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filterPrivacy="1" defaultThemeVersion="166925"/>
  <xr:revisionPtr revIDLastSave="0" documentId="10_ncr:140008_{7A250708-CDB9-43C3-86BE-1ABC9893A284}" xr6:coauthVersionLast="31" xr6:coauthVersionMax="31" xr10:uidLastSave="{00000000-0000-0000-0000-000000000000}"/>
  <workbookProtection workbookPassword="FB29" lockStructure="1"/>
  <bookViews>
    <workbookView xWindow="0" yWindow="0" windowWidth="23040" windowHeight="9072"/>
  </bookViews>
  <sheets>
    <sheet name="Public Register 01.04.19" sheetId="1" r:id="rId1"/>
  </sheets>
  <calcPr calcId="0"/>
</workbook>
</file>

<file path=xl/calcChain.xml><?xml version="1.0" encoding="utf-8"?>
<calcChain xmlns="http://schemas.openxmlformats.org/spreadsheetml/2006/main">
  <c r="B8323" i="1" l="1"/>
  <c r="B9161" i="1"/>
  <c r="B216" i="1"/>
  <c r="B8264" i="1"/>
  <c r="B8060" i="1"/>
  <c r="B217" i="1"/>
  <c r="B7019" i="1"/>
  <c r="B7882" i="1"/>
  <c r="B218" i="1"/>
  <c r="B219" i="1"/>
  <c r="B220" i="1"/>
  <c r="B197" i="1"/>
  <c r="B198" i="1"/>
  <c r="B199" i="1"/>
  <c r="B200" i="1"/>
  <c r="B8212" i="1"/>
  <c r="B8968" i="1"/>
  <c r="B8024" i="1"/>
  <c r="B8385" i="1"/>
  <c r="B7951" i="1"/>
  <c r="B7952" i="1"/>
  <c r="B133" i="1"/>
  <c r="B134" i="1"/>
  <c r="B8068" i="1"/>
  <c r="B135" i="1"/>
  <c r="B7570" i="1"/>
  <c r="B136" i="1"/>
  <c r="B7972" i="1"/>
  <c r="B137" i="1"/>
  <c r="B7787" i="1"/>
  <c r="B112" i="1"/>
  <c r="B113" i="1"/>
  <c r="B114" i="1"/>
  <c r="B86" i="1"/>
  <c r="B87" i="1"/>
  <c r="B7735" i="1"/>
  <c r="B88" i="1"/>
  <c r="B89" i="1"/>
  <c r="B90" i="1"/>
  <c r="B7641" i="1"/>
  <c r="B91" i="1"/>
  <c r="B8073" i="1"/>
  <c r="B92" i="1"/>
  <c r="B7711" i="1"/>
  <c r="B7883" i="1"/>
  <c r="B7712" i="1"/>
  <c r="B73" i="1"/>
  <c r="B74" i="1"/>
  <c r="B8282" i="1"/>
  <c r="B7953" i="1"/>
  <c r="B75" i="1"/>
  <c r="B76" i="1"/>
  <c r="B23" i="1"/>
  <c r="B7864" i="1"/>
  <c r="B24" i="1"/>
  <c r="B7504" i="1"/>
  <c r="B25" i="1"/>
  <c r="B26" i="1"/>
  <c r="B27" i="1"/>
  <c r="B8125" i="1"/>
  <c r="B7642" i="1"/>
  <c r="B7643" i="1"/>
  <c r="B7606" i="1"/>
  <c r="B8192" i="1"/>
  <c r="B7768" i="1"/>
  <c r="B28" i="1"/>
  <c r="B29" i="1"/>
  <c r="B20" i="1"/>
  <c r="B21" i="1"/>
  <c r="B7505" i="1"/>
  <c r="B2" i="1"/>
  <c r="B3" i="1"/>
  <c r="B7992" i="1"/>
  <c r="B4" i="1"/>
  <c r="B248" i="1"/>
  <c r="B8425" i="1"/>
  <c r="B249" i="1"/>
  <c r="B250" i="1"/>
  <c r="B8074" i="1"/>
  <c r="B8244" i="1"/>
  <c r="B8254" i="1"/>
  <c r="B8156" i="1"/>
  <c r="B8075" i="1"/>
  <c r="B8157" i="1"/>
  <c r="B221" i="1"/>
  <c r="B222" i="1"/>
  <c r="B223" i="1"/>
  <c r="B8114" i="1"/>
  <c r="B224" i="1"/>
  <c r="B225" i="1"/>
  <c r="B8025" i="1"/>
  <c r="B206" i="1"/>
  <c r="B207" i="1"/>
  <c r="B208" i="1"/>
  <c r="B7979" i="1"/>
  <c r="B209" i="1"/>
  <c r="B8003" i="1"/>
  <c r="B8297" i="1"/>
  <c r="B8115" i="1"/>
  <c r="B183" i="1"/>
  <c r="B8150" i="1"/>
  <c r="B184" i="1"/>
  <c r="B185" i="1"/>
  <c r="B163" i="1"/>
  <c r="B164" i="1"/>
  <c r="B8223" i="1"/>
  <c r="B8142" i="1"/>
  <c r="B165" i="1"/>
  <c r="B8160" i="1"/>
  <c r="B7922" i="1"/>
  <c r="B7954" i="1"/>
  <c r="B7973" i="1"/>
  <c r="B7980" i="1"/>
  <c r="B115" i="1"/>
  <c r="B8272" i="1"/>
  <c r="B7940" i="1"/>
  <c r="B15" i="1"/>
  <c r="B8" i="1"/>
  <c r="B9" i="1"/>
  <c r="B10" i="1"/>
  <c r="B251" i="1"/>
  <c r="B252" i="1"/>
  <c r="B8049" i="1"/>
  <c r="B241" i="1"/>
  <c r="B242" i="1"/>
  <c r="B237" i="1"/>
  <c r="B8181" i="1"/>
  <c r="B238" i="1"/>
  <c r="B8050" i="1"/>
  <c r="B239" i="1"/>
  <c r="B231" i="1"/>
  <c r="B232" i="1"/>
  <c r="B8245" i="1"/>
  <c r="B233" i="1"/>
  <c r="B234" i="1"/>
  <c r="B235" i="1"/>
  <c r="B8026" i="1"/>
  <c r="B236" i="1"/>
  <c r="B8182" i="1"/>
  <c r="B8090" i="1"/>
  <c r="B8255" i="1"/>
  <c r="B8061" i="1"/>
  <c r="B8097" i="1"/>
  <c r="B226" i="1"/>
  <c r="B8256" i="1"/>
  <c r="B227" i="1"/>
  <c r="B6696" i="1"/>
  <c r="B8548" i="1"/>
  <c r="B439" i="1"/>
  <c r="B8044" i="1"/>
  <c r="B7974" i="1"/>
  <c r="B8202" i="1"/>
  <c r="B8151" i="1"/>
  <c r="B8126" i="1"/>
  <c r="B194" i="1"/>
  <c r="B195" i="1"/>
  <c r="B179" i="1"/>
  <c r="B156" i="1"/>
  <c r="B141" i="1"/>
  <c r="B142" i="1"/>
  <c r="B8235" i="1"/>
  <c r="B7850" i="1"/>
  <c r="B7823" i="1"/>
  <c r="B143" i="1"/>
  <c r="B8004" i="1"/>
  <c r="B138" i="1"/>
  <c r="B8514" i="1"/>
  <c r="B4541" i="1"/>
  <c r="B7941" i="1"/>
  <c r="B8203" i="1"/>
  <c r="B8343" i="1"/>
  <c r="B7928" i="1"/>
  <c r="B116" i="1"/>
  <c r="B103" i="1"/>
  <c r="B8027" i="1"/>
  <c r="B8081" i="1"/>
  <c r="B7644" i="1"/>
  <c r="B7788" i="1"/>
  <c r="B62" i="1"/>
  <c r="B7923" i="1"/>
  <c r="B8119" i="1"/>
  <c r="B8091" i="1"/>
  <c r="B63" i="1"/>
  <c r="B7734" i="1"/>
  <c r="B7942" i="1"/>
  <c r="B64" i="1"/>
  <c r="B7993" i="1"/>
  <c r="B8076" i="1"/>
  <c r="B7981" i="1"/>
  <c r="B30" i="1"/>
  <c r="B47" i="1"/>
  <c r="B8092" i="1"/>
  <c r="B48" i="1"/>
  <c r="B32" i="1"/>
  <c r="B31" i="1"/>
  <c r="B7824" i="1"/>
  <c r="B7645" i="1"/>
  <c r="B33" i="1"/>
  <c r="B46" i="1"/>
  <c r="B34" i="1"/>
  <c r="B7924" i="1"/>
  <c r="B7975" i="1"/>
  <c r="B7943" i="1"/>
  <c r="B35" i="1"/>
  <c r="B7769" i="1"/>
  <c r="B8056" i="1"/>
  <c r="B8106" i="1"/>
  <c r="B11" i="1"/>
  <c r="B12" i="1"/>
  <c r="B13" i="1"/>
  <c r="B14" i="1"/>
  <c r="B243" i="1"/>
  <c r="B244" i="1"/>
  <c r="B8291" i="1"/>
  <c r="B240" i="1"/>
  <c r="B8005" i="1"/>
  <c r="B8028" i="1"/>
  <c r="B8006" i="1"/>
  <c r="B228" i="1"/>
  <c r="B8029" i="1"/>
  <c r="B229" i="1"/>
  <c r="B8127" i="1"/>
  <c r="B210" i="1"/>
  <c r="B211" i="1"/>
  <c r="B212" i="1"/>
  <c r="B8007" i="1"/>
  <c r="B8030" i="1"/>
  <c r="B213" i="1"/>
  <c r="B214" i="1"/>
  <c r="B201" i="1"/>
  <c r="B202" i="1"/>
  <c r="B203" i="1"/>
  <c r="B204" i="1"/>
  <c r="B8031" i="1"/>
  <c r="B8204" i="1"/>
  <c r="B186" i="1"/>
  <c r="B187" i="1"/>
  <c r="B188" i="1"/>
  <c r="B189" i="1"/>
  <c r="B8093" i="1"/>
  <c r="B8032" i="1"/>
  <c r="B190" i="1"/>
  <c r="B191" i="1"/>
  <c r="B192" i="1"/>
  <c r="B193" i="1"/>
  <c r="B180" i="1"/>
  <c r="B181" i="1"/>
  <c r="B182" i="1"/>
  <c r="B166" i="1"/>
  <c r="B167" i="1"/>
  <c r="B168" i="1"/>
  <c r="B8008" i="1"/>
  <c r="B8077" i="1"/>
  <c r="B169" i="1"/>
  <c r="B170" i="1"/>
  <c r="B7955" i="1"/>
  <c r="B171" i="1"/>
  <c r="B172" i="1"/>
  <c r="B173" i="1"/>
  <c r="B7851" i="1"/>
  <c r="B117" i="1"/>
  <c r="B118" i="1"/>
  <c r="B119" i="1"/>
  <c r="B8009" i="1"/>
  <c r="B7203" i="1"/>
  <c r="B7929" i="1"/>
  <c r="B7865" i="1"/>
  <c r="B8171" i="1"/>
  <c r="B8010" i="1"/>
  <c r="B7982" i="1"/>
  <c r="B7884" i="1"/>
  <c r="B8011" i="1"/>
  <c r="B7866" i="1"/>
  <c r="B120" i="1"/>
  <c r="B8560" i="1"/>
  <c r="B121" i="1"/>
  <c r="B122" i="1"/>
  <c r="B7885" i="1"/>
  <c r="B8045" i="1"/>
  <c r="B123" i="1"/>
  <c r="B7746" i="1"/>
  <c r="B7956" i="1"/>
  <c r="B7789" i="1"/>
  <c r="B8107" i="1"/>
  <c r="B7747" i="1"/>
  <c r="B104" i="1"/>
  <c r="B105" i="1"/>
  <c r="B106" i="1"/>
  <c r="B8012" i="1"/>
  <c r="B107" i="1"/>
  <c r="B108" i="1"/>
  <c r="B8176" i="1"/>
  <c r="B93" i="1"/>
  <c r="B94" i="1"/>
  <c r="B95" i="1"/>
  <c r="B96" i="1"/>
  <c r="B8082" i="1"/>
  <c r="B97" i="1"/>
  <c r="B82" i="1"/>
  <c r="B7790" i="1"/>
  <c r="B83" i="1"/>
  <c r="B84" i="1"/>
  <c r="B8062" i="1"/>
  <c r="B85" i="1"/>
  <c r="B7944" i="1"/>
  <c r="B8183" i="1"/>
  <c r="B7770" i="1"/>
  <c r="B65" i="1"/>
  <c r="B66" i="1"/>
  <c r="B8013" i="1"/>
  <c r="B52" i="1"/>
  <c r="B7646" i="1"/>
  <c r="B53" i="1"/>
  <c r="B7620" i="1"/>
  <c r="B54" i="1"/>
  <c r="B55" i="1"/>
  <c r="B56" i="1"/>
  <c r="B57" i="1"/>
  <c r="B8069" i="1"/>
  <c r="B144" i="1"/>
  <c r="B16" i="1"/>
  <c r="B17" i="1"/>
  <c r="B18" i="1"/>
  <c r="B7588" i="1"/>
  <c r="B7909" i="1"/>
  <c r="B5" i="1"/>
  <c r="B6" i="1"/>
  <c r="B7" i="1"/>
  <c r="B8078" i="1"/>
  <c r="B215" i="1"/>
  <c r="B8292" i="1"/>
  <c r="B8132" i="1"/>
  <c r="B8133" i="1"/>
  <c r="B205" i="1"/>
  <c r="B8014" i="1"/>
  <c r="B7957" i="1"/>
  <c r="B196" i="1"/>
  <c r="B174" i="1"/>
  <c r="B175" i="1"/>
  <c r="B7958" i="1"/>
  <c r="B7968" i="1"/>
  <c r="B157" i="1"/>
  <c r="B8206" i="1"/>
  <c r="B8033" i="1"/>
  <c r="B7930" i="1"/>
  <c r="B7959" i="1"/>
  <c r="B8057" i="1"/>
  <c r="B158" i="1"/>
  <c r="B8034" i="1"/>
  <c r="B159" i="1"/>
  <c r="B160" i="1"/>
  <c r="B161" i="1"/>
  <c r="B8224" i="1"/>
  <c r="B162" i="1"/>
  <c r="B7916" i="1"/>
  <c r="B139" i="1"/>
  <c r="B8035" i="1"/>
  <c r="B7825" i="1"/>
  <c r="B140" i="1"/>
  <c r="B7826" i="1"/>
  <c r="B7827" i="1"/>
  <c r="B8036" i="1"/>
  <c r="B8118" i="1"/>
  <c r="B7791" i="1"/>
  <c r="B109" i="1"/>
  <c r="B7976" i="1"/>
  <c r="B110" i="1"/>
  <c r="B7931" i="1"/>
  <c r="B111" i="1"/>
  <c r="B7736" i="1"/>
  <c r="B8051" i="1"/>
  <c r="B98" i="1"/>
  <c r="B99" i="1"/>
  <c r="B100" i="1"/>
  <c r="B101" i="1"/>
  <c r="B102" i="1"/>
  <c r="B7792" i="1"/>
  <c r="B8015" i="1"/>
  <c r="B7969" i="1"/>
  <c r="B7514" i="1"/>
  <c r="B70" i="1"/>
  <c r="B7828" i="1"/>
  <c r="B7886" i="1"/>
  <c r="B71" i="1"/>
  <c r="B72" i="1"/>
  <c r="B7829" i="1"/>
  <c r="B7793" i="1"/>
  <c r="B36" i="1"/>
  <c r="B37" i="1"/>
  <c r="B7589" i="1"/>
  <c r="B38" i="1"/>
  <c r="B8052" i="1"/>
  <c r="B39" i="1"/>
  <c r="B40" i="1"/>
  <c r="B41" i="1"/>
  <c r="B19" i="1"/>
  <c r="B8376" i="1"/>
  <c r="B8152" i="1"/>
  <c r="B245" i="1"/>
  <c r="B8159" i="1"/>
  <c r="B8108" i="1"/>
  <c r="B246" i="1"/>
  <c r="B247" i="1"/>
  <c r="B8232" i="1"/>
  <c r="B230" i="1"/>
  <c r="B7983" i="1"/>
  <c r="B176" i="1"/>
  <c r="B177" i="1"/>
  <c r="B8283" i="1"/>
  <c r="B8134" i="1"/>
  <c r="B178" i="1"/>
  <c r="B8158" i="1"/>
  <c r="B8392" i="1"/>
  <c r="B7994" i="1"/>
  <c r="B7960" i="1"/>
  <c r="B7945" i="1"/>
  <c r="B147" i="1"/>
  <c r="B7932" i="1"/>
  <c r="B8037" i="1"/>
  <c r="B8273" i="1"/>
  <c r="B8016" i="1"/>
  <c r="B148" i="1"/>
  <c r="B149" i="1"/>
  <c r="B150" i="1"/>
  <c r="B151" i="1"/>
  <c r="B152" i="1"/>
  <c r="B153" i="1"/>
  <c r="B7970" i="1"/>
  <c r="B154" i="1"/>
  <c r="B155" i="1"/>
  <c r="B146" i="1"/>
  <c r="B8246" i="1"/>
  <c r="B7867" i="1"/>
  <c r="B8017" i="1"/>
  <c r="B145" i="1"/>
  <c r="B128" i="1"/>
  <c r="B8143" i="1"/>
  <c r="B8120" i="1"/>
  <c r="B8121" i="1"/>
  <c r="B129" i="1"/>
  <c r="B130" i="1"/>
  <c r="B131" i="1"/>
  <c r="B132" i="1"/>
  <c r="B7887" i="1"/>
  <c r="B7946" i="1"/>
  <c r="B124" i="1"/>
  <c r="B125" i="1"/>
  <c r="B126" i="1"/>
  <c r="B127" i="1"/>
  <c r="B7830" i="1"/>
  <c r="B7868" i="1"/>
  <c r="B8135" i="1"/>
  <c r="B8063" i="1"/>
  <c r="B77" i="1"/>
  <c r="B78" i="1"/>
  <c r="B7852" i="1"/>
  <c r="B8064" i="1"/>
  <c r="B79" i="1"/>
  <c r="B80" i="1"/>
  <c r="B81" i="1"/>
  <c r="B8109" i="1"/>
  <c r="B67" i="1"/>
  <c r="B7757" i="1"/>
  <c r="B68" i="1"/>
  <c r="B69" i="1"/>
  <c r="B58" i="1"/>
  <c r="B59" i="1"/>
  <c r="B60" i="1"/>
  <c r="B8038" i="1"/>
  <c r="B61" i="1"/>
  <c r="B7621" i="1"/>
  <c r="B7794" i="1"/>
  <c r="B7961" i="1"/>
  <c r="B49" i="1"/>
  <c r="B50" i="1"/>
  <c r="B51" i="1"/>
  <c r="B7933" i="1"/>
  <c r="B7622" i="1"/>
  <c r="B7748" i="1"/>
  <c r="B7771" i="1"/>
  <c r="B7682" i="1"/>
  <c r="B42" i="1"/>
  <c r="B43" i="1"/>
  <c r="B44" i="1"/>
  <c r="B45" i="1"/>
  <c r="B7647" i="1"/>
  <c r="B7772" i="1"/>
  <c r="B22" i="1"/>
  <c r="B7831" i="1"/>
  <c r="B1198" i="1"/>
  <c r="B1199" i="1"/>
  <c r="B1200" i="1"/>
  <c r="B1185" i="1"/>
  <c r="B1186" i="1"/>
  <c r="B1187" i="1"/>
  <c r="B1188" i="1"/>
  <c r="B1189" i="1"/>
  <c r="B9535" i="1"/>
  <c r="B1143" i="1"/>
  <c r="B1144" i="1"/>
  <c r="B1145" i="1"/>
  <c r="B1146" i="1"/>
  <c r="B1147" i="1"/>
  <c r="B1148" i="1"/>
  <c r="B9178" i="1"/>
  <c r="B9151" i="1"/>
  <c r="B9155" i="1"/>
  <c r="B9162" i="1"/>
  <c r="B9518" i="1"/>
  <c r="B9557" i="1"/>
  <c r="B9536" i="1"/>
  <c r="B9519" i="1"/>
  <c r="B9520" i="1"/>
  <c r="B9521" i="1"/>
  <c r="B9522" i="1"/>
  <c r="B1112" i="1"/>
  <c r="B1113" i="1"/>
  <c r="B1114" i="1"/>
  <c r="B1115" i="1"/>
  <c r="B1116" i="1"/>
  <c r="B9146" i="1"/>
  <c r="B1111" i="1"/>
  <c r="B9133" i="1"/>
  <c r="B9134" i="1"/>
  <c r="B9523" i="1"/>
  <c r="B9495" i="1"/>
  <c r="B9209" i="1"/>
  <c r="B1070" i="1"/>
  <c r="B1071" i="1"/>
  <c r="B1072" i="1"/>
  <c r="B1073" i="1"/>
  <c r="B9127" i="1"/>
  <c r="B9111" i="1"/>
  <c r="B9234" i="1"/>
  <c r="B9239" i="1"/>
  <c r="B9240" i="1"/>
  <c r="B9251" i="1"/>
  <c r="B1011" i="1"/>
  <c r="B1012" i="1"/>
  <c r="B1013" i="1"/>
  <c r="B1014" i="1"/>
  <c r="B1015" i="1"/>
  <c r="B1016" i="1"/>
  <c r="B1017" i="1"/>
  <c r="B1018" i="1"/>
  <c r="B9294" i="1"/>
  <c r="B9112" i="1"/>
  <c r="B9135" i="1"/>
  <c r="B991" i="1"/>
  <c r="B992" i="1"/>
  <c r="B993" i="1"/>
  <c r="B994" i="1"/>
  <c r="B995" i="1"/>
  <c r="B996" i="1"/>
  <c r="B997" i="1"/>
  <c r="B998" i="1"/>
  <c r="B999" i="1"/>
  <c r="B1000" i="1"/>
  <c r="B952" i="1"/>
  <c r="B953" i="1"/>
  <c r="B954" i="1"/>
  <c r="B936" i="1"/>
  <c r="B937" i="1"/>
  <c r="B934" i="1"/>
  <c r="B929" i="1"/>
  <c r="B930" i="1"/>
  <c r="B9274" i="1"/>
  <c r="B927" i="1"/>
  <c r="B928" i="1"/>
  <c r="B924" i="1"/>
  <c r="B925" i="1"/>
  <c r="B926" i="1"/>
  <c r="B918" i="1"/>
  <c r="B894" i="1"/>
  <c r="B895" i="1"/>
  <c r="B896" i="1"/>
  <c r="B897" i="1"/>
  <c r="B898" i="1"/>
  <c r="B885" i="1"/>
  <c r="B8922" i="1"/>
  <c r="B864" i="1"/>
  <c r="B832" i="1"/>
  <c r="B833" i="1"/>
  <c r="B834" i="1"/>
  <c r="B8789" i="1"/>
  <c r="B8807" i="1"/>
  <c r="B835" i="1"/>
  <c r="B9457" i="1"/>
  <c r="B9119" i="1"/>
  <c r="B836" i="1"/>
  <c r="B837" i="1"/>
  <c r="B838" i="1"/>
  <c r="B8914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8841" i="1"/>
  <c r="B8736" i="1"/>
  <c r="B8984" i="1"/>
  <c r="B761" i="1"/>
  <c r="B762" i="1"/>
  <c r="B743" i="1"/>
  <c r="B744" i="1"/>
  <c r="B738" i="1"/>
  <c r="B739" i="1"/>
  <c r="B740" i="1"/>
  <c r="B734" i="1"/>
  <c r="B735" i="1"/>
  <c r="B736" i="1"/>
  <c r="B737" i="1"/>
  <c r="B8846" i="1"/>
  <c r="B733" i="1"/>
  <c r="B9061" i="1"/>
  <c r="B8868" i="1"/>
  <c r="B718" i="1"/>
  <c r="B795" i="1"/>
  <c r="B796" i="1"/>
  <c r="B708" i="1"/>
  <c r="B704" i="1"/>
  <c r="B705" i="1"/>
  <c r="B706" i="1"/>
  <c r="B702" i="1"/>
  <c r="B8790" i="1"/>
  <c r="B8837" i="1"/>
  <c r="B8812" i="1"/>
  <c r="B8881" i="1"/>
  <c r="B8710" i="1"/>
  <c r="B703" i="1"/>
  <c r="B8729" i="1"/>
  <c r="B699" i="1"/>
  <c r="B8835" i="1"/>
  <c r="B8861" i="1"/>
  <c r="B8652" i="1"/>
  <c r="B8775" i="1"/>
  <c r="B673" i="1"/>
  <c r="B8698" i="1"/>
  <c r="B8780" i="1"/>
  <c r="B8895" i="1"/>
  <c r="B674" i="1"/>
  <c r="B8536" i="1"/>
  <c r="B675" i="1"/>
  <c r="B8711" i="1"/>
  <c r="B656" i="1"/>
  <c r="B8670" i="1"/>
  <c r="B8770" i="1"/>
  <c r="B657" i="1"/>
  <c r="B658" i="1"/>
  <c r="B8719" i="1"/>
  <c r="B8752" i="1"/>
  <c r="B8781" i="1"/>
  <c r="B8733" i="1"/>
  <c r="B8847" i="1"/>
  <c r="B8712" i="1"/>
  <c r="B8616" i="1"/>
  <c r="B659" i="1"/>
  <c r="B8813" i="1"/>
  <c r="B660" i="1"/>
  <c r="B644" i="1"/>
  <c r="B645" i="1"/>
  <c r="B646" i="1"/>
  <c r="B8700" i="1"/>
  <c r="B647" i="1"/>
  <c r="B8565" i="1"/>
  <c r="B648" i="1"/>
  <c r="B649" i="1"/>
  <c r="B8624" i="1"/>
  <c r="B8776" i="1"/>
  <c r="B650" i="1"/>
  <c r="B651" i="1"/>
  <c r="B8595" i="1"/>
  <c r="B652" i="1"/>
  <c r="B653" i="1"/>
  <c r="B8625" i="1"/>
  <c r="B610" i="1"/>
  <c r="B8877" i="1"/>
  <c r="B8715" i="1"/>
  <c r="B611" i="1"/>
  <c r="B612" i="1"/>
  <c r="B8716" i="1"/>
  <c r="B609" i="1"/>
  <c r="B591" i="1"/>
  <c r="B592" i="1"/>
  <c r="B593" i="1"/>
  <c r="B594" i="1"/>
  <c r="B595" i="1"/>
  <c r="B596" i="1"/>
  <c r="B597" i="1"/>
  <c r="B598" i="1"/>
  <c r="B560" i="1"/>
  <c r="B561" i="1"/>
  <c r="B562" i="1"/>
  <c r="B8653" i="1"/>
  <c r="B530" i="1"/>
  <c r="B531" i="1"/>
  <c r="B532" i="1"/>
  <c r="B468" i="1"/>
  <c r="B469" i="1"/>
  <c r="B472" i="1"/>
  <c r="B444" i="1"/>
  <c r="B506" i="1"/>
  <c r="B8631" i="1"/>
  <c r="B679" i="1"/>
  <c r="B613" i="1"/>
  <c r="B8689" i="1"/>
  <c r="B445" i="1"/>
  <c r="B482" i="1"/>
  <c r="B483" i="1"/>
  <c r="B484" i="1"/>
  <c r="B8486" i="1"/>
  <c r="B485" i="1"/>
  <c r="B512" i="1"/>
  <c r="B8791" i="1"/>
  <c r="B507" i="1"/>
  <c r="B521" i="1"/>
  <c r="B8448" i="1"/>
  <c r="B8600" i="1"/>
  <c r="B8435" i="1"/>
  <c r="B522" i="1"/>
  <c r="B474" i="1"/>
  <c r="B537" i="1"/>
  <c r="B473" i="1"/>
  <c r="B8426" i="1"/>
  <c r="B407" i="1"/>
  <c r="B408" i="1"/>
  <c r="B409" i="1"/>
  <c r="B411" i="1"/>
  <c r="B414" i="1"/>
  <c r="B8344" i="1"/>
  <c r="B392" i="1"/>
  <c r="B8449" i="1"/>
  <c r="B415" i="1"/>
  <c r="B393" i="1"/>
  <c r="B377" i="1"/>
  <c r="B8298" i="1"/>
  <c r="B8324" i="1"/>
  <c r="B378" i="1"/>
  <c r="B8439" i="1"/>
  <c r="B8431" i="1"/>
  <c r="B8377" i="1"/>
  <c r="B8507" i="1"/>
  <c r="B379" i="1"/>
  <c r="B8363" i="1"/>
  <c r="B380" i="1"/>
  <c r="B381" i="1"/>
  <c r="B8353" i="1"/>
  <c r="B8428" i="1"/>
  <c r="B554" i="1"/>
  <c r="B365" i="1"/>
  <c r="B366" i="1"/>
  <c r="B2085" i="1"/>
  <c r="B367" i="1"/>
  <c r="B368" i="1"/>
  <c r="B8345" i="1"/>
  <c r="B8364" i="1"/>
  <c r="B8312" i="1"/>
  <c r="B8383" i="1"/>
  <c r="B8530" i="1"/>
  <c r="B364" i="1"/>
  <c r="B357" i="1"/>
  <c r="B331" i="1"/>
  <c r="B8161" i="1"/>
  <c r="B8225" i="1"/>
  <c r="B332" i="1"/>
  <c r="B8515" i="1"/>
  <c r="B333" i="1"/>
  <c r="B8386" i="1"/>
  <c r="B334" i="1"/>
  <c r="B8354" i="1"/>
  <c r="B8346" i="1"/>
  <c r="B335" i="1"/>
  <c r="B310" i="1"/>
  <c r="B311" i="1"/>
  <c r="B312" i="1"/>
  <c r="B313" i="1"/>
  <c r="B8393" i="1"/>
  <c r="B314" i="1"/>
  <c r="B262" i="1"/>
  <c r="B263" i="1"/>
  <c r="B8284" i="1"/>
  <c r="B8308" i="1"/>
  <c r="B264" i="1"/>
  <c r="B8219" i="1"/>
  <c r="B265" i="1"/>
  <c r="B9553" i="1"/>
  <c r="B8110" i="1"/>
  <c r="B8207" i="1"/>
  <c r="B8153" i="1"/>
  <c r="B8162" i="1"/>
  <c r="B8213" i="1"/>
  <c r="B253" i="1"/>
  <c r="B254" i="1"/>
  <c r="B255" i="1"/>
  <c r="B8085" i="1"/>
  <c r="B256" i="1"/>
  <c r="B257" i="1"/>
  <c r="B1202" i="1"/>
  <c r="B1195" i="1"/>
  <c r="B1196" i="1"/>
  <c r="B1197" i="1"/>
  <c r="B1190" i="1"/>
  <c r="B1191" i="1"/>
  <c r="B1192" i="1"/>
  <c r="B1193" i="1"/>
  <c r="B1194" i="1"/>
  <c r="B10831" i="1"/>
  <c r="B10832" i="1"/>
  <c r="B10833" i="1"/>
  <c r="B10834" i="1"/>
  <c r="B10835" i="1"/>
  <c r="B10836" i="1"/>
  <c r="B10837" i="1"/>
  <c r="B10838" i="1"/>
  <c r="B10839" i="1"/>
  <c r="B10840" i="1"/>
  <c r="B10673" i="1"/>
  <c r="B10674" i="1"/>
  <c r="B10675" i="1"/>
  <c r="B10676" i="1"/>
  <c r="B10485" i="1"/>
  <c r="B10478" i="1"/>
  <c r="B10479" i="1"/>
  <c r="B10480" i="1"/>
  <c r="B10481" i="1"/>
  <c r="B10477" i="1"/>
  <c r="B10473" i="1"/>
  <c r="B10306" i="1"/>
  <c r="B10307" i="1"/>
  <c r="B10308" i="1"/>
  <c r="B10309" i="1"/>
  <c r="B10304" i="1"/>
  <c r="B10301" i="1"/>
  <c r="B10292" i="1"/>
  <c r="B10293" i="1"/>
  <c r="B10294" i="1"/>
  <c r="B10082" i="1"/>
  <c r="B10083" i="1"/>
  <c r="B10075" i="1"/>
  <c r="B10076" i="1"/>
  <c r="B10077" i="1"/>
  <c r="B10078" i="1"/>
  <c r="B10071" i="1"/>
  <c r="B9873" i="1"/>
  <c r="B9871" i="1"/>
  <c r="B9867" i="1"/>
  <c r="B9868" i="1"/>
  <c r="B9869" i="1"/>
  <c r="B9864" i="1"/>
  <c r="B9865" i="1"/>
  <c r="B9863" i="1"/>
  <c r="B9860" i="1"/>
  <c r="B9675" i="1"/>
  <c r="B9674" i="1"/>
  <c r="B9666" i="1"/>
  <c r="B9667" i="1"/>
  <c r="B9668" i="1"/>
  <c r="B9669" i="1"/>
  <c r="B9670" i="1"/>
  <c r="B9663" i="1"/>
  <c r="B9524" i="1"/>
  <c r="B9525" i="1"/>
  <c r="B9526" i="1"/>
  <c r="B9527" i="1"/>
  <c r="B9528" i="1"/>
  <c r="B9466" i="1"/>
  <c r="B9460" i="1"/>
  <c r="B9461" i="1"/>
  <c r="B9462" i="1"/>
  <c r="B9322" i="1"/>
  <c r="B9323" i="1"/>
  <c r="B9324" i="1"/>
  <c r="B9225" i="1"/>
  <c r="B9137" i="1"/>
  <c r="B9138" i="1"/>
  <c r="B9128" i="1"/>
  <c r="B9038" i="1"/>
  <c r="B9039" i="1"/>
  <c r="B9034" i="1"/>
  <c r="B8923" i="1"/>
  <c r="B8924" i="1"/>
  <c r="B8792" i="1"/>
  <c r="B8793" i="1"/>
  <c r="B8794" i="1"/>
  <c r="B8671" i="1"/>
  <c r="B8553" i="1"/>
  <c r="B8554" i="1"/>
  <c r="B8316" i="1"/>
  <c r="B8317" i="1"/>
  <c r="B8318" i="1"/>
  <c r="B8214" i="1"/>
  <c r="B8215" i="1"/>
  <c r="B8208" i="1"/>
  <c r="B8086" i="1"/>
  <c r="B7962" i="1"/>
  <c r="B7963" i="1"/>
  <c r="B7773" i="1"/>
  <c r="B7758" i="1"/>
  <c r="B7571" i="1"/>
  <c r="B7572" i="1"/>
  <c r="B7573" i="1"/>
  <c r="B7574" i="1"/>
  <c r="B7575" i="1"/>
  <c r="B7569" i="1"/>
  <c r="B7356" i="1"/>
  <c r="B7357" i="1"/>
  <c r="B7358" i="1"/>
  <c r="B7359" i="1"/>
  <c r="B7360" i="1"/>
  <c r="B7361" i="1"/>
  <c r="B7362" i="1"/>
  <c r="B7168" i="1"/>
  <c r="B7169" i="1"/>
  <c r="B7159" i="1"/>
  <c r="B7160" i="1"/>
  <c r="B7161" i="1"/>
  <c r="B6913" i="1"/>
  <c r="B6914" i="1"/>
  <c r="B6915" i="1"/>
  <c r="B6916" i="1"/>
  <c r="B6907" i="1"/>
  <c r="B6908" i="1"/>
  <c r="B6909" i="1"/>
  <c r="B6910" i="1"/>
  <c r="B6711" i="1"/>
  <c r="B6712" i="1"/>
  <c r="B6713" i="1"/>
  <c r="B6714" i="1"/>
  <c r="B6428" i="1"/>
  <c r="B6429" i="1"/>
  <c r="B6430" i="1"/>
  <c r="B6431" i="1"/>
  <c r="B6432" i="1"/>
  <c r="B6433" i="1"/>
  <c r="B6411" i="1"/>
  <c r="B6412" i="1"/>
  <c r="B6413" i="1"/>
  <c r="B6414" i="1"/>
  <c r="B6240" i="1"/>
  <c r="B6241" i="1"/>
  <c r="B6225" i="1"/>
  <c r="B6226" i="1"/>
  <c r="B6227" i="1"/>
  <c r="B6228" i="1"/>
  <c r="B6229" i="1"/>
  <c r="B6230" i="1"/>
  <c r="B6231" i="1"/>
  <c r="B6232" i="1"/>
  <c r="B5870" i="1"/>
  <c r="B5871" i="1"/>
  <c r="B5872" i="1"/>
  <c r="B5856" i="1"/>
  <c r="B5857" i="1"/>
  <c r="B5858" i="1"/>
  <c r="B5859" i="1"/>
  <c r="B5860" i="1"/>
  <c r="B5861" i="1"/>
  <c r="B5862" i="1"/>
  <c r="B5863" i="1"/>
  <c r="B5864" i="1"/>
  <c r="B5653" i="1"/>
  <c r="B5654" i="1"/>
  <c r="B5655" i="1"/>
  <c r="B5656" i="1"/>
  <c r="B5657" i="1"/>
  <c r="B5658" i="1"/>
  <c r="B5659" i="1"/>
  <c r="B5539" i="1"/>
  <c r="B5540" i="1"/>
  <c r="B5527" i="1"/>
  <c r="B5528" i="1"/>
  <c r="B5529" i="1"/>
  <c r="B5530" i="1"/>
  <c r="B5531" i="1"/>
  <c r="B5532" i="1"/>
  <c r="B5533" i="1"/>
  <c r="B5338" i="1"/>
  <c r="B5339" i="1"/>
  <c r="B5333" i="1"/>
  <c r="B5149" i="1"/>
  <c r="B5150" i="1"/>
  <c r="B5151" i="1"/>
  <c r="B5152" i="1"/>
  <c r="B5035" i="1"/>
  <c r="B5036" i="1"/>
  <c r="B5037" i="1"/>
  <c r="B5019" i="1"/>
  <c r="B4831" i="1"/>
  <c r="B4832" i="1"/>
  <c r="B4822" i="1"/>
  <c r="B4823" i="1"/>
  <c r="B4824" i="1"/>
  <c r="B4825" i="1"/>
  <c r="B4826" i="1"/>
  <c r="B4813" i="1"/>
  <c r="B4814" i="1"/>
  <c r="B4815" i="1"/>
  <c r="B4816" i="1"/>
  <c r="B4817" i="1"/>
  <c r="B4818" i="1"/>
  <c r="B4608" i="1"/>
  <c r="B4609" i="1"/>
  <c r="B4610" i="1"/>
  <c r="B4611" i="1"/>
  <c r="B4612" i="1"/>
  <c r="B4459" i="1"/>
  <c r="B4460" i="1"/>
  <c r="B4461" i="1"/>
  <c r="B4462" i="1"/>
  <c r="B4463" i="1"/>
  <c r="B4464" i="1"/>
  <c r="B4465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095" i="1"/>
  <c r="B4085" i="1"/>
  <c r="B4086" i="1"/>
  <c r="B4087" i="1"/>
  <c r="B4022" i="1"/>
  <c r="B4010" i="1"/>
  <c r="B4011" i="1"/>
  <c r="B4012" i="1"/>
  <c r="B4013" i="1"/>
  <c r="B3819" i="1"/>
  <c r="B3820" i="1"/>
  <c r="B3813" i="1"/>
  <c r="B3814" i="1"/>
  <c r="B3815" i="1"/>
  <c r="B3816" i="1"/>
  <c r="B3804" i="1"/>
  <c r="B3805" i="1"/>
  <c r="B3806" i="1"/>
  <c r="B3639" i="1"/>
  <c r="B3640" i="1"/>
  <c r="B3626" i="1"/>
  <c r="B3627" i="1"/>
  <c r="B3628" i="1"/>
  <c r="B3629" i="1"/>
  <c r="B3630" i="1"/>
  <c r="B3631" i="1"/>
  <c r="B3632" i="1"/>
  <c r="B3527" i="1"/>
  <c r="B3528" i="1"/>
  <c r="B3529" i="1"/>
  <c r="B3530" i="1"/>
  <c r="B3531" i="1"/>
  <c r="B3532" i="1"/>
  <c r="B3533" i="1"/>
  <c r="B3534" i="1"/>
  <c r="B3535" i="1"/>
  <c r="B3334" i="1"/>
  <c r="B3325" i="1"/>
  <c r="B3326" i="1"/>
  <c r="B3327" i="1"/>
  <c r="B3328" i="1"/>
  <c r="B3329" i="1"/>
  <c r="B3118" i="1"/>
  <c r="B3115" i="1"/>
  <c r="B3116" i="1"/>
  <c r="B3101" i="1"/>
  <c r="B3102" i="1"/>
  <c r="B3103" i="1"/>
  <c r="B3104" i="1"/>
  <c r="B2446" i="1"/>
  <c r="B2447" i="1"/>
  <c r="B2448" i="1"/>
  <c r="B2449" i="1"/>
  <c r="B2450" i="1"/>
  <c r="B2444" i="1"/>
  <c r="B2445" i="1"/>
  <c r="B2442" i="1"/>
  <c r="B2443" i="1"/>
  <c r="B3105" i="1"/>
  <c r="B3106" i="1"/>
  <c r="B3107" i="1"/>
  <c r="B3108" i="1"/>
  <c r="B3090" i="1"/>
  <c r="B3091" i="1"/>
  <c r="B3092" i="1"/>
  <c r="B3093" i="1"/>
  <c r="B3094" i="1"/>
  <c r="B3083" i="1"/>
  <c r="B2881" i="1"/>
  <c r="B2882" i="1"/>
  <c r="B2883" i="1"/>
  <c r="B2884" i="1"/>
  <c r="B2885" i="1"/>
  <c r="B2886" i="1"/>
  <c r="B2887" i="1"/>
  <c r="B2888" i="1"/>
  <c r="B2694" i="1"/>
  <c r="B2695" i="1"/>
  <c r="B2696" i="1"/>
  <c r="B2697" i="1"/>
  <c r="B2698" i="1"/>
  <c r="B2699" i="1"/>
  <c r="B2700" i="1"/>
  <c r="B2686" i="1"/>
  <c r="B2687" i="1"/>
  <c r="B2688" i="1"/>
  <c r="B2285" i="1"/>
  <c r="B2286" i="1"/>
  <c r="B2271" i="1"/>
  <c r="B2272" i="1"/>
  <c r="B2273" i="1"/>
  <c r="B2274" i="1"/>
  <c r="B2275" i="1"/>
  <c r="B2276" i="1"/>
  <c r="B2277" i="1"/>
  <c r="B2278" i="1"/>
  <c r="B2279" i="1"/>
  <c r="B2280" i="1"/>
  <c r="B2281" i="1"/>
  <c r="B2101" i="1"/>
  <c r="B2102" i="1"/>
  <c r="B2103" i="1"/>
  <c r="B2104" i="1"/>
  <c r="B1998" i="1"/>
  <c r="B1999" i="1"/>
  <c r="B1985" i="1"/>
  <c r="B1986" i="1"/>
  <c r="B1987" i="1"/>
  <c r="B1988" i="1"/>
  <c r="B1989" i="1"/>
  <c r="B1990" i="1"/>
  <c r="B1821" i="1"/>
  <c r="B1822" i="1"/>
  <c r="B1823" i="1"/>
  <c r="B1824" i="1"/>
  <c r="B1825" i="1"/>
  <c r="B1826" i="1"/>
  <c r="B1827" i="1"/>
  <c r="B1641" i="1"/>
  <c r="B1621" i="1"/>
  <c r="B1622" i="1"/>
  <c r="B1623" i="1"/>
  <c r="B1624" i="1"/>
  <c r="B1625" i="1"/>
  <c r="B1626" i="1"/>
  <c r="B1627" i="1"/>
  <c r="B1506" i="1"/>
  <c r="B1507" i="1"/>
  <c r="B1508" i="1"/>
  <c r="B1509" i="1"/>
  <c r="B1510" i="1"/>
  <c r="B1511" i="1"/>
  <c r="B1512" i="1"/>
  <c r="B1365" i="1"/>
  <c r="B1366" i="1"/>
  <c r="B1367" i="1"/>
  <c r="B1360" i="1"/>
  <c r="B10841" i="1"/>
  <c r="B10842" i="1"/>
  <c r="B10843" i="1"/>
  <c r="B10844" i="1"/>
  <c r="B10845" i="1"/>
  <c r="B10846" i="1"/>
  <c r="B10806" i="1"/>
  <c r="B10807" i="1"/>
  <c r="B10808" i="1"/>
  <c r="B10809" i="1"/>
  <c r="B10677" i="1"/>
  <c r="B10678" i="1"/>
  <c r="B10679" i="1"/>
  <c r="B10680" i="1"/>
  <c r="B10681" i="1"/>
  <c r="B10682" i="1"/>
  <c r="B10683" i="1"/>
  <c r="B10474" i="1"/>
  <c r="B10470" i="1"/>
  <c r="B10471" i="1"/>
  <c r="B10465" i="1"/>
  <c r="B10466" i="1"/>
  <c r="B10458" i="1"/>
  <c r="B10295" i="1"/>
  <c r="B10287" i="1"/>
  <c r="B10288" i="1"/>
  <c r="B10289" i="1"/>
  <c r="B10072" i="1"/>
  <c r="B10065" i="1"/>
  <c r="B10066" i="1"/>
  <c r="B10067" i="1"/>
  <c r="B10057" i="1"/>
  <c r="B10058" i="1"/>
  <c r="B9854" i="1"/>
  <c r="B9855" i="1"/>
  <c r="B9850" i="1"/>
  <c r="B9851" i="1"/>
  <c r="B9852" i="1"/>
  <c r="B9848" i="1"/>
  <c r="B9849" i="1"/>
  <c r="B9847" i="1"/>
  <c r="B9655" i="1"/>
  <c r="B9656" i="1"/>
  <c r="B9657" i="1"/>
  <c r="B9658" i="1"/>
  <c r="B9515" i="1"/>
  <c r="B9459" i="1"/>
  <c r="B9446" i="1"/>
  <c r="B9447" i="1"/>
  <c r="B9448" i="1"/>
  <c r="B9449" i="1"/>
  <c r="B9392" i="1"/>
  <c r="B9393" i="1"/>
  <c r="B9394" i="1"/>
  <c r="B9315" i="1"/>
  <c r="B9316" i="1"/>
  <c r="B9317" i="1"/>
  <c r="B9318" i="1"/>
  <c r="B9210" i="1"/>
  <c r="B9120" i="1"/>
  <c r="B9121" i="1"/>
  <c r="B9029" i="1"/>
  <c r="B8920" i="1"/>
  <c r="B8915" i="1"/>
  <c r="B8886" i="1"/>
  <c r="B8782" i="1"/>
  <c r="B8662" i="1"/>
  <c r="B8654" i="1"/>
  <c r="B8549" i="1"/>
  <c r="B8541" i="1"/>
  <c r="B8432" i="1"/>
  <c r="B8433" i="1"/>
  <c r="B8319" i="1"/>
  <c r="B8209" i="1"/>
  <c r="B8079" i="1"/>
  <c r="B8080" i="1"/>
  <c r="B7964" i="1"/>
  <c r="B7947" i="1"/>
  <c r="B7759" i="1"/>
  <c r="B7760" i="1"/>
  <c r="B7761" i="1"/>
  <c r="B7749" i="1"/>
  <c r="B7750" i="1"/>
  <c r="B7751" i="1"/>
  <c r="B7752" i="1"/>
  <c r="B7348" i="1"/>
  <c r="B7349" i="1"/>
  <c r="B7350" i="1"/>
  <c r="B7351" i="1"/>
  <c r="B7352" i="1"/>
  <c r="B7342" i="1"/>
  <c r="B7162" i="1"/>
  <c r="B7147" i="1"/>
  <c r="B7148" i="1"/>
  <c r="B7149" i="1"/>
  <c r="B7150" i="1"/>
  <c r="B7151" i="1"/>
  <c r="B6898" i="1"/>
  <c r="B6899" i="1"/>
  <c r="B6900" i="1"/>
  <c r="B6901" i="1"/>
  <c r="B6902" i="1"/>
  <c r="B6903" i="1"/>
  <c r="B6904" i="1"/>
  <c r="B6886" i="1"/>
  <c r="B6887" i="1"/>
  <c r="B6715" i="1"/>
  <c r="B6716" i="1"/>
  <c r="B6697" i="1"/>
  <c r="B6698" i="1"/>
  <c r="B6699" i="1"/>
  <c r="B6700" i="1"/>
  <c r="B6415" i="1"/>
  <c r="B6416" i="1"/>
  <c r="B6417" i="1"/>
  <c r="B6418" i="1"/>
  <c r="B6419" i="1"/>
  <c r="B6420" i="1"/>
  <c r="B6403" i="1"/>
  <c r="B6404" i="1"/>
  <c r="B6405" i="1"/>
  <c r="B6406" i="1"/>
  <c r="B6407" i="1"/>
  <c r="B6233" i="1"/>
  <c r="B6234" i="1"/>
  <c r="B6235" i="1"/>
  <c r="B6214" i="1"/>
  <c r="B6215" i="1"/>
  <c r="B6216" i="1"/>
  <c r="B6217" i="1"/>
  <c r="B6218" i="1"/>
  <c r="B6219" i="1"/>
  <c r="B6220" i="1"/>
  <c r="B6221" i="1"/>
  <c r="B6222" i="1"/>
  <c r="B6196" i="1"/>
  <c r="B5848" i="1"/>
  <c r="B5834" i="1"/>
  <c r="B5835" i="1"/>
  <c r="B5836" i="1"/>
  <c r="B5660" i="1"/>
  <c r="B5638" i="1"/>
  <c r="B5639" i="1"/>
  <c r="B5640" i="1"/>
  <c r="B5641" i="1"/>
  <c r="B5642" i="1"/>
  <c r="B5643" i="1"/>
  <c r="B5644" i="1"/>
  <c r="B5645" i="1"/>
  <c r="B5646" i="1"/>
  <c r="B5647" i="1"/>
  <c r="B6055" i="1"/>
  <c r="B6056" i="1"/>
  <c r="B6035" i="1"/>
  <c r="B6036" i="1"/>
  <c r="B6037" i="1"/>
  <c r="B6038" i="1"/>
  <c r="B5523" i="1"/>
  <c r="B5524" i="1"/>
  <c r="B5525" i="1"/>
  <c r="B5526" i="1"/>
  <c r="B5509" i="1"/>
  <c r="B5510" i="1"/>
  <c r="B5511" i="1"/>
  <c r="B5512" i="1"/>
  <c r="B5513" i="1"/>
  <c r="B5514" i="1"/>
  <c r="B5515" i="1"/>
  <c r="B5327" i="1"/>
  <c r="B5328" i="1"/>
  <c r="B5329" i="1"/>
  <c r="B5314" i="1"/>
  <c r="B5315" i="1"/>
  <c r="B5316" i="1"/>
  <c r="B5317" i="1"/>
  <c r="B5318" i="1"/>
  <c r="B5319" i="1"/>
  <c r="B5320" i="1"/>
  <c r="B5307" i="1"/>
  <c r="B5130" i="1"/>
  <c r="B5131" i="1"/>
  <c r="B5132" i="1"/>
  <c r="B5133" i="1"/>
  <c r="B5134" i="1"/>
  <c r="B5135" i="1"/>
  <c r="B5136" i="1"/>
  <c r="B5137" i="1"/>
  <c r="B5020" i="1"/>
  <c r="B5021" i="1"/>
  <c r="B5022" i="1"/>
  <c r="B5023" i="1"/>
  <c r="B5024" i="1"/>
  <c r="B5025" i="1"/>
  <c r="B4819" i="1"/>
  <c r="B4820" i="1"/>
  <c r="B4788" i="1"/>
  <c r="B4789" i="1"/>
  <c r="B4790" i="1"/>
  <c r="B4791" i="1"/>
  <c r="B4792" i="1"/>
  <c r="B4793" i="1"/>
  <c r="B4794" i="1"/>
  <c r="B4795" i="1"/>
  <c r="B4796" i="1"/>
  <c r="B4613" i="1"/>
  <c r="B4614" i="1"/>
  <c r="B4615" i="1"/>
  <c r="B4447" i="1"/>
  <c r="B4283" i="1"/>
  <c r="B4252" i="1"/>
  <c r="B4253" i="1"/>
  <c r="B4254" i="1"/>
  <c r="B4255" i="1"/>
  <c r="B4256" i="1"/>
  <c r="B4257" i="1"/>
  <c r="B4258" i="1"/>
  <c r="B4259" i="1"/>
  <c r="B4260" i="1"/>
  <c r="B4261" i="1"/>
  <c r="B4262" i="1"/>
  <c r="B4014" i="1"/>
  <c r="B3997" i="1"/>
  <c r="B3998" i="1"/>
  <c r="B3999" i="1"/>
  <c r="B4000" i="1"/>
  <c r="B4001" i="1"/>
  <c r="B4002" i="1"/>
  <c r="B4003" i="1"/>
  <c r="B4004" i="1"/>
  <c r="B3807" i="1"/>
  <c r="B3808" i="1"/>
  <c r="B3809" i="1"/>
  <c r="B3799" i="1"/>
  <c r="B3800" i="1"/>
  <c r="B3633" i="1"/>
  <c r="B3634" i="1"/>
  <c r="B3620" i="1"/>
  <c r="B3621" i="1"/>
  <c r="B3622" i="1"/>
  <c r="B3536" i="1"/>
  <c r="B3537" i="1"/>
  <c r="B3514" i="1"/>
  <c r="B3515" i="1"/>
  <c r="B3516" i="1"/>
  <c r="B3517" i="1"/>
  <c r="B3518" i="1"/>
  <c r="B3519" i="1"/>
  <c r="B3520" i="1"/>
  <c r="B3521" i="1"/>
  <c r="B3522" i="1"/>
  <c r="B3495" i="1"/>
  <c r="B3496" i="1"/>
  <c r="B3316" i="1"/>
  <c r="B3317" i="1"/>
  <c r="B3318" i="1"/>
  <c r="B3319" i="1"/>
  <c r="B3320" i="1"/>
  <c r="B3321" i="1"/>
  <c r="B3322" i="1"/>
  <c r="B3300" i="1"/>
  <c r="B3109" i="1"/>
  <c r="B2432" i="1"/>
  <c r="B2433" i="1"/>
  <c r="B2434" i="1"/>
  <c r="B2435" i="1"/>
  <c r="B2436" i="1"/>
  <c r="B3084" i="1"/>
  <c r="B3085" i="1"/>
  <c r="B3077" i="1"/>
  <c r="B3068" i="1"/>
  <c r="B3069" i="1"/>
  <c r="B3070" i="1"/>
  <c r="B3071" i="1"/>
  <c r="B2889" i="1"/>
  <c r="B2890" i="1"/>
  <c r="B2891" i="1"/>
  <c r="B2892" i="1"/>
  <c r="B2868" i="1"/>
  <c r="B2869" i="1"/>
  <c r="B2870" i="1"/>
  <c r="B2871" i="1"/>
  <c r="B2689" i="1"/>
  <c r="B2678" i="1"/>
  <c r="B2679" i="1"/>
  <c r="B2680" i="1"/>
  <c r="B2681" i="1"/>
  <c r="B2675" i="1"/>
  <c r="B2264" i="1"/>
  <c r="B2265" i="1"/>
  <c r="B2266" i="1"/>
  <c r="B2267" i="1"/>
  <c r="B2255" i="1"/>
  <c r="B1991" i="1"/>
  <c r="B1992" i="1"/>
  <c r="B1993" i="1"/>
  <c r="B1972" i="1"/>
  <c r="B1973" i="1"/>
  <c r="B1974" i="1"/>
  <c r="B1975" i="1"/>
  <c r="B1976" i="1"/>
  <c r="B1817" i="1"/>
  <c r="B1815" i="1"/>
  <c r="B1811" i="1"/>
  <c r="B1812" i="1"/>
  <c r="B1801" i="1"/>
  <c r="B1802" i="1"/>
  <c r="B1803" i="1"/>
  <c r="B1628" i="1"/>
  <c r="B1629" i="1"/>
  <c r="B1630" i="1"/>
  <c r="B1631" i="1"/>
  <c r="B1632" i="1"/>
  <c r="B1633" i="1"/>
  <c r="B1608" i="1"/>
  <c r="B1609" i="1"/>
  <c r="B1494" i="1"/>
  <c r="B1495" i="1"/>
  <c r="B1496" i="1"/>
  <c r="B1497" i="1"/>
  <c r="B1498" i="1"/>
  <c r="B1499" i="1"/>
  <c r="B1500" i="1"/>
  <c r="B1501" i="1"/>
  <c r="B1485" i="1"/>
  <c r="B1486" i="1"/>
  <c r="B1487" i="1"/>
  <c r="B1488" i="1"/>
  <c r="B1489" i="1"/>
  <c r="B1490" i="1"/>
  <c r="B1491" i="1"/>
  <c r="B1361" i="1"/>
  <c r="B1362" i="1"/>
  <c r="B1357" i="1"/>
  <c r="B1358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659" i="1"/>
  <c r="B10660" i="1"/>
  <c r="B10459" i="1"/>
  <c r="B10460" i="1"/>
  <c r="B10452" i="1"/>
  <c r="B10453" i="1"/>
  <c r="B10454" i="1"/>
  <c r="B10446" i="1"/>
  <c r="B10447" i="1"/>
  <c r="B10280" i="1"/>
  <c r="B10281" i="1"/>
  <c r="B10282" i="1"/>
  <c r="B10268" i="1"/>
  <c r="B10269" i="1"/>
  <c r="B10270" i="1"/>
  <c r="B10271" i="1"/>
  <c r="B10272" i="1"/>
  <c r="B10273" i="1"/>
  <c r="B10274" i="1"/>
  <c r="B10059" i="1"/>
  <c r="B10053" i="1"/>
  <c r="B10054" i="1"/>
  <c r="B10055" i="1"/>
  <c r="B10056" i="1"/>
  <c r="B10047" i="1"/>
  <c r="B10048" i="1"/>
  <c r="B10049" i="1"/>
  <c r="B10050" i="1"/>
  <c r="B10051" i="1"/>
  <c r="B10038" i="1"/>
  <c r="B10039" i="1"/>
  <c r="B9846" i="1"/>
  <c r="B9839" i="1"/>
  <c r="B9840" i="1"/>
  <c r="B9841" i="1"/>
  <c r="B9837" i="1"/>
  <c r="B9831" i="1"/>
  <c r="B9644" i="1"/>
  <c r="B9645" i="1"/>
  <c r="B9641" i="1"/>
  <c r="B9642" i="1"/>
  <c r="B9638" i="1"/>
  <c r="B9639" i="1"/>
  <c r="B9640" i="1"/>
  <c r="B9631" i="1"/>
  <c r="B9632" i="1"/>
  <c r="B9633" i="1"/>
  <c r="B9500" i="1"/>
  <c r="B9501" i="1"/>
  <c r="B9502" i="1"/>
  <c r="B9450" i="1"/>
  <c r="B9451" i="1"/>
  <c r="B9442" i="1"/>
  <c r="B9388" i="1"/>
  <c r="B9389" i="1"/>
  <c r="B9314" i="1"/>
  <c r="B9310" i="1"/>
  <c r="B9211" i="1"/>
  <c r="B9212" i="1"/>
  <c r="B9213" i="1"/>
  <c r="B9214" i="1"/>
  <c r="B9215" i="1"/>
  <c r="B9122" i="1"/>
  <c r="B9030" i="1"/>
  <c r="B9021" i="1"/>
  <c r="B9022" i="1"/>
  <c r="B9023" i="1"/>
  <c r="B8905" i="1"/>
  <c r="B8906" i="1"/>
  <c r="B8907" i="1"/>
  <c r="B8908" i="1"/>
  <c r="B8882" i="1"/>
  <c r="B8883" i="1"/>
  <c r="B8871" i="1"/>
  <c r="B8872" i="1"/>
  <c r="B8777" i="1"/>
  <c r="B8771" i="1"/>
  <c r="B8772" i="1"/>
  <c r="B8773" i="1"/>
  <c r="B8650" i="1"/>
  <c r="B8542" i="1"/>
  <c r="B8543" i="1"/>
  <c r="B8537" i="1"/>
  <c r="B8419" i="1"/>
  <c r="B8417" i="1"/>
  <c r="B8311" i="1"/>
  <c r="B8193" i="1"/>
  <c r="B8194" i="1"/>
  <c r="B8195" i="1"/>
  <c r="B8196" i="1"/>
  <c r="B8197" i="1"/>
  <c r="B8184" i="1"/>
  <c r="B7948" i="1"/>
  <c r="B7949" i="1"/>
  <c r="B7753" i="1"/>
  <c r="B7754" i="1"/>
  <c r="B7737" i="1"/>
  <c r="B7343" i="1"/>
  <c r="B7327" i="1"/>
  <c r="B7328" i="1"/>
  <c r="B7329" i="1"/>
  <c r="B7330" i="1"/>
  <c r="B7331" i="1"/>
  <c r="B7567" i="1"/>
  <c r="B7548" i="1"/>
  <c r="B7549" i="1"/>
  <c r="B7550" i="1"/>
  <c r="B7551" i="1"/>
  <c r="B7552" i="1"/>
  <c r="B7553" i="1"/>
  <c r="B7554" i="1"/>
  <c r="B7555" i="1"/>
  <c r="B7556" i="1"/>
  <c r="B7142" i="1"/>
  <c r="B7126" i="1"/>
  <c r="B7127" i="1"/>
  <c r="B7128" i="1"/>
  <c r="B7129" i="1"/>
  <c r="B6888" i="1"/>
  <c r="B6889" i="1"/>
  <c r="B6890" i="1"/>
  <c r="B6891" i="1"/>
  <c r="B6892" i="1"/>
  <c r="B6882" i="1"/>
  <c r="B6701" i="1"/>
  <c r="B6702" i="1"/>
  <c r="B6703" i="1"/>
  <c r="B6694" i="1"/>
  <c r="B6695" i="1"/>
  <c r="B6692" i="1"/>
  <c r="B6693" i="1"/>
  <c r="B6681" i="1"/>
  <c r="B6393" i="1"/>
  <c r="B6394" i="1"/>
  <c r="B6395" i="1"/>
  <c r="B6396" i="1"/>
  <c r="B6397" i="1"/>
  <c r="B6398" i="1"/>
  <c r="B6385" i="1"/>
  <c r="B6197" i="1"/>
  <c r="B6198" i="1"/>
  <c r="B6199" i="1"/>
  <c r="B6200" i="1"/>
  <c r="B6201" i="1"/>
  <c r="B6202" i="1"/>
  <c r="B6203" i="1"/>
  <c r="B5837" i="1"/>
  <c r="B5838" i="1"/>
  <c r="B5839" i="1"/>
  <c r="B5840" i="1"/>
  <c r="B5820" i="1"/>
  <c r="B5821" i="1"/>
  <c r="B5648" i="1"/>
  <c r="B5649" i="1"/>
  <c r="B5650" i="1"/>
  <c r="B5651" i="1"/>
  <c r="B5625" i="1"/>
  <c r="B5626" i="1"/>
  <c r="B5627" i="1"/>
  <c r="B5628" i="1"/>
  <c r="B5629" i="1"/>
  <c r="B5630" i="1"/>
  <c r="B5631" i="1"/>
  <c r="B5632" i="1"/>
  <c r="B5633" i="1"/>
  <c r="B6039" i="1"/>
  <c r="B6040" i="1"/>
  <c r="B6041" i="1"/>
  <c r="B6042" i="1"/>
  <c r="B6043" i="1"/>
  <c r="B6044" i="1"/>
  <c r="B6045" i="1"/>
  <c r="B6046" i="1"/>
  <c r="B6047" i="1"/>
  <c r="B5516" i="1"/>
  <c r="B5517" i="1"/>
  <c r="B5518" i="1"/>
  <c r="B5506" i="1"/>
  <c r="B5507" i="1"/>
  <c r="B5308" i="1"/>
  <c r="B5309" i="1"/>
  <c r="B5310" i="1"/>
  <c r="B5311" i="1"/>
  <c r="B5312" i="1"/>
  <c r="B5300" i="1"/>
  <c r="B5301" i="1"/>
  <c r="B5302" i="1"/>
  <c r="B5303" i="1"/>
  <c r="B5304" i="1"/>
  <c r="B5305" i="1"/>
  <c r="B5296" i="1"/>
  <c r="B5297" i="1"/>
  <c r="B5115" i="1"/>
  <c r="B5116" i="1"/>
  <c r="B5117" i="1"/>
  <c r="B5118" i="1"/>
  <c r="B5119" i="1"/>
  <c r="B5120" i="1"/>
  <c r="B5121" i="1"/>
  <c r="B5122" i="1"/>
  <c r="B5002" i="1"/>
  <c r="B5003" i="1"/>
  <c r="B5004" i="1"/>
  <c r="B5005" i="1"/>
  <c r="B5006" i="1"/>
  <c r="B5007" i="1"/>
  <c r="B5008" i="1"/>
  <c r="B5009" i="1"/>
  <c r="B5010" i="1"/>
  <c r="B4797" i="1"/>
  <c r="B4798" i="1"/>
  <c r="B4799" i="1"/>
  <c r="B4800" i="1"/>
  <c r="B4801" i="1"/>
  <c r="B4802" i="1"/>
  <c r="B4803" i="1"/>
  <c r="B4804" i="1"/>
  <c r="B4805" i="1"/>
  <c r="B4771" i="1"/>
  <c r="B4588" i="1"/>
  <c r="B4589" i="1"/>
  <c r="B4590" i="1"/>
  <c r="B4591" i="1"/>
  <c r="B4592" i="1"/>
  <c r="B4593" i="1"/>
  <c r="B4594" i="1"/>
  <c r="B4595" i="1"/>
  <c r="B4596" i="1"/>
  <c r="B4448" i="1"/>
  <c r="B4449" i="1"/>
  <c r="B4430" i="1"/>
  <c r="B4431" i="1"/>
  <c r="B4432" i="1"/>
  <c r="B4433" i="1"/>
  <c r="B4434" i="1"/>
  <c r="B4435" i="1"/>
  <c r="B4436" i="1"/>
  <c r="B4437" i="1"/>
  <c r="B4438" i="1"/>
  <c r="B4439" i="1"/>
  <c r="B4263" i="1"/>
  <c r="B4264" i="1"/>
  <c r="B4265" i="1"/>
  <c r="B4236" i="1"/>
  <c r="B4237" i="1"/>
  <c r="B4238" i="1"/>
  <c r="B4239" i="1"/>
  <c r="B4240" i="1"/>
  <c r="B4005" i="1"/>
  <c r="B3984" i="1"/>
  <c r="B3985" i="1"/>
  <c r="B3986" i="1"/>
  <c r="B3987" i="1"/>
  <c r="B3988" i="1"/>
  <c r="B3989" i="1"/>
  <c r="B3961" i="1"/>
  <c r="B3962" i="1"/>
  <c r="B3963" i="1"/>
  <c r="B3786" i="1"/>
  <c r="B3787" i="1"/>
  <c r="B3788" i="1"/>
  <c r="B3789" i="1"/>
  <c r="B3790" i="1"/>
  <c r="B3618" i="1"/>
  <c r="B3602" i="1"/>
  <c r="B3603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301" i="1"/>
  <c r="B3302" i="1"/>
  <c r="B3303" i="1"/>
  <c r="B3304" i="1"/>
  <c r="B3305" i="1"/>
  <c r="B3306" i="1"/>
  <c r="B3307" i="1"/>
  <c r="B3308" i="1"/>
  <c r="B3309" i="1"/>
  <c r="B3310" i="1"/>
  <c r="B3294" i="1"/>
  <c r="B3295" i="1"/>
  <c r="B2437" i="1"/>
  <c r="B2438" i="1"/>
  <c r="B2420" i="1"/>
  <c r="B2421" i="1"/>
  <c r="B2422" i="1"/>
  <c r="B2423" i="1"/>
  <c r="B2424" i="1"/>
  <c r="B2425" i="1"/>
  <c r="B2426" i="1"/>
  <c r="B2427" i="1"/>
  <c r="B2428" i="1"/>
  <c r="B3065" i="1"/>
  <c r="B3066" i="1"/>
  <c r="B3067" i="1"/>
  <c r="B3061" i="1"/>
  <c r="B3048" i="1"/>
  <c r="B3049" i="1"/>
  <c r="B3050" i="1"/>
  <c r="B3051" i="1"/>
  <c r="B3052" i="1"/>
  <c r="B3053" i="1"/>
  <c r="B3054" i="1"/>
  <c r="B3055" i="1"/>
  <c r="B3041" i="1"/>
  <c r="B2872" i="1"/>
  <c r="B2873" i="1"/>
  <c r="B2874" i="1"/>
  <c r="B2875" i="1"/>
  <c r="B2852" i="1"/>
  <c r="B2853" i="1"/>
  <c r="B2854" i="1"/>
  <c r="B2676" i="1"/>
  <c r="B2672" i="1"/>
  <c r="B2662" i="1"/>
  <c r="B2663" i="1"/>
  <c r="B2664" i="1"/>
  <c r="B2665" i="1"/>
  <c r="B2666" i="1"/>
  <c r="B2667" i="1"/>
  <c r="B2256" i="1"/>
  <c r="B2257" i="1"/>
  <c r="B2252" i="1"/>
  <c r="B1977" i="1"/>
  <c r="B1978" i="1"/>
  <c r="B1963" i="1"/>
  <c r="B1964" i="1"/>
  <c r="B1965" i="1"/>
  <c r="B1966" i="1"/>
  <c r="B1967" i="1"/>
  <c r="B1804" i="1"/>
  <c r="B1805" i="1"/>
  <c r="B1806" i="1"/>
  <c r="B1807" i="1"/>
  <c r="B1808" i="1"/>
  <c r="B1782" i="1"/>
  <c r="B1783" i="1"/>
  <c r="B1784" i="1"/>
  <c r="B1785" i="1"/>
  <c r="B1786" i="1"/>
  <c r="B1610" i="1"/>
  <c r="B1611" i="1"/>
  <c r="B1612" i="1"/>
  <c r="B1613" i="1"/>
  <c r="B1614" i="1"/>
  <c r="B1594" i="1"/>
  <c r="B1595" i="1"/>
  <c r="B1596" i="1"/>
  <c r="B1597" i="1"/>
  <c r="B1598" i="1"/>
  <c r="B1599" i="1"/>
  <c r="B1600" i="1"/>
  <c r="B1601" i="1"/>
  <c r="B1602" i="1"/>
  <c r="B1603" i="1"/>
  <c r="B1473" i="1"/>
  <c r="B1474" i="1"/>
  <c r="B1475" i="1"/>
  <c r="B1476" i="1"/>
  <c r="B1477" i="1"/>
  <c r="B1478" i="1"/>
  <c r="B1472" i="1"/>
  <c r="B1471" i="1"/>
  <c r="B1460" i="1"/>
  <c r="B1350" i="1"/>
  <c r="B1351" i="1"/>
  <c r="B1352" i="1"/>
  <c r="B10821" i="1"/>
  <c r="B10766" i="1"/>
  <c r="B10767" i="1"/>
  <c r="B10768" i="1"/>
  <c r="B10769" i="1"/>
  <c r="B10770" i="1"/>
  <c r="B10771" i="1"/>
  <c r="B10772" i="1"/>
  <c r="B10661" i="1"/>
  <c r="B10662" i="1"/>
  <c r="B10663" i="1"/>
  <c r="B10658" i="1"/>
  <c r="B10641" i="1"/>
  <c r="B10443" i="1"/>
  <c r="B10434" i="1"/>
  <c r="B10435" i="1"/>
  <c r="B10436" i="1"/>
  <c r="B10437" i="1"/>
  <c r="B10438" i="1"/>
  <c r="B10439" i="1"/>
  <c r="B10426" i="1"/>
  <c r="B10427" i="1"/>
  <c r="B10275" i="1"/>
  <c r="B10276" i="1"/>
  <c r="B10263" i="1"/>
  <c r="B10264" i="1"/>
  <c r="B10265" i="1"/>
  <c r="B10266" i="1"/>
  <c r="B10260" i="1"/>
  <c r="B10261" i="1"/>
  <c r="B10255" i="1"/>
  <c r="B10256" i="1"/>
  <c r="B10040" i="1"/>
  <c r="B10041" i="1"/>
  <c r="B10042" i="1"/>
  <c r="B10036" i="1"/>
  <c r="B10029" i="1"/>
  <c r="B9832" i="1"/>
  <c r="B9833" i="1"/>
  <c r="B9834" i="1"/>
  <c r="B9835" i="1"/>
  <c r="B9836" i="1"/>
  <c r="B9828" i="1"/>
  <c r="B9829" i="1"/>
  <c r="B9826" i="1"/>
  <c r="B9824" i="1"/>
  <c r="B9819" i="1"/>
  <c r="B9820" i="1"/>
  <c r="B9821" i="1"/>
  <c r="B9634" i="1"/>
  <c r="B9624" i="1"/>
  <c r="B9625" i="1"/>
  <c r="B9626" i="1"/>
  <c r="B9627" i="1"/>
  <c r="B9617" i="1"/>
  <c r="B9618" i="1"/>
  <c r="B9619" i="1"/>
  <c r="B9620" i="1"/>
  <c r="B9443" i="1"/>
  <c r="B9383" i="1"/>
  <c r="B9384" i="1"/>
  <c r="B9385" i="1"/>
  <c r="B9307" i="1"/>
  <c r="B9308" i="1"/>
  <c r="B9207" i="1"/>
  <c r="B9113" i="1"/>
  <c r="B9012" i="1"/>
  <c r="B8900" i="1"/>
  <c r="B8901" i="1"/>
  <c r="B8902" i="1"/>
  <c r="B8862" i="1"/>
  <c r="B8769" i="1"/>
  <c r="B8753" i="1"/>
  <c r="B8754" i="1"/>
  <c r="B8647" i="1"/>
  <c r="B8639" i="1"/>
  <c r="B8640" i="1"/>
  <c r="B8535" i="1"/>
  <c r="B8415" i="1"/>
  <c r="B8406" i="1"/>
  <c r="B8185" i="1"/>
  <c r="B8186" i="1"/>
  <c r="B8187" i="1"/>
  <c r="B8070" i="1"/>
  <c r="B8065" i="1"/>
  <c r="B7934" i="1"/>
  <c r="B7935" i="1"/>
  <c r="B7936" i="1"/>
  <c r="B7937" i="1"/>
  <c r="B7738" i="1"/>
  <c r="B7739" i="1"/>
  <c r="B7730" i="1"/>
  <c r="B7731" i="1"/>
  <c r="B7713" i="1"/>
  <c r="B7332" i="1"/>
  <c r="B7333" i="1"/>
  <c r="B7334" i="1"/>
  <c r="B7335" i="1"/>
  <c r="B7336" i="1"/>
  <c r="B7317" i="1"/>
  <c r="B7318" i="1"/>
  <c r="B7319" i="1"/>
  <c r="B7320" i="1"/>
  <c r="B7557" i="1"/>
  <c r="B7558" i="1"/>
  <c r="B7559" i="1"/>
  <c r="B7560" i="1"/>
  <c r="B7561" i="1"/>
  <c r="B7529" i="1"/>
  <c r="B7530" i="1"/>
  <c r="B7531" i="1"/>
  <c r="B7532" i="1"/>
  <c r="B7533" i="1"/>
  <c r="B7534" i="1"/>
  <c r="B7535" i="1"/>
  <c r="B7130" i="1"/>
  <c r="B7131" i="1"/>
  <c r="B7132" i="1"/>
  <c r="B7133" i="1"/>
  <c r="B7134" i="1"/>
  <c r="B6867" i="1"/>
  <c r="B6868" i="1"/>
  <c r="B6869" i="1"/>
  <c r="B6870" i="1"/>
  <c r="B6871" i="1"/>
  <c r="B6872" i="1"/>
  <c r="B6682" i="1"/>
  <c r="B6683" i="1"/>
  <c r="B6684" i="1"/>
  <c r="B6685" i="1"/>
  <c r="B6686" i="1"/>
  <c r="B6687" i="1"/>
  <c r="B6386" i="1"/>
  <c r="B6387" i="1"/>
  <c r="B6388" i="1"/>
  <c r="B6389" i="1"/>
  <c r="B6372" i="1"/>
  <c r="B6373" i="1"/>
  <c r="B6193" i="1"/>
  <c r="B6194" i="1"/>
  <c r="B6188" i="1"/>
  <c r="B6189" i="1"/>
  <c r="B6165" i="1"/>
  <c r="B5822" i="1"/>
  <c r="B5823" i="1"/>
  <c r="B5824" i="1"/>
  <c r="B5825" i="1"/>
  <c r="B5826" i="1"/>
  <c r="B5807" i="1"/>
  <c r="B5808" i="1"/>
  <c r="B5634" i="1"/>
  <c r="B5614" i="1"/>
  <c r="B5615" i="1"/>
  <c r="B5616" i="1"/>
  <c r="B5617" i="1"/>
  <c r="B5618" i="1"/>
  <c r="B6013" i="1"/>
  <c r="B6014" i="1"/>
  <c r="B6015" i="1"/>
  <c r="B6016" i="1"/>
  <c r="B6017" i="1"/>
  <c r="B6018" i="1"/>
  <c r="B6019" i="1"/>
  <c r="B6020" i="1"/>
  <c r="B5504" i="1"/>
  <c r="B5486" i="1"/>
  <c r="B5487" i="1"/>
  <c r="B5488" i="1"/>
  <c r="B5489" i="1"/>
  <c r="B5490" i="1"/>
  <c r="B5491" i="1"/>
  <c r="B5492" i="1"/>
  <c r="B5493" i="1"/>
  <c r="B5298" i="1"/>
  <c r="B5292" i="1"/>
  <c r="B5289" i="1"/>
  <c r="B5123" i="1"/>
  <c r="B5124" i="1"/>
  <c r="B5097" i="1"/>
  <c r="B5098" i="1"/>
  <c r="B5099" i="1"/>
  <c r="B5100" i="1"/>
  <c r="B5011" i="1"/>
  <c r="B4989" i="1"/>
  <c r="B4990" i="1"/>
  <c r="B4991" i="1"/>
  <c r="B4992" i="1"/>
  <c r="B4993" i="1"/>
  <c r="B4994" i="1"/>
  <c r="B4772" i="1"/>
  <c r="B4773" i="1"/>
  <c r="B4774" i="1"/>
  <c r="B4775" i="1"/>
  <c r="B4776" i="1"/>
  <c r="B4777" i="1"/>
  <c r="B4778" i="1"/>
  <c r="B4779" i="1"/>
  <c r="B4597" i="1"/>
  <c r="B4598" i="1"/>
  <c r="B4599" i="1"/>
  <c r="B4576" i="1"/>
  <c r="B4577" i="1"/>
  <c r="B4578" i="1"/>
  <c r="B4421" i="1"/>
  <c r="B4422" i="1"/>
  <c r="B4414" i="1"/>
  <c r="B4415" i="1"/>
  <c r="B4241" i="1"/>
  <c r="B4242" i="1"/>
  <c r="B4243" i="1"/>
  <c r="B4244" i="1"/>
  <c r="B4245" i="1"/>
  <c r="B4246" i="1"/>
  <c r="B4247" i="1"/>
  <c r="B4215" i="1"/>
  <c r="B4216" i="1"/>
  <c r="B3964" i="1"/>
  <c r="B3965" i="1"/>
  <c r="B3966" i="1"/>
  <c r="B3967" i="1"/>
  <c r="B3968" i="1"/>
  <c r="B3969" i="1"/>
  <c r="B3970" i="1"/>
  <c r="B3971" i="1"/>
  <c r="B3958" i="1"/>
  <c r="B3776" i="1"/>
  <c r="B3777" i="1"/>
  <c r="B3778" i="1"/>
  <c r="B3779" i="1"/>
  <c r="B3780" i="1"/>
  <c r="B3781" i="1"/>
  <c r="B3782" i="1"/>
  <c r="B3604" i="1"/>
  <c r="B3605" i="1"/>
  <c r="B3606" i="1"/>
  <c r="B3607" i="1"/>
  <c r="B3608" i="1"/>
  <c r="B3609" i="1"/>
  <c r="B3610" i="1"/>
  <c r="B3511" i="1"/>
  <c r="B3483" i="1"/>
  <c r="B3484" i="1"/>
  <c r="B3485" i="1"/>
  <c r="B3486" i="1"/>
  <c r="B3487" i="1"/>
  <c r="B3488" i="1"/>
  <c r="B3489" i="1"/>
  <c r="B3490" i="1"/>
  <c r="B3479" i="1"/>
  <c r="B3480" i="1"/>
  <c r="B3282" i="1"/>
  <c r="B2596" i="1"/>
  <c r="B2597" i="1"/>
  <c r="B2598" i="1"/>
  <c r="B2599" i="1"/>
  <c r="B2600" i="1"/>
  <c r="B2584" i="1"/>
  <c r="B2429" i="1"/>
  <c r="B2410" i="1"/>
  <c r="B2411" i="1"/>
  <c r="B2412" i="1"/>
  <c r="B2413" i="1"/>
  <c r="B2414" i="1"/>
  <c r="B2415" i="1"/>
  <c r="B2416" i="1"/>
  <c r="B3042" i="1"/>
  <c r="B3043" i="1"/>
  <c r="B3044" i="1"/>
  <c r="B3045" i="1"/>
  <c r="B3046" i="1"/>
  <c r="B3033" i="1"/>
  <c r="B3034" i="1"/>
  <c r="B3035" i="1"/>
  <c r="B3036" i="1"/>
  <c r="B3037" i="1"/>
  <c r="B3038" i="1"/>
  <c r="B2855" i="1"/>
  <c r="B2856" i="1"/>
  <c r="B2857" i="1"/>
  <c r="B2858" i="1"/>
  <c r="B2859" i="1"/>
  <c r="B2860" i="1"/>
  <c r="B2861" i="1"/>
  <c r="B2850" i="1"/>
  <c r="B2844" i="1"/>
  <c r="B2845" i="1"/>
  <c r="B2846" i="1"/>
  <c r="B2847" i="1"/>
  <c r="B2848" i="1"/>
  <c r="B2828" i="1"/>
  <c r="B2829" i="1"/>
  <c r="B2830" i="1"/>
  <c r="B2831" i="1"/>
  <c r="B2832" i="1"/>
  <c r="B2668" i="1"/>
  <c r="B2246" i="1"/>
  <c r="B2247" i="1"/>
  <c r="B2248" i="1"/>
  <c r="B2249" i="1"/>
  <c r="B2238" i="1"/>
  <c r="B2239" i="1"/>
  <c r="B2240" i="1"/>
  <c r="B1968" i="1"/>
  <c r="B1951" i="1"/>
  <c r="B1952" i="1"/>
  <c r="B1953" i="1"/>
  <c r="B1954" i="1"/>
  <c r="B1955" i="1"/>
  <c r="B1956" i="1"/>
  <c r="B1957" i="1"/>
  <c r="B1958" i="1"/>
  <c r="B1959" i="1"/>
  <c r="B1787" i="1"/>
  <c r="B1788" i="1"/>
  <c r="B1789" i="1"/>
  <c r="B1790" i="1"/>
  <c r="B1791" i="1"/>
  <c r="B1792" i="1"/>
  <c r="B1768" i="1"/>
  <c r="B1769" i="1"/>
  <c r="B1770" i="1"/>
  <c r="B1771" i="1"/>
  <c r="B1772" i="1"/>
  <c r="B1773" i="1"/>
  <c r="B1604" i="1"/>
  <c r="B1581" i="1"/>
  <c r="B1582" i="1"/>
  <c r="B1583" i="1"/>
  <c r="B1584" i="1"/>
  <c r="B1461" i="1"/>
  <c r="B1462" i="1"/>
  <c r="B1463" i="1"/>
  <c r="B1464" i="1"/>
  <c r="B1337" i="1"/>
  <c r="B1338" i="1"/>
  <c r="B10773" i="1"/>
  <c r="B10774" i="1"/>
  <c r="B10775" i="1"/>
  <c r="B10776" i="1"/>
  <c r="B10777" i="1"/>
  <c r="B10778" i="1"/>
  <c r="B10779" i="1"/>
  <c r="B10780" i="1"/>
  <c r="B10781" i="1"/>
  <c r="B10782" i="1"/>
  <c r="B10642" i="1"/>
  <c r="B10643" i="1"/>
  <c r="B10644" i="1"/>
  <c r="B10645" i="1"/>
  <c r="B10646" i="1"/>
  <c r="B10647" i="1"/>
  <c r="B10607" i="1"/>
  <c r="B10428" i="1"/>
  <c r="B10420" i="1"/>
  <c r="B10421" i="1"/>
  <c r="B10422" i="1"/>
  <c r="B10423" i="1"/>
  <c r="B10416" i="1"/>
  <c r="B10417" i="1"/>
  <c r="B10244" i="1"/>
  <c r="B10245" i="1"/>
  <c r="B10246" i="1"/>
  <c r="B10247" i="1"/>
  <c r="B10248" i="1"/>
  <c r="B10249" i="1"/>
  <c r="B10250" i="1"/>
  <c r="B10251" i="1"/>
  <c r="B10237" i="1"/>
  <c r="B10024" i="1"/>
  <c r="B10025" i="1"/>
  <c r="B10026" i="1"/>
  <c r="B10022" i="1"/>
  <c r="B10019" i="1"/>
  <c r="B10020" i="1"/>
  <c r="B10018" i="1"/>
  <c r="B9822" i="1"/>
  <c r="B9815" i="1"/>
  <c r="B9807" i="1"/>
  <c r="B9808" i="1"/>
  <c r="B9806" i="1"/>
  <c r="B9621" i="1"/>
  <c r="B9622" i="1"/>
  <c r="B9614" i="1"/>
  <c r="B9615" i="1"/>
  <c r="B9616" i="1"/>
  <c r="B9609" i="1"/>
  <c r="B9610" i="1"/>
  <c r="B9611" i="1"/>
  <c r="B9612" i="1"/>
  <c r="B9603" i="1"/>
  <c r="B9604" i="1"/>
  <c r="B9503" i="1"/>
  <c r="B9438" i="1"/>
  <c r="B9439" i="1"/>
  <c r="B9433" i="1"/>
  <c r="B9309" i="1"/>
  <c r="B9295" i="1"/>
  <c r="B9296" i="1"/>
  <c r="B9200" i="1"/>
  <c r="B9201" i="1"/>
  <c r="B9202" i="1"/>
  <c r="B9106" i="1"/>
  <c r="B9107" i="1"/>
  <c r="B8755" i="1"/>
  <c r="B8756" i="1"/>
  <c r="B8757" i="1"/>
  <c r="B8758" i="1"/>
  <c r="B8759" i="1"/>
  <c r="B8760" i="1"/>
  <c r="B8761" i="1"/>
  <c r="B8747" i="1"/>
  <c r="B8748" i="1"/>
  <c r="B8520" i="1"/>
  <c r="B8521" i="1"/>
  <c r="B8522" i="1"/>
  <c r="B8523" i="1"/>
  <c r="B8399" i="1"/>
  <c r="B8177" i="1"/>
  <c r="B8178" i="1"/>
  <c r="B8179" i="1"/>
  <c r="B8172" i="1"/>
  <c r="B8163" i="1"/>
  <c r="B8164" i="1"/>
  <c r="B8058" i="1"/>
  <c r="B7938" i="1"/>
  <c r="B7939" i="1"/>
  <c r="B7925" i="1"/>
  <c r="B7926" i="1"/>
  <c r="B7714" i="1"/>
  <c r="B7715" i="1"/>
  <c r="B7716" i="1"/>
  <c r="B7717" i="1"/>
  <c r="B7718" i="1"/>
  <c r="B7719" i="1"/>
  <c r="B7720" i="1"/>
  <c r="B7721" i="1"/>
  <c r="B7722" i="1"/>
  <c r="B7321" i="1"/>
  <c r="B7322" i="1"/>
  <c r="B7304" i="1"/>
  <c r="B7305" i="1"/>
  <c r="B7306" i="1"/>
  <c r="B7307" i="1"/>
  <c r="B7536" i="1"/>
  <c r="B7537" i="1"/>
  <c r="B7538" i="1"/>
  <c r="B7539" i="1"/>
  <c r="B7540" i="1"/>
  <c r="B7515" i="1"/>
  <c r="B7516" i="1"/>
  <c r="B7517" i="1"/>
  <c r="B7518" i="1"/>
  <c r="B7519" i="1"/>
  <c r="B7135" i="1"/>
  <c r="B7113" i="1"/>
  <c r="B7114" i="1"/>
  <c r="B7115" i="1"/>
  <c r="B7116" i="1"/>
  <c r="B7117" i="1"/>
  <c r="B7118" i="1"/>
  <c r="B7119" i="1"/>
  <c r="B7120" i="1"/>
  <c r="B7121" i="1"/>
  <c r="B7122" i="1"/>
  <c r="B7123" i="1"/>
  <c r="B6873" i="1"/>
  <c r="B6874" i="1"/>
  <c r="B6858" i="1"/>
  <c r="B6859" i="1"/>
  <c r="B6860" i="1"/>
  <c r="B6861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7084" i="1"/>
  <c r="B7085" i="1"/>
  <c r="B7086" i="1"/>
  <c r="B7087" i="1"/>
  <c r="B7088" i="1"/>
  <c r="B7083" i="1"/>
  <c r="B7070" i="1"/>
  <c r="B7071" i="1"/>
  <c r="B7072" i="1"/>
  <c r="B6374" i="1"/>
  <c r="B6360" i="1"/>
  <c r="B6361" i="1"/>
  <c r="B6362" i="1"/>
  <c r="B6363" i="1"/>
  <c r="B6364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572" i="1"/>
  <c r="B6573" i="1"/>
  <c r="B6574" i="1"/>
  <c r="B6575" i="1"/>
  <c r="B6576" i="1"/>
  <c r="B6577" i="1"/>
  <c r="B5809" i="1"/>
  <c r="B5810" i="1"/>
  <c r="B5811" i="1"/>
  <c r="B5812" i="1"/>
  <c r="B5813" i="1"/>
  <c r="B5814" i="1"/>
  <c r="B5815" i="1"/>
  <c r="B5619" i="1"/>
  <c r="B5620" i="1"/>
  <c r="B5611" i="1"/>
  <c r="B5606" i="1"/>
  <c r="B5607" i="1"/>
  <c r="B6021" i="1"/>
  <c r="B6022" i="1"/>
  <c r="B6006" i="1"/>
  <c r="B6007" i="1"/>
  <c r="B6008" i="1"/>
  <c r="B6009" i="1"/>
  <c r="B6004" i="1"/>
  <c r="B6005" i="1"/>
  <c r="B5999" i="1"/>
  <c r="B5494" i="1"/>
  <c r="B5495" i="1"/>
  <c r="B5496" i="1"/>
  <c r="B5497" i="1"/>
  <c r="B5498" i="1"/>
  <c r="B5477" i="1"/>
  <c r="B5478" i="1"/>
  <c r="B5479" i="1"/>
  <c r="B5480" i="1"/>
  <c r="B5481" i="1"/>
  <c r="B5482" i="1"/>
  <c r="B5283" i="1"/>
  <c r="B5284" i="1"/>
  <c r="B5285" i="1"/>
  <c r="B5278" i="1"/>
  <c r="B5276" i="1"/>
  <c r="B5277" i="1"/>
  <c r="B5101" i="1"/>
  <c r="B5102" i="1"/>
  <c r="B5103" i="1"/>
  <c r="B5104" i="1"/>
  <c r="B5105" i="1"/>
  <c r="B4995" i="1"/>
  <c r="B4996" i="1"/>
  <c r="B4986" i="1"/>
  <c r="B4977" i="1"/>
  <c r="B4978" i="1"/>
  <c r="B4756" i="1"/>
  <c r="B4757" i="1"/>
  <c r="B4758" i="1"/>
  <c r="B4759" i="1"/>
  <c r="B4760" i="1"/>
  <c r="B4761" i="1"/>
  <c r="B4762" i="1"/>
  <c r="B4763" i="1"/>
  <c r="B4764" i="1"/>
  <c r="B4579" i="1"/>
  <c r="B4580" i="1"/>
  <c r="B4581" i="1"/>
  <c r="B4582" i="1"/>
  <c r="B4583" i="1"/>
  <c r="B4400" i="1"/>
  <c r="B4401" i="1"/>
  <c r="B4217" i="1"/>
  <c r="B4218" i="1"/>
  <c r="B4219" i="1"/>
  <c r="B4220" i="1"/>
  <c r="B4221" i="1"/>
  <c r="B4222" i="1"/>
  <c r="B4211" i="1"/>
  <c r="B4208" i="1"/>
  <c r="B3955" i="1"/>
  <c r="B3956" i="1"/>
  <c r="B3949" i="1"/>
  <c r="B3950" i="1"/>
  <c r="B3951" i="1"/>
  <c r="B3952" i="1"/>
  <c r="B3953" i="1"/>
  <c r="B3937" i="1"/>
  <c r="B3762" i="1"/>
  <c r="B3763" i="1"/>
  <c r="B3764" i="1"/>
  <c r="B3765" i="1"/>
  <c r="B3766" i="1"/>
  <c r="B3767" i="1"/>
  <c r="B3768" i="1"/>
  <c r="B3769" i="1"/>
  <c r="B3770" i="1"/>
  <c r="B3771" i="1"/>
  <c r="B3756" i="1"/>
  <c r="B3757" i="1"/>
  <c r="B3611" i="1"/>
  <c r="B3612" i="1"/>
  <c r="B3476" i="1"/>
  <c r="B3462" i="1"/>
  <c r="B3463" i="1"/>
  <c r="B3464" i="1"/>
  <c r="B3465" i="1"/>
  <c r="B3466" i="1"/>
  <c r="B3467" i="1"/>
  <c r="B3468" i="1"/>
  <c r="B3469" i="1"/>
  <c r="B3470" i="1"/>
  <c r="B3450" i="1"/>
  <c r="B3283" i="1"/>
  <c r="B3284" i="1"/>
  <c r="B3273" i="1"/>
  <c r="B3274" i="1"/>
  <c r="B3275" i="1"/>
  <c r="B3276" i="1"/>
  <c r="B3277" i="1"/>
  <c r="B3278" i="1"/>
  <c r="B3260" i="1"/>
  <c r="B3261" i="1"/>
  <c r="B3262" i="1"/>
  <c r="B3263" i="1"/>
  <c r="B3264" i="1"/>
  <c r="B2585" i="1"/>
  <c r="B2586" i="1"/>
  <c r="B2587" i="1"/>
  <c r="B2588" i="1"/>
  <c r="B2589" i="1"/>
  <c r="B2572" i="1"/>
  <c r="B2573" i="1"/>
  <c r="B2574" i="1"/>
  <c r="B2575" i="1"/>
  <c r="B2576" i="1"/>
  <c r="B2577" i="1"/>
  <c r="B2562" i="1"/>
  <c r="B3028" i="1"/>
  <c r="B3029" i="1"/>
  <c r="B3026" i="1"/>
  <c r="B3020" i="1"/>
  <c r="B3021" i="1"/>
  <c r="B2833" i="1"/>
  <c r="B2834" i="1"/>
  <c r="B2835" i="1"/>
  <c r="B2836" i="1"/>
  <c r="B2837" i="1"/>
  <c r="B2656" i="1"/>
  <c r="B2657" i="1"/>
  <c r="B2658" i="1"/>
  <c r="B2659" i="1"/>
  <c r="B2396" i="1"/>
  <c r="B2397" i="1"/>
  <c r="B2398" i="1"/>
  <c r="B2399" i="1"/>
  <c r="B2400" i="1"/>
  <c r="B2401" i="1"/>
  <c r="B2402" i="1"/>
  <c r="B2403" i="1"/>
  <c r="B2404" i="1"/>
  <c r="B2241" i="1"/>
  <c r="B2242" i="1"/>
  <c r="B2243" i="1"/>
  <c r="B2244" i="1"/>
  <c r="B2232" i="1"/>
  <c r="B2233" i="1"/>
  <c r="B2234" i="1"/>
  <c r="B2223" i="1"/>
  <c r="B2224" i="1"/>
  <c r="B2225" i="1"/>
  <c r="B2226" i="1"/>
  <c r="B2227" i="1"/>
  <c r="B2228" i="1"/>
  <c r="B1945" i="1"/>
  <c r="B1946" i="1"/>
  <c r="B1947" i="1"/>
  <c r="B1948" i="1"/>
  <c r="B1933" i="1"/>
  <c r="B1934" i="1"/>
  <c r="B1935" i="1"/>
  <c r="B1936" i="1"/>
  <c r="B1774" i="1"/>
  <c r="B1775" i="1"/>
  <c r="B1776" i="1"/>
  <c r="B1777" i="1"/>
  <c r="B1778" i="1"/>
  <c r="B1779" i="1"/>
  <c r="B1757" i="1"/>
  <c r="B1758" i="1"/>
  <c r="B1759" i="1"/>
  <c r="B1444" i="1"/>
  <c r="B1445" i="1"/>
  <c r="B1446" i="1"/>
  <c r="B1447" i="1"/>
  <c r="B1448" i="1"/>
  <c r="B1449" i="1"/>
  <c r="B1339" i="1"/>
  <c r="B1340" i="1"/>
  <c r="B1333" i="1"/>
  <c r="B1334" i="1"/>
  <c r="B1335" i="1"/>
  <c r="B1328" i="1"/>
  <c r="B1329" i="1"/>
  <c r="B1323" i="1"/>
  <c r="B1324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74" i="1"/>
  <c r="B10783" i="1"/>
  <c r="B10784" i="1"/>
  <c r="B10785" i="1"/>
  <c r="B10786" i="1"/>
  <c r="B10787" i="1"/>
  <c r="B10788" i="1"/>
  <c r="B10608" i="1"/>
  <c r="B10609" i="1"/>
  <c r="B10610" i="1"/>
  <c r="B10611" i="1"/>
  <c r="B10612" i="1"/>
  <c r="B10613" i="1"/>
  <c r="B10614" i="1"/>
  <c r="B10615" i="1"/>
  <c r="B10616" i="1"/>
  <c r="B10617" i="1"/>
  <c r="B10411" i="1"/>
  <c r="B10412" i="1"/>
  <c r="B10407" i="1"/>
  <c r="B10397" i="1"/>
  <c r="B10398" i="1"/>
  <c r="B10238" i="1"/>
  <c r="B10239" i="1"/>
  <c r="B10240" i="1"/>
  <c r="B10229" i="1"/>
  <c r="B10230" i="1"/>
  <c r="B10224" i="1"/>
  <c r="B10225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9803" i="1"/>
  <c r="B9804" i="1"/>
  <c r="B9801" i="1"/>
  <c r="B9794" i="1"/>
  <c r="B9795" i="1"/>
  <c r="B9796" i="1"/>
  <c r="B9797" i="1"/>
  <c r="B9798" i="1"/>
  <c r="B9799" i="1"/>
  <c r="B9789" i="1"/>
  <c r="B9790" i="1"/>
  <c r="B9601" i="1"/>
  <c r="B9593" i="1"/>
  <c r="B9594" i="1"/>
  <c r="B9595" i="1"/>
  <c r="B9596" i="1"/>
  <c r="B9592" i="1"/>
  <c r="B9590" i="1"/>
  <c r="B9584" i="1"/>
  <c r="B9585" i="1"/>
  <c r="B9496" i="1"/>
  <c r="B9431" i="1"/>
  <c r="B9428" i="1"/>
  <c r="B9378" i="1"/>
  <c r="B9379" i="1"/>
  <c r="B9380" i="1"/>
  <c r="B9375" i="1"/>
  <c r="B9297" i="1"/>
  <c r="B9298" i="1"/>
  <c r="B9299" i="1"/>
  <c r="B9292" i="1"/>
  <c r="B9196" i="1"/>
  <c r="B9197" i="1"/>
  <c r="B9192" i="1"/>
  <c r="B9108" i="1"/>
  <c r="B9109" i="1"/>
  <c r="B9007" i="1"/>
  <c r="B9008" i="1"/>
  <c r="B9002" i="1"/>
  <c r="B9003" i="1"/>
  <c r="B9004" i="1"/>
  <c r="B8854" i="1"/>
  <c r="B8855" i="1"/>
  <c r="B8737" i="1"/>
  <c r="B8632" i="1"/>
  <c r="B8633" i="1"/>
  <c r="B8516" i="1"/>
  <c r="B8400" i="1"/>
  <c r="B8401" i="1"/>
  <c r="B8165" i="1"/>
  <c r="B8053" i="1"/>
  <c r="B8047" i="1"/>
  <c r="B7917" i="1"/>
  <c r="B7918" i="1"/>
  <c r="B7919" i="1"/>
  <c r="B7910" i="1"/>
  <c r="B7723" i="1"/>
  <c r="B7724" i="1"/>
  <c r="B7725" i="1"/>
  <c r="B7697" i="1"/>
  <c r="B7698" i="1"/>
  <c r="B7699" i="1"/>
  <c r="B7700" i="1"/>
  <c r="B7701" i="1"/>
  <c r="B7702" i="1"/>
  <c r="B7703" i="1"/>
  <c r="B7308" i="1"/>
  <c r="B7309" i="1"/>
  <c r="B7310" i="1"/>
  <c r="B7311" i="1"/>
  <c r="B7312" i="1"/>
  <c r="B7313" i="1"/>
  <c r="B7520" i="1"/>
  <c r="B7506" i="1"/>
  <c r="B7507" i="1"/>
  <c r="B7508" i="1"/>
  <c r="B7509" i="1"/>
  <c r="B7510" i="1"/>
  <c r="B7511" i="1"/>
  <c r="B7489" i="1"/>
  <c r="B7490" i="1"/>
  <c r="B7101" i="1"/>
  <c r="B7102" i="1"/>
  <c r="B7103" i="1"/>
  <c r="B7104" i="1"/>
  <c r="B6845" i="1"/>
  <c r="B6846" i="1"/>
  <c r="B6847" i="1"/>
  <c r="B6848" i="1"/>
  <c r="B6849" i="1"/>
  <c r="B6850" i="1"/>
  <c r="B6650" i="1"/>
  <c r="B6651" i="1"/>
  <c r="B6652" i="1"/>
  <c r="B6653" i="1"/>
  <c r="B6654" i="1"/>
  <c r="B6655" i="1"/>
  <c r="B6656" i="1"/>
  <c r="B7073" i="1"/>
  <c r="B7074" i="1"/>
  <c r="B7058" i="1"/>
  <c r="B7059" i="1"/>
  <c r="B7060" i="1"/>
  <c r="B7061" i="1"/>
  <c r="B7062" i="1"/>
  <c r="B7063" i="1"/>
  <c r="B7064" i="1"/>
  <c r="B7065" i="1"/>
  <c r="B7066" i="1"/>
  <c r="B7067" i="1"/>
  <c r="B7038" i="1"/>
  <c r="B6365" i="1"/>
  <c r="B6366" i="1"/>
  <c r="B6345" i="1"/>
  <c r="B6346" i="1"/>
  <c r="B6347" i="1"/>
  <c r="B6348" i="1"/>
  <c r="B6349" i="1"/>
  <c r="B6350" i="1"/>
  <c r="B6181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578" i="1"/>
  <c r="B6579" i="1"/>
  <c r="B6580" i="1"/>
  <c r="B6581" i="1"/>
  <c r="B6582" i="1"/>
  <c r="B6583" i="1"/>
  <c r="B6565" i="1"/>
  <c r="B6566" i="1"/>
  <c r="B5800" i="1"/>
  <c r="B5801" i="1"/>
  <c r="B5802" i="1"/>
  <c r="B5803" i="1"/>
  <c r="B5804" i="1"/>
  <c r="B5805" i="1"/>
  <c r="B5791" i="1"/>
  <c r="B5792" i="1"/>
  <c r="B5599" i="1"/>
  <c r="B5600" i="1"/>
  <c r="B5601" i="1"/>
  <c r="B5602" i="1"/>
  <c r="B5603" i="1"/>
  <c r="B5590" i="1"/>
  <c r="B5591" i="1"/>
  <c r="B5976" i="1"/>
  <c r="B5977" i="1"/>
  <c r="B5978" i="1"/>
  <c r="B5979" i="1"/>
  <c r="B5980" i="1"/>
  <c r="B5981" i="1"/>
  <c r="B5465" i="1"/>
  <c r="B5466" i="1"/>
  <c r="B5467" i="1"/>
  <c r="B5468" i="1"/>
  <c r="B5469" i="1"/>
  <c r="B5470" i="1"/>
  <c r="B5471" i="1"/>
  <c r="B5472" i="1"/>
  <c r="B5454" i="1"/>
  <c r="B5455" i="1"/>
  <c r="B5274" i="1"/>
  <c r="B5272" i="1"/>
  <c r="B5273" i="1"/>
  <c r="B5260" i="1"/>
  <c r="B5261" i="1"/>
  <c r="B5262" i="1"/>
  <c r="B5263" i="1"/>
  <c r="B5264" i="1"/>
  <c r="B5265" i="1"/>
  <c r="B5266" i="1"/>
  <c r="B5267" i="1"/>
  <c r="B5078" i="1"/>
  <c r="B5079" i="1"/>
  <c r="B5080" i="1"/>
  <c r="B5081" i="1"/>
  <c r="B5082" i="1"/>
  <c r="B5083" i="1"/>
  <c r="B5084" i="1"/>
  <c r="B5085" i="1"/>
  <c r="B4979" i="1"/>
  <c r="B4980" i="1"/>
  <c r="B4955" i="1"/>
  <c r="B4956" i="1"/>
  <c r="B4957" i="1"/>
  <c r="B4958" i="1"/>
  <c r="B4959" i="1"/>
  <c r="B4960" i="1"/>
  <c r="B4961" i="1"/>
  <c r="B4962" i="1"/>
  <c r="B4963" i="1"/>
  <c r="B4765" i="1"/>
  <c r="B4751" i="1"/>
  <c r="B4752" i="1"/>
  <c r="B4753" i="1"/>
  <c r="B4402" i="1"/>
  <c r="B4403" i="1"/>
  <c r="B4388" i="1"/>
  <c r="B4389" i="1"/>
  <c r="B4390" i="1"/>
  <c r="B4391" i="1"/>
  <c r="B4392" i="1"/>
  <c r="B4569" i="1"/>
  <c r="B4570" i="1"/>
  <c r="B4561" i="1"/>
  <c r="B4562" i="1"/>
  <c r="B4563" i="1"/>
  <c r="B4564" i="1"/>
  <c r="B4565" i="1"/>
  <c r="B4566" i="1"/>
  <c r="B4196" i="1"/>
  <c r="B4197" i="1"/>
  <c r="B3938" i="1"/>
  <c r="B3939" i="1"/>
  <c r="B3940" i="1"/>
  <c r="B3941" i="1"/>
  <c r="B3942" i="1"/>
  <c r="B3920" i="1"/>
  <c r="B3921" i="1"/>
  <c r="B3922" i="1"/>
  <c r="B3758" i="1"/>
  <c r="B3759" i="1"/>
  <c r="B3760" i="1"/>
  <c r="B3742" i="1"/>
  <c r="B3743" i="1"/>
  <c r="B3744" i="1"/>
  <c r="B3745" i="1"/>
  <c r="B3746" i="1"/>
  <c r="B3747" i="1"/>
  <c r="B3748" i="1"/>
  <c r="B3749" i="1"/>
  <c r="B3750" i="1"/>
  <c r="B3741" i="1"/>
  <c r="B3451" i="1"/>
  <c r="B3452" i="1"/>
  <c r="B3453" i="1"/>
  <c r="B3454" i="1"/>
  <c r="B3455" i="1"/>
  <c r="B3434" i="1"/>
  <c r="B3435" i="1"/>
  <c r="B3436" i="1"/>
  <c r="B3437" i="1"/>
  <c r="B3438" i="1"/>
  <c r="B3439" i="1"/>
  <c r="B3265" i="1"/>
  <c r="B3266" i="1"/>
  <c r="B3267" i="1"/>
  <c r="B3268" i="1"/>
  <c r="B3250" i="1"/>
  <c r="B3251" i="1"/>
  <c r="B3252" i="1"/>
  <c r="B3253" i="1"/>
  <c r="B3254" i="1"/>
  <c r="B3246" i="1"/>
  <c r="B3247" i="1"/>
  <c r="B2563" i="1"/>
  <c r="B2564" i="1"/>
  <c r="B2565" i="1"/>
  <c r="B2566" i="1"/>
  <c r="B2558" i="1"/>
  <c r="B2559" i="1"/>
  <c r="B2544" i="1"/>
  <c r="B3002" i="1"/>
  <c r="B3003" i="1"/>
  <c r="B3004" i="1"/>
  <c r="B3005" i="1"/>
  <c r="B2809" i="1"/>
  <c r="B2810" i="1"/>
  <c r="B2811" i="1"/>
  <c r="B2812" i="1"/>
  <c r="B2813" i="1"/>
  <c r="B2814" i="1"/>
  <c r="B2815" i="1"/>
  <c r="B2816" i="1"/>
  <c r="B2817" i="1"/>
  <c r="B2818" i="1"/>
  <c r="B2644" i="1"/>
  <c r="B2645" i="1"/>
  <c r="B2646" i="1"/>
  <c r="B2647" i="1"/>
  <c r="B2648" i="1"/>
  <c r="B2649" i="1"/>
  <c r="B2650" i="1"/>
  <c r="B2651" i="1"/>
  <c r="B2387" i="1"/>
  <c r="B2388" i="1"/>
  <c r="B2389" i="1"/>
  <c r="B2229" i="1"/>
  <c r="B2219" i="1"/>
  <c r="B2220" i="1"/>
  <c r="B2214" i="1"/>
  <c r="B1937" i="1"/>
  <c r="B1938" i="1"/>
  <c r="B1939" i="1"/>
  <c r="B1940" i="1"/>
  <c r="B1760" i="1"/>
  <c r="B1761" i="1"/>
  <c r="B1762" i="1"/>
  <c r="B1750" i="1"/>
  <c r="B1751" i="1"/>
  <c r="B1752" i="1"/>
  <c r="B1753" i="1"/>
  <c r="B1754" i="1"/>
  <c r="B1450" i="1"/>
  <c r="B1439" i="1"/>
  <c r="B1440" i="1"/>
  <c r="B1441" i="1"/>
  <c r="B1442" i="1"/>
  <c r="B1435" i="1"/>
  <c r="B1436" i="1"/>
  <c r="B1325" i="1"/>
  <c r="B1321" i="1"/>
  <c r="B1314" i="1"/>
  <c r="B1315" i="1"/>
  <c r="B1316" i="1"/>
  <c r="B1317" i="1"/>
  <c r="B1318" i="1"/>
  <c r="B1319" i="1"/>
  <c r="B1306" i="1"/>
  <c r="B1307" i="1"/>
  <c r="B1308" i="1"/>
  <c r="B1309" i="1"/>
  <c r="B1310" i="1"/>
  <c r="B1305" i="1"/>
  <c r="B1300" i="1"/>
  <c r="B1301" i="1"/>
  <c r="B1295" i="1"/>
  <c r="B1296" i="1"/>
  <c r="B10975" i="1"/>
  <c r="B10976" i="1"/>
  <c r="B10977" i="1"/>
  <c r="B10734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399" i="1"/>
  <c r="B10400" i="1"/>
  <c r="B10401" i="1"/>
  <c r="B10392" i="1"/>
  <c r="B10393" i="1"/>
  <c r="B10394" i="1"/>
  <c r="B10395" i="1"/>
  <c r="B10385" i="1"/>
  <c r="B10386" i="1"/>
  <c r="B10387" i="1"/>
  <c r="B10221" i="1"/>
  <c r="B10219" i="1"/>
  <c r="B10217" i="1"/>
  <c r="B10218" i="1"/>
  <c r="B10215" i="1"/>
  <c r="B10216" i="1"/>
  <c r="B10212" i="1"/>
  <c r="B10213" i="1"/>
  <c r="B10214" i="1"/>
  <c r="B10211" i="1"/>
  <c r="B9993" i="1"/>
  <c r="B9994" i="1"/>
  <c r="B9995" i="1"/>
  <c r="B9996" i="1"/>
  <c r="B9989" i="1"/>
  <c r="B9791" i="1"/>
  <c r="B9792" i="1"/>
  <c r="B9786" i="1"/>
  <c r="B9777" i="1"/>
  <c r="B9778" i="1"/>
  <c r="B9779" i="1"/>
  <c r="B9780" i="1"/>
  <c r="B9781" i="1"/>
  <c r="B9775" i="1"/>
  <c r="B9586" i="1"/>
  <c r="B9587" i="1"/>
  <c r="B9588" i="1"/>
  <c r="B9579" i="1"/>
  <c r="B9578" i="1"/>
  <c r="B9571" i="1"/>
  <c r="B9572" i="1"/>
  <c r="B9573" i="1"/>
  <c r="B9423" i="1"/>
  <c r="B9424" i="1"/>
  <c r="B9370" i="1"/>
  <c r="B9371" i="1"/>
  <c r="B9284" i="1"/>
  <c r="B9285" i="1"/>
  <c r="B9186" i="1"/>
  <c r="B9187" i="1"/>
  <c r="B9100" i="1"/>
  <c r="B9101" i="1"/>
  <c r="B9102" i="1"/>
  <c r="B9092" i="1"/>
  <c r="B8992" i="1"/>
  <c r="B8993" i="1"/>
  <c r="B8994" i="1"/>
  <c r="B8995" i="1"/>
  <c r="B8996" i="1"/>
  <c r="B8850" i="1"/>
  <c r="B8845" i="1"/>
  <c r="B8738" i="1"/>
  <c r="B8739" i="1"/>
  <c r="B8740" i="1"/>
  <c r="B8622" i="1"/>
  <c r="B8508" i="1"/>
  <c r="B8509" i="1"/>
  <c r="B8510" i="1"/>
  <c r="B8511" i="1"/>
  <c r="B8396" i="1"/>
  <c r="B8394" i="1"/>
  <c r="B8154" i="1"/>
  <c r="B8299" i="1"/>
  <c r="B8300" i="1"/>
  <c r="B8301" i="1"/>
  <c r="B7911" i="1"/>
  <c r="B7888" i="1"/>
  <c r="B7889" i="1"/>
  <c r="B7704" i="1"/>
  <c r="B7705" i="1"/>
  <c r="B7683" i="1"/>
  <c r="B7290" i="1"/>
  <c r="B7291" i="1"/>
  <c r="B7292" i="1"/>
  <c r="B7293" i="1"/>
  <c r="B7294" i="1"/>
  <c r="B7295" i="1"/>
  <c r="B7296" i="1"/>
  <c r="B7297" i="1"/>
  <c r="B7298" i="1"/>
  <c r="B7491" i="1"/>
  <c r="B7492" i="1"/>
  <c r="B7493" i="1"/>
  <c r="B7494" i="1"/>
  <c r="B7495" i="1"/>
  <c r="B7496" i="1"/>
  <c r="B7486" i="1"/>
  <c r="B7105" i="1"/>
  <c r="B7106" i="1"/>
  <c r="B7107" i="1"/>
  <c r="B7108" i="1"/>
  <c r="B7092" i="1"/>
  <c r="B7093" i="1"/>
  <c r="B7094" i="1"/>
  <c r="B7095" i="1"/>
  <c r="B7096" i="1"/>
  <c r="B6851" i="1"/>
  <c r="B6834" i="1"/>
  <c r="B6835" i="1"/>
  <c r="B6836" i="1"/>
  <c r="B6837" i="1"/>
  <c r="B6838" i="1"/>
  <c r="B6839" i="1"/>
  <c r="B6840" i="1"/>
  <c r="B7039" i="1"/>
  <c r="B7040" i="1"/>
  <c r="B7041" i="1"/>
  <c r="B7042" i="1"/>
  <c r="B7043" i="1"/>
  <c r="B7044" i="1"/>
  <c r="B7045" i="1"/>
  <c r="B7046" i="1"/>
  <c r="B7047" i="1"/>
  <c r="B6639" i="1"/>
  <c r="B6640" i="1"/>
  <c r="B6641" i="1"/>
  <c r="B6642" i="1"/>
  <c r="B6351" i="1"/>
  <c r="B6336" i="1"/>
  <c r="B6337" i="1"/>
  <c r="B6338" i="1"/>
  <c r="B6339" i="1"/>
  <c r="B6340" i="1"/>
  <c r="B6341" i="1"/>
  <c r="B6342" i="1"/>
  <c r="B6334" i="1"/>
  <c r="B6335" i="1"/>
  <c r="B6129" i="1"/>
  <c r="B6130" i="1"/>
  <c r="B6131" i="1"/>
  <c r="B6132" i="1"/>
  <c r="B6133" i="1"/>
  <c r="B6134" i="1"/>
  <c r="B6135" i="1"/>
  <c r="B6136" i="1"/>
  <c r="B6137" i="1"/>
  <c r="B6138" i="1"/>
  <c r="B6139" i="1"/>
  <c r="B6563" i="1"/>
  <c r="B6559" i="1"/>
  <c r="B6547" i="1"/>
  <c r="B6548" i="1"/>
  <c r="B6549" i="1"/>
  <c r="B6550" i="1"/>
  <c r="B6551" i="1"/>
  <c r="B6552" i="1"/>
  <c r="B6553" i="1"/>
  <c r="B5793" i="1"/>
  <c r="B5794" i="1"/>
  <c r="B5776" i="1"/>
  <c r="B5777" i="1"/>
  <c r="B5778" i="1"/>
  <c r="B5592" i="1"/>
  <c r="B5593" i="1"/>
  <c r="B5576" i="1"/>
  <c r="B5577" i="1"/>
  <c r="B5578" i="1"/>
  <c r="B5579" i="1"/>
  <c r="B5580" i="1"/>
  <c r="B5581" i="1"/>
  <c r="B5582" i="1"/>
  <c r="B5982" i="1"/>
  <c r="B5983" i="1"/>
  <c r="B5984" i="1"/>
  <c r="B5456" i="1"/>
  <c r="B5457" i="1"/>
  <c r="B5458" i="1"/>
  <c r="B5459" i="1"/>
  <c r="B5460" i="1"/>
  <c r="B5461" i="1"/>
  <c r="B5446" i="1"/>
  <c r="B5447" i="1"/>
  <c r="B5448" i="1"/>
  <c r="B5449" i="1"/>
  <c r="B5450" i="1"/>
  <c r="B5451" i="1"/>
  <c r="B5251" i="1"/>
  <c r="B5252" i="1"/>
  <c r="B5253" i="1"/>
  <c r="B4964" i="1"/>
  <c r="B4965" i="1"/>
  <c r="B4966" i="1"/>
  <c r="B4938" i="1"/>
  <c r="B4939" i="1"/>
  <c r="B4940" i="1"/>
  <c r="B4941" i="1"/>
  <c r="B4942" i="1"/>
  <c r="B4943" i="1"/>
  <c r="B4944" i="1"/>
  <c r="B4744" i="1"/>
  <c r="B4745" i="1"/>
  <c r="B4733" i="1"/>
  <c r="B4734" i="1"/>
  <c r="B4735" i="1"/>
  <c r="B4736" i="1"/>
  <c r="B4737" i="1"/>
  <c r="B4393" i="1"/>
  <c r="B4394" i="1"/>
  <c r="B4395" i="1"/>
  <c r="B4377" i="1"/>
  <c r="B4378" i="1"/>
  <c r="B4379" i="1"/>
  <c r="B4380" i="1"/>
  <c r="B4381" i="1"/>
  <c r="B4557" i="1"/>
  <c r="B4558" i="1"/>
  <c r="B4559" i="1"/>
  <c r="B4555" i="1"/>
  <c r="B4556" i="1"/>
  <c r="B4542" i="1"/>
  <c r="B4543" i="1"/>
  <c r="B4198" i="1"/>
  <c r="B4199" i="1"/>
  <c r="B4200" i="1"/>
  <c r="B4181" i="1"/>
  <c r="B4182" i="1"/>
  <c r="B4183" i="1"/>
  <c r="B3923" i="1"/>
  <c r="B3924" i="1"/>
  <c r="B3925" i="1"/>
  <c r="B3926" i="1"/>
  <c r="B3927" i="1"/>
  <c r="B3928" i="1"/>
  <c r="B3740" i="1"/>
  <c r="B3724" i="1"/>
  <c r="B3725" i="1"/>
  <c r="B3726" i="1"/>
  <c r="B3727" i="1"/>
  <c r="B3711" i="1"/>
  <c r="B3440" i="1"/>
  <c r="B3441" i="1"/>
  <c r="B3418" i="1"/>
  <c r="B3419" i="1"/>
  <c r="B3420" i="1"/>
  <c r="B3421" i="1"/>
  <c r="B3422" i="1"/>
  <c r="B3242" i="1"/>
  <c r="B3243" i="1"/>
  <c r="B3228" i="1"/>
  <c r="B3229" i="1"/>
  <c r="B3230" i="1"/>
  <c r="B3231" i="1"/>
  <c r="B3232" i="1"/>
  <c r="B2545" i="1"/>
  <c r="B2546" i="1"/>
  <c r="B2547" i="1"/>
  <c r="B2548" i="1"/>
  <c r="B2549" i="1"/>
  <c r="B2550" i="1"/>
  <c r="B2551" i="1"/>
  <c r="B2552" i="1"/>
  <c r="B2553" i="1"/>
  <c r="B2533" i="1"/>
  <c r="B3006" i="1"/>
  <c r="B3007" i="1"/>
  <c r="B2982" i="1"/>
  <c r="B2983" i="1"/>
  <c r="B2984" i="1"/>
  <c r="B2985" i="1"/>
  <c r="B2819" i="1"/>
  <c r="B2801" i="1"/>
  <c r="B2802" i="1"/>
  <c r="B2803" i="1"/>
  <c r="B2804" i="1"/>
  <c r="B2794" i="1"/>
  <c r="B2795" i="1"/>
  <c r="B2796" i="1"/>
  <c r="B2652" i="1"/>
  <c r="B2636" i="1"/>
  <c r="B2629" i="1"/>
  <c r="B2630" i="1"/>
  <c r="B2386" i="1"/>
  <c r="B2380" i="1"/>
  <c r="B2381" i="1"/>
  <c r="B2373" i="1"/>
  <c r="B2374" i="1"/>
  <c r="B2375" i="1"/>
  <c r="B2376" i="1"/>
  <c r="B2361" i="1"/>
  <c r="B2209" i="1"/>
  <c r="B2210" i="1"/>
  <c r="B2211" i="1"/>
  <c r="B2196" i="1"/>
  <c r="B2197" i="1"/>
  <c r="B2198" i="1"/>
  <c r="B2199" i="1"/>
  <c r="B2200" i="1"/>
  <c r="B2201" i="1"/>
  <c r="B2202" i="1"/>
  <c r="B1941" i="1"/>
  <c r="B1916" i="1"/>
  <c r="B1917" i="1"/>
  <c r="B1918" i="1"/>
  <c r="B1919" i="1"/>
  <c r="B1920" i="1"/>
  <c r="B2105" i="1"/>
  <c r="B2091" i="1"/>
  <c r="B2092" i="1"/>
  <c r="B2093" i="1"/>
  <c r="B2094" i="1"/>
  <c r="B2095" i="1"/>
  <c r="B2096" i="1"/>
  <c r="B2097" i="1"/>
  <c r="B1743" i="1"/>
  <c r="B1744" i="1"/>
  <c r="B1727" i="1"/>
  <c r="B1728" i="1"/>
  <c r="B1729" i="1"/>
  <c r="B1730" i="1"/>
  <c r="B1731" i="1"/>
  <c r="B1732" i="1"/>
  <c r="B1424" i="1"/>
  <c r="B1425" i="1"/>
  <c r="B1426" i="1"/>
  <c r="B1427" i="1"/>
  <c r="B1428" i="1"/>
  <c r="B1429" i="1"/>
  <c r="B1430" i="1"/>
  <c r="B1431" i="1"/>
  <c r="B1423" i="1"/>
  <c r="B1297" i="1"/>
  <c r="B1293" i="1"/>
  <c r="B1283" i="1"/>
  <c r="B1284" i="1"/>
  <c r="B1285" i="1"/>
  <c r="B1286" i="1"/>
  <c r="B1287" i="1"/>
  <c r="B1288" i="1"/>
  <c r="B10978" i="1"/>
  <c r="B10929" i="1"/>
  <c r="B10930" i="1"/>
  <c r="B10931" i="1"/>
  <c r="B10932" i="1"/>
  <c r="B10933" i="1"/>
  <c r="B10934" i="1"/>
  <c r="B10935" i="1"/>
  <c r="B10936" i="1"/>
  <c r="B10735" i="1"/>
  <c r="B10736" i="1"/>
  <c r="B10737" i="1"/>
  <c r="B10738" i="1"/>
  <c r="B10630" i="1"/>
  <c r="B10584" i="1"/>
  <c r="B10585" i="1"/>
  <c r="B10586" i="1"/>
  <c r="B10587" i="1"/>
  <c r="B10382" i="1"/>
  <c r="B10375" i="1"/>
  <c r="B10373" i="1"/>
  <c r="B10208" i="1"/>
  <c r="B10198" i="1"/>
  <c r="B10199" i="1"/>
  <c r="B10200" i="1"/>
  <c r="B10201" i="1"/>
  <c r="B10202" i="1"/>
  <c r="B10193" i="1"/>
  <c r="B9982" i="1"/>
  <c r="B9983" i="1"/>
  <c r="B9977" i="1"/>
  <c r="B9972" i="1"/>
  <c r="B9973" i="1"/>
  <c r="B9974" i="1"/>
  <c r="B9773" i="1"/>
  <c r="B9774" i="1"/>
  <c r="B9766" i="1"/>
  <c r="B9763" i="1"/>
  <c r="B9764" i="1"/>
  <c r="B9574" i="1"/>
  <c r="B9568" i="1"/>
  <c r="B9569" i="1"/>
  <c r="B9487" i="1"/>
  <c r="B9488" i="1"/>
  <c r="B9489" i="1"/>
  <c r="B9490" i="1"/>
  <c r="B9419" i="1"/>
  <c r="B9420" i="1"/>
  <c r="B9372" i="1"/>
  <c r="B9373" i="1"/>
  <c r="B9364" i="1"/>
  <c r="B9365" i="1"/>
  <c r="B9366" i="1"/>
  <c r="B9282" i="1"/>
  <c r="B9093" i="1"/>
  <c r="B9094" i="1"/>
  <c r="B9088" i="1"/>
  <c r="B9089" i="1"/>
  <c r="B8988" i="1"/>
  <c r="B8730" i="1"/>
  <c r="B8731" i="1"/>
  <c r="B8732" i="1"/>
  <c r="B8617" i="1"/>
  <c r="B8618" i="1"/>
  <c r="B8506" i="1"/>
  <c r="B8504" i="1"/>
  <c r="B8503" i="1"/>
  <c r="B8499" i="1"/>
  <c r="B8500" i="1"/>
  <c r="B8387" i="1"/>
  <c r="B8144" i="1"/>
  <c r="B8145" i="1"/>
  <c r="B8146" i="1"/>
  <c r="B8136" i="1"/>
  <c r="B8302" i="1"/>
  <c r="B8303" i="1"/>
  <c r="B8039" i="1"/>
  <c r="B8040" i="1"/>
  <c r="B8041" i="1"/>
  <c r="B7890" i="1"/>
  <c r="B7891" i="1"/>
  <c r="B7892" i="1"/>
  <c r="B7893" i="1"/>
  <c r="B7894" i="1"/>
  <c r="B7895" i="1"/>
  <c r="B7684" i="1"/>
  <c r="B7685" i="1"/>
  <c r="B7686" i="1"/>
  <c r="B7687" i="1"/>
  <c r="B7688" i="1"/>
  <c r="B7689" i="1"/>
  <c r="B7299" i="1"/>
  <c r="B7281" i="1"/>
  <c r="B7282" i="1"/>
  <c r="B7283" i="1"/>
  <c r="B7284" i="1"/>
  <c r="B7278" i="1"/>
  <c r="B7273" i="1"/>
  <c r="B7274" i="1"/>
  <c r="B7275" i="1"/>
  <c r="B7468" i="1"/>
  <c r="B7469" i="1"/>
  <c r="B7470" i="1"/>
  <c r="B7471" i="1"/>
  <c r="B7472" i="1"/>
  <c r="B7473" i="1"/>
  <c r="B7474" i="1"/>
  <c r="B7475" i="1"/>
  <c r="B7476" i="1"/>
  <c r="B7477" i="1"/>
  <c r="B7478" i="1"/>
  <c r="B7097" i="1"/>
  <c r="B7098" i="1"/>
  <c r="B7089" i="1"/>
  <c r="B6841" i="1"/>
  <c r="B6826" i="1"/>
  <c r="B6827" i="1"/>
  <c r="B6828" i="1"/>
  <c r="B6829" i="1"/>
  <c r="B6830" i="1"/>
  <c r="B6823" i="1"/>
  <c r="B6824" i="1"/>
  <c r="B7048" i="1"/>
  <c r="B7049" i="1"/>
  <c r="B7029" i="1"/>
  <c r="B7030" i="1"/>
  <c r="B7031" i="1"/>
  <c r="B7032" i="1"/>
  <c r="B7033" i="1"/>
  <c r="B7034" i="1"/>
  <c r="B7020" i="1"/>
  <c r="B6643" i="1"/>
  <c r="B6644" i="1"/>
  <c r="B6632" i="1"/>
  <c r="B6633" i="1"/>
  <c r="B6634" i="1"/>
  <c r="B6330" i="1"/>
  <c r="B6320" i="1"/>
  <c r="B6321" i="1"/>
  <c r="B6322" i="1"/>
  <c r="B6140" i="1"/>
  <c r="B6141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554" i="1"/>
  <c r="B6555" i="1"/>
  <c r="B6556" i="1"/>
  <c r="B6557" i="1"/>
  <c r="B6534" i="1"/>
  <c r="B6535" i="1"/>
  <c r="B6536" i="1"/>
  <c r="B6537" i="1"/>
  <c r="B6538" i="1"/>
  <c r="B6539" i="1"/>
  <c r="B6540" i="1"/>
  <c r="B6541" i="1"/>
  <c r="B5779" i="1"/>
  <c r="B5780" i="1"/>
  <c r="B5781" i="1"/>
  <c r="B5583" i="1"/>
  <c r="B5584" i="1"/>
  <c r="B5585" i="1"/>
  <c r="B5567" i="1"/>
  <c r="B5568" i="1"/>
  <c r="B5962" i="1"/>
  <c r="B5963" i="1"/>
  <c r="B5964" i="1"/>
  <c r="B5965" i="1"/>
  <c r="B5966" i="1"/>
  <c r="B5967" i="1"/>
  <c r="B5968" i="1"/>
  <c r="B5946" i="1"/>
  <c r="B5947" i="1"/>
  <c r="B5948" i="1"/>
  <c r="B5949" i="1"/>
  <c r="B5950" i="1"/>
  <c r="B5951" i="1"/>
  <c r="B5952" i="1"/>
  <c r="B5445" i="1"/>
  <c r="B5444" i="1"/>
  <c r="B5434" i="1"/>
  <c r="B5435" i="1"/>
  <c r="B5436" i="1"/>
  <c r="B5437" i="1"/>
  <c r="B5246" i="1"/>
  <c r="B5247" i="1"/>
  <c r="B5233" i="1"/>
  <c r="B5234" i="1"/>
  <c r="B4945" i="1"/>
  <c r="B4946" i="1"/>
  <c r="B4918" i="1"/>
  <c r="B4919" i="1"/>
  <c r="B4920" i="1"/>
  <c r="B4722" i="1"/>
  <c r="B4723" i="1"/>
  <c r="B4724" i="1"/>
  <c r="B4725" i="1"/>
  <c r="B4726" i="1"/>
  <c r="B4727" i="1"/>
  <c r="B4728" i="1"/>
  <c r="B4714" i="1"/>
  <c r="B4715" i="1"/>
  <c r="B4716" i="1"/>
  <c r="B4382" i="1"/>
  <c r="B4363" i="1"/>
  <c r="B4364" i="1"/>
  <c r="B4544" i="1"/>
  <c r="B4545" i="1"/>
  <c r="B4546" i="1"/>
  <c r="B4547" i="1"/>
  <c r="B4548" i="1"/>
  <c r="B4549" i="1"/>
  <c r="B4184" i="1"/>
  <c r="B4172" i="1"/>
  <c r="B3929" i="1"/>
  <c r="B3909" i="1"/>
  <c r="B3910" i="1"/>
  <c r="B3911" i="1"/>
  <c r="B3912" i="1"/>
  <c r="B3913" i="1"/>
  <c r="B3914" i="1"/>
  <c r="B3915" i="1"/>
  <c r="B3712" i="1"/>
  <c r="B3713" i="1"/>
  <c r="B3714" i="1"/>
  <c r="B3715" i="1"/>
  <c r="B3716" i="1"/>
  <c r="B3717" i="1"/>
  <c r="B3718" i="1"/>
  <c r="B3719" i="1"/>
  <c r="B3720" i="1"/>
  <c r="B3423" i="1"/>
  <c r="B3424" i="1"/>
  <c r="B3425" i="1"/>
  <c r="B3426" i="1"/>
  <c r="B3427" i="1"/>
  <c r="B3233" i="1"/>
  <c r="B3214" i="1"/>
  <c r="B3215" i="1"/>
  <c r="B3216" i="1"/>
  <c r="B3217" i="1"/>
  <c r="B3218" i="1"/>
  <c r="B3219" i="1"/>
  <c r="B3220" i="1"/>
  <c r="B3202" i="1"/>
  <c r="B3203" i="1"/>
  <c r="B2534" i="1"/>
  <c r="B2535" i="1"/>
  <c r="B2536" i="1"/>
  <c r="B2520" i="1"/>
  <c r="B2521" i="1"/>
  <c r="B2522" i="1"/>
  <c r="B2523" i="1"/>
  <c r="B2524" i="1"/>
  <c r="B2986" i="1"/>
  <c r="B2987" i="1"/>
  <c r="B2988" i="1"/>
  <c r="B2989" i="1"/>
  <c r="B2990" i="1"/>
  <c r="B2991" i="1"/>
  <c r="B2992" i="1"/>
  <c r="B2993" i="1"/>
  <c r="B2994" i="1"/>
  <c r="B2797" i="1"/>
  <c r="B2798" i="1"/>
  <c r="B2786" i="1"/>
  <c r="B2631" i="1"/>
  <c r="B2625" i="1"/>
  <c r="B2626" i="1"/>
  <c r="B2627" i="1"/>
  <c r="B2612" i="1"/>
  <c r="B2613" i="1"/>
  <c r="B2614" i="1"/>
  <c r="B2615" i="1"/>
  <c r="B2616" i="1"/>
  <c r="B2617" i="1"/>
  <c r="B2618" i="1"/>
  <c r="B2362" i="1"/>
  <c r="B2363" i="1"/>
  <c r="B2364" i="1"/>
  <c r="B2365" i="1"/>
  <c r="B2366" i="1"/>
  <c r="B2367" i="1"/>
  <c r="B2368" i="1"/>
  <c r="B2203" i="1"/>
  <c r="B2204" i="1"/>
  <c r="B2189" i="1"/>
  <c r="B2190" i="1"/>
  <c r="B2191" i="1"/>
  <c r="B2192" i="1"/>
  <c r="B2184" i="1"/>
  <c r="B2185" i="1"/>
  <c r="B2186" i="1"/>
  <c r="B2179" i="1"/>
  <c r="B1921" i="1"/>
  <c r="B1922" i="1"/>
  <c r="B1923" i="1"/>
  <c r="B1924" i="1"/>
  <c r="B1925" i="1"/>
  <c r="B1899" i="1"/>
  <c r="B1900" i="1"/>
  <c r="B1901" i="1"/>
  <c r="B2090" i="1"/>
  <c r="B2086" i="1"/>
  <c r="B2087" i="1"/>
  <c r="B2088" i="1"/>
  <c r="B2089" i="1"/>
  <c r="B2075" i="1"/>
  <c r="B2076" i="1"/>
  <c r="B2077" i="1"/>
  <c r="B2078" i="1"/>
  <c r="B2079" i="1"/>
  <c r="B2080" i="1"/>
  <c r="B2081" i="1"/>
  <c r="B1733" i="1"/>
  <c r="B1734" i="1"/>
  <c r="B1735" i="1"/>
  <c r="B1418" i="1"/>
  <c r="B1419" i="1"/>
  <c r="B1415" i="1"/>
  <c r="B1416" i="1"/>
  <c r="B1585" i="1"/>
  <c r="B1586" i="1"/>
  <c r="B1587" i="1"/>
  <c r="B1578" i="1"/>
  <c r="B1275" i="1"/>
  <c r="B1276" i="1"/>
  <c r="B1262" i="1"/>
  <c r="B1263" i="1"/>
  <c r="B1264" i="1"/>
  <c r="B1265" i="1"/>
  <c r="B126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739" i="1"/>
  <c r="B10740" i="1"/>
  <c r="B10741" i="1"/>
  <c r="B10588" i="1"/>
  <c r="B10589" i="1"/>
  <c r="B10590" i="1"/>
  <c r="B10591" i="1"/>
  <c r="B10592" i="1"/>
  <c r="B10593" i="1"/>
  <c r="B10594" i="1"/>
  <c r="B10595" i="1"/>
  <c r="B10561" i="1"/>
  <c r="B10374" i="1"/>
  <c r="B10371" i="1"/>
  <c r="B10171" i="1"/>
  <c r="B10172" i="1"/>
  <c r="B10173" i="1"/>
  <c r="B9975" i="1"/>
  <c r="B9976" i="1"/>
  <c r="B9968" i="1"/>
  <c r="B9964" i="1"/>
  <c r="B9965" i="1"/>
  <c r="B9966" i="1"/>
  <c r="B9967" i="1"/>
  <c r="B9963" i="1"/>
  <c r="B9760" i="1"/>
  <c r="B9759" i="1"/>
  <c r="B9753" i="1"/>
  <c r="B9754" i="1"/>
  <c r="B9566" i="1"/>
  <c r="B9480" i="1"/>
  <c r="B9481" i="1"/>
  <c r="B9363" i="1"/>
  <c r="B9275" i="1"/>
  <c r="B9276" i="1"/>
  <c r="B9085" i="1"/>
  <c r="B9086" i="1"/>
  <c r="B9182" i="1"/>
  <c r="B9183" i="1"/>
  <c r="B9184" i="1"/>
  <c r="B8976" i="1"/>
  <c r="B8977" i="1"/>
  <c r="B8978" i="1"/>
  <c r="B8720" i="1"/>
  <c r="B8721" i="1"/>
  <c r="B8491" i="1"/>
  <c r="B8492" i="1"/>
  <c r="B8378" i="1"/>
  <c r="B8379" i="1"/>
  <c r="B8380" i="1"/>
  <c r="B8285" i="1"/>
  <c r="B8286" i="1"/>
  <c r="B8018" i="1"/>
  <c r="B8019" i="1"/>
  <c r="B8020" i="1"/>
  <c r="B8021" i="1"/>
  <c r="B7896" i="1"/>
  <c r="B7897" i="1"/>
  <c r="B7869" i="1"/>
  <c r="B7870" i="1"/>
  <c r="B7673" i="1"/>
  <c r="B7674" i="1"/>
  <c r="B7675" i="1"/>
  <c r="B7676" i="1"/>
  <c r="B7677" i="1"/>
  <c r="B7678" i="1"/>
  <c r="B7254" i="1"/>
  <c r="B7255" i="1"/>
  <c r="B7256" i="1"/>
  <c r="B7257" i="1"/>
  <c r="B7258" i="1"/>
  <c r="B7259" i="1"/>
  <c r="B7260" i="1"/>
  <c r="B7261" i="1"/>
  <c r="B7460" i="1"/>
  <c r="B7461" i="1"/>
  <c r="B7462" i="1"/>
  <c r="B7463" i="1"/>
  <c r="B7464" i="1"/>
  <c r="B6818" i="1"/>
  <c r="B6819" i="1"/>
  <c r="B6804" i="1"/>
  <c r="B6805" i="1"/>
  <c r="B6806" i="1"/>
  <c r="B6807" i="1"/>
  <c r="B6808" i="1"/>
  <c r="B6809" i="1"/>
  <c r="B6810" i="1"/>
  <c r="B7021" i="1"/>
  <c r="B7022" i="1"/>
  <c r="B7023" i="1"/>
  <c r="B7024" i="1"/>
  <c r="B7025" i="1"/>
  <c r="B7026" i="1"/>
  <c r="B7017" i="1"/>
  <c r="B6627" i="1"/>
  <c r="B6623" i="1"/>
  <c r="B6607" i="1"/>
  <c r="B6608" i="1"/>
  <c r="B6609" i="1"/>
  <c r="B6610" i="1"/>
  <c r="B6611" i="1"/>
  <c r="B6612" i="1"/>
  <c r="B6323" i="1"/>
  <c r="B6310" i="1"/>
  <c r="B6311" i="1"/>
  <c r="B6312" i="1"/>
  <c r="B6313" i="1"/>
  <c r="B6296" i="1"/>
  <c r="B6527" i="1"/>
  <c r="B6528" i="1"/>
  <c r="B6529" i="1"/>
  <c r="B6530" i="1"/>
  <c r="B6531" i="1"/>
  <c r="B6532" i="1"/>
  <c r="B6516" i="1"/>
  <c r="B6517" i="1"/>
  <c r="B6518" i="1"/>
  <c r="B6519" i="1"/>
  <c r="B6124" i="1"/>
  <c r="B6125" i="1"/>
  <c r="B6096" i="1"/>
  <c r="B6097" i="1"/>
  <c r="B6098" i="1"/>
  <c r="B6099" i="1"/>
  <c r="B5767" i="1"/>
  <c r="B5768" i="1"/>
  <c r="B5769" i="1"/>
  <c r="B5770" i="1"/>
  <c r="B5771" i="1"/>
  <c r="B5772" i="1"/>
  <c r="B5773" i="1"/>
  <c r="B5757" i="1"/>
  <c r="B5758" i="1"/>
  <c r="B5759" i="1"/>
  <c r="B5760" i="1"/>
  <c r="B5761" i="1"/>
  <c r="B5762" i="1"/>
  <c r="B5763" i="1"/>
  <c r="B5953" i="1"/>
  <c r="B5954" i="1"/>
  <c r="B5955" i="1"/>
  <c r="B5956" i="1"/>
  <c r="B5935" i="1"/>
  <c r="B5569" i="1"/>
  <c r="B5559" i="1"/>
  <c r="B5560" i="1"/>
  <c r="B5561" i="1"/>
  <c r="B5438" i="1"/>
  <c r="B5439" i="1"/>
  <c r="B5423" i="1"/>
  <c r="B5424" i="1"/>
  <c r="B5425" i="1"/>
  <c r="B5426" i="1"/>
  <c r="B5427" i="1"/>
  <c r="B5428" i="1"/>
  <c r="B5429" i="1"/>
  <c r="B5235" i="1"/>
  <c r="B5236" i="1"/>
  <c r="B5237" i="1"/>
  <c r="B5238" i="1"/>
  <c r="B5239" i="1"/>
  <c r="B5240" i="1"/>
  <c r="B5231" i="1"/>
  <c r="B5224" i="1"/>
  <c r="B5225" i="1"/>
  <c r="B5226" i="1"/>
  <c r="B5227" i="1"/>
  <c r="B5228" i="1"/>
  <c r="B5217" i="1"/>
  <c r="B4921" i="1"/>
  <c r="B4922" i="1"/>
  <c r="B4923" i="1"/>
  <c r="B4924" i="1"/>
  <c r="B4925" i="1"/>
  <c r="B4926" i="1"/>
  <c r="B4927" i="1"/>
  <c r="B4928" i="1"/>
  <c r="B4929" i="1"/>
  <c r="B4930" i="1"/>
  <c r="B4931" i="1"/>
  <c r="B4701" i="1"/>
  <c r="B4702" i="1"/>
  <c r="B4703" i="1"/>
  <c r="B4704" i="1"/>
  <c r="B4705" i="1"/>
  <c r="B4706" i="1"/>
  <c r="B4707" i="1"/>
  <c r="B4708" i="1"/>
  <c r="B4709" i="1"/>
  <c r="B4710" i="1"/>
  <c r="B4711" i="1"/>
  <c r="B4365" i="1"/>
  <c r="B4366" i="1"/>
  <c r="B4367" i="1"/>
  <c r="B4368" i="1"/>
  <c r="B4369" i="1"/>
  <c r="B4370" i="1"/>
  <c r="B4359" i="1"/>
  <c r="B4360" i="1"/>
  <c r="B4361" i="1"/>
  <c r="B4531" i="1"/>
  <c r="B4532" i="1"/>
  <c r="B4533" i="1"/>
  <c r="B4534" i="1"/>
  <c r="B4173" i="1"/>
  <c r="B4174" i="1"/>
  <c r="B4175" i="1"/>
  <c r="B4176" i="1"/>
  <c r="B4177" i="1"/>
  <c r="B4178" i="1"/>
  <c r="B4179" i="1"/>
  <c r="B4160" i="1"/>
  <c r="B4161" i="1"/>
  <c r="B4162" i="1"/>
  <c r="B3916" i="1"/>
  <c r="B3917" i="1"/>
  <c r="B3898" i="1"/>
  <c r="B3899" i="1"/>
  <c r="B3900" i="1"/>
  <c r="B3901" i="1"/>
  <c r="B3902" i="1"/>
  <c r="B3903" i="1"/>
  <c r="B3704" i="1"/>
  <c r="B3705" i="1"/>
  <c r="B3706" i="1"/>
  <c r="B3707" i="1"/>
  <c r="B3708" i="1"/>
  <c r="B3695" i="1"/>
  <c r="B3413" i="1"/>
  <c r="B3414" i="1"/>
  <c r="B3401" i="1"/>
  <c r="B3402" i="1"/>
  <c r="B3403" i="1"/>
  <c r="B3404" i="1"/>
  <c r="B3405" i="1"/>
  <c r="B3406" i="1"/>
  <c r="B3204" i="1"/>
  <c r="B3205" i="1"/>
  <c r="B3206" i="1"/>
  <c r="B3207" i="1"/>
  <c r="B3208" i="1"/>
  <c r="B3190" i="1"/>
  <c r="B3191" i="1"/>
  <c r="B3192" i="1"/>
  <c r="B3193" i="1"/>
  <c r="B2525" i="1"/>
  <c r="B2526" i="1"/>
  <c r="B2527" i="1"/>
  <c r="B2507" i="1"/>
  <c r="B2508" i="1"/>
  <c r="B2509" i="1"/>
  <c r="B2510" i="1"/>
  <c r="B2511" i="1"/>
  <c r="B2512" i="1"/>
  <c r="B2513" i="1"/>
  <c r="B2971" i="1"/>
  <c r="B2972" i="1"/>
  <c r="B2973" i="1"/>
  <c r="B2974" i="1"/>
  <c r="B2975" i="1"/>
  <c r="B2976" i="1"/>
  <c r="B2787" i="1"/>
  <c r="B2788" i="1"/>
  <c r="B2789" i="1"/>
  <c r="B2790" i="1"/>
  <c r="B2783" i="1"/>
  <c r="B2773" i="1"/>
  <c r="B2774" i="1"/>
  <c r="B2775" i="1"/>
  <c r="B2601" i="1"/>
  <c r="B2602" i="1"/>
  <c r="B2603" i="1"/>
  <c r="B2604" i="1"/>
  <c r="B2605" i="1"/>
  <c r="B2606" i="1"/>
  <c r="B2346" i="1"/>
  <c r="B2347" i="1"/>
  <c r="B2348" i="1"/>
  <c r="B2349" i="1"/>
  <c r="B2350" i="1"/>
  <c r="B2351" i="1"/>
  <c r="B2352" i="1"/>
  <c r="B2353" i="1"/>
  <c r="B2180" i="1"/>
  <c r="B2181" i="1"/>
  <c r="B2182" i="1"/>
  <c r="B2183" i="1"/>
  <c r="B2177" i="1"/>
  <c r="B2178" i="1"/>
  <c r="B2176" i="1"/>
  <c r="B2168" i="1"/>
  <c r="B2169" i="1"/>
  <c r="B2170" i="1"/>
  <c r="B1902" i="1"/>
  <c r="B1903" i="1"/>
  <c r="B1904" i="1"/>
  <c r="B1905" i="1"/>
  <c r="B1906" i="1"/>
  <c r="B1907" i="1"/>
  <c r="B1908" i="1"/>
  <c r="B1909" i="1"/>
  <c r="B1887" i="1"/>
  <c r="B1888" i="1"/>
  <c r="B2082" i="1"/>
  <c r="B2062" i="1"/>
  <c r="B2063" i="1"/>
  <c r="B2064" i="1"/>
  <c r="B2065" i="1"/>
  <c r="B2066" i="1"/>
  <c r="B1706" i="1"/>
  <c r="B1707" i="1"/>
  <c r="B1708" i="1"/>
  <c r="B1709" i="1"/>
  <c r="B1710" i="1"/>
  <c r="B1711" i="1"/>
  <c r="B1712" i="1"/>
  <c r="B1713" i="1"/>
  <c r="B1714" i="1"/>
  <c r="B1715" i="1"/>
  <c r="B1716" i="1"/>
  <c r="B1398" i="1"/>
  <c r="B1399" i="1"/>
  <c r="B1400" i="1"/>
  <c r="B1401" i="1"/>
  <c r="B1402" i="1"/>
  <c r="B1403" i="1"/>
  <c r="B1404" i="1"/>
  <c r="B1405" i="1"/>
  <c r="B1406" i="1"/>
  <c r="B1407" i="1"/>
  <c r="B1408" i="1"/>
  <c r="B1572" i="1"/>
  <c r="B1564" i="1"/>
  <c r="B1565" i="1"/>
  <c r="B1566" i="1"/>
  <c r="B1567" i="1"/>
  <c r="B1267" i="1"/>
  <c r="B1268" i="1"/>
  <c r="B1255" i="1"/>
  <c r="B1256" i="1"/>
  <c r="B1257" i="1"/>
  <c r="B1258" i="1"/>
  <c r="B1259" i="1"/>
  <c r="B1260" i="1"/>
  <c r="B1249" i="1"/>
  <c r="B1250" i="1"/>
  <c r="B1251" i="1"/>
  <c r="B1245" i="1"/>
  <c r="B10952" i="1"/>
  <c r="B10953" i="1"/>
  <c r="B10954" i="1"/>
  <c r="B10955" i="1"/>
  <c r="B10956" i="1"/>
  <c r="B10957" i="1"/>
  <c r="B10958" i="1"/>
  <c r="B10959" i="1"/>
  <c r="B10960" i="1"/>
  <c r="B10961" i="1"/>
  <c r="B10742" i="1"/>
  <c r="B10743" i="1"/>
  <c r="B10744" i="1"/>
  <c r="B10684" i="1"/>
  <c r="B10685" i="1"/>
  <c r="B10686" i="1"/>
  <c r="B10687" i="1"/>
  <c r="B10688" i="1"/>
  <c r="B10689" i="1"/>
  <c r="B10690" i="1"/>
  <c r="B10691" i="1"/>
  <c r="B10562" i="1"/>
  <c r="B10563" i="1"/>
  <c r="B10564" i="1"/>
  <c r="B10565" i="1"/>
  <c r="B10566" i="1"/>
  <c r="B10567" i="1"/>
  <c r="B10568" i="1"/>
  <c r="B10569" i="1"/>
  <c r="B10570" i="1"/>
  <c r="B10174" i="1"/>
  <c r="B10175" i="1"/>
  <c r="B10176" i="1"/>
  <c r="B10177" i="1"/>
  <c r="B10166" i="1"/>
  <c r="B10167" i="1"/>
  <c r="B10163" i="1"/>
  <c r="B10164" i="1"/>
  <c r="B9958" i="1"/>
  <c r="B9959" i="1"/>
  <c r="B9957" i="1"/>
  <c r="B9955" i="1"/>
  <c r="B9956" i="1"/>
  <c r="B9951" i="1"/>
  <c r="B9952" i="1"/>
  <c r="B9953" i="1"/>
  <c r="B9954" i="1"/>
  <c r="B9949" i="1"/>
  <c r="B9946" i="1"/>
  <c r="B9947" i="1"/>
  <c r="B9948" i="1"/>
  <c r="B9936" i="1"/>
  <c r="B9748" i="1"/>
  <c r="B9749" i="1"/>
  <c r="B9746" i="1"/>
  <c r="B9744" i="1"/>
  <c r="B9745" i="1"/>
  <c r="B9743" i="1"/>
  <c r="B9742" i="1"/>
  <c r="B9735" i="1"/>
  <c r="B9558" i="1"/>
  <c r="B9559" i="1"/>
  <c r="B9560" i="1"/>
  <c r="B9482" i="1"/>
  <c r="B9353" i="1"/>
  <c r="B9354" i="1"/>
  <c r="B9355" i="1"/>
  <c r="B9356" i="1"/>
  <c r="B9357" i="1"/>
  <c r="B9358" i="1"/>
  <c r="B9270" i="1"/>
  <c r="B9080" i="1"/>
  <c r="B9074" i="1"/>
  <c r="B9075" i="1"/>
  <c r="B9179" i="1"/>
  <c r="B9174" i="1"/>
  <c r="B9173" i="1"/>
  <c r="B8969" i="1"/>
  <c r="B8970" i="1"/>
  <c r="B8959" i="1"/>
  <c r="B8960" i="1"/>
  <c r="B8961" i="1"/>
  <c r="B8829" i="1"/>
  <c r="B8830" i="1"/>
  <c r="B8722" i="1"/>
  <c r="B8717" i="1"/>
  <c r="B8607" i="1"/>
  <c r="B8601" i="1"/>
  <c r="B8493" i="1"/>
  <c r="B8487" i="1"/>
  <c r="B8481" i="1"/>
  <c r="B8482" i="1"/>
  <c r="B8365" i="1"/>
  <c r="B8366" i="1"/>
  <c r="B8367" i="1"/>
  <c r="B8128" i="1"/>
  <c r="B8129" i="1"/>
  <c r="B8596" i="1"/>
  <c r="B8588" i="1"/>
  <c r="B8589" i="1"/>
  <c r="B8274" i="1"/>
  <c r="B8275" i="1"/>
  <c r="B8276" i="1"/>
  <c r="B8267" i="1"/>
  <c r="B8022" i="1"/>
  <c r="B7871" i="1"/>
  <c r="B7872" i="1"/>
  <c r="B7873" i="1"/>
  <c r="B7874" i="1"/>
  <c r="B7853" i="1"/>
  <c r="B7663" i="1"/>
  <c r="B7664" i="1"/>
  <c r="B7665" i="1"/>
  <c r="B7666" i="1"/>
  <c r="B7667" i="1"/>
  <c r="B7668" i="1"/>
  <c r="B7669" i="1"/>
  <c r="B7670" i="1"/>
  <c r="B7671" i="1"/>
  <c r="B7262" i="1"/>
  <c r="B7263" i="1"/>
  <c r="B7264" i="1"/>
  <c r="B7265" i="1"/>
  <c r="B7236" i="1"/>
  <c r="B7237" i="1"/>
  <c r="B7238" i="1"/>
  <c r="B7239" i="1"/>
  <c r="B7240" i="1"/>
  <c r="B7445" i="1"/>
  <c r="B7446" i="1"/>
  <c r="B7447" i="1"/>
  <c r="B6811" i="1"/>
  <c r="B6786" i="1"/>
  <c r="B6787" i="1"/>
  <c r="B6788" i="1"/>
  <c r="B6789" i="1"/>
  <c r="B6790" i="1"/>
  <c r="B6791" i="1"/>
  <c r="B7000" i="1"/>
  <c r="B7001" i="1"/>
  <c r="B7002" i="1"/>
  <c r="B7003" i="1"/>
  <c r="B7004" i="1"/>
  <c r="B7005" i="1"/>
  <c r="B7006" i="1"/>
  <c r="B6985" i="1"/>
  <c r="B6986" i="1"/>
  <c r="B6613" i="1"/>
  <c r="B6614" i="1"/>
  <c r="B6615" i="1"/>
  <c r="B6616" i="1"/>
  <c r="B6617" i="1"/>
  <c r="B6596" i="1"/>
  <c r="B6597" i="1"/>
  <c r="B6598" i="1"/>
  <c r="B6599" i="1"/>
  <c r="B6297" i="1"/>
  <c r="B6298" i="1"/>
  <c r="B6299" i="1"/>
  <c r="B6300" i="1"/>
  <c r="B6301" i="1"/>
  <c r="B6520" i="1"/>
  <c r="B6521" i="1"/>
  <c r="B6522" i="1"/>
  <c r="B6523" i="1"/>
  <c r="B6510" i="1"/>
  <c r="B6511" i="1"/>
  <c r="B6512" i="1"/>
  <c r="B6500" i="1"/>
  <c r="B6501" i="1"/>
  <c r="B6100" i="1"/>
  <c r="B6101" i="1"/>
  <c r="B6102" i="1"/>
  <c r="B6090" i="1"/>
  <c r="B6091" i="1"/>
  <c r="B6092" i="1"/>
  <c r="B6071" i="1"/>
  <c r="B6072" i="1"/>
  <c r="B6073" i="1"/>
  <c r="B6074" i="1"/>
  <c r="B6075" i="1"/>
  <c r="B6076" i="1"/>
  <c r="B6077" i="1"/>
  <c r="B6078" i="1"/>
  <c r="B5764" i="1"/>
  <c r="B5765" i="1"/>
  <c r="B5744" i="1"/>
  <c r="B5745" i="1"/>
  <c r="B5746" i="1"/>
  <c r="B5747" i="1"/>
  <c r="B5748" i="1"/>
  <c r="B5749" i="1"/>
  <c r="B5936" i="1"/>
  <c r="B5937" i="1"/>
  <c r="B5938" i="1"/>
  <c r="B5939" i="1"/>
  <c r="B5940" i="1"/>
  <c r="B5941" i="1"/>
  <c r="B5942" i="1"/>
  <c r="B5409" i="1"/>
  <c r="B5410" i="1"/>
  <c r="B5411" i="1"/>
  <c r="B5412" i="1"/>
  <c r="B5413" i="1"/>
  <c r="B5414" i="1"/>
  <c r="B5415" i="1"/>
  <c r="B5416" i="1"/>
  <c r="B5417" i="1"/>
  <c r="B5418" i="1"/>
  <c r="B5419" i="1"/>
  <c r="B5218" i="1"/>
  <c r="B5202" i="1"/>
  <c r="B4910" i="1"/>
  <c r="B4911" i="1"/>
  <c r="B4912" i="1"/>
  <c r="B4913" i="1"/>
  <c r="B4892" i="1"/>
  <c r="B4893" i="1"/>
  <c r="B4894" i="1"/>
  <c r="B4895" i="1"/>
  <c r="B4691" i="1"/>
  <c r="B4692" i="1"/>
  <c r="B4693" i="1"/>
  <c r="B4694" i="1"/>
  <c r="B4695" i="1"/>
  <c r="B4696" i="1"/>
  <c r="B4697" i="1"/>
  <c r="B4698" i="1"/>
  <c r="B4348" i="1"/>
  <c r="B4349" i="1"/>
  <c r="B4350" i="1"/>
  <c r="B4351" i="1"/>
  <c r="B4341" i="1"/>
  <c r="B4342" i="1"/>
  <c r="B4343" i="1"/>
  <c r="B4344" i="1"/>
  <c r="B4535" i="1"/>
  <c r="B4518" i="1"/>
  <c r="B4519" i="1"/>
  <c r="B4520" i="1"/>
  <c r="B4163" i="1"/>
  <c r="B4164" i="1"/>
  <c r="B4165" i="1"/>
  <c r="B4157" i="1"/>
  <c r="B4158" i="1"/>
  <c r="B4131" i="1"/>
  <c r="B3896" i="1"/>
  <c r="B3881" i="1"/>
  <c r="B3882" i="1"/>
  <c r="B3883" i="1"/>
  <c r="B3884" i="1"/>
  <c r="B3885" i="1"/>
  <c r="B4074" i="1"/>
  <c r="B4075" i="1"/>
  <c r="B4076" i="1"/>
  <c r="B4077" i="1"/>
  <c r="B4078" i="1"/>
  <c r="B4079" i="1"/>
  <c r="B4066" i="1"/>
  <c r="B4067" i="1"/>
  <c r="B3696" i="1"/>
  <c r="B3697" i="1"/>
  <c r="B3698" i="1"/>
  <c r="B3699" i="1"/>
  <c r="B3687" i="1"/>
  <c r="B3688" i="1"/>
  <c r="B3689" i="1"/>
  <c r="B3690" i="1"/>
  <c r="B3691" i="1"/>
  <c r="B3684" i="1"/>
  <c r="B3389" i="1"/>
  <c r="B3390" i="1"/>
  <c r="B3391" i="1"/>
  <c r="B3392" i="1"/>
  <c r="B3393" i="1"/>
  <c r="B3194" i="1"/>
  <c r="B3180" i="1"/>
  <c r="B3181" i="1"/>
  <c r="B3182" i="1"/>
  <c r="B3183" i="1"/>
  <c r="B3184" i="1"/>
  <c r="B3185" i="1"/>
  <c r="B2514" i="1"/>
  <c r="B2500" i="1"/>
  <c r="B2501" i="1"/>
  <c r="B2502" i="1"/>
  <c r="B2954" i="1"/>
  <c r="B2955" i="1"/>
  <c r="B2956" i="1"/>
  <c r="B2957" i="1"/>
  <c r="B2958" i="1"/>
  <c r="B2959" i="1"/>
  <c r="B2960" i="1"/>
  <c r="B2961" i="1"/>
  <c r="B2944" i="1"/>
  <c r="B2776" i="1"/>
  <c r="B2762" i="1"/>
  <c r="B2763" i="1"/>
  <c r="B2764" i="1"/>
  <c r="B2765" i="1"/>
  <c r="B2354" i="1"/>
  <c r="B2355" i="1"/>
  <c r="B2356" i="1"/>
  <c r="B2340" i="1"/>
  <c r="B2341" i="1"/>
  <c r="B2342" i="1"/>
  <c r="B2343" i="1"/>
  <c r="B2344" i="1"/>
  <c r="B2171" i="1"/>
  <c r="B2162" i="1"/>
  <c r="B2163" i="1"/>
  <c r="B2164" i="1"/>
  <c r="B2165" i="1"/>
  <c r="B2166" i="1"/>
  <c r="B2160" i="1"/>
  <c r="B2152" i="1"/>
  <c r="B2153" i="1"/>
  <c r="B1889" i="1"/>
  <c r="B1890" i="1"/>
  <c r="B1891" i="1"/>
  <c r="B1892" i="1"/>
  <c r="B1893" i="1"/>
  <c r="B1882" i="1"/>
  <c r="B2067" i="1"/>
  <c r="B2043" i="1"/>
  <c r="B2044" i="1"/>
  <c r="B2045" i="1"/>
  <c r="B2046" i="1"/>
  <c r="B2047" i="1"/>
  <c r="B2048" i="1"/>
  <c r="B2049" i="1"/>
  <c r="B1693" i="1"/>
  <c r="B1694" i="1"/>
  <c r="B1695" i="1"/>
  <c r="B1696" i="1"/>
  <c r="B1697" i="1"/>
  <c r="B1409" i="1"/>
  <c r="B1410" i="1"/>
  <c r="B1411" i="1"/>
  <c r="B1412" i="1"/>
  <c r="B1392" i="1"/>
  <c r="B1393" i="1"/>
  <c r="B1561" i="1"/>
  <c r="B1562" i="1"/>
  <c r="B1246" i="1"/>
  <c r="B1238" i="1"/>
  <c r="B1239" i="1"/>
  <c r="B1240" i="1"/>
  <c r="B1232" i="1"/>
  <c r="B1233" i="1"/>
  <c r="B1234" i="1"/>
  <c r="B1235" i="1"/>
  <c r="B10962" i="1"/>
  <c r="B10963" i="1"/>
  <c r="B10878" i="1"/>
  <c r="B10879" i="1"/>
  <c r="B10880" i="1"/>
  <c r="B1088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571" i="1"/>
  <c r="B10572" i="1"/>
  <c r="B10573" i="1"/>
  <c r="B10540" i="1"/>
  <c r="B10541" i="1"/>
  <c r="B10542" i="1"/>
  <c r="B10165" i="1"/>
  <c r="B10162" i="1"/>
  <c r="B10159" i="1"/>
  <c r="B10160" i="1"/>
  <c r="B10156" i="1"/>
  <c r="B10157" i="1"/>
  <c r="B10149" i="1"/>
  <c r="B10150" i="1"/>
  <c r="B10151" i="1"/>
  <c r="B9937" i="1"/>
  <c r="B9938" i="1"/>
  <c r="B9939" i="1"/>
  <c r="B9940" i="1"/>
  <c r="B9930" i="1"/>
  <c r="B9931" i="1"/>
  <c r="B9736" i="1"/>
  <c r="B9737" i="1"/>
  <c r="B9729" i="1"/>
  <c r="B9730" i="1"/>
  <c r="B9725" i="1"/>
  <c r="B9726" i="1"/>
  <c r="B9727" i="1"/>
  <c r="B9561" i="1"/>
  <c r="B9359" i="1"/>
  <c r="B9360" i="1"/>
  <c r="B9361" i="1"/>
  <c r="B9261" i="1"/>
  <c r="B9171" i="1"/>
  <c r="B9163" i="1"/>
  <c r="B9164" i="1"/>
  <c r="B8962" i="1"/>
  <c r="B8951" i="1"/>
  <c r="B8952" i="1"/>
  <c r="B8953" i="1"/>
  <c r="B8954" i="1"/>
  <c r="B8825" i="1"/>
  <c r="B8704" i="1"/>
  <c r="B8597" i="1"/>
  <c r="B8355" i="1"/>
  <c r="B8356" i="1"/>
  <c r="B8122" i="1"/>
  <c r="B8123" i="1"/>
  <c r="B8124" i="1"/>
  <c r="B8582" i="1"/>
  <c r="B8577" i="1"/>
  <c r="B8268" i="1"/>
  <c r="B8257" i="1"/>
  <c r="B8247" i="1"/>
  <c r="B8248" i="1"/>
  <c r="B8023" i="1"/>
  <c r="B7854" i="1"/>
  <c r="B7855" i="1"/>
  <c r="B7856" i="1"/>
  <c r="B7832" i="1"/>
  <c r="B7833" i="1"/>
  <c r="B7659" i="1"/>
  <c r="B7648" i="1"/>
  <c r="B7649" i="1"/>
  <c r="B7241" i="1"/>
  <c r="B7242" i="1"/>
  <c r="B7243" i="1"/>
  <c r="B7244" i="1"/>
  <c r="B7245" i="1"/>
  <c r="B7246" i="1"/>
  <c r="B7431" i="1"/>
  <c r="B7432" i="1"/>
  <c r="B7433" i="1"/>
  <c r="B7434" i="1"/>
  <c r="B6792" i="1"/>
  <c r="B6793" i="1"/>
  <c r="B6794" i="1"/>
  <c r="B6776" i="1"/>
  <c r="B6777" i="1"/>
  <c r="B6778" i="1"/>
  <c r="B6987" i="1"/>
  <c r="B6988" i="1"/>
  <c r="B6989" i="1"/>
  <c r="B6990" i="1"/>
  <c r="B6991" i="1"/>
  <c r="B6992" i="1"/>
  <c r="B6993" i="1"/>
  <c r="B6600" i="1"/>
  <c r="B6601" i="1"/>
  <c r="B6602" i="1"/>
  <c r="B6603" i="1"/>
  <c r="B6604" i="1"/>
  <c r="B6588" i="1"/>
  <c r="B6589" i="1"/>
  <c r="B6590" i="1"/>
  <c r="B6591" i="1"/>
  <c r="B6592" i="1"/>
  <c r="B6593" i="1"/>
  <c r="B6286" i="1"/>
  <c r="B6287" i="1"/>
  <c r="B6288" i="1"/>
  <c r="B6289" i="1"/>
  <c r="B6502" i="1"/>
  <c r="B6503" i="1"/>
  <c r="B6493" i="1"/>
  <c r="B6494" i="1"/>
  <c r="B6495" i="1"/>
  <c r="B6496" i="1"/>
  <c r="B6079" i="1"/>
  <c r="B6080" i="1"/>
  <c r="B6081" i="1"/>
  <c r="B6082" i="1"/>
  <c r="B6083" i="1"/>
  <c r="B6084" i="1"/>
  <c r="B6057" i="1"/>
  <c r="B6058" i="1"/>
  <c r="B6059" i="1"/>
  <c r="B6060" i="1"/>
  <c r="B5750" i="1"/>
  <c r="B5751" i="1"/>
  <c r="B5736" i="1"/>
  <c r="B5737" i="1"/>
  <c r="B5738" i="1"/>
  <c r="B5739" i="1"/>
  <c r="B5735" i="1"/>
  <c r="B5920" i="1"/>
  <c r="B5921" i="1"/>
  <c r="B5922" i="1"/>
  <c r="B5923" i="1"/>
  <c r="B5924" i="1"/>
  <c r="B5925" i="1"/>
  <c r="B5400" i="1"/>
  <c r="B5401" i="1"/>
  <c r="B5402" i="1"/>
  <c r="B5403" i="1"/>
  <c r="B5404" i="1"/>
  <c r="B5393" i="1"/>
  <c r="B5203" i="1"/>
  <c r="B5204" i="1"/>
  <c r="B5205" i="1"/>
  <c r="B5206" i="1"/>
  <c r="B5207" i="1"/>
  <c r="B5208" i="1"/>
  <c r="B5209" i="1"/>
  <c r="B5210" i="1"/>
  <c r="B5193" i="1"/>
  <c r="B4896" i="1"/>
  <c r="B4897" i="1"/>
  <c r="B4898" i="1"/>
  <c r="B4899" i="1"/>
  <c r="B4900" i="1"/>
  <c r="B4901" i="1"/>
  <c r="B4902" i="1"/>
  <c r="B4903" i="1"/>
  <c r="B4904" i="1"/>
  <c r="B4905" i="1"/>
  <c r="B4688" i="1"/>
  <c r="B4676" i="1"/>
  <c r="B4677" i="1"/>
  <c r="B4678" i="1"/>
  <c r="B4679" i="1"/>
  <c r="B4680" i="1"/>
  <c r="B4345" i="1"/>
  <c r="B4326" i="1"/>
  <c r="B4327" i="1"/>
  <c r="B4328" i="1"/>
  <c r="B4329" i="1"/>
  <c r="B4330" i="1"/>
  <c r="B4521" i="1"/>
  <c r="B4522" i="1"/>
  <c r="B4508" i="1"/>
  <c r="B4509" i="1"/>
  <c r="B4510" i="1"/>
  <c r="B4511" i="1"/>
  <c r="B4512" i="1"/>
  <c r="B4513" i="1"/>
  <c r="B4132" i="1"/>
  <c r="B4133" i="1"/>
  <c r="B4134" i="1"/>
  <c r="B4135" i="1"/>
  <c r="B4136" i="1"/>
  <c r="B4137" i="1"/>
  <c r="B4138" i="1"/>
  <c r="B4139" i="1"/>
  <c r="B4140" i="1"/>
  <c r="B3886" i="1"/>
  <c r="B3887" i="1"/>
  <c r="B3869" i="1"/>
  <c r="B3870" i="1"/>
  <c r="B3871" i="1"/>
  <c r="B3872" i="1"/>
  <c r="B3873" i="1"/>
  <c r="B3874" i="1"/>
  <c r="B4053" i="1"/>
  <c r="B4054" i="1"/>
  <c r="B4055" i="1"/>
  <c r="B4056" i="1"/>
  <c r="B4057" i="1"/>
  <c r="B3669" i="1"/>
  <c r="B3670" i="1"/>
  <c r="B3671" i="1"/>
  <c r="B3672" i="1"/>
  <c r="B3673" i="1"/>
  <c r="B3380" i="1"/>
  <c r="B3381" i="1"/>
  <c r="B3382" i="1"/>
  <c r="B3383" i="1"/>
  <c r="B3384" i="1"/>
  <c r="B3364" i="1"/>
  <c r="B3365" i="1"/>
  <c r="B3366" i="1"/>
  <c r="B3588" i="1"/>
  <c r="B3589" i="1"/>
  <c r="B3590" i="1"/>
  <c r="B3591" i="1"/>
  <c r="B3592" i="1"/>
  <c r="B3593" i="1"/>
  <c r="B3594" i="1"/>
  <c r="B3595" i="1"/>
  <c r="B3596" i="1"/>
  <c r="B3177" i="1"/>
  <c r="B3174" i="1"/>
  <c r="B3168" i="1"/>
  <c r="B3169" i="1"/>
  <c r="B3162" i="1"/>
  <c r="B2495" i="1"/>
  <c r="B2496" i="1"/>
  <c r="B2486" i="1"/>
  <c r="B2487" i="1"/>
  <c r="B2488" i="1"/>
  <c r="B2489" i="1"/>
  <c r="B2490" i="1"/>
  <c r="B2945" i="1"/>
  <c r="B2946" i="1"/>
  <c r="B2947" i="1"/>
  <c r="B2948" i="1"/>
  <c r="B2949" i="1"/>
  <c r="B2935" i="1"/>
  <c r="B2936" i="1"/>
  <c r="B2937" i="1"/>
  <c r="B2938" i="1"/>
  <c r="B2939" i="1"/>
  <c r="B2931" i="1"/>
  <c r="B2766" i="1"/>
  <c r="B2767" i="1"/>
  <c r="B2751" i="1"/>
  <c r="B2752" i="1"/>
  <c r="B2753" i="1"/>
  <c r="B2754" i="1"/>
  <c r="B2755" i="1"/>
  <c r="B2335" i="1"/>
  <c r="B2325" i="1"/>
  <c r="B2326" i="1"/>
  <c r="B2327" i="1"/>
  <c r="B2328" i="1"/>
  <c r="B2329" i="1"/>
  <c r="B2154" i="1"/>
  <c r="B2155" i="1"/>
  <c r="B2151" i="1"/>
  <c r="B2149" i="1"/>
  <c r="B2147" i="1"/>
  <c r="B1877" i="1"/>
  <c r="B1878" i="1"/>
  <c r="B1879" i="1"/>
  <c r="B1857" i="1"/>
  <c r="B2050" i="1"/>
  <c r="B2051" i="1"/>
  <c r="B2052" i="1"/>
  <c r="B2053" i="1"/>
  <c r="B2054" i="1"/>
  <c r="B2055" i="1"/>
  <c r="B2056" i="1"/>
  <c r="B2028" i="1"/>
  <c r="B2029" i="1"/>
  <c r="B2030" i="1"/>
  <c r="B1698" i="1"/>
  <c r="B1680" i="1"/>
  <c r="B1681" i="1"/>
  <c r="B1682" i="1"/>
  <c r="B1683" i="1"/>
  <c r="B1684" i="1"/>
  <c r="B1685" i="1"/>
  <c r="B1686" i="1"/>
  <c r="B1687" i="1"/>
  <c r="B1560" i="1"/>
  <c r="B1556" i="1"/>
  <c r="B1545" i="1"/>
  <c r="B1387" i="1"/>
  <c r="B1388" i="1"/>
  <c r="B1389" i="1"/>
  <c r="B1224" i="1"/>
  <c r="B1225" i="1"/>
  <c r="B1226" i="1"/>
  <c r="B1216" i="1"/>
  <c r="B1217" i="1"/>
  <c r="B10882" i="1"/>
  <c r="B10883" i="1"/>
  <c r="B10884" i="1"/>
  <c r="B10885" i="1"/>
  <c r="B10886" i="1"/>
  <c r="B10887" i="1"/>
  <c r="B10888" i="1"/>
  <c r="B10889" i="1"/>
  <c r="B10543" i="1"/>
  <c r="B10544" i="1"/>
  <c r="B10545" i="1"/>
  <c r="B10546" i="1"/>
  <c r="B10547" i="1"/>
  <c r="B10539" i="1"/>
  <c r="B10518" i="1"/>
  <c r="B10519" i="1"/>
  <c r="B10364" i="1"/>
  <c r="B10359" i="1"/>
  <c r="B10360" i="1"/>
  <c r="B10361" i="1"/>
  <c r="B10362" i="1"/>
  <c r="B10363" i="1"/>
  <c r="B10146" i="1"/>
  <c r="B10140" i="1"/>
  <c r="B10136" i="1"/>
  <c r="B10137" i="1"/>
  <c r="B10138" i="1"/>
  <c r="B10126" i="1"/>
  <c r="B10127" i="1"/>
  <c r="B9924" i="1"/>
  <c r="B9925" i="1"/>
  <c r="B9926" i="1"/>
  <c r="B9927" i="1"/>
  <c r="B9921" i="1"/>
  <c r="B9922" i="1"/>
  <c r="B9919" i="1"/>
  <c r="B9920" i="1"/>
  <c r="B9720" i="1"/>
  <c r="B9721" i="1"/>
  <c r="B9722" i="1"/>
  <c r="B9717" i="1"/>
  <c r="B9718" i="1"/>
  <c r="B9715" i="1"/>
  <c r="B9716" i="1"/>
  <c r="B9554" i="1"/>
  <c r="B9545" i="1"/>
  <c r="B9477" i="1"/>
  <c r="B9478" i="1"/>
  <c r="B9479" i="1"/>
  <c r="B9348" i="1"/>
  <c r="B9349" i="1"/>
  <c r="B9337" i="1"/>
  <c r="B9262" i="1"/>
  <c r="B9252" i="1"/>
  <c r="B9070" i="1"/>
  <c r="B9071" i="1"/>
  <c r="B9062" i="1"/>
  <c r="B9063" i="1"/>
  <c r="B9165" i="1"/>
  <c r="B9166" i="1"/>
  <c r="B9167" i="1"/>
  <c r="B9156" i="1"/>
  <c r="B9157" i="1"/>
  <c r="B8816" i="1"/>
  <c r="B8817" i="1"/>
  <c r="B8818" i="1"/>
  <c r="B8463" i="1"/>
  <c r="B8464" i="1"/>
  <c r="B8465" i="1"/>
  <c r="B8466" i="1"/>
  <c r="B8347" i="1"/>
  <c r="B8116" i="1"/>
  <c r="B8111" i="1"/>
  <c r="B8112" i="1"/>
  <c r="B8578" i="1"/>
  <c r="B8574" i="1"/>
  <c r="B8575" i="1"/>
  <c r="B8249" i="1"/>
  <c r="B7995" i="1"/>
  <c r="B7996" i="1"/>
  <c r="B7997" i="1"/>
  <c r="B7998" i="1"/>
  <c r="B7999" i="1"/>
  <c r="B8000" i="1"/>
  <c r="B8001" i="1"/>
  <c r="B8002" i="1"/>
  <c r="B7834" i="1"/>
  <c r="B7835" i="1"/>
  <c r="B7836" i="1"/>
  <c r="B7837" i="1"/>
  <c r="B7838" i="1"/>
  <c r="B7820" i="1"/>
  <c r="B7821" i="1"/>
  <c r="B7822" i="1"/>
  <c r="B7815" i="1"/>
  <c r="B7650" i="1"/>
  <c r="B7224" i="1"/>
  <c r="B7225" i="1"/>
  <c r="B7226" i="1"/>
  <c r="B7227" i="1"/>
  <c r="B7228" i="1"/>
  <c r="B7217" i="1"/>
  <c r="B7218" i="1"/>
  <c r="B7219" i="1"/>
  <c r="B7220" i="1"/>
  <c r="B7435" i="1"/>
  <c r="B7436" i="1"/>
  <c r="B7427" i="1"/>
  <c r="B7428" i="1"/>
  <c r="B7415" i="1"/>
  <c r="B6779" i="1"/>
  <c r="B6780" i="1"/>
  <c r="B6762" i="1"/>
  <c r="B6763" i="1"/>
  <c r="B6971" i="1"/>
  <c r="B6972" i="1"/>
  <c r="B6973" i="1"/>
  <c r="B6974" i="1"/>
  <c r="B6975" i="1"/>
  <c r="B6976" i="1"/>
  <c r="B6290" i="1"/>
  <c r="B6268" i="1"/>
  <c r="B6269" i="1"/>
  <c r="B6270" i="1"/>
  <c r="B6271" i="1"/>
  <c r="B6272" i="1"/>
  <c r="B6482" i="1"/>
  <c r="B6483" i="1"/>
  <c r="B6484" i="1"/>
  <c r="B6485" i="1"/>
  <c r="B6486" i="1"/>
  <c r="B6487" i="1"/>
  <c r="B6471" i="1"/>
  <c r="B5732" i="1"/>
  <c r="B5723" i="1"/>
  <c r="B5724" i="1"/>
  <c r="B5725" i="1"/>
  <c r="B5726" i="1"/>
  <c r="B5727" i="1"/>
  <c r="B5728" i="1"/>
  <c r="B5729" i="1"/>
  <c r="B5706" i="1"/>
  <c r="B5707" i="1"/>
  <c r="B5708" i="1"/>
  <c r="B5709" i="1"/>
  <c r="B5926" i="1"/>
  <c r="B5927" i="1"/>
  <c r="B5928" i="1"/>
  <c r="B5917" i="1"/>
  <c r="B5918" i="1"/>
  <c r="B5909" i="1"/>
  <c r="B5389" i="1"/>
  <c r="B5390" i="1"/>
  <c r="B5391" i="1"/>
  <c r="B5384" i="1"/>
  <c r="B5194" i="1"/>
  <c r="B5195" i="1"/>
  <c r="B5196" i="1"/>
  <c r="B5197" i="1"/>
  <c r="B5198" i="1"/>
  <c r="B5179" i="1"/>
  <c r="B5180" i="1"/>
  <c r="B5181" i="1"/>
  <c r="B5182" i="1"/>
  <c r="B4887" i="1"/>
  <c r="B4888" i="1"/>
  <c r="B4881" i="1"/>
  <c r="B4882" i="1"/>
  <c r="B4883" i="1"/>
  <c r="B4681" i="1"/>
  <c r="B4682" i="1"/>
  <c r="B4660" i="1"/>
  <c r="B4661" i="1"/>
  <c r="B4662" i="1"/>
  <c r="B4663" i="1"/>
  <c r="B4664" i="1"/>
  <c r="B4665" i="1"/>
  <c r="B4666" i="1"/>
  <c r="B4667" i="1"/>
  <c r="B4668" i="1"/>
  <c r="B4669" i="1"/>
  <c r="B4670" i="1"/>
  <c r="B4331" i="1"/>
  <c r="B4332" i="1"/>
  <c r="B4333" i="1"/>
  <c r="B4318" i="1"/>
  <c r="B4319" i="1"/>
  <c r="B4320" i="1"/>
  <c r="B4321" i="1"/>
  <c r="B4311" i="1"/>
  <c r="B4514" i="1"/>
  <c r="B4515" i="1"/>
  <c r="B4516" i="1"/>
  <c r="B4492" i="1"/>
  <c r="B4493" i="1"/>
  <c r="B4494" i="1"/>
  <c r="B4495" i="1"/>
  <c r="B4496" i="1"/>
  <c r="B4497" i="1"/>
  <c r="B4141" i="1"/>
  <c r="B4142" i="1"/>
  <c r="B4143" i="1"/>
  <c r="B4144" i="1"/>
  <c r="B4145" i="1"/>
  <c r="B4120" i="1"/>
  <c r="B4121" i="1"/>
  <c r="B4122" i="1"/>
  <c r="B4123" i="1"/>
  <c r="B4124" i="1"/>
  <c r="B4125" i="1"/>
  <c r="B3875" i="1"/>
  <c r="B3876" i="1"/>
  <c r="B3861" i="1"/>
  <c r="B3862" i="1"/>
  <c r="B3863" i="1"/>
  <c r="B3849" i="1"/>
  <c r="B3850" i="1"/>
  <c r="B3851" i="1"/>
  <c r="B3852" i="1"/>
  <c r="B3853" i="1"/>
  <c r="B4058" i="1"/>
  <c r="B4039" i="1"/>
  <c r="B4040" i="1"/>
  <c r="B4041" i="1"/>
  <c r="B4042" i="1"/>
  <c r="B4043" i="1"/>
  <c r="B4044" i="1"/>
  <c r="B3674" i="1"/>
  <c r="B3675" i="1"/>
  <c r="B3367" i="1"/>
  <c r="B3368" i="1"/>
  <c r="B3369" i="1"/>
  <c r="B3370" i="1"/>
  <c r="B3575" i="1"/>
  <c r="B3576" i="1"/>
  <c r="B3577" i="1"/>
  <c r="B3578" i="1"/>
  <c r="B3579" i="1"/>
  <c r="B3580" i="1"/>
  <c r="B3163" i="1"/>
  <c r="B3164" i="1"/>
  <c r="B3165" i="1"/>
  <c r="B3166" i="1"/>
  <c r="B3149" i="1"/>
  <c r="B3150" i="1"/>
  <c r="B3151" i="1"/>
  <c r="B3152" i="1"/>
  <c r="B3153" i="1"/>
  <c r="B3154" i="1"/>
  <c r="B3130" i="1"/>
  <c r="B2491" i="1"/>
  <c r="B2475" i="1"/>
  <c r="B2476" i="1"/>
  <c r="B2477" i="1"/>
  <c r="B2478" i="1"/>
  <c r="B2479" i="1"/>
  <c r="B2468" i="1"/>
  <c r="B2469" i="1"/>
  <c r="B2932" i="1"/>
  <c r="B2917" i="1"/>
  <c r="B2918" i="1"/>
  <c r="B2919" i="1"/>
  <c r="B2920" i="1"/>
  <c r="B2921" i="1"/>
  <c r="B2922" i="1"/>
  <c r="B2923" i="1"/>
  <c r="B2740" i="1"/>
  <c r="B2741" i="1"/>
  <c r="B2742" i="1"/>
  <c r="B2743" i="1"/>
  <c r="B2744" i="1"/>
  <c r="B2745" i="1"/>
  <c r="B2746" i="1"/>
  <c r="B2747" i="1"/>
  <c r="B2732" i="1"/>
  <c r="B2733" i="1"/>
  <c r="B2734" i="1"/>
  <c r="B2735" i="1"/>
  <c r="B2330" i="1"/>
  <c r="B2331" i="1"/>
  <c r="B2332" i="1"/>
  <c r="B2319" i="1"/>
  <c r="B2320" i="1"/>
  <c r="B2321" i="1"/>
  <c r="B2322" i="1"/>
  <c r="B2308" i="1"/>
  <c r="B2309" i="1"/>
  <c r="B2310" i="1"/>
  <c r="B2143" i="1"/>
  <c r="B2144" i="1"/>
  <c r="B2136" i="1"/>
  <c r="B2137" i="1"/>
  <c r="B2138" i="1"/>
  <c r="B2139" i="1"/>
  <c r="B1858" i="1"/>
  <c r="B1859" i="1"/>
  <c r="B1860" i="1"/>
  <c r="B1861" i="1"/>
  <c r="B1862" i="1"/>
  <c r="B1863" i="1"/>
  <c r="B1864" i="1"/>
  <c r="B1865" i="1"/>
  <c r="B1866" i="1"/>
  <c r="B2031" i="1"/>
  <c r="B2032" i="1"/>
  <c r="B2033" i="1"/>
  <c r="B2034" i="1"/>
  <c r="B2035" i="1"/>
  <c r="B2036" i="1"/>
  <c r="B2037" i="1"/>
  <c r="B2038" i="1"/>
  <c r="B2039" i="1"/>
  <c r="B1673" i="1"/>
  <c r="B1674" i="1"/>
  <c r="B1675" i="1"/>
  <c r="B1676" i="1"/>
  <c r="B1546" i="1"/>
  <c r="B1547" i="1"/>
  <c r="B1548" i="1"/>
  <c r="B1549" i="1"/>
  <c r="B1550" i="1"/>
  <c r="B1541" i="1"/>
  <c r="B1542" i="1"/>
  <c r="B1543" i="1"/>
  <c r="B1383" i="1"/>
  <c r="B1212" i="1"/>
  <c r="B1207" i="1"/>
  <c r="B1208" i="1"/>
  <c r="B1209" i="1"/>
  <c r="B1210" i="1"/>
  <c r="B1203" i="1"/>
  <c r="B1204" i="1"/>
  <c r="B1205" i="1"/>
  <c r="B10890" i="1"/>
  <c r="B10891" i="1"/>
  <c r="B10892" i="1"/>
  <c r="B10893" i="1"/>
  <c r="B10894" i="1"/>
  <c r="B10895" i="1"/>
  <c r="B10896" i="1"/>
  <c r="B10897" i="1"/>
  <c r="B10520" i="1"/>
  <c r="B10521" i="1"/>
  <c r="B10522" i="1"/>
  <c r="B10523" i="1"/>
  <c r="B10524" i="1"/>
  <c r="B10525" i="1"/>
  <c r="B10356" i="1"/>
  <c r="B10355" i="1"/>
  <c r="B10353" i="1"/>
  <c r="B10352" i="1"/>
  <c r="B10348" i="1"/>
  <c r="B10346" i="1"/>
  <c r="B10342" i="1"/>
  <c r="B10128" i="1"/>
  <c r="B10129" i="1"/>
  <c r="B10130" i="1"/>
  <c r="B10131" i="1"/>
  <c r="B10132" i="1"/>
  <c r="B10118" i="1"/>
  <c r="B10119" i="1"/>
  <c r="B10120" i="1"/>
  <c r="B10121" i="1"/>
  <c r="B10122" i="1"/>
  <c r="B10112" i="1"/>
  <c r="B9912" i="1"/>
  <c r="B9910" i="1"/>
  <c r="B9906" i="1"/>
  <c r="B9907" i="1"/>
  <c r="B9908" i="1"/>
  <c r="B9905" i="1"/>
  <c r="B9901" i="1"/>
  <c r="B9902" i="1"/>
  <c r="B9903" i="1"/>
  <c r="B9706" i="1"/>
  <c r="B9698" i="1"/>
  <c r="B9699" i="1"/>
  <c r="B9700" i="1"/>
  <c r="B9701" i="1"/>
  <c r="B9696" i="1"/>
  <c r="B9692" i="1"/>
  <c r="B9546" i="1"/>
  <c r="B9475" i="1"/>
  <c r="B9472" i="1"/>
  <c r="B9473" i="1"/>
  <c r="B9338" i="1"/>
  <c r="B9339" i="1"/>
  <c r="B9414" i="1"/>
  <c r="B9415" i="1"/>
  <c r="B9416" i="1"/>
  <c r="B9413" i="1"/>
  <c r="B9241" i="1"/>
  <c r="B9242" i="1"/>
  <c r="B9064" i="1"/>
  <c r="B9065" i="1"/>
  <c r="B9057" i="1"/>
  <c r="B8946" i="1"/>
  <c r="B8947" i="1"/>
  <c r="B8940" i="1"/>
  <c r="B8941" i="1"/>
  <c r="B8814" i="1"/>
  <c r="B8690" i="1"/>
  <c r="B8691" i="1"/>
  <c r="B8456" i="1"/>
  <c r="B8457" i="1"/>
  <c r="B8458" i="1"/>
  <c r="B8450" i="1"/>
  <c r="B8348" i="1"/>
  <c r="B8336" i="1"/>
  <c r="B8337" i="1"/>
  <c r="B8338" i="1"/>
  <c r="B8339" i="1"/>
  <c r="B8098" i="1"/>
  <c r="B8099" i="1"/>
  <c r="B8576" i="1"/>
  <c r="B8569" i="1"/>
  <c r="B8236" i="1"/>
  <c r="B8237" i="1"/>
  <c r="B8238" i="1"/>
  <c r="B7984" i="1"/>
  <c r="B7985" i="1"/>
  <c r="B7816" i="1"/>
  <c r="B7795" i="1"/>
  <c r="B7796" i="1"/>
  <c r="B7797" i="1"/>
  <c r="B7798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986" i="1"/>
  <c r="B7987" i="1"/>
  <c r="B7988" i="1"/>
  <c r="B7221" i="1"/>
  <c r="B7204" i="1"/>
  <c r="B7205" i="1"/>
  <c r="B7206" i="1"/>
  <c r="B7207" i="1"/>
  <c r="B7208" i="1"/>
  <c r="B7209" i="1"/>
  <c r="B7210" i="1"/>
  <c r="B7202" i="1"/>
  <c r="B7200" i="1"/>
  <c r="B7416" i="1"/>
  <c r="B7417" i="1"/>
  <c r="B7418" i="1"/>
  <c r="B7419" i="1"/>
  <c r="B7420" i="1"/>
  <c r="B7421" i="1"/>
  <c r="B7422" i="1"/>
  <c r="B7392" i="1"/>
  <c r="B7393" i="1"/>
  <c r="B7394" i="1"/>
  <c r="B7395" i="1"/>
  <c r="B6764" i="1"/>
  <c r="B6765" i="1"/>
  <c r="B6753" i="1"/>
  <c r="B6754" i="1"/>
  <c r="B6755" i="1"/>
  <c r="B6756" i="1"/>
  <c r="B6757" i="1"/>
  <c r="B6977" i="1"/>
  <c r="B6960" i="1"/>
  <c r="B6961" i="1"/>
  <c r="B6962" i="1"/>
  <c r="B6963" i="1"/>
  <c r="B6964" i="1"/>
  <c r="B6965" i="1"/>
  <c r="B6966" i="1"/>
  <c r="B6949" i="1"/>
  <c r="B6950" i="1"/>
  <c r="B6273" i="1"/>
  <c r="B6274" i="1"/>
  <c r="B6275" i="1"/>
  <c r="B6276" i="1"/>
  <c r="B6277" i="1"/>
  <c r="B6278" i="1"/>
  <c r="B6267" i="1"/>
  <c r="B6256" i="1"/>
  <c r="B6472" i="1"/>
  <c r="B6473" i="1"/>
  <c r="B6474" i="1"/>
  <c r="B6475" i="1"/>
  <c r="B6476" i="1"/>
  <c r="B6477" i="1"/>
  <c r="B6457" i="1"/>
  <c r="B6458" i="1"/>
  <c r="B6459" i="1"/>
  <c r="B6460" i="1"/>
  <c r="B6461" i="1"/>
  <c r="B5710" i="1"/>
  <c r="B5711" i="1"/>
  <c r="B5712" i="1"/>
  <c r="B5713" i="1"/>
  <c r="B5714" i="1"/>
  <c r="B5715" i="1"/>
  <c r="B5694" i="1"/>
  <c r="B5695" i="1"/>
  <c r="B5696" i="1"/>
  <c r="B5697" i="1"/>
  <c r="B5698" i="1"/>
  <c r="B5699" i="1"/>
  <c r="B5910" i="1"/>
  <c r="B5891" i="1"/>
  <c r="B5892" i="1"/>
  <c r="B5893" i="1"/>
  <c r="B5894" i="1"/>
  <c r="B5895" i="1"/>
  <c r="B5896" i="1"/>
  <c r="B5897" i="1"/>
  <c r="B5385" i="1"/>
  <c r="B5373" i="1"/>
  <c r="B5374" i="1"/>
  <c r="B5375" i="1"/>
  <c r="B5376" i="1"/>
  <c r="B5377" i="1"/>
  <c r="B5183" i="1"/>
  <c r="B5184" i="1"/>
  <c r="B5185" i="1"/>
  <c r="B4864" i="1"/>
  <c r="B4865" i="1"/>
  <c r="B4866" i="1"/>
  <c r="B4867" i="1"/>
  <c r="B4868" i="1"/>
  <c r="B4869" i="1"/>
  <c r="B4870" i="1"/>
  <c r="B4871" i="1"/>
  <c r="B4644" i="1"/>
  <c r="B4645" i="1"/>
  <c r="B4646" i="1"/>
  <c r="B4647" i="1"/>
  <c r="B4648" i="1"/>
  <c r="B4649" i="1"/>
  <c r="B4650" i="1"/>
  <c r="B4651" i="1"/>
  <c r="B4652" i="1"/>
  <c r="B4653" i="1"/>
  <c r="B4312" i="1"/>
  <c r="B4313" i="1"/>
  <c r="B4314" i="1"/>
  <c r="B4296" i="1"/>
  <c r="B4297" i="1"/>
  <c r="B4298" i="1"/>
  <c r="B4299" i="1"/>
  <c r="B4489" i="1"/>
  <c r="B4486" i="1"/>
  <c r="B4475" i="1"/>
  <c r="B4476" i="1"/>
  <c r="B4477" i="1"/>
  <c r="B4478" i="1"/>
  <c r="B4126" i="1"/>
  <c r="B4111" i="1"/>
  <c r="B4112" i="1"/>
  <c r="B4113" i="1"/>
  <c r="B4114" i="1"/>
  <c r="B4115" i="1"/>
  <c r="B3854" i="1"/>
  <c r="B3855" i="1"/>
  <c r="B3856" i="1"/>
  <c r="B3838" i="1"/>
  <c r="B3839" i="1"/>
  <c r="B3840" i="1"/>
  <c r="B3841" i="1"/>
  <c r="B3842" i="1"/>
  <c r="B3843" i="1"/>
  <c r="B3844" i="1"/>
  <c r="B3845" i="1"/>
  <c r="B4045" i="1"/>
  <c r="B4046" i="1"/>
  <c r="B4036" i="1"/>
  <c r="B4037" i="1"/>
  <c r="B4034" i="1"/>
  <c r="B3660" i="1"/>
  <c r="B3661" i="1"/>
  <c r="B3662" i="1"/>
  <c r="B3663" i="1"/>
  <c r="B3664" i="1"/>
  <c r="B3652" i="1"/>
  <c r="B3653" i="1"/>
  <c r="B3654" i="1"/>
  <c r="B3655" i="1"/>
  <c r="B3357" i="1"/>
  <c r="B3358" i="1"/>
  <c r="B3359" i="1"/>
  <c r="B3558" i="1"/>
  <c r="B3559" i="1"/>
  <c r="B3560" i="1"/>
  <c r="B3561" i="1"/>
  <c r="B3562" i="1"/>
  <c r="B3563" i="1"/>
  <c r="B3564" i="1"/>
  <c r="B3565" i="1"/>
  <c r="B3131" i="1"/>
  <c r="B3132" i="1"/>
  <c r="B3133" i="1"/>
  <c r="B3134" i="1"/>
  <c r="B3135" i="1"/>
  <c r="B3136" i="1"/>
  <c r="B2470" i="1"/>
  <c r="B2471" i="1"/>
  <c r="B2456" i="1"/>
  <c r="B2457" i="1"/>
  <c r="B2458" i="1"/>
  <c r="B2459" i="1"/>
  <c r="B2924" i="1"/>
  <c r="B2925" i="1"/>
  <c r="B2926" i="1"/>
  <c r="B2901" i="1"/>
  <c r="B2902" i="1"/>
  <c r="B2903" i="1"/>
  <c r="B2904" i="1"/>
  <c r="B2905" i="1"/>
  <c r="B2727" i="1"/>
  <c r="B2728" i="1"/>
  <c r="B2719" i="1"/>
  <c r="B2720" i="1"/>
  <c r="B2721" i="1"/>
  <c r="B2311" i="1"/>
  <c r="B2312" i="1"/>
  <c r="B2313" i="1"/>
  <c r="B2314" i="1"/>
  <c r="B2315" i="1"/>
  <c r="B2304" i="1"/>
  <c r="B2305" i="1"/>
  <c r="B2306" i="1"/>
  <c r="B2297" i="1"/>
  <c r="B2298" i="1"/>
  <c r="B2133" i="1"/>
  <c r="B2124" i="1"/>
  <c r="B2125" i="1"/>
  <c r="B2126" i="1"/>
  <c r="B2127" i="1"/>
  <c r="B2128" i="1"/>
  <c r="B2129" i="1"/>
  <c r="B2116" i="1"/>
  <c r="B2117" i="1"/>
  <c r="B1844" i="1"/>
  <c r="B1845" i="1"/>
  <c r="B1846" i="1"/>
  <c r="B1847" i="1"/>
  <c r="B1848" i="1"/>
  <c r="B1849" i="1"/>
  <c r="B1850" i="1"/>
  <c r="B1851" i="1"/>
  <c r="B1852" i="1"/>
  <c r="B1853" i="1"/>
  <c r="B1854" i="1"/>
  <c r="B2021" i="1"/>
  <c r="B2022" i="1"/>
  <c r="B2023" i="1"/>
  <c r="B2014" i="1"/>
  <c r="B2015" i="1"/>
  <c r="B1662" i="1"/>
  <c r="B1663" i="1"/>
  <c r="B1664" i="1"/>
  <c r="B1665" i="1"/>
  <c r="B1642" i="1"/>
  <c r="B1643" i="1"/>
  <c r="B1534" i="1"/>
  <c r="B1535" i="1"/>
  <c r="B1536" i="1"/>
  <c r="B1537" i="1"/>
  <c r="B1373" i="1"/>
  <c r="B1374" i="1"/>
  <c r="B1375" i="1"/>
  <c r="B10898" i="1"/>
  <c r="B10899" i="1"/>
  <c r="B10900" i="1"/>
  <c r="B10901" i="1"/>
  <c r="B10902" i="1"/>
  <c r="B10903" i="1"/>
  <c r="B10847" i="1"/>
  <c r="B10848" i="1"/>
  <c r="B10849" i="1"/>
  <c r="B10850" i="1"/>
  <c r="B10851" i="1"/>
  <c r="B10526" i="1"/>
  <c r="B10491" i="1"/>
  <c r="B10492" i="1"/>
  <c r="B10493" i="1"/>
  <c r="B10494" i="1"/>
  <c r="B10495" i="1"/>
  <c r="B10496" i="1"/>
  <c r="B10497" i="1"/>
  <c r="B10498" i="1"/>
  <c r="B10499" i="1"/>
  <c r="B10343" i="1"/>
  <c r="B10344" i="1"/>
  <c r="B10336" i="1"/>
  <c r="B10337" i="1"/>
  <c r="B10333" i="1"/>
  <c r="B10334" i="1"/>
  <c r="B10332" i="1"/>
  <c r="B10328" i="1"/>
  <c r="B10329" i="1"/>
  <c r="B10113" i="1"/>
  <c r="B10114" i="1"/>
  <c r="B10110" i="1"/>
  <c r="B10108" i="1"/>
  <c r="B10109" i="1"/>
  <c r="B10104" i="1"/>
  <c r="B10105" i="1"/>
  <c r="B9899" i="1"/>
  <c r="B9900" i="1"/>
  <c r="B9898" i="1"/>
  <c r="B9895" i="1"/>
  <c r="B9896" i="1"/>
  <c r="B9892" i="1"/>
  <c r="B9893" i="1"/>
  <c r="B9891" i="1"/>
  <c r="B9887" i="1"/>
  <c r="B9888" i="1"/>
  <c r="B9693" i="1"/>
  <c r="B9694" i="1"/>
  <c r="B9688" i="1"/>
  <c r="B9685" i="1"/>
  <c r="B9681" i="1"/>
  <c r="B9682" i="1"/>
  <c r="B9683" i="1"/>
  <c r="B9684" i="1"/>
  <c r="B9537" i="1"/>
  <c r="B9538" i="1"/>
  <c r="B9539" i="1"/>
  <c r="B9540" i="1"/>
  <c r="B9470" i="1"/>
  <c r="B9340" i="1"/>
  <c r="B9341" i="1"/>
  <c r="B9342" i="1"/>
  <c r="B9343" i="1"/>
  <c r="B9334" i="1"/>
  <c r="B9403" i="1"/>
  <c r="B9243" i="1"/>
  <c r="B9244" i="1"/>
  <c r="B9245" i="1"/>
  <c r="B9235" i="1"/>
  <c r="B9053" i="1"/>
  <c r="B9047" i="1"/>
  <c r="B9048" i="1"/>
  <c r="B9152" i="1"/>
  <c r="B9147" i="1"/>
  <c r="B8931" i="1"/>
  <c r="B8932" i="1"/>
  <c r="B8692" i="1"/>
  <c r="B8693" i="1"/>
  <c r="B8683" i="1"/>
  <c r="B8684" i="1"/>
  <c r="B8685" i="1"/>
  <c r="B8686" i="1"/>
  <c r="B8451" i="1"/>
  <c r="B8340" i="1"/>
  <c r="B8341" i="1"/>
  <c r="B8100" i="1"/>
  <c r="B8101" i="1"/>
  <c r="B8566" i="1"/>
  <c r="B8233" i="1"/>
  <c r="B8226" i="1"/>
  <c r="B7989" i="1"/>
  <c r="B7799" i="1"/>
  <c r="B7800" i="1"/>
  <c r="B7801" i="1"/>
  <c r="B7802" i="1"/>
  <c r="B7803" i="1"/>
  <c r="B7804" i="1"/>
  <c r="B7607" i="1"/>
  <c r="B7608" i="1"/>
  <c r="B7609" i="1"/>
  <c r="B7610" i="1"/>
  <c r="B7611" i="1"/>
  <c r="B7612" i="1"/>
  <c r="B7613" i="1"/>
  <c r="B7614" i="1"/>
  <c r="B7615" i="1"/>
  <c r="B7616" i="1"/>
  <c r="B7590" i="1"/>
  <c r="B7591" i="1"/>
  <c r="B7592" i="1"/>
  <c r="B7990" i="1"/>
  <c r="B7977" i="1"/>
  <c r="B7196" i="1"/>
  <c r="B7184" i="1"/>
  <c r="B7185" i="1"/>
  <c r="B7186" i="1"/>
  <c r="B7187" i="1"/>
  <c r="B7188" i="1"/>
  <c r="B7189" i="1"/>
  <c r="B7190" i="1"/>
  <c r="B7191" i="1"/>
  <c r="B7192" i="1"/>
  <c r="B7170" i="1"/>
  <c r="B7171" i="1"/>
  <c r="B7396" i="1"/>
  <c r="B7397" i="1"/>
  <c r="B7398" i="1"/>
  <c r="B7399" i="1"/>
  <c r="B7400" i="1"/>
  <c r="B7401" i="1"/>
  <c r="B7402" i="1"/>
  <c r="B7403" i="1"/>
  <c r="B7404" i="1"/>
  <c r="B7405" i="1"/>
  <c r="B7406" i="1"/>
  <c r="B7373" i="1"/>
  <c r="B7374" i="1"/>
  <c r="B7375" i="1"/>
  <c r="B6758" i="1"/>
  <c r="B6759" i="1"/>
  <c r="B6737" i="1"/>
  <c r="B6738" i="1"/>
  <c r="B6739" i="1"/>
  <c r="B6740" i="1"/>
  <c r="B6741" i="1"/>
  <c r="B6742" i="1"/>
  <c r="B6743" i="1"/>
  <c r="B6744" i="1"/>
  <c r="B6745" i="1"/>
  <c r="B6951" i="1"/>
  <c r="B6952" i="1"/>
  <c r="B6953" i="1"/>
  <c r="B6954" i="1"/>
  <c r="B6955" i="1"/>
  <c r="B6956" i="1"/>
  <c r="B6946" i="1"/>
  <c r="B6941" i="1"/>
  <c r="B6925" i="1"/>
  <c r="B6926" i="1"/>
  <c r="B6927" i="1"/>
  <c r="B6928" i="1"/>
  <c r="B6257" i="1"/>
  <c r="B6258" i="1"/>
  <c r="B6259" i="1"/>
  <c r="B6260" i="1"/>
  <c r="B6261" i="1"/>
  <c r="B6262" i="1"/>
  <c r="B6242" i="1"/>
  <c r="B6243" i="1"/>
  <c r="B6244" i="1"/>
  <c r="B6245" i="1"/>
  <c r="B6462" i="1"/>
  <c r="B6463" i="1"/>
  <c r="B6464" i="1"/>
  <c r="B6453" i="1"/>
  <c r="B6454" i="1"/>
  <c r="B6455" i="1"/>
  <c r="B6451" i="1"/>
  <c r="B6434" i="1"/>
  <c r="B6435" i="1"/>
  <c r="B5700" i="1"/>
  <c r="B5683" i="1"/>
  <c r="B5684" i="1"/>
  <c r="B5685" i="1"/>
  <c r="B5686" i="1"/>
  <c r="B5687" i="1"/>
  <c r="B5688" i="1"/>
  <c r="B5671" i="1"/>
  <c r="B5672" i="1"/>
  <c r="B5673" i="1"/>
  <c r="B5674" i="1"/>
  <c r="B5675" i="1"/>
  <c r="B5898" i="1"/>
  <c r="B5899" i="1"/>
  <c r="B5900" i="1"/>
  <c r="B5901" i="1"/>
  <c r="B5902" i="1"/>
  <c r="B5357" i="1"/>
  <c r="B5358" i="1"/>
  <c r="B5359" i="1"/>
  <c r="B5360" i="1"/>
  <c r="B5361" i="1"/>
  <c r="B5362" i="1"/>
  <c r="B5363" i="1"/>
  <c r="B5364" i="1"/>
  <c r="B5562" i="1"/>
  <c r="B5558" i="1"/>
  <c r="B5546" i="1"/>
  <c r="B5547" i="1"/>
  <c r="B5548" i="1"/>
  <c r="B5166" i="1"/>
  <c r="B5167" i="1"/>
  <c r="B5168" i="1"/>
  <c r="B5169" i="1"/>
  <c r="B5170" i="1"/>
  <c r="B5171" i="1"/>
  <c r="B4872" i="1"/>
  <c r="B4873" i="1"/>
  <c r="B4874" i="1"/>
  <c r="B4852" i="1"/>
  <c r="B4853" i="1"/>
  <c r="B4854" i="1"/>
  <c r="B4855" i="1"/>
  <c r="B4856" i="1"/>
  <c r="B4857" i="1"/>
  <c r="B4858" i="1"/>
  <c r="B4859" i="1"/>
  <c r="B4846" i="1"/>
  <c r="B4847" i="1"/>
  <c r="B5073" i="1"/>
  <c r="B5071" i="1"/>
  <c r="B5072" i="1"/>
  <c r="B5052" i="1"/>
  <c r="B5053" i="1"/>
  <c r="B5054" i="1"/>
  <c r="B5055" i="1"/>
  <c r="B5056" i="1"/>
  <c r="B5057" i="1"/>
  <c r="B4633" i="1"/>
  <c r="B4634" i="1"/>
  <c r="B4635" i="1"/>
  <c r="B4636" i="1"/>
  <c r="B4637" i="1"/>
  <c r="B4638" i="1"/>
  <c r="B4623" i="1"/>
  <c r="B4624" i="1"/>
  <c r="B4625" i="1"/>
  <c r="B4626" i="1"/>
  <c r="B4627" i="1"/>
  <c r="B4300" i="1"/>
  <c r="B4301" i="1"/>
  <c r="B4302" i="1"/>
  <c r="B4303" i="1"/>
  <c r="B4284" i="1"/>
  <c r="B4285" i="1"/>
  <c r="B4479" i="1"/>
  <c r="B4480" i="1"/>
  <c r="B4481" i="1"/>
  <c r="B4466" i="1"/>
  <c r="B4101" i="1"/>
  <c r="B4102" i="1"/>
  <c r="B4103" i="1"/>
  <c r="B4104" i="1"/>
  <c r="B4105" i="1"/>
  <c r="B3846" i="1"/>
  <c r="B3835" i="1"/>
  <c r="B3836" i="1"/>
  <c r="B3829" i="1"/>
  <c r="B3830" i="1"/>
  <c r="B3821" i="1"/>
  <c r="B3822" i="1"/>
  <c r="B3823" i="1"/>
  <c r="B4023" i="1"/>
  <c r="B4024" i="1"/>
  <c r="B4025" i="1"/>
  <c r="B3656" i="1"/>
  <c r="B3657" i="1"/>
  <c r="B3641" i="1"/>
  <c r="B3642" i="1"/>
  <c r="B3643" i="1"/>
  <c r="B3644" i="1"/>
  <c r="B3645" i="1"/>
  <c r="B3344" i="1"/>
  <c r="B3345" i="1"/>
  <c r="B3346" i="1"/>
  <c r="B3335" i="1"/>
  <c r="B3336" i="1"/>
  <c r="B3337" i="1"/>
  <c r="B3338" i="1"/>
  <c r="B3545" i="1"/>
  <c r="B3546" i="1"/>
  <c r="B3547" i="1"/>
  <c r="B3548" i="1"/>
  <c r="B3549" i="1"/>
  <c r="B3550" i="1"/>
  <c r="B3551" i="1"/>
  <c r="B3137" i="1"/>
  <c r="B3122" i="1"/>
  <c r="B3123" i="1"/>
  <c r="B3124" i="1"/>
  <c r="B2460" i="1"/>
  <c r="B2461" i="1"/>
  <c r="B2462" i="1"/>
  <c r="B2451" i="1"/>
  <c r="B2906" i="1"/>
  <c r="B2907" i="1"/>
  <c r="B2908" i="1"/>
  <c r="B2909" i="1"/>
  <c r="B2910" i="1"/>
  <c r="B2911" i="1"/>
  <c r="B2722" i="1"/>
  <c r="B2706" i="1"/>
  <c r="B2707" i="1"/>
  <c r="B2708" i="1"/>
  <c r="B2709" i="1"/>
  <c r="B2710" i="1"/>
  <c r="B2711" i="1"/>
  <c r="B2712" i="1"/>
  <c r="B2299" i="1"/>
  <c r="B2300" i="1"/>
  <c r="B2301" i="1"/>
  <c r="B2302" i="1"/>
  <c r="B2294" i="1"/>
  <c r="B2287" i="1"/>
  <c r="B2288" i="1"/>
  <c r="B2289" i="1"/>
  <c r="B2106" i="1"/>
  <c r="B2107" i="1"/>
  <c r="B2108" i="1"/>
  <c r="B2109" i="1"/>
  <c r="B1855" i="1"/>
  <c r="B1833" i="1"/>
  <c r="B1834" i="1"/>
  <c r="B1835" i="1"/>
  <c r="B1836" i="1"/>
  <c r="B1837" i="1"/>
  <c r="B2000" i="1"/>
  <c r="B2001" i="1"/>
  <c r="B2002" i="1"/>
  <c r="B2003" i="1"/>
  <c r="B2004" i="1"/>
  <c r="B2005" i="1"/>
  <c r="B2006" i="1"/>
  <c r="B2007" i="1"/>
  <c r="B2008" i="1"/>
  <c r="B2009" i="1"/>
  <c r="B1644" i="1"/>
  <c r="B1645" i="1"/>
  <c r="B1646" i="1"/>
  <c r="B1647" i="1"/>
  <c r="B1648" i="1"/>
  <c r="B1649" i="1"/>
  <c r="B1650" i="1"/>
  <c r="B1651" i="1"/>
  <c r="B1652" i="1"/>
  <c r="B1530" i="1"/>
  <c r="B1531" i="1"/>
  <c r="B1532" i="1"/>
  <c r="B1528" i="1"/>
  <c r="B1517" i="1"/>
  <c r="B1518" i="1"/>
  <c r="B1519" i="1"/>
  <c r="B1520" i="1"/>
  <c r="B1521" i="1"/>
  <c r="B1369" i="1"/>
  <c r="B1370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500" i="1"/>
  <c r="B10501" i="1"/>
  <c r="B10502" i="1"/>
  <c r="B10503" i="1"/>
  <c r="B10504" i="1"/>
  <c r="B10505" i="1"/>
  <c r="B10506" i="1"/>
  <c r="B10507" i="1"/>
  <c r="B10508" i="1"/>
  <c r="B10509" i="1"/>
  <c r="B10316" i="1"/>
  <c r="B10317" i="1"/>
  <c r="B10318" i="1"/>
  <c r="B10311" i="1"/>
  <c r="B10312" i="1"/>
  <c r="B10313" i="1"/>
  <c r="B10314" i="1"/>
  <c r="B10093" i="1"/>
  <c r="B10094" i="1"/>
  <c r="B10095" i="1"/>
  <c r="B10096" i="1"/>
  <c r="B10088" i="1"/>
  <c r="B10089" i="1"/>
  <c r="B9883" i="1"/>
  <c r="B9884" i="1"/>
  <c r="B9882" i="1"/>
  <c r="B9874" i="1"/>
  <c r="B9875" i="1"/>
  <c r="B9876" i="1"/>
  <c r="B9877" i="1"/>
  <c r="B9878" i="1"/>
  <c r="B9679" i="1"/>
  <c r="B9541" i="1"/>
  <c r="B9467" i="1"/>
  <c r="B9331" i="1"/>
  <c r="B9404" i="1"/>
  <c r="B9236" i="1"/>
  <c r="B9229" i="1"/>
  <c r="B9230" i="1"/>
  <c r="B9042" i="1"/>
  <c r="B9148" i="1"/>
  <c r="B9149" i="1"/>
  <c r="B9150" i="1"/>
  <c r="B9142" i="1"/>
  <c r="B9143" i="1"/>
  <c r="B9139" i="1"/>
  <c r="B8800" i="1"/>
  <c r="B8801" i="1"/>
  <c r="B8802" i="1"/>
  <c r="B8795" i="1"/>
  <c r="B8687" i="1"/>
  <c r="B8672" i="1"/>
  <c r="B8673" i="1"/>
  <c r="B8674" i="1"/>
  <c r="B8675" i="1"/>
  <c r="B8325" i="1"/>
  <c r="B8326" i="1"/>
  <c r="B8094" i="1"/>
  <c r="B8095" i="1"/>
  <c r="B8096" i="1"/>
  <c r="B8087" i="1"/>
  <c r="B8561" i="1"/>
  <c r="B8562" i="1"/>
  <c r="B8227" i="1"/>
  <c r="B8220" i="1"/>
  <c r="B8221" i="1"/>
  <c r="B8222" i="1"/>
  <c r="B7805" i="1"/>
  <c r="B7806" i="1"/>
  <c r="B7774" i="1"/>
  <c r="B7775" i="1"/>
  <c r="B7776" i="1"/>
  <c r="B7593" i="1"/>
  <c r="B7594" i="1"/>
  <c r="B7595" i="1"/>
  <c r="B7596" i="1"/>
  <c r="B7597" i="1"/>
  <c r="B7598" i="1"/>
  <c r="B7599" i="1"/>
  <c r="B7576" i="1"/>
  <c r="B7577" i="1"/>
  <c r="B7578" i="1"/>
  <c r="B7579" i="1"/>
  <c r="B7580" i="1"/>
  <c r="B7581" i="1"/>
  <c r="B7582" i="1"/>
  <c r="B7172" i="1"/>
  <c r="B7173" i="1"/>
  <c r="B7174" i="1"/>
  <c r="B7175" i="1"/>
  <c r="B7176" i="1"/>
  <c r="B7376" i="1"/>
  <c r="B7377" i="1"/>
  <c r="B7378" i="1"/>
  <c r="B7379" i="1"/>
  <c r="B7380" i="1"/>
  <c r="B7381" i="1"/>
  <c r="B7382" i="1"/>
  <c r="B7363" i="1"/>
  <c r="B7364" i="1"/>
  <c r="B6732" i="1"/>
  <c r="B6733" i="1"/>
  <c r="B6734" i="1"/>
  <c r="B6735" i="1"/>
  <c r="B6736" i="1"/>
  <c r="B6721" i="1"/>
  <c r="B6722" i="1"/>
  <c r="B6723" i="1"/>
  <c r="B6929" i="1"/>
  <c r="B6930" i="1"/>
  <c r="B6931" i="1"/>
  <c r="B6932" i="1"/>
  <c r="B6933" i="1"/>
  <c r="B6934" i="1"/>
  <c r="B6935" i="1"/>
  <c r="B6936" i="1"/>
  <c r="B6917" i="1"/>
  <c r="B6918" i="1"/>
  <c r="B6919" i="1"/>
  <c r="B6246" i="1"/>
  <c r="B6247" i="1"/>
  <c r="B6248" i="1"/>
  <c r="B6249" i="1"/>
  <c r="B6436" i="1"/>
  <c r="B6437" i="1"/>
  <c r="B6438" i="1"/>
  <c r="B6439" i="1"/>
  <c r="B6440" i="1"/>
  <c r="B6441" i="1"/>
  <c r="B5676" i="1"/>
  <c r="B5677" i="1"/>
  <c r="B5667" i="1"/>
  <c r="B5879" i="1"/>
  <c r="B5880" i="1"/>
  <c r="B5881" i="1"/>
  <c r="B5882" i="1"/>
  <c r="B5883" i="1"/>
  <c r="B5884" i="1"/>
  <c r="B5885" i="1"/>
  <c r="B5886" i="1"/>
  <c r="B5887" i="1"/>
  <c r="B5873" i="1"/>
  <c r="B5874" i="1"/>
  <c r="B5875" i="1"/>
  <c r="B5365" i="1"/>
  <c r="B5366" i="1"/>
  <c r="B5367" i="1"/>
  <c r="B5346" i="1"/>
  <c r="B5347" i="1"/>
  <c r="B5348" i="1"/>
  <c r="B5349" i="1"/>
  <c r="B5350" i="1"/>
  <c r="B5351" i="1"/>
  <c r="B5340" i="1"/>
  <c r="B5341" i="1"/>
  <c r="B5549" i="1"/>
  <c r="B5550" i="1"/>
  <c r="B5541" i="1"/>
  <c r="B5542" i="1"/>
  <c r="B5153" i="1"/>
  <c r="B5154" i="1"/>
  <c r="B4848" i="1"/>
  <c r="B4849" i="1"/>
  <c r="B4834" i="1"/>
  <c r="B4835" i="1"/>
  <c r="B4836" i="1"/>
  <c r="B4837" i="1"/>
  <c r="B4838" i="1"/>
  <c r="B4839" i="1"/>
  <c r="B4840" i="1"/>
  <c r="B4841" i="1"/>
  <c r="B5058" i="1"/>
  <c r="B5059" i="1"/>
  <c r="B5060" i="1"/>
  <c r="B5061" i="1"/>
  <c r="B5062" i="1"/>
  <c r="B5063" i="1"/>
  <c r="B5064" i="1"/>
  <c r="B5065" i="1"/>
  <c r="B5066" i="1"/>
  <c r="B5038" i="1"/>
  <c r="B5039" i="1"/>
  <c r="B5040" i="1"/>
  <c r="B5041" i="1"/>
  <c r="B5042" i="1"/>
  <c r="B10865" i="1"/>
  <c r="B10866" i="1"/>
  <c r="B10867" i="1"/>
  <c r="B10868" i="1"/>
  <c r="B10869" i="1"/>
  <c r="B10870" i="1"/>
  <c r="B10705" i="1"/>
  <c r="B10486" i="1"/>
  <c r="B10487" i="1"/>
  <c r="B10488" i="1"/>
  <c r="B10489" i="1"/>
  <c r="B10482" i="1"/>
  <c r="B10483" i="1"/>
  <c r="B10484" i="1"/>
  <c r="B10315" i="1"/>
  <c r="B10310" i="1"/>
  <c r="B10305" i="1"/>
  <c r="B10302" i="1"/>
  <c r="B10303" i="1"/>
  <c r="B10090" i="1"/>
  <c r="B10084" i="1"/>
  <c r="B10085" i="1"/>
  <c r="B10086" i="1"/>
  <c r="B10087" i="1"/>
  <c r="B10079" i="1"/>
  <c r="B10080" i="1"/>
  <c r="B10081" i="1"/>
  <c r="B9879" i="1"/>
  <c r="B9872" i="1"/>
  <c r="B9870" i="1"/>
  <c r="B9866" i="1"/>
  <c r="B9676" i="1"/>
  <c r="B9671" i="1"/>
  <c r="B9672" i="1"/>
  <c r="B9673" i="1"/>
  <c r="B9664" i="1"/>
  <c r="B9665" i="1"/>
  <c r="B9659" i="1"/>
  <c r="B9463" i="1"/>
  <c r="B9405" i="1"/>
  <c r="B9402" i="1"/>
  <c r="B9325" i="1"/>
  <c r="B9326" i="1"/>
  <c r="B9319" i="1"/>
  <c r="B9231" i="1"/>
  <c r="B9232" i="1"/>
  <c r="B9226" i="1"/>
  <c r="B9227" i="1"/>
  <c r="B9224" i="1"/>
  <c r="B9129" i="1"/>
  <c r="B9040" i="1"/>
  <c r="B9041" i="1"/>
  <c r="B9035" i="1"/>
  <c r="B9036" i="1"/>
  <c r="B8927" i="1"/>
  <c r="B8925" i="1"/>
  <c r="B8893" i="1"/>
  <c r="B8887" i="1"/>
  <c r="B8796" i="1"/>
  <c r="B8797" i="1"/>
  <c r="B8798" i="1"/>
  <c r="B8783" i="1"/>
  <c r="B8676" i="1"/>
  <c r="B8663" i="1"/>
  <c r="B8664" i="1"/>
  <c r="B8665" i="1"/>
  <c r="B8666" i="1"/>
  <c r="B8555" i="1"/>
  <c r="B8556" i="1"/>
  <c r="B8557" i="1"/>
  <c r="B8558" i="1"/>
  <c r="B8438" i="1"/>
  <c r="B8436" i="1"/>
  <c r="B8320" i="1"/>
  <c r="B8321" i="1"/>
  <c r="B8216" i="1"/>
  <c r="B8088" i="1"/>
  <c r="B8089" i="1"/>
  <c r="B8084" i="1"/>
  <c r="B8083" i="1"/>
  <c r="B7777" i="1"/>
  <c r="B7778" i="1"/>
  <c r="B7779" i="1"/>
  <c r="B7780" i="1"/>
  <c r="B7781" i="1"/>
  <c r="B7782" i="1"/>
  <c r="B7783" i="1"/>
  <c r="B7762" i="1"/>
  <c r="B7763" i="1"/>
  <c r="B7764" i="1"/>
  <c r="B7765" i="1"/>
  <c r="B7583" i="1"/>
  <c r="B7584" i="1"/>
  <c r="B7585" i="1"/>
  <c r="B7586" i="1"/>
  <c r="B7365" i="1"/>
  <c r="B7366" i="1"/>
  <c r="B7367" i="1"/>
  <c r="B7368" i="1"/>
  <c r="B7369" i="1"/>
  <c r="B7370" i="1"/>
  <c r="B7371" i="1"/>
  <c r="B7353" i="1"/>
  <c r="B7163" i="1"/>
  <c r="B7164" i="1"/>
  <c r="B7165" i="1"/>
  <c r="B7166" i="1"/>
  <c r="B6920" i="1"/>
  <c r="B6921" i="1"/>
  <c r="B6922" i="1"/>
  <c r="B6923" i="1"/>
  <c r="B6911" i="1"/>
  <c r="B6912" i="1"/>
  <c r="B6724" i="1"/>
  <c r="B6725" i="1"/>
  <c r="B6726" i="1"/>
  <c r="B6727" i="1"/>
  <c r="B6717" i="1"/>
  <c r="B6718" i="1"/>
  <c r="B6442" i="1"/>
  <c r="B6443" i="1"/>
  <c r="B6444" i="1"/>
  <c r="B6421" i="1"/>
  <c r="B6422" i="1"/>
  <c r="B6423" i="1"/>
  <c r="B6424" i="1"/>
  <c r="B6425" i="1"/>
  <c r="B6250" i="1"/>
  <c r="B6251" i="1"/>
  <c r="B6236" i="1"/>
  <c r="B6237" i="1"/>
  <c r="B6238" i="1"/>
  <c r="B5865" i="1"/>
  <c r="B5866" i="1"/>
  <c r="B5867" i="1"/>
  <c r="B5868" i="1"/>
  <c r="B5661" i="1"/>
  <c r="B5662" i="1"/>
  <c r="B5663" i="1"/>
  <c r="B5664" i="1"/>
  <c r="B5543" i="1"/>
  <c r="B5544" i="1"/>
  <c r="B5534" i="1"/>
  <c r="B5535" i="1"/>
  <c r="B5342" i="1"/>
  <c r="B5343" i="1"/>
  <c r="B5334" i="1"/>
  <c r="B5335" i="1"/>
  <c r="B5155" i="1"/>
  <c r="B5156" i="1"/>
  <c r="B5157" i="1"/>
  <c r="B5158" i="1"/>
  <c r="B5159" i="1"/>
  <c r="B5138" i="1"/>
  <c r="B5139" i="1"/>
  <c r="B5043" i="1"/>
  <c r="B5044" i="1"/>
  <c r="B5045" i="1"/>
  <c r="B5046" i="1"/>
  <c r="B5026" i="1"/>
  <c r="B5027" i="1"/>
  <c r="B5028" i="1"/>
  <c r="B4842" i="1"/>
  <c r="B4833" i="1"/>
  <c r="B4827" i="1"/>
  <c r="B4828" i="1"/>
  <c r="B4829" i="1"/>
  <c r="B4830" i="1"/>
  <c r="B4628" i="1"/>
  <c r="B4629" i="1"/>
  <c r="B4630" i="1"/>
  <c r="B4622" i="1"/>
  <c r="B4616" i="1"/>
  <c r="B4617" i="1"/>
  <c r="B4618" i="1"/>
  <c r="B4467" i="1"/>
  <c r="B4468" i="1"/>
  <c r="B4469" i="1"/>
  <c r="B4470" i="1"/>
  <c r="B4471" i="1"/>
  <c r="B4472" i="1"/>
  <c r="B4473" i="1"/>
  <c r="B4450" i="1"/>
  <c r="B4451" i="1"/>
  <c r="B4286" i="1"/>
  <c r="B4287" i="1"/>
  <c r="B4288" i="1"/>
  <c r="B4289" i="1"/>
  <c r="B4290" i="1"/>
  <c r="B4096" i="1"/>
  <c r="B4097" i="1"/>
  <c r="B4098" i="1"/>
  <c r="B4099" i="1"/>
  <c r="B4089" i="1"/>
  <c r="B4090" i="1"/>
  <c r="B4091" i="1"/>
  <c r="B4092" i="1"/>
  <c r="B4093" i="1"/>
  <c r="B4094" i="1"/>
  <c r="B4088" i="1"/>
  <c r="B4084" i="1"/>
  <c r="B4026" i="1"/>
  <c r="B4015" i="1"/>
  <c r="B4016" i="1"/>
  <c r="B4017" i="1"/>
  <c r="B4018" i="1"/>
  <c r="B4019" i="1"/>
  <c r="B4020" i="1"/>
  <c r="B3824" i="1"/>
  <c r="B3825" i="1"/>
  <c r="B3826" i="1"/>
  <c r="B3827" i="1"/>
  <c r="B3817" i="1"/>
  <c r="B3818" i="1"/>
  <c r="B3810" i="1"/>
  <c r="B3811" i="1"/>
  <c r="B3635" i="1"/>
  <c r="B3538" i="1"/>
  <c r="B3539" i="1"/>
  <c r="B3540" i="1"/>
  <c r="B3541" i="1"/>
  <c r="B3542" i="1"/>
  <c r="B3339" i="1"/>
  <c r="B3340" i="1"/>
  <c r="B3341" i="1"/>
  <c r="B3330" i="1"/>
  <c r="B3119" i="1"/>
  <c r="B3120" i="1"/>
  <c r="B3117" i="1"/>
  <c r="B3110" i="1"/>
  <c r="B3111" i="1"/>
  <c r="B3112" i="1"/>
  <c r="B2452" i="1"/>
  <c r="B2453" i="1"/>
  <c r="B3113" i="1"/>
  <c r="B3095" i="1"/>
  <c r="B3096" i="1"/>
  <c r="B3097" i="1"/>
  <c r="B3098" i="1"/>
  <c r="B3099" i="1"/>
  <c r="B3100" i="1"/>
  <c r="B3086" i="1"/>
  <c r="B2912" i="1"/>
  <c r="B2893" i="1"/>
  <c r="B2894" i="1"/>
  <c r="B2895" i="1"/>
  <c r="B2713" i="1"/>
  <c r="B2714" i="1"/>
  <c r="B2701" i="1"/>
  <c r="B2702" i="1"/>
  <c r="B2703" i="1"/>
  <c r="B2704" i="1"/>
  <c r="B2705" i="1"/>
  <c r="B2690" i="1"/>
  <c r="B2282" i="1"/>
  <c r="B2283" i="1"/>
  <c r="B2284" i="1"/>
  <c r="B2110" i="1"/>
  <c r="B2111" i="1"/>
  <c r="B2112" i="1"/>
  <c r="B2010" i="1"/>
  <c r="B2011" i="1"/>
  <c r="B1994" i="1"/>
  <c r="B1995" i="1"/>
  <c r="B1996" i="1"/>
  <c r="B1828" i="1"/>
  <c r="B1829" i="1"/>
  <c r="B1830" i="1"/>
  <c r="B1831" i="1"/>
  <c r="B1832" i="1"/>
  <c r="B1653" i="1"/>
  <c r="B1654" i="1"/>
  <c r="B1634" i="1"/>
  <c r="B1635" i="1"/>
  <c r="B1636" i="1"/>
  <c r="B1513" i="1"/>
  <c r="B1514" i="1"/>
  <c r="B1515" i="1"/>
  <c r="B1502" i="1"/>
  <c r="B1368" i="1"/>
  <c r="B1363" i="1"/>
  <c r="B10871" i="1"/>
  <c r="B10872" i="1"/>
  <c r="B10822" i="1"/>
  <c r="B10706" i="1"/>
  <c r="B10707" i="1"/>
  <c r="B10708" i="1"/>
  <c r="B10709" i="1"/>
  <c r="B10710" i="1"/>
  <c r="B10711" i="1"/>
  <c r="B10712" i="1"/>
  <c r="B10713" i="1"/>
  <c r="B10664" i="1"/>
  <c r="B10475" i="1"/>
  <c r="B10476" i="1"/>
  <c r="B10472" i="1"/>
  <c r="B10469" i="1"/>
  <c r="B10467" i="1"/>
  <c r="B10468" i="1"/>
  <c r="B10464" i="1"/>
  <c r="B10461" i="1"/>
  <c r="B10462" i="1"/>
  <c r="B10296" i="1"/>
  <c r="B10297" i="1"/>
  <c r="B10298" i="1"/>
  <c r="B10299" i="1"/>
  <c r="B10300" i="1"/>
  <c r="B10290" i="1"/>
  <c r="B10291" i="1"/>
  <c r="B10283" i="1"/>
  <c r="B10073" i="1"/>
  <c r="B10074" i="1"/>
  <c r="B10068" i="1"/>
  <c r="B10069" i="1"/>
  <c r="B10070" i="1"/>
  <c r="B10060" i="1"/>
  <c r="B10061" i="1"/>
  <c r="B10062" i="1"/>
  <c r="B10063" i="1"/>
  <c r="B9861" i="1"/>
  <c r="B9862" i="1"/>
  <c r="B9858" i="1"/>
  <c r="B9859" i="1"/>
  <c r="B9856" i="1"/>
  <c r="B9857" i="1"/>
  <c r="B9853" i="1"/>
  <c r="B9660" i="1"/>
  <c r="B9661" i="1"/>
  <c r="B9662" i="1"/>
  <c r="B9654" i="1"/>
  <c r="B9646" i="1"/>
  <c r="B9647" i="1"/>
  <c r="B9648" i="1"/>
  <c r="B9516" i="1"/>
  <c r="B9517" i="1"/>
  <c r="B9464" i="1"/>
  <c r="B9465" i="1"/>
  <c r="B9458" i="1"/>
  <c r="B9452" i="1"/>
  <c r="B9453" i="1"/>
  <c r="B9395" i="1"/>
  <c r="B9396" i="1"/>
  <c r="B9397" i="1"/>
  <c r="B9222" i="1"/>
  <c r="B9223" i="1"/>
  <c r="B9216" i="1"/>
  <c r="B9217" i="1"/>
  <c r="B9130" i="1"/>
  <c r="B9131" i="1"/>
  <c r="B9132" i="1"/>
  <c r="B9031" i="1"/>
  <c r="B8921" i="1"/>
  <c r="B8917" i="1"/>
  <c r="B8888" i="1"/>
  <c r="B8784" i="1"/>
  <c r="B8785" i="1"/>
  <c r="B8778" i="1"/>
  <c r="B8779" i="1"/>
  <c r="B8667" i="1"/>
  <c r="B8655" i="1"/>
  <c r="B8656" i="1"/>
  <c r="B8657" i="1"/>
  <c r="B8429" i="1"/>
  <c r="B8424" i="1"/>
  <c r="B8313" i="1"/>
  <c r="B8314" i="1"/>
  <c r="B8210" i="1"/>
  <c r="B8200" i="1"/>
  <c r="B7965" i="1"/>
  <c r="B7966" i="1"/>
  <c r="B7950" i="1"/>
  <c r="B7766" i="1"/>
  <c r="B7767" i="1"/>
  <c r="B7755" i="1"/>
  <c r="B7354" i="1"/>
  <c r="B7355" i="1"/>
  <c r="B7347" i="1"/>
  <c r="B7167" i="1"/>
  <c r="B7152" i="1"/>
  <c r="B7153" i="1"/>
  <c r="B7154" i="1"/>
  <c r="B7155" i="1"/>
  <c r="B7156" i="1"/>
  <c r="B7157" i="1"/>
  <c r="B6905" i="1"/>
  <c r="B6906" i="1"/>
  <c r="B6893" i="1"/>
  <c r="B6719" i="1"/>
  <c r="B6720" i="1"/>
  <c r="B6704" i="1"/>
  <c r="B6705" i="1"/>
  <c r="B6706" i="1"/>
  <c r="B6707" i="1"/>
  <c r="B6708" i="1"/>
  <c r="B6709" i="1"/>
  <c r="B6426" i="1"/>
  <c r="B6427" i="1"/>
  <c r="B6408" i="1"/>
  <c r="B6409" i="1"/>
  <c r="B6410" i="1"/>
  <c r="B6239" i="1"/>
  <c r="B6223" i="1"/>
  <c r="B6224" i="1"/>
  <c r="B6204" i="1"/>
  <c r="B6205" i="1"/>
  <c r="B5869" i="1"/>
  <c r="B5854" i="1"/>
  <c r="B5855" i="1"/>
  <c r="B5849" i="1"/>
  <c r="B5850" i="1"/>
  <c r="B5851" i="1"/>
  <c r="B5852" i="1"/>
  <c r="B5853" i="1"/>
  <c r="B5841" i="1"/>
  <c r="B5842" i="1"/>
  <c r="B5843" i="1"/>
  <c r="B5665" i="1"/>
  <c r="B6061" i="1"/>
  <c r="B6062" i="1"/>
  <c r="B6063" i="1"/>
  <c r="B6064" i="1"/>
  <c r="B6065" i="1"/>
  <c r="B6066" i="1"/>
  <c r="B6067" i="1"/>
  <c r="B6068" i="1"/>
  <c r="B6048" i="1"/>
  <c r="B5536" i="1"/>
  <c r="B5537" i="1"/>
  <c r="B5538" i="1"/>
  <c r="B5519" i="1"/>
  <c r="B5336" i="1"/>
  <c r="B5337" i="1"/>
  <c r="B5332" i="1"/>
  <c r="B5330" i="1"/>
  <c r="B5331" i="1"/>
  <c r="B5321" i="1"/>
  <c r="B5322" i="1"/>
  <c r="B5323" i="1"/>
  <c r="B5324" i="1"/>
  <c r="B5325" i="1"/>
  <c r="B5326" i="1"/>
  <c r="B5140" i="1"/>
  <c r="B5141" i="1"/>
  <c r="B5142" i="1"/>
  <c r="B5143" i="1"/>
  <c r="B5144" i="1"/>
  <c r="B5145" i="1"/>
  <c r="B5146" i="1"/>
  <c r="B5147" i="1"/>
  <c r="B5029" i="1"/>
  <c r="B5030" i="1"/>
  <c r="B5031" i="1"/>
  <c r="B5032" i="1"/>
  <c r="B5033" i="1"/>
  <c r="B4821" i="1"/>
  <c r="B4619" i="1"/>
  <c r="B4620" i="1"/>
  <c r="B4621" i="1"/>
  <c r="B4452" i="1"/>
  <c r="B4453" i="1"/>
  <c r="B4454" i="1"/>
  <c r="B4455" i="1"/>
  <c r="B4456" i="1"/>
  <c r="B4457" i="1"/>
  <c r="B4291" i="1"/>
  <c r="B4266" i="1"/>
  <c r="B4267" i="1"/>
  <c r="B4021" i="1"/>
  <c r="B4006" i="1"/>
  <c r="B4007" i="1"/>
  <c r="B4008" i="1"/>
  <c r="B3812" i="1"/>
  <c r="B3801" i="1"/>
  <c r="B3802" i="1"/>
  <c r="B3803" i="1"/>
  <c r="B3798" i="1"/>
  <c r="B3797" i="1"/>
  <c r="B3636" i="1"/>
  <c r="B3637" i="1"/>
  <c r="B3638" i="1"/>
  <c r="B3623" i="1"/>
  <c r="B3624" i="1"/>
  <c r="B3543" i="1"/>
  <c r="B3523" i="1"/>
  <c r="B3524" i="1"/>
  <c r="B3525" i="1"/>
  <c r="B3526" i="1"/>
  <c r="B3331" i="1"/>
  <c r="B3332" i="1"/>
  <c r="B3333" i="1"/>
  <c r="B3323" i="1"/>
  <c r="B3324" i="1"/>
  <c r="B3114" i="1"/>
  <c r="B2439" i="1"/>
  <c r="B2440" i="1"/>
  <c r="B2441" i="1"/>
  <c r="B3087" i="1"/>
  <c r="B3088" i="1"/>
  <c r="B3089" i="1"/>
  <c r="B3078" i="1"/>
  <c r="B3079" i="1"/>
  <c r="B3080" i="1"/>
  <c r="B3081" i="1"/>
  <c r="B3082" i="1"/>
  <c r="B3072" i="1"/>
  <c r="B3073" i="1"/>
  <c r="B3074" i="1"/>
  <c r="B2896" i="1"/>
  <c r="B2897" i="1"/>
  <c r="B2898" i="1"/>
  <c r="B2899" i="1"/>
  <c r="B2900" i="1"/>
  <c r="B2876" i="1"/>
  <c r="B2877" i="1"/>
  <c r="B2878" i="1"/>
  <c r="B2691" i="1"/>
  <c r="B2692" i="1"/>
  <c r="B2693" i="1"/>
  <c r="B2682" i="1"/>
  <c r="B2683" i="1"/>
  <c r="B2684" i="1"/>
  <c r="B2685" i="1"/>
  <c r="B2268" i="1"/>
  <c r="B2269" i="1"/>
  <c r="B2270" i="1"/>
  <c r="B2258" i="1"/>
  <c r="B2259" i="1"/>
  <c r="B1997" i="1"/>
  <c r="B1979" i="1"/>
  <c r="B1980" i="1"/>
  <c r="B1981" i="1"/>
  <c r="B1982" i="1"/>
  <c r="B1983" i="1"/>
  <c r="B1818" i="1"/>
  <c r="B1819" i="1"/>
  <c r="B1820" i="1"/>
  <c r="B1816" i="1"/>
  <c r="B1813" i="1"/>
  <c r="B1814" i="1"/>
  <c r="B1637" i="1"/>
  <c r="B1638" i="1"/>
  <c r="B1639" i="1"/>
  <c r="B1640" i="1"/>
  <c r="B1615" i="1"/>
  <c r="B1616" i="1"/>
  <c r="B1503" i="1"/>
  <c r="B1504" i="1"/>
  <c r="B1505" i="1"/>
  <c r="B1492" i="1"/>
  <c r="B1364" i="1"/>
  <c r="B1359" i="1"/>
  <c r="B1353" i="1"/>
  <c r="B10823" i="1"/>
  <c r="B10824" i="1"/>
  <c r="B10825" i="1"/>
  <c r="B10826" i="1"/>
  <c r="B10827" i="1"/>
  <c r="B10665" i="1"/>
  <c r="B10666" i="1"/>
  <c r="B10667" i="1"/>
  <c r="B10463" i="1"/>
  <c r="B10455" i="1"/>
  <c r="B10456" i="1"/>
  <c r="B10457" i="1"/>
  <c r="B10451" i="1"/>
  <c r="B10450" i="1"/>
  <c r="B10448" i="1"/>
  <c r="B10449" i="1"/>
  <c r="B10284" i="1"/>
  <c r="B10285" i="1"/>
  <c r="B10286" i="1"/>
  <c r="B10277" i="1"/>
  <c r="B10064" i="1"/>
  <c r="B10052" i="1"/>
  <c r="B10043" i="1"/>
  <c r="B9842" i="1"/>
  <c r="B9843" i="1"/>
  <c r="B9844" i="1"/>
  <c r="B9845" i="1"/>
  <c r="B9838" i="1"/>
  <c r="B9649" i="1"/>
  <c r="B9650" i="1"/>
  <c r="B9651" i="1"/>
  <c r="B9652" i="1"/>
  <c r="B9653" i="1"/>
  <c r="B9643" i="1"/>
  <c r="B9504" i="1"/>
  <c r="B9505" i="1"/>
  <c r="B9506" i="1"/>
  <c r="B9454" i="1"/>
  <c r="B9444" i="1"/>
  <c r="B9398" i="1"/>
  <c r="B9399" i="1"/>
  <c r="B9400" i="1"/>
  <c r="B9401" i="1"/>
  <c r="B9390" i="1"/>
  <c r="B9218" i="1"/>
  <c r="B9219" i="1"/>
  <c r="B9220" i="1"/>
  <c r="B9123" i="1"/>
  <c r="B9124" i="1"/>
  <c r="B9117" i="1"/>
  <c r="B9115" i="1"/>
  <c r="B9024" i="1"/>
  <c r="B9025" i="1"/>
  <c r="B8916" i="1"/>
  <c r="B8909" i="1"/>
  <c r="B8910" i="1"/>
  <c r="B8911" i="1"/>
  <c r="B8912" i="1"/>
  <c r="B8913" i="1"/>
  <c r="B8878" i="1"/>
  <c r="B8873" i="1"/>
  <c r="B8658" i="1"/>
  <c r="B8659" i="1"/>
  <c r="B8651" i="1"/>
  <c r="B8544" i="1"/>
  <c r="B8545" i="1"/>
  <c r="B8420" i="1"/>
  <c r="B8421" i="1"/>
  <c r="B8422" i="1"/>
  <c r="B8418" i="1"/>
  <c r="B8309" i="1"/>
  <c r="B8198" i="1"/>
  <c r="B8071" i="1"/>
  <c r="B7756" i="1"/>
  <c r="B7740" i="1"/>
  <c r="B7741" i="1"/>
  <c r="B7742" i="1"/>
  <c r="B7743" i="1"/>
  <c r="B7744" i="1"/>
  <c r="B7344" i="1"/>
  <c r="B7345" i="1"/>
  <c r="B7346" i="1"/>
  <c r="B7337" i="1"/>
  <c r="B7338" i="1"/>
  <c r="B7339" i="1"/>
  <c r="B7568" i="1"/>
  <c r="B7562" i="1"/>
  <c r="B7158" i="1"/>
  <c r="B7145" i="1"/>
  <c r="B7146" i="1"/>
  <c r="B7143" i="1"/>
  <c r="B7144" i="1"/>
  <c r="B7136" i="1"/>
  <c r="B7137" i="1"/>
  <c r="B6894" i="1"/>
  <c r="B6895" i="1"/>
  <c r="B6896" i="1"/>
  <c r="B6897" i="1"/>
  <c r="B6883" i="1"/>
  <c r="B6884" i="1"/>
  <c r="B6710" i="1"/>
  <c r="B6399" i="1"/>
  <c r="B6400" i="1"/>
  <c r="B6401" i="1"/>
  <c r="B6402" i="1"/>
  <c r="B6390" i="1"/>
  <c r="B6206" i="1"/>
  <c r="B6207" i="1"/>
  <c r="B6208" i="1"/>
  <c r="B6209" i="1"/>
  <c r="B6210" i="1"/>
  <c r="B6211" i="1"/>
  <c r="B6212" i="1"/>
  <c r="B5844" i="1"/>
  <c r="B5845" i="1"/>
  <c r="B5846" i="1"/>
  <c r="B5847" i="1"/>
  <c r="B5827" i="1"/>
  <c r="B5828" i="1"/>
  <c r="B5652" i="1"/>
  <c r="B5635" i="1"/>
  <c r="B6049" i="1"/>
  <c r="B6050" i="1"/>
  <c r="B6051" i="1"/>
  <c r="B6052" i="1"/>
  <c r="B6053" i="1"/>
  <c r="B6054" i="1"/>
  <c r="B5520" i="1"/>
  <c r="B5521" i="1"/>
  <c r="B5522" i="1"/>
  <c r="B5508" i="1"/>
  <c r="B5313" i="1"/>
  <c r="B5306" i="1"/>
  <c r="B5299" i="1"/>
  <c r="B5148" i="1"/>
  <c r="B5125" i="1"/>
  <c r="B5126" i="1"/>
  <c r="B5127" i="1"/>
  <c r="B5128" i="1"/>
  <c r="B5034" i="1"/>
  <c r="B5012" i="1"/>
  <c r="B5013" i="1"/>
  <c r="B5014" i="1"/>
  <c r="B5015" i="1"/>
  <c r="B5016" i="1"/>
  <c r="B5017" i="1"/>
  <c r="B4806" i="1"/>
  <c r="B4807" i="1"/>
  <c r="B4808" i="1"/>
  <c r="B4809" i="1"/>
  <c r="B4810" i="1"/>
  <c r="B4811" i="1"/>
  <c r="B4812" i="1"/>
  <c r="B4780" i="1"/>
  <c r="B4781" i="1"/>
  <c r="B4782" i="1"/>
  <c r="B4600" i="1"/>
  <c r="B4601" i="1"/>
  <c r="B4602" i="1"/>
  <c r="B4603" i="1"/>
  <c r="B4604" i="1"/>
  <c r="B4605" i="1"/>
  <c r="B4458" i="1"/>
  <c r="B4440" i="1"/>
  <c r="B4441" i="1"/>
  <c r="B4442" i="1"/>
  <c r="B4443" i="1"/>
  <c r="B4444" i="1"/>
  <c r="B4445" i="1"/>
  <c r="B4446" i="1"/>
  <c r="B4423" i="1"/>
  <c r="B4268" i="1"/>
  <c r="B4269" i="1"/>
  <c r="B4270" i="1"/>
  <c r="B4248" i="1"/>
  <c r="B4009" i="1"/>
  <c r="B3990" i="1"/>
  <c r="B3991" i="1"/>
  <c r="B3992" i="1"/>
  <c r="B3993" i="1"/>
  <c r="B3994" i="1"/>
  <c r="B3995" i="1"/>
  <c r="B3996" i="1"/>
  <c r="B3972" i="1"/>
  <c r="B3973" i="1"/>
  <c r="B3974" i="1"/>
  <c r="B3975" i="1"/>
  <c r="B3791" i="1"/>
  <c r="B3792" i="1"/>
  <c r="B3793" i="1"/>
  <c r="B3794" i="1"/>
  <c r="B3795" i="1"/>
  <c r="B3625" i="1"/>
  <c r="B3619" i="1"/>
  <c r="B3512" i="1"/>
  <c r="B3311" i="1"/>
  <c r="B3312" i="1"/>
  <c r="B3313" i="1"/>
  <c r="B3314" i="1"/>
  <c r="B3315" i="1"/>
  <c r="B3298" i="1"/>
  <c r="B3299" i="1"/>
  <c r="B3296" i="1"/>
  <c r="B3297" i="1"/>
  <c r="B3285" i="1"/>
  <c r="B2430" i="1"/>
  <c r="B2431" i="1"/>
  <c r="B3075" i="1"/>
  <c r="B3076" i="1"/>
  <c r="B3064" i="1"/>
  <c r="B3062" i="1"/>
  <c r="B3063" i="1"/>
  <c r="B3056" i="1"/>
  <c r="B3057" i="1"/>
  <c r="B3058" i="1"/>
  <c r="B3059" i="1"/>
  <c r="B3060" i="1"/>
  <c r="B2879" i="1"/>
  <c r="B2880" i="1"/>
  <c r="B2862" i="1"/>
  <c r="B2863" i="1"/>
  <c r="B2864" i="1"/>
  <c r="B2865" i="1"/>
  <c r="B2866" i="1"/>
  <c r="B2677" i="1"/>
  <c r="B2673" i="1"/>
  <c r="B2674" i="1"/>
  <c r="B2669" i="1"/>
  <c r="B2670" i="1"/>
  <c r="B2671" i="1"/>
  <c r="B2260" i="1"/>
  <c r="B2261" i="1"/>
  <c r="B2262" i="1"/>
  <c r="B2263" i="1"/>
  <c r="B2253" i="1"/>
  <c r="B2254" i="1"/>
  <c r="B1984" i="1"/>
  <c r="B1969" i="1"/>
  <c r="B1970" i="1"/>
  <c r="B1809" i="1"/>
  <c r="B1810" i="1"/>
  <c r="B1793" i="1"/>
  <c r="B1794" i="1"/>
  <c r="B1795" i="1"/>
  <c r="B1796" i="1"/>
  <c r="B1797" i="1"/>
  <c r="B1617" i="1"/>
  <c r="B1618" i="1"/>
  <c r="B1619" i="1"/>
  <c r="B1620" i="1"/>
  <c r="B1493" i="1"/>
  <c r="B1479" i="1"/>
  <c r="B1480" i="1"/>
  <c r="B1481" i="1"/>
  <c r="B1482" i="1"/>
  <c r="B1483" i="1"/>
  <c r="B1484" i="1"/>
  <c r="B1465" i="1"/>
  <c r="B1354" i="1"/>
  <c r="B1355" i="1"/>
  <c r="B1356" i="1"/>
  <c r="B10828" i="1"/>
  <c r="B10829" i="1"/>
  <c r="B10830" i="1"/>
  <c r="B10789" i="1"/>
  <c r="B10790" i="1"/>
  <c r="B10791" i="1"/>
  <c r="B10792" i="1"/>
  <c r="B10793" i="1"/>
  <c r="B10668" i="1"/>
  <c r="B10669" i="1"/>
  <c r="B10670" i="1"/>
  <c r="B10671" i="1"/>
  <c r="B10672" i="1"/>
  <c r="B10648" i="1"/>
  <c r="B10649" i="1"/>
  <c r="B10650" i="1"/>
  <c r="B10651" i="1"/>
  <c r="B10444" i="1"/>
  <c r="B10445" i="1"/>
  <c r="B10440" i="1"/>
  <c r="B10441" i="1"/>
  <c r="B10442" i="1"/>
  <c r="B10433" i="1"/>
  <c r="B10432" i="1"/>
  <c r="B10278" i="1"/>
  <c r="B10279" i="1"/>
  <c r="B10267" i="1"/>
  <c r="B10262" i="1"/>
  <c r="B10257" i="1"/>
  <c r="B10044" i="1"/>
  <c r="B10045" i="1"/>
  <c r="B10046" i="1"/>
  <c r="B10037" i="1"/>
  <c r="B10032" i="1"/>
  <c r="B10033" i="1"/>
  <c r="B10034" i="1"/>
  <c r="B10035" i="1"/>
  <c r="B9830" i="1"/>
  <c r="B9827" i="1"/>
  <c r="B9825" i="1"/>
  <c r="B9635" i="1"/>
  <c r="B9636" i="1"/>
  <c r="B9637" i="1"/>
  <c r="B9628" i="1"/>
  <c r="B9629" i="1"/>
  <c r="B9630" i="1"/>
  <c r="B9623" i="1"/>
  <c r="B9391" i="1"/>
  <c r="B9311" i="1"/>
  <c r="B9312" i="1"/>
  <c r="B9208" i="1"/>
  <c r="B9019" i="1"/>
  <c r="B9016" i="1"/>
  <c r="B9017" i="1"/>
  <c r="B8896" i="1"/>
  <c r="B8897" i="1"/>
  <c r="B8874" i="1"/>
  <c r="B8869" i="1"/>
  <c r="B8867" i="1"/>
  <c r="B8767" i="1"/>
  <c r="B8768" i="1"/>
  <c r="B8648" i="1"/>
  <c r="B8641" i="1"/>
  <c r="B8642" i="1"/>
  <c r="B8534" i="1"/>
  <c r="B8531" i="1"/>
  <c r="B8532" i="1"/>
  <c r="B8416" i="1"/>
  <c r="B8414" i="1"/>
  <c r="B8407" i="1"/>
  <c r="B8408" i="1"/>
  <c r="B8409" i="1"/>
  <c r="B8188" i="1"/>
  <c r="B8072" i="1"/>
  <c r="B8066" i="1"/>
  <c r="B7745" i="1"/>
  <c r="B7732" i="1"/>
  <c r="B7733" i="1"/>
  <c r="B7726" i="1"/>
  <c r="B7727" i="1"/>
  <c r="B7340" i="1"/>
  <c r="B7341" i="1"/>
  <c r="B7323" i="1"/>
  <c r="B7563" i="1"/>
  <c r="B7564" i="1"/>
  <c r="B7565" i="1"/>
  <c r="B7566" i="1"/>
  <c r="B7541" i="1"/>
  <c r="B7138" i="1"/>
  <c r="B7139" i="1"/>
  <c r="B7140" i="1"/>
  <c r="B7141" i="1"/>
  <c r="B6885" i="1"/>
  <c r="B6875" i="1"/>
  <c r="B6876" i="1"/>
  <c r="B6877" i="1"/>
  <c r="B6878" i="1"/>
  <c r="B6879" i="1"/>
  <c r="B6688" i="1"/>
  <c r="B6689" i="1"/>
  <c r="B6690" i="1"/>
  <c r="B6691" i="1"/>
  <c r="B6676" i="1"/>
  <c r="B6391" i="1"/>
  <c r="B6392" i="1"/>
  <c r="B6384" i="1"/>
  <c r="B6383" i="1"/>
  <c r="B6381" i="1"/>
  <c r="B6382" i="1"/>
  <c r="B6375" i="1"/>
  <c r="B6213" i="1"/>
  <c r="B6195" i="1"/>
  <c r="B6190" i="1"/>
  <c r="B6191" i="1"/>
  <c r="B6192" i="1"/>
  <c r="B6182" i="1"/>
  <c r="B5829" i="1"/>
  <c r="B5830" i="1"/>
  <c r="B5831" i="1"/>
  <c r="B5832" i="1"/>
  <c r="B5833" i="1"/>
  <c r="B5636" i="1"/>
  <c r="B5637" i="1"/>
  <c r="B5621" i="1"/>
  <c r="B5622" i="1"/>
  <c r="B6023" i="1"/>
  <c r="B6024" i="1"/>
  <c r="B6025" i="1"/>
  <c r="B6026" i="1"/>
  <c r="B6027" i="1"/>
  <c r="B6028" i="1"/>
  <c r="B6029" i="1"/>
  <c r="B6030" i="1"/>
  <c r="B6031" i="1"/>
  <c r="B5505" i="1"/>
  <c r="B5499" i="1"/>
  <c r="B5500" i="1"/>
  <c r="B5501" i="1"/>
  <c r="B5295" i="1"/>
  <c r="B5293" i="1"/>
  <c r="B5294" i="1"/>
  <c r="B5290" i="1"/>
  <c r="B5291" i="1"/>
  <c r="B5286" i="1"/>
  <c r="B5129" i="1"/>
  <c r="B5106" i="1"/>
  <c r="B5018" i="1"/>
  <c r="B4997" i="1"/>
  <c r="B4998" i="1"/>
  <c r="B4999" i="1"/>
  <c r="B5000" i="1"/>
  <c r="B5001" i="1"/>
  <c r="B4783" i="1"/>
  <c r="B4784" i="1"/>
  <c r="B4785" i="1"/>
  <c r="B4786" i="1"/>
  <c r="B4606" i="1"/>
  <c r="B4607" i="1"/>
  <c r="B4584" i="1"/>
  <c r="B4424" i="1"/>
  <c r="B4425" i="1"/>
  <c r="B4426" i="1"/>
  <c r="B4427" i="1"/>
  <c r="B4428" i="1"/>
  <c r="B4429" i="1"/>
  <c r="B4416" i="1"/>
  <c r="B4417" i="1"/>
  <c r="B4249" i="1"/>
  <c r="B4250" i="1"/>
  <c r="B4251" i="1"/>
  <c r="B4223" i="1"/>
  <c r="B4224" i="1"/>
  <c r="B4225" i="1"/>
  <c r="B4226" i="1"/>
  <c r="B4227" i="1"/>
  <c r="B4228" i="1"/>
  <c r="B4229" i="1"/>
  <c r="B3976" i="1"/>
  <c r="B3977" i="1"/>
  <c r="B3978" i="1"/>
  <c r="B3979" i="1"/>
  <c r="B3980" i="1"/>
  <c r="B3981" i="1"/>
  <c r="B3982" i="1"/>
  <c r="B3983" i="1"/>
  <c r="B3959" i="1"/>
  <c r="B3960" i="1"/>
  <c r="B3796" i="1"/>
  <c r="B3783" i="1"/>
  <c r="B3784" i="1"/>
  <c r="B3785" i="1"/>
  <c r="B3613" i="1"/>
  <c r="B3513" i="1"/>
  <c r="B3491" i="1"/>
  <c r="B3492" i="1"/>
  <c r="B3493" i="1"/>
  <c r="B3494" i="1"/>
  <c r="B3481" i="1"/>
  <c r="B3482" i="1"/>
  <c r="B3478" i="1"/>
  <c r="B3286" i="1"/>
  <c r="B3287" i="1"/>
  <c r="B3288" i="1"/>
  <c r="B3289" i="1"/>
  <c r="B3290" i="1"/>
  <c r="B3291" i="1"/>
  <c r="B2607" i="1"/>
  <c r="B2608" i="1"/>
  <c r="B2609" i="1"/>
  <c r="B2610" i="1"/>
  <c r="B2590" i="1"/>
  <c r="B2591" i="1"/>
  <c r="B2592" i="1"/>
  <c r="B2417" i="1"/>
  <c r="B2418" i="1"/>
  <c r="B2419" i="1"/>
  <c r="B3047" i="1"/>
  <c r="B3039" i="1"/>
  <c r="B3040" i="1"/>
  <c r="B2867" i="1"/>
  <c r="B2851" i="1"/>
  <c r="B2849" i="1"/>
  <c r="B2838" i="1"/>
  <c r="B2839" i="1"/>
  <c r="B2250" i="1"/>
  <c r="B2251" i="1"/>
  <c r="B2245" i="1"/>
  <c r="B1971" i="1"/>
  <c r="B1960" i="1"/>
  <c r="B1961" i="1"/>
  <c r="B1962" i="1"/>
  <c r="B1798" i="1"/>
  <c r="B1799" i="1"/>
  <c r="B1800" i="1"/>
  <c r="B1605" i="1"/>
  <c r="B1606" i="1"/>
  <c r="B1607" i="1"/>
  <c r="B1588" i="1"/>
  <c r="B1589" i="1"/>
  <c r="B1590" i="1"/>
  <c r="B1466" i="1"/>
  <c r="B1467" i="1"/>
  <c r="B1468" i="1"/>
  <c r="B1469" i="1"/>
  <c r="B1470" i="1"/>
  <c r="B1341" i="1"/>
  <c r="B1342" i="1"/>
  <c r="B1343" i="1"/>
  <c r="B1344" i="1"/>
  <c r="B1345" i="1"/>
  <c r="B1346" i="1"/>
  <c r="B1347" i="1"/>
  <c r="B1348" i="1"/>
  <c r="B10794" i="1"/>
  <c r="B10795" i="1"/>
  <c r="B10796" i="1"/>
  <c r="B10797" i="1"/>
  <c r="B10798" i="1"/>
  <c r="B10799" i="1"/>
  <c r="B10652" i="1"/>
  <c r="B10653" i="1"/>
  <c r="B10654" i="1"/>
  <c r="B10655" i="1"/>
  <c r="B10656" i="1"/>
  <c r="B10657" i="1"/>
  <c r="B10631" i="1"/>
  <c r="B10429" i="1"/>
  <c r="B10430" i="1"/>
  <c r="B10431" i="1"/>
  <c r="B10424" i="1"/>
  <c r="B10425" i="1"/>
  <c r="B10418" i="1"/>
  <c r="B10419" i="1"/>
  <c r="B10258" i="1"/>
  <c r="B10259" i="1"/>
  <c r="B10252" i="1"/>
  <c r="B10253" i="1"/>
  <c r="B10254" i="1"/>
  <c r="B10241" i="1"/>
  <c r="B10242" i="1"/>
  <c r="B10030" i="1"/>
  <c r="B10031" i="1"/>
  <c r="B10028" i="1"/>
  <c r="B10027" i="1"/>
  <c r="B10023" i="1"/>
  <c r="B10021" i="1"/>
  <c r="B9823" i="1"/>
  <c r="B9816" i="1"/>
  <c r="B9817" i="1"/>
  <c r="B9818" i="1"/>
  <c r="B9812" i="1"/>
  <c r="B9813" i="1"/>
  <c r="B9814" i="1"/>
  <c r="B9809" i="1"/>
  <c r="B9810" i="1"/>
  <c r="B9811" i="1"/>
  <c r="B9613" i="1"/>
  <c r="B9608" i="1"/>
  <c r="B9606" i="1"/>
  <c r="B9607" i="1"/>
  <c r="B9605" i="1"/>
  <c r="B9507" i="1"/>
  <c r="B9508" i="1"/>
  <c r="B9435" i="1"/>
  <c r="B9434" i="1"/>
  <c r="B9432" i="1"/>
  <c r="B9381" i="1"/>
  <c r="B9306" i="1"/>
  <c r="B9300" i="1"/>
  <c r="B9301" i="1"/>
  <c r="B9203" i="1"/>
  <c r="B9204" i="1"/>
  <c r="B9013" i="1"/>
  <c r="B9014" i="1"/>
  <c r="B9015" i="1"/>
  <c r="B8898" i="1"/>
  <c r="B8863" i="1"/>
  <c r="B8762" i="1"/>
  <c r="B8763" i="1"/>
  <c r="B8749" i="1"/>
  <c r="B8750" i="1"/>
  <c r="B8643" i="1"/>
  <c r="B8644" i="1"/>
  <c r="B8635" i="1"/>
  <c r="B8636" i="1"/>
  <c r="B8524" i="1"/>
  <c r="B8525" i="1"/>
  <c r="B8526" i="1"/>
  <c r="B8527" i="1"/>
  <c r="B8410" i="1"/>
  <c r="B8189" i="1"/>
  <c r="B8180" i="1"/>
  <c r="B8173" i="1"/>
  <c r="B8067" i="1"/>
  <c r="B7728" i="1"/>
  <c r="B7324" i="1"/>
  <c r="B7325" i="1"/>
  <c r="B7326" i="1"/>
  <c r="B7314" i="1"/>
  <c r="B7542" i="1"/>
  <c r="B7543" i="1"/>
  <c r="B7544" i="1"/>
  <c r="B7545" i="1"/>
  <c r="B7546" i="1"/>
  <c r="B7547" i="1"/>
  <c r="B7521" i="1"/>
  <c r="B7522" i="1"/>
  <c r="B7523" i="1"/>
  <c r="B7524" i="1"/>
  <c r="B7124" i="1"/>
  <c r="B7125" i="1"/>
  <c r="B6880" i="1"/>
  <c r="B6881" i="1"/>
  <c r="B6862" i="1"/>
  <c r="B6863" i="1"/>
  <c r="B6864" i="1"/>
  <c r="B6865" i="1"/>
  <c r="B6866" i="1"/>
  <c r="B6677" i="1"/>
  <c r="B6678" i="1"/>
  <c r="B6679" i="1"/>
  <c r="B6680" i="1"/>
  <c r="B6657" i="1"/>
  <c r="B7090" i="1"/>
  <c r="B7091" i="1"/>
  <c r="B7080" i="1"/>
  <c r="B7081" i="1"/>
  <c r="B7082" i="1"/>
  <c r="B7075" i="1"/>
  <c r="B7076" i="1"/>
  <c r="B7077" i="1"/>
  <c r="B7078" i="1"/>
  <c r="B6376" i="1"/>
  <c r="B6377" i="1"/>
  <c r="B6378" i="1"/>
  <c r="B6379" i="1"/>
  <c r="B6380" i="1"/>
  <c r="B6367" i="1"/>
  <c r="B6368" i="1"/>
  <c r="B6183" i="1"/>
  <c r="B6184" i="1"/>
  <c r="B6185" i="1"/>
  <c r="B6186" i="1"/>
  <c r="B6594" i="1"/>
  <c r="B6595" i="1"/>
  <c r="B6584" i="1"/>
  <c r="B6585" i="1"/>
  <c r="B6586" i="1"/>
  <c r="B6587" i="1"/>
  <c r="B5816" i="1"/>
  <c r="B5817" i="1"/>
  <c r="B5818" i="1"/>
  <c r="B5819" i="1"/>
  <c r="B5623" i="1"/>
  <c r="B5624" i="1"/>
  <c r="B5612" i="1"/>
  <c r="B5613" i="1"/>
  <c r="B5608" i="1"/>
  <c r="B5609" i="1"/>
  <c r="B5610" i="1"/>
  <c r="B5604" i="1"/>
  <c r="B6032" i="1"/>
  <c r="B6033" i="1"/>
  <c r="B6034" i="1"/>
  <c r="B6010" i="1"/>
  <c r="B6011" i="1"/>
  <c r="B6012" i="1"/>
  <c r="B6000" i="1"/>
  <c r="B6001" i="1"/>
  <c r="B5502" i="1"/>
  <c r="B5503" i="1"/>
  <c r="B5483" i="1"/>
  <c r="B5484" i="1"/>
  <c r="B5485" i="1"/>
  <c r="B5287" i="1"/>
  <c r="B5288" i="1"/>
  <c r="B5279" i="1"/>
  <c r="B5280" i="1"/>
  <c r="B5281" i="1"/>
  <c r="B5282" i="1"/>
  <c r="B5275" i="1"/>
  <c r="B5107" i="1"/>
  <c r="B5108" i="1"/>
  <c r="B5109" i="1"/>
  <c r="B5110" i="1"/>
  <c r="B5111" i="1"/>
  <c r="B5112" i="1"/>
  <c r="B4987" i="1"/>
  <c r="B4988" i="1"/>
  <c r="B4981" i="1"/>
  <c r="B4982" i="1"/>
  <c r="B4983" i="1"/>
  <c r="B4984" i="1"/>
  <c r="B4985" i="1"/>
  <c r="B4787" i="1"/>
  <c r="B4766" i="1"/>
  <c r="B4767" i="1"/>
  <c r="B4768" i="1"/>
  <c r="B4585" i="1"/>
  <c r="B4586" i="1"/>
  <c r="B4587" i="1"/>
  <c r="B4571" i="1"/>
  <c r="B4418" i="1"/>
  <c r="B4419" i="1"/>
  <c r="B4420" i="1"/>
  <c r="B4410" i="1"/>
  <c r="B4411" i="1"/>
  <c r="B4412" i="1"/>
  <c r="B4413" i="1"/>
  <c r="B4404" i="1"/>
  <c r="B4405" i="1"/>
  <c r="B4406" i="1"/>
  <c r="B4230" i="1"/>
  <c r="B4231" i="1"/>
  <c r="B4232" i="1"/>
  <c r="B4233" i="1"/>
  <c r="B4234" i="1"/>
  <c r="B4235" i="1"/>
  <c r="B4212" i="1"/>
  <c r="B4213" i="1"/>
  <c r="B4214" i="1"/>
  <c r="B4209" i="1"/>
  <c r="B3957" i="1"/>
  <c r="B3954" i="1"/>
  <c r="B3772" i="1"/>
  <c r="B3773" i="1"/>
  <c r="B3774" i="1"/>
  <c r="B3775" i="1"/>
  <c r="B3761" i="1"/>
  <c r="B3614" i="1"/>
  <c r="B3615" i="1"/>
  <c r="B3616" i="1"/>
  <c r="B3617" i="1"/>
  <c r="B3477" i="1"/>
  <c r="B3471" i="1"/>
  <c r="B3472" i="1"/>
  <c r="B3473" i="1"/>
  <c r="B3474" i="1"/>
  <c r="B3475" i="1"/>
  <c r="B3456" i="1"/>
  <c r="B3457" i="1"/>
  <c r="B3458" i="1"/>
  <c r="B3459" i="1"/>
  <c r="B3460" i="1"/>
  <c r="B3292" i="1"/>
  <c r="B3293" i="1"/>
  <c r="B3279" i="1"/>
  <c r="B3280" i="1"/>
  <c r="B3281" i="1"/>
  <c r="B3269" i="1"/>
  <c r="B2593" i="1"/>
  <c r="B2594" i="1"/>
  <c r="B2595" i="1"/>
  <c r="B2578" i="1"/>
  <c r="B2579" i="1"/>
  <c r="B2580" i="1"/>
  <c r="B2581" i="1"/>
  <c r="B2582" i="1"/>
  <c r="B2583" i="1"/>
  <c r="B3030" i="1"/>
  <c r="B3031" i="1"/>
  <c r="B3032" i="1"/>
  <c r="B3027" i="1"/>
  <c r="B3022" i="1"/>
  <c r="B3023" i="1"/>
  <c r="B2840" i="1"/>
  <c r="B2841" i="1"/>
  <c r="B2842" i="1"/>
  <c r="B2660" i="1"/>
  <c r="B2661" i="1"/>
  <c r="B2405" i="1"/>
  <c r="B2406" i="1"/>
  <c r="B2407" i="1"/>
  <c r="B2408" i="1"/>
  <c r="B2409" i="1"/>
  <c r="B2235" i="1"/>
  <c r="B2236" i="1"/>
  <c r="B2237" i="1"/>
  <c r="B2230" i="1"/>
  <c r="B2231" i="1"/>
  <c r="B1949" i="1"/>
  <c r="B1950" i="1"/>
  <c r="B1780" i="1"/>
  <c r="B1781" i="1"/>
  <c r="B1763" i="1"/>
  <c r="B1451" i="1"/>
  <c r="B1452" i="1"/>
  <c r="B1453" i="1"/>
  <c r="B1454" i="1"/>
  <c r="B1455" i="1"/>
  <c r="B1456" i="1"/>
  <c r="B1457" i="1"/>
  <c r="B1458" i="1"/>
  <c r="B1459" i="1"/>
  <c r="B1349" i="1"/>
  <c r="B1336" i="1"/>
  <c r="B1330" i="1"/>
  <c r="B1331" i="1"/>
  <c r="B1332" i="1"/>
  <c r="B1326" i="1"/>
  <c r="B1327" i="1"/>
  <c r="B10979" i="1"/>
  <c r="B10632" i="1"/>
  <c r="B10633" i="1"/>
  <c r="B10634" i="1"/>
  <c r="B10635" i="1"/>
  <c r="B10636" i="1"/>
  <c r="B10414" i="1"/>
  <c r="B10415" i="1"/>
  <c r="B10413" i="1"/>
  <c r="B10408" i="1"/>
  <c r="B10409" i="1"/>
  <c r="B10410" i="1"/>
  <c r="B10402" i="1"/>
  <c r="B10403" i="1"/>
  <c r="B10243" i="1"/>
  <c r="B10231" i="1"/>
  <c r="B10232" i="1"/>
  <c r="B10233" i="1"/>
  <c r="B10234" i="1"/>
  <c r="B10235" i="1"/>
  <c r="B10236" i="1"/>
  <c r="B10226" i="1"/>
  <c r="B10227" i="1"/>
  <c r="B10015" i="1"/>
  <c r="B10016" i="1"/>
  <c r="B10017" i="1"/>
  <c r="B9805" i="1"/>
  <c r="B9802" i="1"/>
  <c r="B9800" i="1"/>
  <c r="B9793" i="1"/>
  <c r="B9602" i="1"/>
  <c r="B9597" i="1"/>
  <c r="B9598" i="1"/>
  <c r="B9599" i="1"/>
  <c r="B9600" i="1"/>
  <c r="B9591" i="1"/>
  <c r="B9429" i="1"/>
  <c r="B9382" i="1"/>
  <c r="B9302" i="1"/>
  <c r="B9303" i="1"/>
  <c r="B9198" i="1"/>
  <c r="B9193" i="1"/>
  <c r="B9103" i="1"/>
  <c r="B9009" i="1"/>
  <c r="B9005" i="1"/>
  <c r="B8856" i="1"/>
  <c r="B8857" i="1"/>
  <c r="B8751" i="1"/>
  <c r="B8741" i="1"/>
  <c r="B8626" i="1"/>
  <c r="B8528" i="1"/>
  <c r="B8402" i="1"/>
  <c r="B8403" i="1"/>
  <c r="B8397" i="1"/>
  <c r="B8166" i="1"/>
  <c r="B8167" i="1"/>
  <c r="B8059" i="1"/>
  <c r="B8054" i="1"/>
  <c r="B8055" i="1"/>
  <c r="B7927" i="1"/>
  <c r="B7920" i="1"/>
  <c r="B7921" i="1"/>
  <c r="B7912" i="1"/>
  <c r="B7729" i="1"/>
  <c r="B7706" i="1"/>
  <c r="B7315" i="1"/>
  <c r="B7316" i="1"/>
  <c r="B7300" i="1"/>
  <c r="B7301" i="1"/>
  <c r="B7525" i="1"/>
  <c r="B7526" i="1"/>
  <c r="B7527" i="1"/>
  <c r="B7528" i="1"/>
  <c r="B7512" i="1"/>
  <c r="B7513" i="1"/>
  <c r="B7109" i="1"/>
  <c r="B6852" i="1"/>
  <c r="B6853" i="1"/>
  <c r="B6854" i="1"/>
  <c r="B6855" i="1"/>
  <c r="B6856" i="1"/>
  <c r="B6857" i="1"/>
  <c r="B6658" i="1"/>
  <c r="B6659" i="1"/>
  <c r="B6660" i="1"/>
  <c r="B6661" i="1"/>
  <c r="B6662" i="1"/>
  <c r="B6663" i="1"/>
  <c r="B7079" i="1"/>
  <c r="B7068" i="1"/>
  <c r="B7069" i="1"/>
  <c r="B7050" i="1"/>
  <c r="B7051" i="1"/>
  <c r="B6369" i="1"/>
  <c r="B6370" i="1"/>
  <c r="B6371" i="1"/>
  <c r="B6352" i="1"/>
  <c r="B6353" i="1"/>
  <c r="B6354" i="1"/>
  <c r="B6355" i="1"/>
  <c r="B6356" i="1"/>
  <c r="B6187" i="1"/>
  <c r="B6161" i="1"/>
  <c r="B6162" i="1"/>
  <c r="B6163" i="1"/>
  <c r="B6164" i="1"/>
  <c r="B6567" i="1"/>
  <c r="B6568" i="1"/>
  <c r="B6569" i="1"/>
  <c r="B6570" i="1"/>
  <c r="B6571" i="1"/>
  <c r="B5806" i="1"/>
  <c r="B5795" i="1"/>
  <c r="B5796" i="1"/>
  <c r="B5797" i="1"/>
  <c r="B5605" i="1"/>
  <c r="B5594" i="1"/>
  <c r="B5595" i="1"/>
  <c r="B5596" i="1"/>
  <c r="B6002" i="1"/>
  <c r="B6003" i="1"/>
  <c r="B5985" i="1"/>
  <c r="B5986" i="1"/>
  <c r="B5987" i="1"/>
  <c r="B5988" i="1"/>
  <c r="B5989" i="1"/>
  <c r="B5990" i="1"/>
  <c r="B5991" i="1"/>
  <c r="B5473" i="1"/>
  <c r="B5474" i="1"/>
  <c r="B5475" i="1"/>
  <c r="B5476" i="1"/>
  <c r="B5462" i="1"/>
  <c r="B5268" i="1"/>
  <c r="B5269" i="1"/>
  <c r="B5270" i="1"/>
  <c r="B5113" i="1"/>
  <c r="B5114" i="1"/>
  <c r="B5086" i="1"/>
  <c r="B5087" i="1"/>
  <c r="B5088" i="1"/>
  <c r="B5089" i="1"/>
  <c r="B4967" i="1"/>
  <c r="B4968" i="1"/>
  <c r="B4769" i="1"/>
  <c r="B4770" i="1"/>
  <c r="B4754" i="1"/>
  <c r="B4755" i="1"/>
  <c r="B4746" i="1"/>
  <c r="B4747" i="1"/>
  <c r="B4407" i="1"/>
  <c r="B4408" i="1"/>
  <c r="B4409" i="1"/>
  <c r="B4396" i="1"/>
  <c r="B4397" i="1"/>
  <c r="B4398" i="1"/>
  <c r="B4572" i="1"/>
  <c r="B4573" i="1"/>
  <c r="B4574" i="1"/>
  <c r="B4575" i="1"/>
  <c r="B4567" i="1"/>
  <c r="B4210" i="1"/>
  <c r="B4201" i="1"/>
  <c r="B4202" i="1"/>
  <c r="B4203" i="1"/>
  <c r="B3943" i="1"/>
  <c r="B3944" i="1"/>
  <c r="B3945" i="1"/>
  <c r="B3946" i="1"/>
  <c r="B3947" i="1"/>
  <c r="B3948" i="1"/>
  <c r="B3751" i="1"/>
  <c r="B3752" i="1"/>
  <c r="B3753" i="1"/>
  <c r="B3754" i="1"/>
  <c r="B3755" i="1"/>
  <c r="B3461" i="1"/>
  <c r="B3442" i="1"/>
  <c r="B3443" i="1"/>
  <c r="B3444" i="1"/>
  <c r="B3270" i="1"/>
  <c r="B3271" i="1"/>
  <c r="B3272" i="1"/>
  <c r="B3255" i="1"/>
  <c r="B3256" i="1"/>
  <c r="B3257" i="1"/>
  <c r="B3258" i="1"/>
  <c r="B3259" i="1"/>
  <c r="B3248" i="1"/>
  <c r="B2567" i="1"/>
  <c r="B2568" i="1"/>
  <c r="B2569" i="1"/>
  <c r="B2570" i="1"/>
  <c r="B2571" i="1"/>
  <c r="B2560" i="1"/>
  <c r="B2561" i="1"/>
  <c r="B2557" i="1"/>
  <c r="B3024" i="1"/>
  <c r="B3025" i="1"/>
  <c r="B3008" i="1"/>
  <c r="B3009" i="1"/>
  <c r="B3010" i="1"/>
  <c r="B3011" i="1"/>
  <c r="B3012" i="1"/>
  <c r="B3013" i="1"/>
  <c r="B3014" i="1"/>
  <c r="B2843" i="1"/>
  <c r="B2820" i="1"/>
  <c r="B2821" i="1"/>
  <c r="B2822" i="1"/>
  <c r="B2823" i="1"/>
  <c r="B2824" i="1"/>
  <c r="B2825" i="1"/>
  <c r="B2826" i="1"/>
  <c r="B2653" i="1"/>
  <c r="B2654" i="1"/>
  <c r="B2390" i="1"/>
  <c r="B2391" i="1"/>
  <c r="B2392" i="1"/>
  <c r="B2393" i="1"/>
  <c r="B2394" i="1"/>
  <c r="B2395" i="1"/>
  <c r="B2221" i="1"/>
  <c r="B2222" i="1"/>
  <c r="B2215" i="1"/>
  <c r="B2216" i="1"/>
  <c r="B2217" i="1"/>
  <c r="B2218" i="1"/>
  <c r="B1942" i="1"/>
  <c r="B1943" i="1"/>
  <c r="B1764" i="1"/>
  <c r="B1765" i="1"/>
  <c r="B1766" i="1"/>
  <c r="B1767" i="1"/>
  <c r="B1755" i="1"/>
  <c r="B1756" i="1"/>
  <c r="B1746" i="1"/>
  <c r="B1747" i="1"/>
  <c r="B1443" i="1"/>
  <c r="B1322" i="1"/>
  <c r="B1320" i="1"/>
  <c r="B1311" i="1"/>
  <c r="B1312" i="1"/>
  <c r="B1313" i="1"/>
  <c r="B1302" i="1"/>
  <c r="B1303" i="1"/>
  <c r="B1304" i="1"/>
  <c r="B10980" i="1"/>
  <c r="B10981" i="1"/>
  <c r="B10982" i="1"/>
  <c r="B10800" i="1"/>
  <c r="B10801" i="1"/>
  <c r="B10802" i="1"/>
  <c r="B10803" i="1"/>
  <c r="B10804" i="1"/>
  <c r="B10805" i="1"/>
  <c r="B10637" i="1"/>
  <c r="B10638" i="1"/>
  <c r="B10639" i="1"/>
  <c r="B10404" i="1"/>
  <c r="B10405" i="1"/>
  <c r="B10406" i="1"/>
  <c r="B10396" i="1"/>
  <c r="B10388" i="1"/>
  <c r="B10228" i="1"/>
  <c r="B10222" i="1"/>
  <c r="B10223" i="1"/>
  <c r="B10220" i="1"/>
  <c r="B10209" i="1"/>
  <c r="B10014" i="1"/>
  <c r="B9997" i="1"/>
  <c r="B9998" i="1"/>
  <c r="B9999" i="1"/>
  <c r="B10000" i="1"/>
  <c r="B10001" i="1"/>
  <c r="B10002" i="1"/>
  <c r="B9990" i="1"/>
  <c r="B9991" i="1"/>
  <c r="B9992" i="1"/>
  <c r="B9787" i="1"/>
  <c r="B9788" i="1"/>
  <c r="B9783" i="1"/>
  <c r="B9784" i="1"/>
  <c r="B9785" i="1"/>
  <c r="B9782" i="1"/>
  <c r="B9589" i="1"/>
  <c r="B9580" i="1"/>
  <c r="B9581" i="1"/>
  <c r="B9582" i="1"/>
  <c r="B9583" i="1"/>
  <c r="B9575" i="1"/>
  <c r="B9576" i="1"/>
  <c r="B9497" i="1"/>
  <c r="B9498" i="1"/>
  <c r="B9425" i="1"/>
  <c r="B9426" i="1"/>
  <c r="B9376" i="1"/>
  <c r="B9374" i="1"/>
  <c r="B9286" i="1"/>
  <c r="B9287" i="1"/>
  <c r="B9288" i="1"/>
  <c r="B9194" i="1"/>
  <c r="B9195" i="1"/>
  <c r="B9191" i="1"/>
  <c r="B9188" i="1"/>
  <c r="B9104" i="1"/>
  <c r="B9105" i="1"/>
  <c r="B9095" i="1"/>
  <c r="B8997" i="1"/>
  <c r="B8998" i="1"/>
  <c r="B8999" i="1"/>
  <c r="B8989" i="1"/>
  <c r="B8990" i="1"/>
  <c r="B8851" i="1"/>
  <c r="B8848" i="1"/>
  <c r="B8742" i="1"/>
  <c r="B8743" i="1"/>
  <c r="B8627" i="1"/>
  <c r="B8623" i="1"/>
  <c r="B8512" i="1"/>
  <c r="B8304" i="1"/>
  <c r="B8305" i="1"/>
  <c r="B8048" i="1"/>
  <c r="B8046" i="1"/>
  <c r="B8042" i="1"/>
  <c r="B8043" i="1"/>
  <c r="B7913" i="1"/>
  <c r="B7914" i="1"/>
  <c r="B7915" i="1"/>
  <c r="B7898" i="1"/>
  <c r="B7899" i="1"/>
  <c r="B7707" i="1"/>
  <c r="B7708" i="1"/>
  <c r="B7709" i="1"/>
  <c r="B7710" i="1"/>
  <c r="B7690" i="1"/>
  <c r="B7691" i="1"/>
  <c r="B7692" i="1"/>
  <c r="B7497" i="1"/>
  <c r="B7498" i="1"/>
  <c r="B7499" i="1"/>
  <c r="B7500" i="1"/>
  <c r="B7501" i="1"/>
  <c r="B7502" i="1"/>
  <c r="B7503" i="1"/>
  <c r="B7487" i="1"/>
  <c r="B7488" i="1"/>
  <c r="B7482" i="1"/>
  <c r="B7483" i="1"/>
  <c r="B7484" i="1"/>
  <c r="B7110" i="1"/>
  <c r="B7111" i="1"/>
  <c r="B7112" i="1"/>
  <c r="B7099" i="1"/>
  <c r="B7100" i="1"/>
  <c r="B6842" i="1"/>
  <c r="B6843" i="1"/>
  <c r="B6844" i="1"/>
  <c r="B7052" i="1"/>
  <c r="B7053" i="1"/>
  <c r="B7054" i="1"/>
  <c r="B7055" i="1"/>
  <c r="B7056" i="1"/>
  <c r="B6645" i="1"/>
  <c r="B6646" i="1"/>
  <c r="B6647" i="1"/>
  <c r="B6648" i="1"/>
  <c r="B6649" i="1"/>
  <c r="B6357" i="1"/>
  <c r="B6358" i="1"/>
  <c r="B6359" i="1"/>
  <c r="B6343" i="1"/>
  <c r="B6344" i="1"/>
  <c r="B6142" i="1"/>
  <c r="B6143" i="1"/>
  <c r="B6144" i="1"/>
  <c r="B6564" i="1"/>
  <c r="B6560" i="1"/>
  <c r="B6561" i="1"/>
  <c r="B6562" i="1"/>
  <c r="B5798" i="1"/>
  <c r="B5799" i="1"/>
  <c r="B5790" i="1"/>
  <c r="B5782" i="1"/>
  <c r="B5597" i="1"/>
  <c r="B5598" i="1"/>
  <c r="B5586" i="1"/>
  <c r="B5992" i="1"/>
  <c r="B5993" i="1"/>
  <c r="B5994" i="1"/>
  <c r="B5995" i="1"/>
  <c r="B5996" i="1"/>
  <c r="B5997" i="1"/>
  <c r="B5998" i="1"/>
  <c r="B5969" i="1"/>
  <c r="B5463" i="1"/>
  <c r="B5464" i="1"/>
  <c r="B5452" i="1"/>
  <c r="B5271" i="1"/>
  <c r="B5254" i="1"/>
  <c r="B5255" i="1"/>
  <c r="B5256" i="1"/>
  <c r="B5257" i="1"/>
  <c r="B5258" i="1"/>
  <c r="B5259" i="1"/>
  <c r="B5248" i="1"/>
  <c r="B5090" i="1"/>
  <c r="B5091" i="1"/>
  <c r="B5092" i="1"/>
  <c r="B5093" i="1"/>
  <c r="B5094" i="1"/>
  <c r="B5095" i="1"/>
  <c r="B5096" i="1"/>
  <c r="B4969" i="1"/>
  <c r="B4970" i="1"/>
  <c r="B4971" i="1"/>
  <c r="B4972" i="1"/>
  <c r="B4973" i="1"/>
  <c r="B4974" i="1"/>
  <c r="B4975" i="1"/>
  <c r="B4976" i="1"/>
  <c r="B4947" i="1"/>
  <c r="B4948" i="1"/>
  <c r="B4748" i="1"/>
  <c r="B4749" i="1"/>
  <c r="B4750" i="1"/>
  <c r="B4738" i="1"/>
  <c r="B4739" i="1"/>
  <c r="B4740" i="1"/>
  <c r="B4741" i="1"/>
  <c r="B4742" i="1"/>
  <c r="B4743" i="1"/>
  <c r="B4399" i="1"/>
  <c r="B4383" i="1"/>
  <c r="B4568" i="1"/>
  <c r="B4560" i="1"/>
  <c r="B4204" i="1"/>
  <c r="B4205" i="1"/>
  <c r="B4206" i="1"/>
  <c r="B4207" i="1"/>
  <c r="B4185" i="1"/>
  <c r="B4186" i="1"/>
  <c r="B4187" i="1"/>
  <c r="B4188" i="1"/>
  <c r="B3930" i="1"/>
  <c r="B3931" i="1"/>
  <c r="B3932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445" i="1"/>
  <c r="B3446" i="1"/>
  <c r="B3447" i="1"/>
  <c r="B3448" i="1"/>
  <c r="B3449" i="1"/>
  <c r="B3428" i="1"/>
  <c r="B3249" i="1"/>
  <c r="B3245" i="1"/>
  <c r="B3244" i="1"/>
  <c r="B3234" i="1"/>
  <c r="B3235" i="1"/>
  <c r="B3236" i="1"/>
  <c r="B3237" i="1"/>
  <c r="B2554" i="1"/>
  <c r="B2555" i="1"/>
  <c r="B2556" i="1"/>
  <c r="B2537" i="1"/>
  <c r="B2538" i="1"/>
  <c r="B2539" i="1"/>
  <c r="B2540" i="1"/>
  <c r="B2541" i="1"/>
  <c r="B3015" i="1"/>
  <c r="B3016" i="1"/>
  <c r="B3017" i="1"/>
  <c r="B3018" i="1"/>
  <c r="B3019" i="1"/>
  <c r="B2995" i="1"/>
  <c r="B2827" i="1"/>
  <c r="B2805" i="1"/>
  <c r="B2806" i="1"/>
  <c r="B2807" i="1"/>
  <c r="B2808" i="1"/>
  <c r="B2655" i="1"/>
  <c r="B2637" i="1"/>
  <c r="B2638" i="1"/>
  <c r="B2639" i="1"/>
  <c r="B2640" i="1"/>
  <c r="B2641" i="1"/>
  <c r="B2642" i="1"/>
  <c r="B2643" i="1"/>
  <c r="B2382" i="1"/>
  <c r="B2383" i="1"/>
  <c r="B2384" i="1"/>
  <c r="B2385" i="1"/>
  <c r="B2377" i="1"/>
  <c r="B2378" i="1"/>
  <c r="B2379" i="1"/>
  <c r="B2212" i="1"/>
  <c r="B2213" i="1"/>
  <c r="B2205" i="1"/>
  <c r="B2206" i="1"/>
  <c r="B1944" i="1"/>
  <c r="B1926" i="1"/>
  <c r="B1927" i="1"/>
  <c r="B1928" i="1"/>
  <c r="B1929" i="1"/>
  <c r="B2113" i="1"/>
  <c r="B2098" i="1"/>
  <c r="B2099" i="1"/>
  <c r="B2100" i="1"/>
  <c r="B1748" i="1"/>
  <c r="B1749" i="1"/>
  <c r="B1745" i="1"/>
  <c r="B1736" i="1"/>
  <c r="B1737" i="1"/>
  <c r="B1738" i="1"/>
  <c r="B1437" i="1"/>
  <c r="B1438" i="1"/>
  <c r="B1432" i="1"/>
  <c r="B1433" i="1"/>
  <c r="B1434" i="1"/>
  <c r="B1298" i="1"/>
  <c r="B1299" i="1"/>
  <c r="B1294" i="1"/>
  <c r="B1289" i="1"/>
  <c r="B1290" i="1"/>
  <c r="B1291" i="1"/>
  <c r="B10983" i="1"/>
  <c r="B10964" i="1"/>
  <c r="B10965" i="1"/>
  <c r="B10966" i="1"/>
  <c r="B10967" i="1"/>
  <c r="B10745" i="1"/>
  <c r="B10746" i="1"/>
  <c r="B10747" i="1"/>
  <c r="B10748" i="1"/>
  <c r="B10749" i="1"/>
  <c r="B10640" i="1"/>
  <c r="B10596" i="1"/>
  <c r="B10597" i="1"/>
  <c r="B10598" i="1"/>
  <c r="B10599" i="1"/>
  <c r="B10389" i="1"/>
  <c r="B10390" i="1"/>
  <c r="B10391" i="1"/>
  <c r="B10383" i="1"/>
  <c r="B10384" i="1"/>
  <c r="B10381" i="1"/>
  <c r="B10377" i="1"/>
  <c r="B10378" i="1"/>
  <c r="B10379" i="1"/>
  <c r="B10380" i="1"/>
  <c r="B10376" i="1"/>
  <c r="B10210" i="1"/>
  <c r="B10206" i="1"/>
  <c r="B10207" i="1"/>
  <c r="B10203" i="1"/>
  <c r="B10204" i="1"/>
  <c r="B10205" i="1"/>
  <c r="B10194" i="1"/>
  <c r="B10195" i="1"/>
  <c r="B9986" i="1"/>
  <c r="B9987" i="1"/>
  <c r="B9988" i="1"/>
  <c r="B9984" i="1"/>
  <c r="B9985" i="1"/>
  <c r="B9978" i="1"/>
  <c r="B9979" i="1"/>
  <c r="B9980" i="1"/>
  <c r="B9981" i="1"/>
  <c r="B9776" i="1"/>
  <c r="B9772" i="1"/>
  <c r="B9768" i="1"/>
  <c r="B9769" i="1"/>
  <c r="B9770" i="1"/>
  <c r="B9771" i="1"/>
  <c r="B9767" i="1"/>
  <c r="B9577" i="1"/>
  <c r="B9570" i="1"/>
  <c r="B9567" i="1"/>
  <c r="B9491" i="1"/>
  <c r="B9421" i="1"/>
  <c r="B9417" i="1"/>
  <c r="B9283" i="1"/>
  <c r="B9096" i="1"/>
  <c r="B9097" i="1"/>
  <c r="B9098" i="1"/>
  <c r="B8991" i="1"/>
  <c r="B8985" i="1"/>
  <c r="B8986" i="1"/>
  <c r="B8987" i="1"/>
  <c r="B8842" i="1"/>
  <c r="B8838" i="1"/>
  <c r="B8734" i="1"/>
  <c r="B8619" i="1"/>
  <c r="B8620" i="1"/>
  <c r="B8505" i="1"/>
  <c r="B8388" i="1"/>
  <c r="B8389" i="1"/>
  <c r="B8390" i="1"/>
  <c r="B8384" i="1"/>
  <c r="B8147" i="1"/>
  <c r="B8148" i="1"/>
  <c r="B8293" i="1"/>
  <c r="B8294" i="1"/>
  <c r="B7900" i="1"/>
  <c r="B7901" i="1"/>
  <c r="B7902" i="1"/>
  <c r="B7903" i="1"/>
  <c r="B7904" i="1"/>
  <c r="B7693" i="1"/>
  <c r="B7694" i="1"/>
  <c r="B7695" i="1"/>
  <c r="B7696" i="1"/>
  <c r="B7302" i="1"/>
  <c r="B7303" i="1"/>
  <c r="B7285" i="1"/>
  <c r="B7286" i="1"/>
  <c r="B7287" i="1"/>
  <c r="B7288" i="1"/>
  <c r="B7289" i="1"/>
  <c r="B7279" i="1"/>
  <c r="B7280" i="1"/>
  <c r="B7276" i="1"/>
  <c r="B7277" i="1"/>
  <c r="B7266" i="1"/>
  <c r="B7485" i="1"/>
  <c r="B7480" i="1"/>
  <c r="B7481" i="1"/>
  <c r="B7479" i="1"/>
  <c r="B6831" i="1"/>
  <c r="B6832" i="1"/>
  <c r="B6833" i="1"/>
  <c r="B6825" i="1"/>
  <c r="B7057" i="1"/>
  <c r="B7035" i="1"/>
  <c r="B7036" i="1"/>
  <c r="B7037" i="1"/>
  <c r="B6635" i="1"/>
  <c r="B6636" i="1"/>
  <c r="B6637" i="1"/>
  <c r="B6638" i="1"/>
  <c r="B6331" i="1"/>
  <c r="B6332" i="1"/>
  <c r="B6333" i="1"/>
  <c r="B6324" i="1"/>
  <c r="B6325" i="1"/>
  <c r="B6326" i="1"/>
  <c r="B6327" i="1"/>
  <c r="B6328" i="1"/>
  <c r="B6329" i="1"/>
  <c r="B6145" i="1"/>
  <c r="B6146" i="1"/>
  <c r="B6147" i="1"/>
  <c r="B6126" i="1"/>
  <c r="B6558" i="1"/>
  <c r="B6542" i="1"/>
  <c r="B6543" i="1"/>
  <c r="B6544" i="1"/>
  <c r="B6545" i="1"/>
  <c r="B5783" i="1"/>
  <c r="B5784" i="1"/>
  <c r="B5785" i="1"/>
  <c r="B5786" i="1"/>
  <c r="B5787" i="1"/>
  <c r="B5788" i="1"/>
  <c r="B5789" i="1"/>
  <c r="B5587" i="1"/>
  <c r="B5588" i="1"/>
  <c r="B5589" i="1"/>
  <c r="B5570" i="1"/>
  <c r="B5571" i="1"/>
  <c r="B5572" i="1"/>
  <c r="B5970" i="1"/>
  <c r="B5971" i="1"/>
  <c r="B5972" i="1"/>
  <c r="B5973" i="1"/>
  <c r="B5974" i="1"/>
  <c r="B5975" i="1"/>
  <c r="B5957" i="1"/>
  <c r="B5453" i="1"/>
  <c r="B5440" i="1"/>
  <c r="B5441" i="1"/>
  <c r="B5442" i="1"/>
  <c r="B5443" i="1"/>
  <c r="B5249" i="1"/>
  <c r="B5250" i="1"/>
  <c r="B5241" i="1"/>
  <c r="B5242" i="1"/>
  <c r="B5243" i="1"/>
  <c r="B4949" i="1"/>
  <c r="B4950" i="1"/>
  <c r="B4951" i="1"/>
  <c r="B4952" i="1"/>
  <c r="B4953" i="1"/>
  <c r="B4954" i="1"/>
  <c r="B4729" i="1"/>
  <c r="B4730" i="1"/>
  <c r="B4731" i="1"/>
  <c r="B4732" i="1"/>
  <c r="B4717" i="1"/>
  <c r="B4718" i="1"/>
  <c r="B4719" i="1"/>
  <c r="B4384" i="1"/>
  <c r="B4385" i="1"/>
  <c r="B4386" i="1"/>
  <c r="B4387" i="1"/>
  <c r="B4371" i="1"/>
  <c r="B4372" i="1"/>
  <c r="B4550" i="1"/>
  <c r="B4551" i="1"/>
  <c r="B4552" i="1"/>
  <c r="B4553" i="1"/>
  <c r="B4554" i="1"/>
  <c r="B4189" i="1"/>
  <c r="B4190" i="1"/>
  <c r="B4191" i="1"/>
  <c r="B4192" i="1"/>
  <c r="B4193" i="1"/>
  <c r="B4194" i="1"/>
  <c r="B4195" i="1"/>
  <c r="B3933" i="1"/>
  <c r="B3934" i="1"/>
  <c r="B3935" i="1"/>
  <c r="B3936" i="1"/>
  <c r="B3918" i="1"/>
  <c r="B3919" i="1"/>
  <c r="B3721" i="1"/>
  <c r="B3722" i="1"/>
  <c r="B3723" i="1"/>
  <c r="B3429" i="1"/>
  <c r="B3430" i="1"/>
  <c r="B3431" i="1"/>
  <c r="B3432" i="1"/>
  <c r="B3433" i="1"/>
  <c r="B3417" i="1"/>
  <c r="B3415" i="1"/>
  <c r="B3416" i="1"/>
  <c r="B3238" i="1"/>
  <c r="B3239" i="1"/>
  <c r="B3240" i="1"/>
  <c r="B3241" i="1"/>
  <c r="B3221" i="1"/>
  <c r="B3222" i="1"/>
  <c r="B3223" i="1"/>
  <c r="B3224" i="1"/>
  <c r="B3225" i="1"/>
  <c r="B3226" i="1"/>
  <c r="B3227" i="1"/>
  <c r="B3209" i="1"/>
  <c r="B3210" i="1"/>
  <c r="B2542" i="1"/>
  <c r="B2543" i="1"/>
  <c r="B2528" i="1"/>
  <c r="B2529" i="1"/>
  <c r="B2530" i="1"/>
  <c r="B2531" i="1"/>
  <c r="B2996" i="1"/>
  <c r="B2997" i="1"/>
  <c r="B2998" i="1"/>
  <c r="B2999" i="1"/>
  <c r="B3000" i="1"/>
  <c r="B3001" i="1"/>
  <c r="B2799" i="1"/>
  <c r="B2800" i="1"/>
  <c r="B2632" i="1"/>
  <c r="B2633" i="1"/>
  <c r="B2634" i="1"/>
  <c r="B2635" i="1"/>
  <c r="B2628" i="1"/>
  <c r="B2623" i="1"/>
  <c r="B2624" i="1"/>
  <c r="B2619" i="1"/>
  <c r="B2620" i="1"/>
  <c r="B2621" i="1"/>
  <c r="B2622" i="1"/>
  <c r="B2369" i="1"/>
  <c r="B2370" i="1"/>
  <c r="B2371" i="1"/>
  <c r="B2207" i="1"/>
  <c r="B2208" i="1"/>
  <c r="B2193" i="1"/>
  <c r="B2194" i="1"/>
  <c r="B2195" i="1"/>
  <c r="B2187" i="1"/>
  <c r="B2188" i="1"/>
  <c r="B1930" i="1"/>
  <c r="B1931" i="1"/>
  <c r="B1932" i="1"/>
  <c r="B1910" i="1"/>
  <c r="B1911" i="1"/>
  <c r="B2083" i="1"/>
  <c r="B1739" i="1"/>
  <c r="B1740" i="1"/>
  <c r="B1741" i="1"/>
  <c r="B1742" i="1"/>
  <c r="B1717" i="1"/>
  <c r="B1718" i="1"/>
  <c r="B1719" i="1"/>
  <c r="B1720" i="1"/>
  <c r="B1420" i="1"/>
  <c r="B1421" i="1"/>
  <c r="B1422" i="1"/>
  <c r="B1417" i="1"/>
  <c r="B1591" i="1"/>
  <c r="B1592" i="1"/>
  <c r="B1593" i="1"/>
  <c r="B1579" i="1"/>
  <c r="B1580" i="1"/>
  <c r="B1573" i="1"/>
  <c r="B1574" i="1"/>
  <c r="B1575" i="1"/>
  <c r="B1576" i="1"/>
  <c r="B1292" i="1"/>
  <c r="B1277" i="1"/>
  <c r="B1278" i="1"/>
  <c r="B1279" i="1"/>
  <c r="B1280" i="1"/>
  <c r="B1281" i="1"/>
  <c r="B1282" i="1"/>
  <c r="B1269" i="1"/>
  <c r="B1270" i="1"/>
  <c r="B1271" i="1"/>
  <c r="B1272" i="1"/>
  <c r="B1273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600" i="1"/>
  <c r="B10601" i="1"/>
  <c r="B10602" i="1"/>
  <c r="B10603" i="1"/>
  <c r="B10604" i="1"/>
  <c r="B10605" i="1"/>
  <c r="B10606" i="1"/>
  <c r="B10372" i="1"/>
  <c r="B10196" i="1"/>
  <c r="B10197" i="1"/>
  <c r="B10178" i="1"/>
  <c r="B10179" i="1"/>
  <c r="B10180" i="1"/>
  <c r="B10181" i="1"/>
  <c r="B10182" i="1"/>
  <c r="B10183" i="1"/>
  <c r="B10184" i="1"/>
  <c r="B10185" i="1"/>
  <c r="B10186" i="1"/>
  <c r="B10187" i="1"/>
  <c r="B9971" i="1"/>
  <c r="B9969" i="1"/>
  <c r="B9970" i="1"/>
  <c r="B9960" i="1"/>
  <c r="B9961" i="1"/>
  <c r="B9962" i="1"/>
  <c r="B9765" i="1"/>
  <c r="B9761" i="1"/>
  <c r="B9762" i="1"/>
  <c r="B9758" i="1"/>
  <c r="B9755" i="1"/>
  <c r="B9756" i="1"/>
  <c r="B9757" i="1"/>
  <c r="B9752" i="1"/>
  <c r="B9751" i="1"/>
  <c r="B9492" i="1"/>
  <c r="B9493" i="1"/>
  <c r="B9367" i="1"/>
  <c r="B9368" i="1"/>
  <c r="B9369" i="1"/>
  <c r="B9277" i="1"/>
  <c r="B9090" i="1"/>
  <c r="B9087" i="1"/>
  <c r="B9082" i="1"/>
  <c r="B9189" i="1"/>
  <c r="B9185" i="1"/>
  <c r="B8979" i="1"/>
  <c r="B8727" i="1"/>
  <c r="B8728" i="1"/>
  <c r="B8723" i="1"/>
  <c r="B8724" i="1"/>
  <c r="B8609" i="1"/>
  <c r="B8610" i="1"/>
  <c r="B8494" i="1"/>
  <c r="B8137" i="1"/>
  <c r="B8138" i="1"/>
  <c r="B8139" i="1"/>
  <c r="B8140" i="1"/>
  <c r="B8287" i="1"/>
  <c r="B8277" i="1"/>
  <c r="B7905" i="1"/>
  <c r="B7906" i="1"/>
  <c r="B7907" i="1"/>
  <c r="B7908" i="1"/>
  <c r="B7875" i="1"/>
  <c r="B7876" i="1"/>
  <c r="B7877" i="1"/>
  <c r="B7878" i="1"/>
  <c r="B7679" i="1"/>
  <c r="B7680" i="1"/>
  <c r="B7681" i="1"/>
  <c r="B7672" i="1"/>
  <c r="B7267" i="1"/>
  <c r="B7268" i="1"/>
  <c r="B7465" i="1"/>
  <c r="B7466" i="1"/>
  <c r="B7467" i="1"/>
  <c r="B7448" i="1"/>
  <c r="B6820" i="1"/>
  <c r="B6821" i="1"/>
  <c r="B6822" i="1"/>
  <c r="B6812" i="1"/>
  <c r="B6813" i="1"/>
  <c r="B6814" i="1"/>
  <c r="B7027" i="1"/>
  <c r="B7028" i="1"/>
  <c r="B7018" i="1"/>
  <c r="B7007" i="1"/>
  <c r="B7008" i="1"/>
  <c r="B7009" i="1"/>
  <c r="B6628" i="1"/>
  <c r="B6629" i="1"/>
  <c r="B6630" i="1"/>
  <c r="B6631" i="1"/>
  <c r="B6624" i="1"/>
  <c r="B6625" i="1"/>
  <c r="B6626" i="1"/>
  <c r="B6618" i="1"/>
  <c r="B6619" i="1"/>
  <c r="B6620" i="1"/>
  <c r="B6314" i="1"/>
  <c r="B6315" i="1"/>
  <c r="B6316" i="1"/>
  <c r="B6317" i="1"/>
  <c r="B6318" i="1"/>
  <c r="B6319" i="1"/>
  <c r="B6302" i="1"/>
  <c r="B6546" i="1"/>
  <c r="B6533" i="1"/>
  <c r="B6524" i="1"/>
  <c r="B6525" i="1"/>
  <c r="B6127" i="1"/>
  <c r="B6128" i="1"/>
  <c r="B6103" i="1"/>
  <c r="B6104" i="1"/>
  <c r="B6105" i="1"/>
  <c r="B6106" i="1"/>
  <c r="B6107" i="1"/>
  <c r="B5774" i="1"/>
  <c r="B5775" i="1"/>
  <c r="B5958" i="1"/>
  <c r="B5959" i="1"/>
  <c r="B5960" i="1"/>
  <c r="B5961" i="1"/>
  <c r="B5573" i="1"/>
  <c r="B5574" i="1"/>
  <c r="B5575" i="1"/>
  <c r="B5563" i="1"/>
  <c r="B5564" i="1"/>
  <c r="B5430" i="1"/>
  <c r="B5431" i="1"/>
  <c r="B5432" i="1"/>
  <c r="B5244" i="1"/>
  <c r="B5245" i="1"/>
  <c r="B5232" i="1"/>
  <c r="B5229" i="1"/>
  <c r="B5230" i="1"/>
  <c r="B4932" i="1"/>
  <c r="B4933" i="1"/>
  <c r="B4934" i="1"/>
  <c r="B4935" i="1"/>
  <c r="B4936" i="1"/>
  <c r="B4937" i="1"/>
  <c r="B4914" i="1"/>
  <c r="B4720" i="1"/>
  <c r="B4721" i="1"/>
  <c r="B4712" i="1"/>
  <c r="B4373" i="1"/>
  <c r="B4374" i="1"/>
  <c r="B4375" i="1"/>
  <c r="B4376" i="1"/>
  <c r="B4362" i="1"/>
  <c r="B4536" i="1"/>
  <c r="B4537" i="1"/>
  <c r="B4180" i="1"/>
  <c r="B4166" i="1"/>
  <c r="B4167" i="1"/>
  <c r="B3904" i="1"/>
  <c r="B3905" i="1"/>
  <c r="B3906" i="1"/>
  <c r="B3907" i="1"/>
  <c r="B3908" i="1"/>
  <c r="B3709" i="1"/>
  <c r="B3710" i="1"/>
  <c r="B3700" i="1"/>
  <c r="B3701" i="1"/>
  <c r="B3702" i="1"/>
  <c r="B3411" i="1"/>
  <c r="B3412" i="1"/>
  <c r="B3407" i="1"/>
  <c r="B3408" i="1"/>
  <c r="B3409" i="1"/>
  <c r="B3410" i="1"/>
  <c r="B3211" i="1"/>
  <c r="B3212" i="1"/>
  <c r="B3213" i="1"/>
  <c r="B3195" i="1"/>
  <c r="B3196" i="1"/>
  <c r="B3197" i="1"/>
  <c r="B3198" i="1"/>
  <c r="B3199" i="1"/>
  <c r="B2532" i="1"/>
  <c r="B2515" i="1"/>
  <c r="B2516" i="1"/>
  <c r="B2977" i="1"/>
  <c r="B2978" i="1"/>
  <c r="B2979" i="1"/>
  <c r="B2980" i="1"/>
  <c r="B2981" i="1"/>
  <c r="B2791" i="1"/>
  <c r="B2792" i="1"/>
  <c r="B2793" i="1"/>
  <c r="B2785" i="1"/>
  <c r="B2784" i="1"/>
  <c r="B2777" i="1"/>
  <c r="B2778" i="1"/>
  <c r="B2611" i="1"/>
  <c r="B2372" i="1"/>
  <c r="B2357" i="1"/>
  <c r="B2358" i="1"/>
  <c r="B2172" i="1"/>
  <c r="B2173" i="1"/>
  <c r="B1912" i="1"/>
  <c r="B1913" i="1"/>
  <c r="B1914" i="1"/>
  <c r="B1915" i="1"/>
  <c r="B1894" i="1"/>
  <c r="B1895" i="1"/>
  <c r="B1896" i="1"/>
  <c r="B1897" i="1"/>
  <c r="B2084" i="1"/>
  <c r="B2068" i="1"/>
  <c r="B2069" i="1"/>
  <c r="B2070" i="1"/>
  <c r="B2071" i="1"/>
  <c r="B2072" i="1"/>
  <c r="B1721" i="1"/>
  <c r="B1722" i="1"/>
  <c r="B1723" i="1"/>
  <c r="B1724" i="1"/>
  <c r="B1725" i="1"/>
  <c r="B1726" i="1"/>
  <c r="B1413" i="1"/>
  <c r="B1414" i="1"/>
  <c r="B1577" i="1"/>
  <c r="B1568" i="1"/>
  <c r="B1569" i="1"/>
  <c r="B1570" i="1"/>
  <c r="B1571" i="1"/>
  <c r="B1274" i="1"/>
  <c r="B1261" i="1"/>
  <c r="B1252" i="1"/>
  <c r="B1253" i="1"/>
  <c r="B1254" i="1"/>
  <c r="B1247" i="1"/>
  <c r="B10968" i="1"/>
  <c r="B10969" i="1"/>
  <c r="B10970" i="1"/>
  <c r="B10971" i="1"/>
  <c r="B10972" i="1"/>
  <c r="B10762" i="1"/>
  <c r="B10763" i="1"/>
  <c r="B10764" i="1"/>
  <c r="B10765" i="1"/>
  <c r="B10574" i="1"/>
  <c r="B10575" i="1"/>
  <c r="B10576" i="1"/>
  <c r="B10577" i="1"/>
  <c r="B10578" i="1"/>
  <c r="B10579" i="1"/>
  <c r="B10580" i="1"/>
  <c r="B10188" i="1"/>
  <c r="B10189" i="1"/>
  <c r="B10190" i="1"/>
  <c r="B10191" i="1"/>
  <c r="B10192" i="1"/>
  <c r="B10168" i="1"/>
  <c r="B10169" i="1"/>
  <c r="B10170" i="1"/>
  <c r="B9950" i="1"/>
  <c r="B9941" i="1"/>
  <c r="B9750" i="1"/>
  <c r="B9747" i="1"/>
  <c r="B9741" i="1"/>
  <c r="B9740" i="1"/>
  <c r="B9565" i="1"/>
  <c r="B9562" i="1"/>
  <c r="B9563" i="1"/>
  <c r="B9483" i="1"/>
  <c r="B9484" i="1"/>
  <c r="B9362" i="1"/>
  <c r="B9278" i="1"/>
  <c r="B9271" i="1"/>
  <c r="B9272" i="1"/>
  <c r="B9265" i="1"/>
  <c r="B9266" i="1"/>
  <c r="B9081" i="1"/>
  <c r="B9076" i="1"/>
  <c r="B9180" i="1"/>
  <c r="B9175" i="1"/>
  <c r="B9176" i="1"/>
  <c r="B9177" i="1"/>
  <c r="B8971" i="1"/>
  <c r="B8963" i="1"/>
  <c r="B8964" i="1"/>
  <c r="B8831" i="1"/>
  <c r="B8832" i="1"/>
  <c r="B8718" i="1"/>
  <c r="B8608" i="1"/>
  <c r="B8602" i="1"/>
  <c r="B8603" i="1"/>
  <c r="B8488" i="1"/>
  <c r="B8483" i="1"/>
  <c r="B8478" i="1"/>
  <c r="B8371" i="1"/>
  <c r="B8372" i="1"/>
  <c r="B8368" i="1"/>
  <c r="B8130" i="1"/>
  <c r="B8598" i="1"/>
  <c r="B8592" i="1"/>
  <c r="B8593" i="1"/>
  <c r="B8590" i="1"/>
  <c r="B8591" i="1"/>
  <c r="B8583" i="1"/>
  <c r="B8278" i="1"/>
  <c r="B8269" i="1"/>
  <c r="B8270" i="1"/>
  <c r="B7879" i="1"/>
  <c r="B7880" i="1"/>
  <c r="B7881" i="1"/>
  <c r="B7857" i="1"/>
  <c r="B7858" i="1"/>
  <c r="B7662" i="1"/>
  <c r="B7269" i="1"/>
  <c r="B7270" i="1"/>
  <c r="B7271" i="1"/>
  <c r="B7272" i="1"/>
  <c r="B7247" i="1"/>
  <c r="B7248" i="1"/>
  <c r="B7249" i="1"/>
  <c r="B7449" i="1"/>
  <c r="B7450" i="1"/>
  <c r="B7451" i="1"/>
  <c r="B7452" i="1"/>
  <c r="B7453" i="1"/>
  <c r="B7454" i="1"/>
  <c r="B7455" i="1"/>
  <c r="B6815" i="1"/>
  <c r="B6816" i="1"/>
  <c r="B6817" i="1"/>
  <c r="B6795" i="1"/>
  <c r="B6796" i="1"/>
  <c r="B6797" i="1"/>
  <c r="B6798" i="1"/>
  <c r="B6799" i="1"/>
  <c r="B7010" i="1"/>
  <c r="B7011" i="1"/>
  <c r="B7012" i="1"/>
  <c r="B7013" i="1"/>
  <c r="B7014" i="1"/>
  <c r="B7015" i="1"/>
  <c r="B7016" i="1"/>
  <c r="B6621" i="1"/>
  <c r="B6622" i="1"/>
  <c r="B6303" i="1"/>
  <c r="B6304" i="1"/>
  <c r="B6305" i="1"/>
  <c r="B6306" i="1"/>
  <c r="B6307" i="1"/>
  <c r="B6526" i="1"/>
  <c r="B6513" i="1"/>
  <c r="B6514" i="1"/>
  <c r="B6515" i="1"/>
  <c r="B6507" i="1"/>
  <c r="B6508" i="1"/>
  <c r="B6509" i="1"/>
  <c r="B6504" i="1"/>
  <c r="B6108" i="1"/>
  <c r="B6109" i="1"/>
  <c r="B6095" i="1"/>
  <c r="B6093" i="1"/>
  <c r="B6094" i="1"/>
  <c r="B6085" i="1"/>
  <c r="B6086" i="1"/>
  <c r="B6087" i="1"/>
  <c r="B5766" i="1"/>
  <c r="B5752" i="1"/>
  <c r="B5753" i="1"/>
  <c r="B5754" i="1"/>
  <c r="B5755" i="1"/>
  <c r="B5943" i="1"/>
  <c r="B5944" i="1"/>
  <c r="B5565" i="1"/>
  <c r="B5433" i="1"/>
  <c r="B5420" i="1"/>
  <c r="B5421" i="1"/>
  <c r="B5422" i="1"/>
  <c r="B5219" i="1"/>
  <c r="B5220" i="1"/>
  <c r="B5221" i="1"/>
  <c r="B5222" i="1"/>
  <c r="B5223" i="1"/>
  <c r="B4915" i="1"/>
  <c r="B4916" i="1"/>
  <c r="B4917" i="1"/>
  <c r="B4906" i="1"/>
  <c r="B4907" i="1"/>
  <c r="B4713" i="1"/>
  <c r="B4699" i="1"/>
  <c r="B4700" i="1"/>
  <c r="B4356" i="1"/>
  <c r="B4357" i="1"/>
  <c r="B4358" i="1"/>
  <c r="B4352" i="1"/>
  <c r="B4353" i="1"/>
  <c r="B4354" i="1"/>
  <c r="B4355" i="1"/>
  <c r="B4346" i="1"/>
  <c r="B4538" i="1"/>
  <c r="B4539" i="1"/>
  <c r="B4540" i="1"/>
  <c r="B4523" i="1"/>
  <c r="B4524" i="1"/>
  <c r="B4168" i="1"/>
  <c r="B4169" i="1"/>
  <c r="B4170" i="1"/>
  <c r="B4171" i="1"/>
  <c r="B4159" i="1"/>
  <c r="B4151" i="1"/>
  <c r="B4152" i="1"/>
  <c r="B4153" i="1"/>
  <c r="B4154" i="1"/>
  <c r="B4155" i="1"/>
  <c r="B4156" i="1"/>
  <c r="B3897" i="1"/>
  <c r="B3888" i="1"/>
  <c r="B3889" i="1"/>
  <c r="B3890" i="1"/>
  <c r="B3891" i="1"/>
  <c r="B4080" i="1"/>
  <c r="B4081" i="1"/>
  <c r="B4082" i="1"/>
  <c r="B4083" i="1"/>
  <c r="B4068" i="1"/>
  <c r="B4069" i="1"/>
  <c r="B4070" i="1"/>
  <c r="B3703" i="1"/>
  <c r="B3692" i="1"/>
  <c r="B3693" i="1"/>
  <c r="B3694" i="1"/>
  <c r="B3685" i="1"/>
  <c r="B3686" i="1"/>
  <c r="B3394" i="1"/>
  <c r="B3395" i="1"/>
  <c r="B3396" i="1"/>
  <c r="B3397" i="1"/>
  <c r="B3398" i="1"/>
  <c r="B3399" i="1"/>
  <c r="B3200" i="1"/>
  <c r="B3201" i="1"/>
  <c r="B3186" i="1"/>
  <c r="B3187" i="1"/>
  <c r="B3188" i="1"/>
  <c r="B3189" i="1"/>
  <c r="B3178" i="1"/>
  <c r="B2517" i="1"/>
  <c r="B2518" i="1"/>
  <c r="B2519" i="1"/>
  <c r="B2503" i="1"/>
  <c r="B2504" i="1"/>
  <c r="B2505" i="1"/>
  <c r="B2506" i="1"/>
  <c r="B2962" i="1"/>
  <c r="B2963" i="1"/>
  <c r="B2964" i="1"/>
  <c r="B2965" i="1"/>
  <c r="B2966" i="1"/>
  <c r="B2967" i="1"/>
  <c r="B2968" i="1"/>
  <c r="B2969" i="1"/>
  <c r="B2970" i="1"/>
  <c r="B2950" i="1"/>
  <c r="B2779" i="1"/>
  <c r="B2780" i="1"/>
  <c r="B2781" i="1"/>
  <c r="B2782" i="1"/>
  <c r="B2768" i="1"/>
  <c r="B2769" i="1"/>
  <c r="B2359" i="1"/>
  <c r="B2360" i="1"/>
  <c r="B2345" i="1"/>
  <c r="B2174" i="1"/>
  <c r="B2175" i="1"/>
  <c r="B2167" i="1"/>
  <c r="B2161" i="1"/>
  <c r="B2156" i="1"/>
  <c r="B1898" i="1"/>
  <c r="B1883" i="1"/>
  <c r="B1884" i="1"/>
  <c r="B1885" i="1"/>
  <c r="B2073" i="1"/>
  <c r="B2074" i="1"/>
  <c r="B2057" i="1"/>
  <c r="B1699" i="1"/>
  <c r="B1700" i="1"/>
  <c r="B1394" i="1"/>
  <c r="B1395" i="1"/>
  <c r="B1396" i="1"/>
  <c r="B1563" i="1"/>
  <c r="B1248" i="1"/>
  <c r="B1241" i="1"/>
  <c r="B1242" i="1"/>
  <c r="B1243" i="1"/>
  <c r="B1236" i="1"/>
  <c r="B1237" i="1"/>
  <c r="B10973" i="1"/>
  <c r="B10904" i="1"/>
  <c r="B10905" i="1"/>
  <c r="B10906" i="1"/>
  <c r="B10907" i="1"/>
  <c r="B10908" i="1"/>
  <c r="B10909" i="1"/>
  <c r="B10714" i="1"/>
  <c r="B10581" i="1"/>
  <c r="B10582" i="1"/>
  <c r="B10583" i="1"/>
  <c r="B10548" i="1"/>
  <c r="B10549" i="1"/>
  <c r="B10550" i="1"/>
  <c r="B10551" i="1"/>
  <c r="B10552" i="1"/>
  <c r="B10553" i="1"/>
  <c r="B10554" i="1"/>
  <c r="B10161" i="1"/>
  <c r="B10158" i="1"/>
  <c r="B10152" i="1"/>
  <c r="B10153" i="1"/>
  <c r="B10154" i="1"/>
  <c r="B10155" i="1"/>
  <c r="B10147" i="1"/>
  <c r="B9942" i="1"/>
  <c r="B9943" i="1"/>
  <c r="B9944" i="1"/>
  <c r="B9945" i="1"/>
  <c r="B9932" i="1"/>
  <c r="B9933" i="1"/>
  <c r="B9934" i="1"/>
  <c r="B9738" i="1"/>
  <c r="B9739" i="1"/>
  <c r="B9733" i="1"/>
  <c r="B9734" i="1"/>
  <c r="B9732" i="1"/>
  <c r="B9731" i="1"/>
  <c r="B9728" i="1"/>
  <c r="B9555" i="1"/>
  <c r="B9485" i="1"/>
  <c r="B9350" i="1"/>
  <c r="B9267" i="1"/>
  <c r="B9268" i="1"/>
  <c r="B9077" i="1"/>
  <c r="B9078" i="1"/>
  <c r="B9079" i="1"/>
  <c r="B9072" i="1"/>
  <c r="B9172" i="1"/>
  <c r="B8965" i="1"/>
  <c r="B8966" i="1"/>
  <c r="B8955" i="1"/>
  <c r="B8826" i="1"/>
  <c r="B8827" i="1"/>
  <c r="B8824" i="1"/>
  <c r="B8705" i="1"/>
  <c r="B8604" i="1"/>
  <c r="B8599" i="1"/>
  <c r="B8476" i="1"/>
  <c r="B8471" i="1"/>
  <c r="B8357" i="1"/>
  <c r="B8584" i="1"/>
  <c r="B8271" i="1"/>
  <c r="B8265" i="1"/>
  <c r="B8266" i="1"/>
  <c r="B8258" i="1"/>
  <c r="B7859" i="1"/>
  <c r="B7860" i="1"/>
  <c r="B7861" i="1"/>
  <c r="B7862" i="1"/>
  <c r="B7863" i="1"/>
  <c r="B7839" i="1"/>
  <c r="B7840" i="1"/>
  <c r="B7841" i="1"/>
  <c r="B7842" i="1"/>
  <c r="B7843" i="1"/>
  <c r="B7660" i="1"/>
  <c r="B7661" i="1"/>
  <c r="B7651" i="1"/>
  <c r="B7652" i="1"/>
  <c r="B7250" i="1"/>
  <c r="B7251" i="1"/>
  <c r="B7252" i="1"/>
  <c r="B7456" i="1"/>
  <c r="B7457" i="1"/>
  <c r="B7458" i="1"/>
  <c r="B7459" i="1"/>
  <c r="B7437" i="1"/>
  <c r="B7438" i="1"/>
  <c r="B7439" i="1"/>
  <c r="B7440" i="1"/>
  <c r="B6800" i="1"/>
  <c r="B6801" i="1"/>
  <c r="B6802" i="1"/>
  <c r="B6803" i="1"/>
  <c r="B6781" i="1"/>
  <c r="B6782" i="1"/>
  <c r="B6783" i="1"/>
  <c r="B6994" i="1"/>
  <c r="B6995" i="1"/>
  <c r="B6996" i="1"/>
  <c r="B6997" i="1"/>
  <c r="B6998" i="1"/>
  <c r="B6605" i="1"/>
  <c r="B6606" i="1"/>
  <c r="B6308" i="1"/>
  <c r="B6309" i="1"/>
  <c r="B6291" i="1"/>
  <c r="B6292" i="1"/>
  <c r="B6505" i="1"/>
  <c r="B6506" i="1"/>
  <c r="B6497" i="1"/>
  <c r="B6498" i="1"/>
  <c r="B6499" i="1"/>
  <c r="B6088" i="1"/>
  <c r="B6089" i="1"/>
  <c r="B6069" i="1"/>
  <c r="B6070" i="1"/>
  <c r="B5756" i="1"/>
  <c r="B5740" i="1"/>
  <c r="B5741" i="1"/>
  <c r="B5742" i="1"/>
  <c r="B5743" i="1"/>
  <c r="B5733" i="1"/>
  <c r="B5734" i="1"/>
  <c r="B5945" i="1"/>
  <c r="B5929" i="1"/>
  <c r="B5930" i="1"/>
  <c r="B5931" i="1"/>
  <c r="B5932" i="1"/>
  <c r="B5933" i="1"/>
  <c r="B5405" i="1"/>
  <c r="B5406" i="1"/>
  <c r="B5407" i="1"/>
  <c r="B5408" i="1"/>
  <c r="B5394" i="1"/>
  <c r="B5211" i="1"/>
  <c r="B5212" i="1"/>
  <c r="B5213" i="1"/>
  <c r="B5214" i="1"/>
  <c r="B5215" i="1"/>
  <c r="B5216" i="1"/>
  <c r="B5199" i="1"/>
  <c r="B5200" i="1"/>
  <c r="B4908" i="1"/>
  <c r="B4909" i="1"/>
  <c r="B4890" i="1"/>
  <c r="B4891" i="1"/>
  <c r="B4689" i="1"/>
  <c r="B4690" i="1"/>
  <c r="B4686" i="1"/>
  <c r="B4687" i="1"/>
  <c r="B4683" i="1"/>
  <c r="B4684" i="1"/>
  <c r="B4685" i="1"/>
  <c r="B4347" i="1"/>
  <c r="B4334" i="1"/>
  <c r="B4335" i="1"/>
  <c r="B4336" i="1"/>
  <c r="B4525" i="1"/>
  <c r="B4526" i="1"/>
  <c r="B4527" i="1"/>
  <c r="B4528" i="1"/>
  <c r="B4529" i="1"/>
  <c r="B4530" i="1"/>
  <c r="B4517" i="1"/>
  <c r="B4146" i="1"/>
  <c r="B4147" i="1"/>
  <c r="B4148" i="1"/>
  <c r="B3892" i="1"/>
  <c r="B3893" i="1"/>
  <c r="B3894" i="1"/>
  <c r="B3895" i="1"/>
  <c r="B3877" i="1"/>
  <c r="B3878" i="1"/>
  <c r="B3879" i="1"/>
  <c r="B3880" i="1"/>
  <c r="B4071" i="1"/>
  <c r="B4072" i="1"/>
  <c r="B4073" i="1"/>
  <c r="B4059" i="1"/>
  <c r="B4060" i="1"/>
  <c r="B4061" i="1"/>
  <c r="B4062" i="1"/>
  <c r="B3676" i="1"/>
  <c r="B3677" i="1"/>
  <c r="B3678" i="1"/>
  <c r="B3679" i="1"/>
  <c r="B3400" i="1"/>
  <c r="B3385" i="1"/>
  <c r="B3386" i="1"/>
  <c r="B3387" i="1"/>
  <c r="B3388" i="1"/>
  <c r="B3371" i="1"/>
  <c r="B3372" i="1"/>
  <c r="B3373" i="1"/>
  <c r="B3374" i="1"/>
  <c r="B3375" i="1"/>
  <c r="B3376" i="1"/>
  <c r="B3597" i="1"/>
  <c r="B3598" i="1"/>
  <c r="B3599" i="1"/>
  <c r="B3600" i="1"/>
  <c r="B3601" i="1"/>
  <c r="B3581" i="1"/>
  <c r="B3582" i="1"/>
  <c r="B3179" i="1"/>
  <c r="B3175" i="1"/>
  <c r="B3176" i="1"/>
  <c r="B3170" i="1"/>
  <c r="B3171" i="1"/>
  <c r="B3172" i="1"/>
  <c r="B3173" i="1"/>
  <c r="B3167" i="1"/>
  <c r="B2499" i="1"/>
  <c r="B2497" i="1"/>
  <c r="B2498" i="1"/>
  <c r="B2492" i="1"/>
  <c r="B2951" i="1"/>
  <c r="B2952" i="1"/>
  <c r="B2953" i="1"/>
  <c r="B2940" i="1"/>
  <c r="B2941" i="1"/>
  <c r="B2942" i="1"/>
  <c r="B2943" i="1"/>
  <c r="B2933" i="1"/>
  <c r="B2770" i="1"/>
  <c r="B2771" i="1"/>
  <c r="B2772" i="1"/>
  <c r="B2756" i="1"/>
  <c r="B2757" i="1"/>
  <c r="B2758" i="1"/>
  <c r="B2759" i="1"/>
  <c r="B2760" i="1"/>
  <c r="B2761" i="1"/>
  <c r="B2337" i="1"/>
  <c r="B2338" i="1"/>
  <c r="B2339" i="1"/>
  <c r="B2336" i="1"/>
  <c r="B2157" i="1"/>
  <c r="B2158" i="1"/>
  <c r="B2159" i="1"/>
  <c r="B2150" i="1"/>
  <c r="B1886" i="1"/>
  <c r="B1880" i="1"/>
  <c r="B1881" i="1"/>
  <c r="B1871" i="1"/>
  <c r="B1872" i="1"/>
  <c r="B1873" i="1"/>
  <c r="B1874" i="1"/>
  <c r="B1875" i="1"/>
  <c r="B1876" i="1"/>
  <c r="B2058" i="1"/>
  <c r="B2059" i="1"/>
  <c r="B2060" i="1"/>
  <c r="B2061" i="1"/>
  <c r="B1701" i="1"/>
  <c r="B1702" i="1"/>
  <c r="B1703" i="1"/>
  <c r="B1704" i="1"/>
  <c r="B1705" i="1"/>
  <c r="B1688" i="1"/>
  <c r="B1689" i="1"/>
  <c r="B1690" i="1"/>
  <c r="B1557" i="1"/>
  <c r="B1558" i="1"/>
  <c r="B1559" i="1"/>
  <c r="B1555" i="1"/>
  <c r="B1553" i="1"/>
  <c r="B1554" i="1"/>
  <c r="B1397" i="1"/>
  <c r="B1390" i="1"/>
  <c r="B1391" i="1"/>
  <c r="B1384" i="1"/>
  <c r="B1385" i="1"/>
  <c r="B1386" i="1"/>
  <c r="B1227" i="1"/>
  <c r="B1228" i="1"/>
  <c r="B1229" i="1"/>
  <c r="B1230" i="1"/>
  <c r="B1231" i="1"/>
  <c r="B1220" i="1"/>
  <c r="B1221" i="1"/>
  <c r="B1222" i="1"/>
  <c r="B1223" i="1"/>
  <c r="B10910" i="1"/>
  <c r="B10911" i="1"/>
  <c r="B10912" i="1"/>
  <c r="B10913" i="1"/>
  <c r="B10914" i="1"/>
  <c r="B10915" i="1"/>
  <c r="B10916" i="1"/>
  <c r="B10917" i="1"/>
  <c r="B10555" i="1"/>
  <c r="B10556" i="1"/>
  <c r="B10557" i="1"/>
  <c r="B10558" i="1"/>
  <c r="B10559" i="1"/>
  <c r="B10560" i="1"/>
  <c r="B10538" i="1"/>
  <c r="B10527" i="1"/>
  <c r="B10370" i="1"/>
  <c r="B10365" i="1"/>
  <c r="B10366" i="1"/>
  <c r="B10367" i="1"/>
  <c r="B10368" i="1"/>
  <c r="B10369" i="1"/>
  <c r="B10357" i="1"/>
  <c r="B10148" i="1"/>
  <c r="B10144" i="1"/>
  <c r="B10145" i="1"/>
  <c r="B10141" i="1"/>
  <c r="B10142" i="1"/>
  <c r="B10143" i="1"/>
  <c r="B10139" i="1"/>
  <c r="B10133" i="1"/>
  <c r="B9935" i="1"/>
  <c r="B9928" i="1"/>
  <c r="B9929" i="1"/>
  <c r="B9923" i="1"/>
  <c r="B9918" i="1"/>
  <c r="B9914" i="1"/>
  <c r="B9724" i="1"/>
  <c r="B9723" i="1"/>
  <c r="B9719" i="1"/>
  <c r="B9713" i="1"/>
  <c r="B9714" i="1"/>
  <c r="B9707" i="1"/>
  <c r="B9708" i="1"/>
  <c r="B9709" i="1"/>
  <c r="B9556" i="1"/>
  <c r="B9351" i="1"/>
  <c r="B9344" i="1"/>
  <c r="B9258" i="1"/>
  <c r="B9259" i="1"/>
  <c r="B9260" i="1"/>
  <c r="B9257" i="1"/>
  <c r="B9066" i="1"/>
  <c r="B9168" i="1"/>
  <c r="B9169" i="1"/>
  <c r="B9158" i="1"/>
  <c r="B8949" i="1"/>
  <c r="B8950" i="1"/>
  <c r="B8948" i="1"/>
  <c r="B8819" i="1"/>
  <c r="B8820" i="1"/>
  <c r="B8821" i="1"/>
  <c r="B8822" i="1"/>
  <c r="B8706" i="1"/>
  <c r="B8707" i="1"/>
  <c r="B8467" i="1"/>
  <c r="B8468" i="1"/>
  <c r="B8469" i="1"/>
  <c r="B8358" i="1"/>
  <c r="B8359" i="1"/>
  <c r="B8360" i="1"/>
  <c r="B8349" i="1"/>
  <c r="B8113" i="1"/>
  <c r="B8579" i="1"/>
  <c r="B8241" i="1"/>
  <c r="B7844" i="1"/>
  <c r="B7845" i="1"/>
  <c r="B7846" i="1"/>
  <c r="B7847" i="1"/>
  <c r="B7848" i="1"/>
  <c r="B7849" i="1"/>
  <c r="B7653" i="1"/>
  <c r="B7654" i="1"/>
  <c r="B7655" i="1"/>
  <c r="B7656" i="1"/>
  <c r="B7657" i="1"/>
  <c r="B7658" i="1"/>
  <c r="B7253" i="1"/>
  <c r="B7229" i="1"/>
  <c r="B7230" i="1"/>
  <c r="B7231" i="1"/>
  <c r="B7232" i="1"/>
  <c r="B7233" i="1"/>
  <c r="B7234" i="1"/>
  <c r="B7235" i="1"/>
  <c r="B7222" i="1"/>
  <c r="B7441" i="1"/>
  <c r="B7442" i="1"/>
  <c r="B7443" i="1"/>
  <c r="B7444" i="1"/>
  <c r="B7429" i="1"/>
  <c r="B7430" i="1"/>
  <c r="B6784" i="1"/>
  <c r="B6785" i="1"/>
  <c r="B6766" i="1"/>
  <c r="B6767" i="1"/>
  <c r="B6768" i="1"/>
  <c r="B6769" i="1"/>
  <c r="B6770" i="1"/>
  <c r="B6999" i="1"/>
  <c r="B6978" i="1"/>
  <c r="B6979" i="1"/>
  <c r="B6980" i="1"/>
  <c r="B6981" i="1"/>
  <c r="B6982" i="1"/>
  <c r="B6293" i="1"/>
  <c r="B6294" i="1"/>
  <c r="B6295" i="1"/>
  <c r="B6279" i="1"/>
  <c r="B6280" i="1"/>
  <c r="B6281" i="1"/>
  <c r="B6488" i="1"/>
  <c r="B6489" i="1"/>
  <c r="B6490" i="1"/>
  <c r="B6491" i="1"/>
  <c r="B6492" i="1"/>
  <c r="B6478" i="1"/>
  <c r="B5730" i="1"/>
  <c r="B5731" i="1"/>
  <c r="B5934" i="1"/>
  <c r="B5919" i="1"/>
  <c r="B5915" i="1"/>
  <c r="B5916" i="1"/>
  <c r="B5911" i="1"/>
  <c r="B5912" i="1"/>
  <c r="B5913" i="1"/>
  <c r="B5914" i="1"/>
  <c r="B5395" i="1"/>
  <c r="B5396" i="1"/>
  <c r="B5397" i="1"/>
  <c r="B5398" i="1"/>
  <c r="B5399" i="1"/>
  <c r="B5392" i="1"/>
  <c r="B5386" i="1"/>
  <c r="B5387" i="1"/>
  <c r="B5201" i="1"/>
  <c r="B5186" i="1"/>
  <c r="B4889" i="1"/>
  <c r="B4884" i="1"/>
  <c r="B4885" i="1"/>
  <c r="B4886" i="1"/>
  <c r="B4671" i="1"/>
  <c r="B4672" i="1"/>
  <c r="B4673" i="1"/>
  <c r="B4674" i="1"/>
  <c r="B4675" i="1"/>
  <c r="B4337" i="1"/>
  <c r="B4338" i="1"/>
  <c r="B4339" i="1"/>
  <c r="B4340" i="1"/>
  <c r="B4322" i="1"/>
  <c r="B4323" i="1"/>
  <c r="B4324" i="1"/>
  <c r="B4325" i="1"/>
  <c r="B4315" i="1"/>
  <c r="B4498" i="1"/>
  <c r="B4499" i="1"/>
  <c r="B4500" i="1"/>
  <c r="B4501" i="1"/>
  <c r="B4502" i="1"/>
  <c r="B4503" i="1"/>
  <c r="B4504" i="1"/>
  <c r="B4505" i="1"/>
  <c r="B4506" i="1"/>
  <c r="B4149" i="1"/>
  <c r="B4150" i="1"/>
  <c r="B4127" i="1"/>
  <c r="B4128" i="1"/>
  <c r="B3864" i="1"/>
  <c r="B3865" i="1"/>
  <c r="B3866" i="1"/>
  <c r="B3867" i="1"/>
  <c r="B3868" i="1"/>
  <c r="B3857" i="1"/>
  <c r="B3858" i="1"/>
  <c r="B4063" i="1"/>
  <c r="B4064" i="1"/>
  <c r="B4065" i="1"/>
  <c r="B4047" i="1"/>
  <c r="B4048" i="1"/>
  <c r="B4049" i="1"/>
  <c r="B4050" i="1"/>
  <c r="B3680" i="1"/>
  <c r="B3681" i="1"/>
  <c r="B3682" i="1"/>
  <c r="B3683" i="1"/>
  <c r="B3377" i="1"/>
  <c r="B3378" i="1"/>
  <c r="B3379" i="1"/>
  <c r="B3360" i="1"/>
  <c r="B3361" i="1"/>
  <c r="B3583" i="1"/>
  <c r="B3584" i="1"/>
  <c r="B3585" i="1"/>
  <c r="B3586" i="1"/>
  <c r="B3587" i="1"/>
  <c r="B3566" i="1"/>
  <c r="B3155" i="1"/>
  <c r="B3156" i="1"/>
  <c r="B3157" i="1"/>
  <c r="B3158" i="1"/>
  <c r="B3159" i="1"/>
  <c r="B3160" i="1"/>
  <c r="B3161" i="1"/>
  <c r="B2493" i="1"/>
  <c r="B2494" i="1"/>
  <c r="B2480" i="1"/>
  <c r="B2481" i="1"/>
  <c r="B2482" i="1"/>
  <c r="B2483" i="1"/>
  <c r="B2484" i="1"/>
  <c r="B2485" i="1"/>
  <c r="B2934" i="1"/>
  <c r="B2927" i="1"/>
  <c r="B2928" i="1"/>
  <c r="B2748" i="1"/>
  <c r="B2749" i="1"/>
  <c r="B2750" i="1"/>
  <c r="B2736" i="1"/>
  <c r="B2737" i="1"/>
  <c r="B2738" i="1"/>
  <c r="B2739" i="1"/>
  <c r="B2333" i="1"/>
  <c r="B2334" i="1"/>
  <c r="B2323" i="1"/>
  <c r="B2324" i="1"/>
  <c r="B2316" i="1"/>
  <c r="B2317" i="1"/>
  <c r="B2148" i="1"/>
  <c r="B2145" i="1"/>
  <c r="B2146" i="1"/>
  <c r="B2142" i="1"/>
  <c r="B2140" i="1"/>
  <c r="B2141" i="1"/>
  <c r="B1867" i="1"/>
  <c r="B1868" i="1"/>
  <c r="B1869" i="1"/>
  <c r="B2040" i="1"/>
  <c r="B2041" i="1"/>
  <c r="B2042" i="1"/>
  <c r="B1691" i="1"/>
  <c r="B1692" i="1"/>
  <c r="B1677" i="1"/>
  <c r="B1678" i="1"/>
  <c r="B1679" i="1"/>
  <c r="B1666" i="1"/>
  <c r="B1551" i="1"/>
  <c r="B1552" i="1"/>
  <c r="B1544" i="1"/>
  <c r="B1218" i="1"/>
  <c r="B1219" i="1"/>
  <c r="B1213" i="1"/>
  <c r="B1214" i="1"/>
  <c r="B1215" i="1"/>
  <c r="B1211" i="1"/>
  <c r="B1206" i="1"/>
  <c r="B10918" i="1"/>
  <c r="B10919" i="1"/>
  <c r="B10920" i="1"/>
  <c r="B10921" i="1"/>
  <c r="B10922" i="1"/>
  <c r="B10923" i="1"/>
  <c r="B10924" i="1"/>
  <c r="B10925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528" i="1"/>
  <c r="B10529" i="1"/>
  <c r="B10530" i="1"/>
  <c r="B10531" i="1"/>
  <c r="B10532" i="1"/>
  <c r="B10533" i="1"/>
  <c r="B10534" i="1"/>
  <c r="B10535" i="1"/>
  <c r="B10358" i="1"/>
  <c r="B10354" i="1"/>
  <c r="B10349" i="1"/>
  <c r="B10350" i="1"/>
  <c r="B10351" i="1"/>
  <c r="B10347" i="1"/>
  <c r="B10345" i="1"/>
  <c r="B10134" i="1"/>
  <c r="B10135" i="1"/>
  <c r="B10123" i="1"/>
  <c r="B10124" i="1"/>
  <c r="B10125" i="1"/>
  <c r="B9915" i="1"/>
  <c r="B9916" i="1"/>
  <c r="B9917" i="1"/>
  <c r="B9913" i="1"/>
  <c r="B9911" i="1"/>
  <c r="B9909" i="1"/>
  <c r="B9904" i="1"/>
  <c r="B9710" i="1"/>
  <c r="B9711" i="1"/>
  <c r="B9712" i="1"/>
  <c r="B9705" i="1"/>
  <c r="B9703" i="1"/>
  <c r="B9704" i="1"/>
  <c r="B9702" i="1"/>
  <c r="B9697" i="1"/>
  <c r="B9547" i="1"/>
  <c r="B9548" i="1"/>
  <c r="B9549" i="1"/>
  <c r="B9550" i="1"/>
  <c r="B9551" i="1"/>
  <c r="B9476" i="1"/>
  <c r="B9418" i="1"/>
  <c r="B9253" i="1"/>
  <c r="B9246" i="1"/>
  <c r="B9247" i="1"/>
  <c r="B9067" i="1"/>
  <c r="B9068" i="1"/>
  <c r="B9058" i="1"/>
  <c r="B9059" i="1"/>
  <c r="B9159" i="1"/>
  <c r="B9160" i="1"/>
  <c r="B9153" i="1"/>
  <c r="B8942" i="1"/>
  <c r="B8943" i="1"/>
  <c r="B8823" i="1"/>
  <c r="B8815" i="1"/>
  <c r="B8808" i="1"/>
  <c r="B8699" i="1"/>
  <c r="B8459" i="1"/>
  <c r="B8460" i="1"/>
  <c r="B8452" i="1"/>
  <c r="B8342" i="1"/>
  <c r="B8102" i="1"/>
  <c r="B8570" i="1"/>
  <c r="B8571" i="1"/>
  <c r="B8572" i="1"/>
  <c r="B8239" i="1"/>
  <c r="B7817" i="1"/>
  <c r="B7818" i="1"/>
  <c r="B7819" i="1"/>
  <c r="B7807" i="1"/>
  <c r="B7635" i="1"/>
  <c r="B7636" i="1"/>
  <c r="B7637" i="1"/>
  <c r="B7638" i="1"/>
  <c r="B7639" i="1"/>
  <c r="B7640" i="1"/>
  <c r="B7617" i="1"/>
  <c r="B7991" i="1"/>
  <c r="B7223" i="1"/>
  <c r="B7211" i="1"/>
  <c r="B7212" i="1"/>
  <c r="B7213" i="1"/>
  <c r="B7214" i="1"/>
  <c r="B7215" i="1"/>
  <c r="B7216" i="1"/>
  <c r="B7201" i="1"/>
  <c r="B7423" i="1"/>
  <c r="B7424" i="1"/>
  <c r="B7425" i="1"/>
  <c r="B7426" i="1"/>
  <c r="B7407" i="1"/>
  <c r="B7408" i="1"/>
  <c r="B7409" i="1"/>
  <c r="B6771" i="1"/>
  <c r="B6772" i="1"/>
  <c r="B6773" i="1"/>
  <c r="B6774" i="1"/>
  <c r="B6775" i="1"/>
  <c r="B6760" i="1"/>
  <c r="B6983" i="1"/>
  <c r="B6984" i="1"/>
  <c r="B6967" i="1"/>
  <c r="B6968" i="1"/>
  <c r="B6969" i="1"/>
  <c r="B6970" i="1"/>
  <c r="B6282" i="1"/>
  <c r="B6283" i="1"/>
  <c r="B6284" i="1"/>
  <c r="B6285" i="1"/>
  <c r="B6265" i="1"/>
  <c r="B6266" i="1"/>
  <c r="B6263" i="1"/>
  <c r="B6264" i="1"/>
  <c r="B6479" i="1"/>
  <c r="B6480" i="1"/>
  <c r="B6481" i="1"/>
  <c r="B6465" i="1"/>
  <c r="B6466" i="1"/>
  <c r="B6467" i="1"/>
  <c r="B5716" i="1"/>
  <c r="B5717" i="1"/>
  <c r="B5718" i="1"/>
  <c r="B5719" i="1"/>
  <c r="B5720" i="1"/>
  <c r="B5721" i="1"/>
  <c r="B5722" i="1"/>
  <c r="B5701" i="1"/>
  <c r="B5702" i="1"/>
  <c r="B5703" i="1"/>
  <c r="B5704" i="1"/>
  <c r="B5903" i="1"/>
  <c r="B5904" i="1"/>
  <c r="B5905" i="1"/>
  <c r="B5906" i="1"/>
  <c r="B5388" i="1"/>
  <c r="B5378" i="1"/>
  <c r="B5379" i="1"/>
  <c r="B5380" i="1"/>
  <c r="B5381" i="1"/>
  <c r="B5382" i="1"/>
  <c r="B5383" i="1"/>
  <c r="B5187" i="1"/>
  <c r="B5188" i="1"/>
  <c r="B5189" i="1"/>
  <c r="B5190" i="1"/>
  <c r="B5191" i="1"/>
  <c r="B5192" i="1"/>
  <c r="B4875" i="1"/>
  <c r="B4876" i="1"/>
  <c r="B4877" i="1"/>
  <c r="B4878" i="1"/>
  <c r="B4654" i="1"/>
  <c r="B4655" i="1"/>
  <c r="B4656" i="1"/>
  <c r="B4657" i="1"/>
  <c r="B4658" i="1"/>
  <c r="B4659" i="1"/>
  <c r="B4316" i="1"/>
  <c r="B4317" i="1"/>
  <c r="B4304" i="1"/>
  <c r="B4305" i="1"/>
  <c r="B4306" i="1"/>
  <c r="B4307" i="1"/>
  <c r="B4308" i="1"/>
  <c r="B4309" i="1"/>
  <c r="B4310" i="1"/>
  <c r="B4507" i="1"/>
  <c r="B4490" i="1"/>
  <c r="B4491" i="1"/>
  <c r="B4487" i="1"/>
  <c r="B4488" i="1"/>
  <c r="B4129" i="1"/>
  <c r="B4130" i="1"/>
  <c r="B4116" i="1"/>
  <c r="B4117" i="1"/>
  <c r="B4118" i="1"/>
  <c r="B4119" i="1"/>
  <c r="B4106" i="1"/>
  <c r="B4107" i="1"/>
  <c r="B3859" i="1"/>
  <c r="B3860" i="1"/>
  <c r="B4051" i="1"/>
  <c r="B4052" i="1"/>
  <c r="B4038" i="1"/>
  <c r="B4035" i="1"/>
  <c r="B3665" i="1"/>
  <c r="B3666" i="1"/>
  <c r="B3667" i="1"/>
  <c r="B3668" i="1"/>
  <c r="B3658" i="1"/>
  <c r="B3659" i="1"/>
  <c r="B3362" i="1"/>
  <c r="B3363" i="1"/>
  <c r="B3354" i="1"/>
  <c r="B3355" i="1"/>
  <c r="B3567" i="1"/>
  <c r="B3568" i="1"/>
  <c r="B3569" i="1"/>
  <c r="B3570" i="1"/>
  <c r="B3571" i="1"/>
  <c r="B3572" i="1"/>
  <c r="B3573" i="1"/>
  <c r="B3574" i="1"/>
  <c r="B3552" i="1"/>
  <c r="B3138" i="1"/>
  <c r="B3139" i="1"/>
  <c r="B3140" i="1"/>
  <c r="B3141" i="1"/>
  <c r="B3142" i="1"/>
  <c r="B3143" i="1"/>
  <c r="B3144" i="1"/>
  <c r="B3145" i="1"/>
  <c r="B2472" i="1"/>
  <c r="B2473" i="1"/>
  <c r="B2474" i="1"/>
  <c r="B2463" i="1"/>
  <c r="B2464" i="1"/>
  <c r="B2929" i="1"/>
  <c r="B2930" i="1"/>
  <c r="B2913" i="1"/>
  <c r="B2729" i="1"/>
  <c r="B2730" i="1"/>
  <c r="B2731" i="1"/>
  <c r="B2725" i="1"/>
  <c r="B2726" i="1"/>
  <c r="B2723" i="1"/>
  <c r="B2724" i="1"/>
  <c r="B2318" i="1"/>
  <c r="B2307" i="1"/>
  <c r="B2303" i="1"/>
  <c r="B2134" i="1"/>
  <c r="B2135" i="1"/>
  <c r="B2130" i="1"/>
  <c r="B2131" i="1"/>
  <c r="B2132" i="1"/>
  <c r="B2118" i="1"/>
  <c r="B1870" i="1"/>
  <c r="B1856" i="1"/>
  <c r="B2024" i="1"/>
  <c r="B2025" i="1"/>
  <c r="B2026" i="1"/>
  <c r="B2027" i="1"/>
  <c r="B2018" i="1"/>
  <c r="B2019" i="1"/>
  <c r="B2020" i="1"/>
  <c r="B2016" i="1"/>
  <c r="B1667" i="1"/>
  <c r="B1668" i="1"/>
  <c r="B1669" i="1"/>
  <c r="B1670" i="1"/>
  <c r="B1671" i="1"/>
  <c r="B1672" i="1"/>
  <c r="B1655" i="1"/>
  <c r="B1538" i="1"/>
  <c r="B1539" i="1"/>
  <c r="B1540" i="1"/>
  <c r="B1533" i="1"/>
  <c r="B1376" i="1"/>
  <c r="B1377" i="1"/>
  <c r="B1378" i="1"/>
  <c r="B1379" i="1"/>
  <c r="B1380" i="1"/>
  <c r="B10926" i="1"/>
  <c r="B10927" i="1"/>
  <c r="B10928" i="1"/>
  <c r="B10873" i="1"/>
  <c r="B10874" i="1"/>
  <c r="B10726" i="1"/>
  <c r="B10727" i="1"/>
  <c r="B10728" i="1"/>
  <c r="B10729" i="1"/>
  <c r="B10730" i="1"/>
  <c r="B10731" i="1"/>
  <c r="B10732" i="1"/>
  <c r="B10733" i="1"/>
  <c r="B10536" i="1"/>
  <c r="B10537" i="1"/>
  <c r="B10510" i="1"/>
  <c r="B10511" i="1"/>
  <c r="B10512" i="1"/>
  <c r="B10513" i="1"/>
  <c r="B10338" i="1"/>
  <c r="B10339" i="1"/>
  <c r="B10340" i="1"/>
  <c r="B10341" i="1"/>
  <c r="B10335" i="1"/>
  <c r="B10330" i="1"/>
  <c r="B10331" i="1"/>
  <c r="B10115" i="1"/>
  <c r="B10116" i="1"/>
  <c r="B10117" i="1"/>
  <c r="B10111" i="1"/>
  <c r="B10106" i="1"/>
  <c r="B10107" i="1"/>
  <c r="B9897" i="1"/>
  <c r="B9894" i="1"/>
  <c r="B9695" i="1"/>
  <c r="B9691" i="1"/>
  <c r="B9690" i="1"/>
  <c r="B9689" i="1"/>
  <c r="B9686" i="1"/>
  <c r="B9687" i="1"/>
  <c r="B9542" i="1"/>
  <c r="B9471" i="1"/>
  <c r="B9345" i="1"/>
  <c r="B9335" i="1"/>
  <c r="B9336" i="1"/>
  <c r="B9412" i="1"/>
  <c r="B9411" i="1"/>
  <c r="B9406" i="1"/>
  <c r="B9407" i="1"/>
  <c r="B9248" i="1"/>
  <c r="B9249" i="1"/>
  <c r="B9237" i="1"/>
  <c r="B9054" i="1"/>
  <c r="B9055" i="1"/>
  <c r="B9049" i="1"/>
  <c r="B9050" i="1"/>
  <c r="B9154" i="1"/>
  <c r="B8944" i="1"/>
  <c r="B8694" i="1"/>
  <c r="B8695" i="1"/>
  <c r="B8696" i="1"/>
  <c r="B8453" i="1"/>
  <c r="B8454" i="1"/>
  <c r="B8443" i="1"/>
  <c r="B8103" i="1"/>
  <c r="B8104" i="1"/>
  <c r="B8567" i="1"/>
  <c r="B8234" i="1"/>
  <c r="B8228" i="1"/>
  <c r="B7808" i="1"/>
  <c r="B7809" i="1"/>
  <c r="B7810" i="1"/>
  <c r="B7811" i="1"/>
  <c r="B7618" i="1"/>
  <c r="B7619" i="1"/>
  <c r="B7978" i="1"/>
  <c r="B7197" i="1"/>
  <c r="B7198" i="1"/>
  <c r="B7199" i="1"/>
  <c r="B7193" i="1"/>
  <c r="B7194" i="1"/>
  <c r="B7195" i="1"/>
  <c r="B7410" i="1"/>
  <c r="B7411" i="1"/>
  <c r="B7412" i="1"/>
  <c r="B7413" i="1"/>
  <c r="B7414" i="1"/>
  <c r="B7383" i="1"/>
  <c r="B7384" i="1"/>
  <c r="B6761" i="1"/>
  <c r="B6751" i="1"/>
  <c r="B6752" i="1"/>
  <c r="B6746" i="1"/>
  <c r="B6747" i="1"/>
  <c r="B6748" i="1"/>
  <c r="B6749" i="1"/>
  <c r="B6957" i="1"/>
  <c r="B6958" i="1"/>
  <c r="B6959" i="1"/>
  <c r="B6947" i="1"/>
  <c r="B6948" i="1"/>
  <c r="B6942" i="1"/>
  <c r="B6943" i="1"/>
  <c r="B6944" i="1"/>
  <c r="B6945" i="1"/>
  <c r="B6252" i="1"/>
  <c r="B6468" i="1"/>
  <c r="B6469" i="1"/>
  <c r="B6470" i="1"/>
  <c r="B6456" i="1"/>
  <c r="B6452" i="1"/>
  <c r="B6445" i="1"/>
  <c r="B6446" i="1"/>
  <c r="B5705" i="1"/>
  <c r="B5689" i="1"/>
  <c r="B5690" i="1"/>
  <c r="B5691" i="1"/>
  <c r="B5692" i="1"/>
  <c r="B5693" i="1"/>
  <c r="B5678" i="1"/>
  <c r="B5907" i="1"/>
  <c r="B5908" i="1"/>
  <c r="B5368" i="1"/>
  <c r="B5369" i="1"/>
  <c r="B5370" i="1"/>
  <c r="B5371" i="1"/>
  <c r="B5372" i="1"/>
  <c r="B5566" i="1"/>
  <c r="B5556" i="1"/>
  <c r="B5557" i="1"/>
  <c r="B5551" i="1"/>
  <c r="B5172" i="1"/>
  <c r="B5173" i="1"/>
  <c r="B5174" i="1"/>
  <c r="B5175" i="1"/>
  <c r="B4879" i="1"/>
  <c r="B4880" i="1"/>
  <c r="B4860" i="1"/>
  <c r="B4861" i="1"/>
  <c r="B4862" i="1"/>
  <c r="B4863" i="1"/>
  <c r="B4850" i="1"/>
  <c r="B5074" i="1"/>
  <c r="B5075" i="1"/>
  <c r="B5076" i="1"/>
  <c r="B5077" i="1"/>
  <c r="B5067" i="1"/>
  <c r="B5068" i="1"/>
  <c r="B5069" i="1"/>
  <c r="B4639" i="1"/>
  <c r="B4640" i="1"/>
  <c r="B4641" i="1"/>
  <c r="B4642" i="1"/>
  <c r="B4643" i="1"/>
  <c r="B4631" i="1"/>
  <c r="B4632" i="1"/>
  <c r="B4293" i="1"/>
  <c r="B4294" i="1"/>
  <c r="B4295" i="1"/>
  <c r="B4292" i="1"/>
  <c r="B4482" i="1"/>
  <c r="B4483" i="1"/>
  <c r="B4484" i="1"/>
  <c r="B4485" i="1"/>
  <c r="B4474" i="1"/>
  <c r="B4108" i="1"/>
  <c r="B4109" i="1"/>
  <c r="B4110" i="1"/>
  <c r="B4100" i="1"/>
  <c r="B3847" i="1"/>
  <c r="B3848" i="1"/>
  <c r="B3837" i="1"/>
  <c r="B3831" i="1"/>
  <c r="B3832" i="1"/>
  <c r="B3833" i="1"/>
  <c r="B3834" i="1"/>
  <c r="B3828" i="1"/>
  <c r="B4027" i="1"/>
  <c r="B4028" i="1"/>
  <c r="B4029" i="1"/>
  <c r="B4030" i="1"/>
  <c r="B4031" i="1"/>
  <c r="B4032" i="1"/>
  <c r="B4033" i="1"/>
  <c r="B3646" i="1"/>
  <c r="B3647" i="1"/>
  <c r="B3648" i="1"/>
  <c r="B3649" i="1"/>
  <c r="B3650" i="1"/>
  <c r="B3651" i="1"/>
  <c r="B3356" i="1"/>
  <c r="B3353" i="1"/>
  <c r="B3347" i="1"/>
  <c r="B3348" i="1"/>
  <c r="B3349" i="1"/>
  <c r="B3350" i="1"/>
  <c r="B3351" i="1"/>
  <c r="B3352" i="1"/>
  <c r="B3342" i="1"/>
  <c r="B3343" i="1"/>
  <c r="B3553" i="1"/>
  <c r="B3554" i="1"/>
  <c r="B3555" i="1"/>
  <c r="B3556" i="1"/>
  <c r="B3557" i="1"/>
  <c r="B3544" i="1"/>
  <c r="B3146" i="1"/>
  <c r="B3147" i="1"/>
  <c r="B3148" i="1"/>
  <c r="B3125" i="1"/>
  <c r="B3126" i="1"/>
  <c r="B3127" i="1"/>
  <c r="B3128" i="1"/>
  <c r="B3129" i="1"/>
  <c r="B3121" i="1"/>
  <c r="B2465" i="1"/>
  <c r="B2466" i="1"/>
  <c r="B2467" i="1"/>
  <c r="B2454" i="1"/>
  <c r="B2455" i="1"/>
  <c r="B2914" i="1"/>
  <c r="B2915" i="1"/>
  <c r="B2916" i="1"/>
  <c r="B2715" i="1"/>
  <c r="B2716" i="1"/>
  <c r="B2717" i="1"/>
  <c r="B2718" i="1"/>
  <c r="B2295" i="1"/>
  <c r="B2296" i="1"/>
  <c r="B2292" i="1"/>
  <c r="B2293" i="1"/>
  <c r="B2290" i="1"/>
  <c r="B2291" i="1"/>
  <c r="B2119" i="1"/>
  <c r="B2120" i="1"/>
  <c r="B2121" i="1"/>
  <c r="B2122" i="1"/>
  <c r="B2123" i="1"/>
  <c r="B2114" i="1"/>
  <c r="B2115" i="1"/>
  <c r="B1838" i="1"/>
  <c r="B1839" i="1"/>
  <c r="B1840" i="1"/>
  <c r="B1841" i="1"/>
  <c r="B1842" i="1"/>
  <c r="B1843" i="1"/>
  <c r="B2017" i="1"/>
  <c r="B2012" i="1"/>
  <c r="B2013" i="1"/>
  <c r="B1656" i="1"/>
  <c r="B1657" i="1"/>
  <c r="B1658" i="1"/>
  <c r="B1659" i="1"/>
  <c r="B1660" i="1"/>
  <c r="B1661" i="1"/>
  <c r="B1529" i="1"/>
  <c r="B1526" i="1"/>
  <c r="B1527" i="1"/>
  <c r="B1522" i="1"/>
  <c r="B1523" i="1"/>
  <c r="B1524" i="1"/>
  <c r="B1525" i="1"/>
  <c r="B1516" i="1"/>
  <c r="B1381" i="1"/>
  <c r="B1382" i="1"/>
  <c r="B1371" i="1"/>
  <c r="B1372" i="1"/>
  <c r="B10875" i="1"/>
  <c r="B10876" i="1"/>
  <c r="B10877" i="1"/>
  <c r="B10514" i="1"/>
  <c r="B10515" i="1"/>
  <c r="B10516" i="1"/>
  <c r="B10517" i="1"/>
  <c r="B10490" i="1"/>
  <c r="B10319" i="1"/>
  <c r="B10320" i="1"/>
  <c r="B10321" i="1"/>
  <c r="B10322" i="1"/>
  <c r="B10323" i="1"/>
  <c r="B10324" i="1"/>
  <c r="B10325" i="1"/>
  <c r="B10326" i="1"/>
  <c r="B10327" i="1"/>
  <c r="B10097" i="1"/>
  <c r="B10098" i="1"/>
  <c r="B10099" i="1"/>
  <c r="B10100" i="1"/>
  <c r="B10101" i="1"/>
  <c r="B10102" i="1"/>
  <c r="B10103" i="1"/>
  <c r="B10092" i="1"/>
  <c r="B10091" i="1"/>
  <c r="B9889" i="1"/>
  <c r="B9890" i="1"/>
  <c r="B9886" i="1"/>
  <c r="B9885" i="1"/>
  <c r="B9880" i="1"/>
  <c r="B9881" i="1"/>
  <c r="B9680" i="1"/>
  <c r="B9678" i="1"/>
  <c r="B9677" i="1"/>
  <c r="B9543" i="1"/>
  <c r="B9529" i="1"/>
  <c r="B9468" i="1"/>
  <c r="B9469" i="1"/>
  <c r="B9332" i="1"/>
  <c r="B9327" i="1"/>
  <c r="B9238" i="1"/>
  <c r="B9043" i="1"/>
  <c r="B9044" i="1"/>
  <c r="B9144" i="1"/>
  <c r="B9140" i="1"/>
  <c r="B9141" i="1"/>
  <c r="B8933" i="1"/>
  <c r="B8928" i="1"/>
  <c r="B8677" i="1"/>
  <c r="B8678" i="1"/>
  <c r="B8440" i="1"/>
  <c r="B8327" i="1"/>
  <c r="B8328" i="1"/>
  <c r="B8329" i="1"/>
  <c r="B8330" i="1"/>
  <c r="B8563" i="1"/>
  <c r="B8564" i="1"/>
  <c r="B8229" i="1"/>
  <c r="B8230" i="1"/>
  <c r="B7812" i="1"/>
  <c r="B7813" i="1"/>
  <c r="B7814" i="1"/>
  <c r="B7784" i="1"/>
  <c r="B7785" i="1"/>
  <c r="B7786" i="1"/>
  <c r="B7600" i="1"/>
  <c r="B7601" i="1"/>
  <c r="B7602" i="1"/>
  <c r="B7603" i="1"/>
  <c r="B7604" i="1"/>
  <c r="B7605" i="1"/>
  <c r="B7587" i="1"/>
  <c r="B7971" i="1"/>
  <c r="B7177" i="1"/>
  <c r="B7178" i="1"/>
  <c r="B7179" i="1"/>
  <c r="B7180" i="1"/>
  <c r="B7181" i="1"/>
  <c r="B7182" i="1"/>
  <c r="B7183" i="1"/>
  <c r="B7385" i="1"/>
  <c r="B7386" i="1"/>
  <c r="B7387" i="1"/>
  <c r="B7388" i="1"/>
  <c r="B7389" i="1"/>
  <c r="B7390" i="1"/>
  <c r="B7391" i="1"/>
  <c r="B7372" i="1"/>
  <c r="B6750" i="1"/>
  <c r="B6728" i="1"/>
  <c r="B6729" i="1"/>
  <c r="B6730" i="1"/>
  <c r="B6731" i="1"/>
  <c r="B6937" i="1"/>
  <c r="B6938" i="1"/>
  <c r="B6939" i="1"/>
  <c r="B6940" i="1"/>
  <c r="B6924" i="1"/>
  <c r="B6253" i="1"/>
  <c r="B6254" i="1"/>
  <c r="B6255" i="1"/>
  <c r="B6447" i="1"/>
  <c r="B6448" i="1"/>
  <c r="B6449" i="1"/>
  <c r="B6450" i="1"/>
  <c r="B5679" i="1"/>
  <c r="B5680" i="1"/>
  <c r="B5681" i="1"/>
  <c r="B5682" i="1"/>
  <c r="B5668" i="1"/>
  <c r="B5669" i="1"/>
  <c r="B5670" i="1"/>
  <c r="B5666" i="1"/>
  <c r="B5888" i="1"/>
  <c r="B5889" i="1"/>
  <c r="B5890" i="1"/>
  <c r="B5876" i="1"/>
  <c r="B5877" i="1"/>
  <c r="B5878" i="1"/>
  <c r="B5352" i="1"/>
  <c r="B5353" i="1"/>
  <c r="B5354" i="1"/>
  <c r="B5355" i="1"/>
  <c r="B5356" i="1"/>
  <c r="B5344" i="1"/>
  <c r="B5345" i="1"/>
  <c r="B5552" i="1"/>
  <c r="B5553" i="1"/>
  <c r="B5554" i="1"/>
  <c r="B5555" i="1"/>
  <c r="B5545" i="1"/>
  <c r="B5176" i="1"/>
  <c r="B5177" i="1"/>
  <c r="B5178" i="1"/>
  <c r="B5163" i="1"/>
  <c r="B5164" i="1"/>
  <c r="B5165" i="1"/>
  <c r="B5160" i="1"/>
  <c r="B5161" i="1"/>
  <c r="B5162" i="1"/>
  <c r="B4851" i="1"/>
  <c r="B4843" i="1"/>
  <c r="B4844" i="1"/>
  <c r="B4845" i="1"/>
  <c r="B5070" i="1"/>
  <c r="B5047" i="1"/>
  <c r="B5048" i="1"/>
  <c r="B5049" i="1"/>
  <c r="B5050" i="1"/>
  <c r="B5051" i="1"/>
  <c r="B1174" i="1"/>
  <c r="B1175" i="1"/>
  <c r="B1176" i="1"/>
  <c r="B1177" i="1"/>
  <c r="B1178" i="1"/>
  <c r="B1179" i="1"/>
  <c r="B1180" i="1"/>
  <c r="B1158" i="1"/>
  <c r="B1159" i="1"/>
  <c r="B1160" i="1"/>
  <c r="B1161" i="1"/>
  <c r="B1162" i="1"/>
  <c r="B1149" i="1"/>
  <c r="B1150" i="1"/>
  <c r="B1151" i="1"/>
  <c r="B1152" i="1"/>
  <c r="B1153" i="1"/>
  <c r="B1154" i="1"/>
  <c r="B1155" i="1"/>
  <c r="B1156" i="1"/>
  <c r="B9530" i="1"/>
  <c r="B9531" i="1"/>
  <c r="B9532" i="1"/>
  <c r="B1157" i="1"/>
  <c r="B9436" i="1"/>
  <c r="B9440" i="1"/>
  <c r="B9437" i="1"/>
  <c r="B9430" i="1"/>
  <c r="B1124" i="1"/>
  <c r="B1125" i="1"/>
  <c r="B1126" i="1"/>
  <c r="B1127" i="1"/>
  <c r="B1128" i="1"/>
  <c r="B1129" i="1"/>
  <c r="B1130" i="1"/>
  <c r="B1119" i="1"/>
  <c r="B1120" i="1"/>
  <c r="B1121" i="1"/>
  <c r="B1122" i="1"/>
  <c r="B1123" i="1"/>
  <c r="B9509" i="1"/>
  <c r="B9494" i="1"/>
  <c r="B9486" i="1"/>
  <c r="B9474" i="1"/>
  <c r="B9455" i="1"/>
  <c r="B9456" i="1"/>
  <c r="B9445" i="1"/>
  <c r="B1093" i="1"/>
  <c r="B1094" i="1"/>
  <c r="B1095" i="1"/>
  <c r="B1096" i="1"/>
  <c r="B1097" i="1"/>
  <c r="B1098" i="1"/>
  <c r="B1099" i="1"/>
  <c r="B1100" i="1"/>
  <c r="B1101" i="1"/>
  <c r="B1102" i="1"/>
  <c r="B9181" i="1"/>
  <c r="B1077" i="1"/>
  <c r="B1078" i="1"/>
  <c r="B1079" i="1"/>
  <c r="B1080" i="1"/>
  <c r="B9205" i="1"/>
  <c r="B9083" i="1"/>
  <c r="B9118" i="1"/>
  <c r="B1081" i="1"/>
  <c r="B1082" i="1"/>
  <c r="B1083" i="1"/>
  <c r="B1084" i="1"/>
  <c r="B1085" i="1"/>
  <c r="B1086" i="1"/>
  <c r="B1087" i="1"/>
  <c r="B1058" i="1"/>
  <c r="B9116" i="1"/>
  <c r="B1059" i="1"/>
  <c r="B1060" i="1"/>
  <c r="B1061" i="1"/>
  <c r="B9346" i="1"/>
  <c r="B1062" i="1"/>
  <c r="B1063" i="1"/>
  <c r="B9386" i="1"/>
  <c r="B9352" i="1"/>
  <c r="B1055" i="1"/>
  <c r="B9347" i="1"/>
  <c r="B9510" i="1"/>
  <c r="B9279" i="1"/>
  <c r="B9280" i="1"/>
  <c r="B9273" i="1"/>
  <c r="B9263" i="1"/>
  <c r="B9264" i="1"/>
  <c r="B1244" i="1"/>
  <c r="B1051" i="1"/>
  <c r="B1052" i="1"/>
  <c r="B1053" i="1"/>
  <c r="B9114" i="1"/>
  <c r="B1028" i="1"/>
  <c r="B1029" i="1"/>
  <c r="B1030" i="1"/>
  <c r="B1031" i="1"/>
  <c r="B1032" i="1"/>
  <c r="B1033" i="1"/>
  <c r="B1026" i="1"/>
  <c r="B1027" i="1"/>
  <c r="B1054" i="1"/>
  <c r="B1019" i="1"/>
  <c r="B1020" i="1"/>
  <c r="B1003" i="1"/>
  <c r="B1004" i="1"/>
  <c r="B1005" i="1"/>
  <c r="B1006" i="1"/>
  <c r="B1001" i="1"/>
  <c r="B1002" i="1"/>
  <c r="B9026" i="1"/>
  <c r="B9045" i="1"/>
  <c r="B969" i="1"/>
  <c r="B970" i="1"/>
  <c r="B971" i="1"/>
  <c r="B972" i="1"/>
  <c r="B973" i="1"/>
  <c r="B974" i="1"/>
  <c r="B975" i="1"/>
  <c r="B9046" i="1"/>
  <c r="B976" i="1"/>
  <c r="B977" i="1"/>
  <c r="B978" i="1"/>
  <c r="B955" i="1"/>
  <c r="B956" i="1"/>
  <c r="B957" i="1"/>
  <c r="B958" i="1"/>
  <c r="B9006" i="1"/>
  <c r="B948" i="1"/>
  <c r="B8934" i="1"/>
  <c r="B949" i="1"/>
  <c r="B931" i="1"/>
  <c r="B922" i="1"/>
  <c r="B923" i="1"/>
  <c r="B8935" i="1"/>
  <c r="B903" i="1"/>
  <c r="B904" i="1"/>
  <c r="B905" i="1"/>
  <c r="B906" i="1"/>
  <c r="B907" i="1"/>
  <c r="B9027" i="1"/>
  <c r="B886" i="1"/>
  <c r="B887" i="1"/>
  <c r="B888" i="1"/>
  <c r="B889" i="1"/>
  <c r="B890" i="1"/>
  <c r="B891" i="1"/>
  <c r="B892" i="1"/>
  <c r="B9099" i="1"/>
  <c r="B870" i="1"/>
  <c r="B871" i="1"/>
  <c r="B8918" i="1"/>
  <c r="B872" i="1"/>
  <c r="B873" i="1"/>
  <c r="B874" i="1"/>
  <c r="B875" i="1"/>
  <c r="B876" i="1"/>
  <c r="B8967" i="1"/>
  <c r="B865" i="1"/>
  <c r="B877" i="1"/>
  <c r="B866" i="1"/>
  <c r="B8956" i="1"/>
  <c r="B9228" i="1"/>
  <c r="B867" i="1"/>
  <c r="B8936" i="1"/>
  <c r="B8839" i="1"/>
  <c r="B8884" i="1"/>
  <c r="B8929" i="1"/>
  <c r="B868" i="1"/>
  <c r="B9000" i="1"/>
  <c r="B9020" i="1"/>
  <c r="B869" i="1"/>
  <c r="B8957" i="1"/>
  <c r="B8903" i="1"/>
  <c r="B8938" i="1"/>
  <c r="B9051" i="1"/>
  <c r="B878" i="1"/>
  <c r="B8843" i="1"/>
  <c r="B879" i="1"/>
  <c r="B880" i="1"/>
  <c r="B846" i="1"/>
  <c r="B773" i="1"/>
  <c r="B8894" i="1"/>
  <c r="B763" i="1"/>
  <c r="B8919" i="1"/>
  <c r="B764" i="1"/>
  <c r="B8833" i="1"/>
  <c r="B8852" i="1"/>
  <c r="B8836" i="1"/>
  <c r="B774" i="1"/>
  <c r="B9533" i="1"/>
  <c r="B775" i="1"/>
  <c r="B8744" i="1"/>
  <c r="B776" i="1"/>
  <c r="B777" i="1"/>
  <c r="B778" i="1"/>
  <c r="B779" i="1"/>
  <c r="B765" i="1"/>
  <c r="B8764" i="1"/>
  <c r="B780" i="1"/>
  <c r="B766" i="1"/>
  <c r="B767" i="1"/>
  <c r="B768" i="1"/>
  <c r="B8806" i="1"/>
  <c r="B8889" i="1"/>
  <c r="B745" i="1"/>
  <c r="B746" i="1"/>
  <c r="B741" i="1"/>
  <c r="B742" i="1"/>
  <c r="B8864" i="1"/>
  <c r="B728" i="1"/>
  <c r="B719" i="1"/>
  <c r="B711" i="1"/>
  <c r="B8799" i="1"/>
  <c r="B9056" i="1"/>
  <c r="B712" i="1"/>
  <c r="B9052" i="1"/>
  <c r="B676" i="1"/>
  <c r="B797" i="1"/>
  <c r="B798" i="1"/>
  <c r="B709" i="1"/>
  <c r="B799" i="1"/>
  <c r="B793" i="1"/>
  <c r="B794" i="1"/>
  <c r="B707" i="1"/>
  <c r="B769" i="1"/>
  <c r="B751" i="1"/>
  <c r="B752" i="1"/>
  <c r="B753" i="1"/>
  <c r="B700" i="1"/>
  <c r="B701" i="1"/>
  <c r="B663" i="1"/>
  <c r="B632" i="1"/>
  <c r="B633" i="1"/>
  <c r="B8713" i="1"/>
  <c r="B8621" i="1"/>
  <c r="B634" i="1"/>
  <c r="B635" i="1"/>
  <c r="B636" i="1"/>
  <c r="B637" i="1"/>
  <c r="B638" i="1"/>
  <c r="B639" i="1"/>
  <c r="B640" i="1"/>
  <c r="B641" i="1"/>
  <c r="B642" i="1"/>
  <c r="B8645" i="1"/>
  <c r="B621" i="1"/>
  <c r="B622" i="1"/>
  <c r="B623" i="1"/>
  <c r="B624" i="1"/>
  <c r="B8594" i="1"/>
  <c r="B625" i="1"/>
  <c r="B626" i="1"/>
  <c r="B9511" i="1"/>
  <c r="B627" i="1"/>
  <c r="B8765" i="1"/>
  <c r="B628" i="1"/>
  <c r="B8668" i="1"/>
  <c r="B8725" i="1"/>
  <c r="B8714" i="1"/>
  <c r="B629" i="1"/>
  <c r="B614" i="1"/>
  <c r="B9564" i="1"/>
  <c r="B8879" i="1"/>
  <c r="B8828" i="1"/>
  <c r="B615" i="1"/>
  <c r="B616" i="1"/>
  <c r="B8688" i="1"/>
  <c r="B617" i="1"/>
  <c r="B618" i="1"/>
  <c r="B619" i="1"/>
  <c r="B8628" i="1"/>
  <c r="B8611" i="1"/>
  <c r="B8568" i="1"/>
  <c r="B599" i="1"/>
  <c r="B600" i="1"/>
  <c r="B601" i="1"/>
  <c r="B8612" i="1"/>
  <c r="B602" i="1"/>
  <c r="B603" i="1"/>
  <c r="B604" i="1"/>
  <c r="B8679" i="1"/>
  <c r="B605" i="1"/>
  <c r="B606" i="1"/>
  <c r="B607" i="1"/>
  <c r="B8660" i="1"/>
  <c r="B608" i="1"/>
  <c r="B8613" i="1"/>
  <c r="B8605" i="1"/>
  <c r="B8479" i="1"/>
  <c r="B589" i="1"/>
  <c r="B8646" i="1"/>
  <c r="B590" i="1"/>
  <c r="B8629" i="1"/>
  <c r="B578" i="1"/>
  <c r="B579" i="1"/>
  <c r="B580" i="1"/>
  <c r="B581" i="1"/>
  <c r="B582" i="1"/>
  <c r="B583" i="1"/>
  <c r="B584" i="1"/>
  <c r="B585" i="1"/>
  <c r="B586" i="1"/>
  <c r="B8538" i="1"/>
  <c r="B587" i="1"/>
  <c r="B569" i="1"/>
  <c r="B570" i="1"/>
  <c r="B8573" i="1"/>
  <c r="B571" i="1"/>
  <c r="B572" i="1"/>
  <c r="B8495" i="1"/>
  <c r="B573" i="1"/>
  <c r="B574" i="1"/>
  <c r="B575" i="1"/>
  <c r="B576" i="1"/>
  <c r="B577" i="1"/>
  <c r="B555" i="1"/>
  <c r="B486" i="1"/>
  <c r="B487" i="1"/>
  <c r="B488" i="1"/>
  <c r="B470" i="1"/>
  <c r="B8472" i="1"/>
  <c r="B458" i="1"/>
  <c r="B459" i="1"/>
  <c r="B460" i="1"/>
  <c r="B461" i="1"/>
  <c r="B462" i="1"/>
  <c r="B463" i="1"/>
  <c r="B464" i="1"/>
  <c r="B8580" i="1"/>
  <c r="B440" i="1"/>
  <c r="B8496" i="1"/>
  <c r="B8550" i="1"/>
  <c r="B425" i="1"/>
  <c r="B426" i="1"/>
  <c r="B427" i="1"/>
  <c r="B8497" i="1"/>
  <c r="B428" i="1"/>
  <c r="B429" i="1"/>
  <c r="B430" i="1"/>
  <c r="B8585" i="1"/>
  <c r="B431" i="1"/>
  <c r="B432" i="1"/>
  <c r="B416" i="1"/>
  <c r="B410" i="1"/>
  <c r="B8484" i="1"/>
  <c r="B394" i="1"/>
  <c r="B395" i="1"/>
  <c r="B382" i="1"/>
  <c r="B8455" i="1"/>
  <c r="B383" i="1"/>
  <c r="B384" i="1"/>
  <c r="B347" i="1"/>
  <c r="B8259" i="1"/>
  <c r="B8217" i="1"/>
  <c r="B8411" i="1"/>
  <c r="B348" i="1"/>
  <c r="B349" i="1"/>
  <c r="B350" i="1"/>
  <c r="B8218" i="1"/>
  <c r="B351" i="1"/>
  <c r="B336" i="1"/>
  <c r="B337" i="1"/>
  <c r="B8250" i="1"/>
  <c r="B8168" i="1"/>
  <c r="B8169" i="1"/>
  <c r="B315" i="1"/>
  <c r="B316" i="1"/>
  <c r="B317" i="1"/>
  <c r="B8211" i="1"/>
  <c r="B318" i="1"/>
  <c r="B296" i="1"/>
  <c r="B8369" i="1"/>
  <c r="B8331" i="1"/>
  <c r="B8551" i="1"/>
  <c r="B297" i="1"/>
  <c r="B287" i="1"/>
  <c r="B288" i="1"/>
  <c r="B289" i="1"/>
  <c r="B8131" i="1"/>
  <c r="B290" i="1"/>
  <c r="B8295" i="1"/>
  <c r="B291" i="1"/>
  <c r="B8155" i="1"/>
  <c r="B292" i="1"/>
  <c r="B293" i="1"/>
  <c r="B8332" i="1"/>
  <c r="B8174" i="1"/>
  <c r="B294" i="1"/>
  <c r="B295" i="1"/>
  <c r="B8117" i="1"/>
  <c r="B8288" i="1"/>
  <c r="B279" i="1"/>
  <c r="B8251" i="1"/>
  <c r="B8231" i="1"/>
  <c r="B280" i="1"/>
  <c r="B281" i="1"/>
  <c r="B267" i="1"/>
  <c r="B8322" i="1"/>
  <c r="B268" i="1"/>
  <c r="B269" i="1"/>
  <c r="B270" i="1"/>
  <c r="B271" i="1"/>
  <c r="B272" i="1"/>
  <c r="B273" i="1"/>
  <c r="B274" i="1"/>
  <c r="B8242" i="1"/>
  <c r="B8105" i="1"/>
  <c r="B275" i="1"/>
  <c r="B276" i="1"/>
  <c r="B277" i="1"/>
  <c r="B266" i="1"/>
  <c r="B8149" i="1"/>
  <c r="B9254" i="1"/>
  <c r="B9250" i="1"/>
  <c r="B9233" i="1"/>
  <c r="B1181" i="1"/>
  <c r="B1182" i="1"/>
  <c r="B1183" i="1"/>
  <c r="B9199" i="1"/>
  <c r="B1131" i="1"/>
  <c r="B1132" i="1"/>
  <c r="B1133" i="1"/>
  <c r="B1134" i="1"/>
  <c r="B1117" i="1"/>
  <c r="B1118" i="1"/>
  <c r="B1110" i="1"/>
  <c r="B1103" i="1"/>
  <c r="B1104" i="1"/>
  <c r="B1105" i="1"/>
  <c r="B1106" i="1"/>
  <c r="B1107" i="1"/>
  <c r="B1108" i="1"/>
  <c r="B1109" i="1"/>
  <c r="B9206" i="1"/>
  <c r="B9255" i="1"/>
  <c r="B9170" i="1"/>
  <c r="B8899" i="1"/>
  <c r="B1088" i="1"/>
  <c r="B1089" i="1"/>
  <c r="B9145" i="1"/>
  <c r="B1090" i="1"/>
  <c r="B1091" i="1"/>
  <c r="B1092" i="1"/>
  <c r="B9328" i="1"/>
  <c r="B1074" i="1"/>
  <c r="B1075" i="1"/>
  <c r="B1064" i="1"/>
  <c r="B1065" i="1"/>
  <c r="B1066" i="1"/>
  <c r="B1067" i="1"/>
  <c r="B1068" i="1"/>
  <c r="B1069" i="1"/>
  <c r="B9110" i="1"/>
  <c r="B9427" i="1"/>
  <c r="B9422" i="1"/>
  <c r="B9408" i="1"/>
  <c r="B9409" i="1"/>
  <c r="B9410" i="1"/>
  <c r="B9084" i="1"/>
  <c r="B9136" i="1"/>
  <c r="B1056" i="1"/>
  <c r="B1057" i="1"/>
  <c r="B9256" i="1"/>
  <c r="B1035" i="1"/>
  <c r="B1036" i="1"/>
  <c r="B1037" i="1"/>
  <c r="B1038" i="1"/>
  <c r="B1039" i="1"/>
  <c r="B9091" i="1"/>
  <c r="B9010" i="1"/>
  <c r="B1040" i="1"/>
  <c r="B1041" i="1"/>
  <c r="B1042" i="1"/>
  <c r="B1043" i="1"/>
  <c r="B1034" i="1"/>
  <c r="B1023" i="1"/>
  <c r="B1024" i="1"/>
  <c r="B1025" i="1"/>
  <c r="B1021" i="1"/>
  <c r="B979" i="1"/>
  <c r="B980" i="1"/>
  <c r="B9011" i="1"/>
  <c r="B938" i="1"/>
  <c r="B939" i="1"/>
  <c r="B932" i="1"/>
  <c r="B933" i="1"/>
  <c r="B1076" i="1"/>
  <c r="B8939" i="1"/>
  <c r="B908" i="1"/>
  <c r="B9073" i="1"/>
  <c r="B909" i="1"/>
  <c r="B9001" i="1"/>
  <c r="B910" i="1"/>
  <c r="B911" i="1"/>
  <c r="B912" i="1"/>
  <c r="B913" i="1"/>
  <c r="B9125" i="1"/>
  <c r="B899" i="1"/>
  <c r="B9028" i="1"/>
  <c r="B8858" i="1"/>
  <c r="B8875" i="1"/>
  <c r="B8885" i="1"/>
  <c r="B900" i="1"/>
  <c r="B901" i="1"/>
  <c r="B8972" i="1"/>
  <c r="B8973" i="1"/>
  <c r="B9060" i="1"/>
  <c r="B902" i="1"/>
  <c r="B8853" i="1"/>
  <c r="B8974" i="1"/>
  <c r="B8980" i="1"/>
  <c r="B8890" i="1"/>
  <c r="B8937" i="1"/>
  <c r="B883" i="1"/>
  <c r="B884" i="1"/>
  <c r="B8891" i="1"/>
  <c r="B9018" i="1"/>
  <c r="B847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844" i="1"/>
  <c r="B770" i="1"/>
  <c r="B8834" i="1"/>
  <c r="B754" i="1"/>
  <c r="B755" i="1"/>
  <c r="B756" i="1"/>
  <c r="B757" i="1"/>
  <c r="B758" i="1"/>
  <c r="B759" i="1"/>
  <c r="B760" i="1"/>
  <c r="B747" i="1"/>
  <c r="B8745" i="1"/>
  <c r="B748" i="1"/>
  <c r="B8708" i="1"/>
  <c r="B8849" i="1"/>
  <c r="B8876" i="1"/>
  <c r="B8865" i="1"/>
  <c r="B8880" i="1"/>
  <c r="B8786" i="1"/>
  <c r="B726" i="1"/>
  <c r="B727" i="1"/>
  <c r="B8709" i="1"/>
  <c r="B8840" i="1"/>
  <c r="B713" i="1"/>
  <c r="B714" i="1"/>
  <c r="B710" i="1"/>
  <c r="B9499" i="1"/>
  <c r="B688" i="1"/>
  <c r="B689" i="1"/>
  <c r="B690" i="1"/>
  <c r="B8701" i="1"/>
  <c r="B691" i="1"/>
  <c r="B692" i="1"/>
  <c r="B693" i="1"/>
  <c r="B680" i="1"/>
  <c r="B681" i="1"/>
  <c r="B682" i="1"/>
  <c r="B8866" i="1"/>
  <c r="B8774" i="1"/>
  <c r="B683" i="1"/>
  <c r="B684" i="1"/>
  <c r="B8649" i="1"/>
  <c r="B685" i="1"/>
  <c r="B8634" i="1"/>
  <c r="B8870" i="1"/>
  <c r="B677" i="1"/>
  <c r="B678" i="1"/>
  <c r="B664" i="1"/>
  <c r="B665" i="1"/>
  <c r="B8805" i="1"/>
  <c r="B666" i="1"/>
  <c r="B667" i="1"/>
  <c r="B668" i="1"/>
  <c r="B669" i="1"/>
  <c r="B670" i="1"/>
  <c r="B671" i="1"/>
  <c r="B672" i="1"/>
  <c r="B8746" i="1"/>
  <c r="B8766" i="1"/>
  <c r="B661" i="1"/>
  <c r="B662" i="1"/>
  <c r="B8586" i="1"/>
  <c r="B654" i="1"/>
  <c r="B655" i="1"/>
  <c r="B8726" i="1"/>
  <c r="B8581" i="1"/>
  <c r="B8702" i="1"/>
  <c r="B630" i="1"/>
  <c r="B631" i="1"/>
  <c r="B643" i="1"/>
  <c r="B550" i="1"/>
  <c r="B541" i="1"/>
  <c r="B8517" i="1"/>
  <c r="B542" i="1"/>
  <c r="B543" i="1"/>
  <c r="B544" i="1"/>
  <c r="B8444" i="1"/>
  <c r="B8445" i="1"/>
  <c r="B8546" i="1"/>
  <c r="B545" i="1"/>
  <c r="B8477" i="1"/>
  <c r="B546" i="1"/>
  <c r="B523" i="1"/>
  <c r="B9221" i="1"/>
  <c r="B8539" i="1"/>
  <c r="B475" i="1"/>
  <c r="B476" i="1"/>
  <c r="B8498" i="1"/>
  <c r="B8533" i="1"/>
  <c r="B8559" i="1"/>
  <c r="B477" i="1"/>
  <c r="B478" i="1"/>
  <c r="B479" i="1"/>
  <c r="B480" i="1"/>
  <c r="B481" i="1"/>
  <c r="B449" i="1"/>
  <c r="B450" i="1"/>
  <c r="B451" i="1"/>
  <c r="B452" i="1"/>
  <c r="B453" i="1"/>
  <c r="B441" i="1"/>
  <c r="B513" i="1"/>
  <c r="B489" i="1"/>
  <c r="B549" i="1"/>
  <c r="B514" i="1"/>
  <c r="B538" i="1"/>
  <c r="B524" i="1"/>
  <c r="B556" i="1"/>
  <c r="B8587" i="1"/>
  <c r="B433" i="1"/>
  <c r="B434" i="1"/>
  <c r="B8395" i="1"/>
  <c r="B620" i="1"/>
  <c r="B435" i="1"/>
  <c r="B436" i="1"/>
  <c r="B437" i="1"/>
  <c r="B8489" i="1"/>
  <c r="B438" i="1"/>
  <c r="B465" i="1"/>
  <c r="B454" i="1"/>
  <c r="B417" i="1"/>
  <c r="B8552" i="1"/>
  <c r="B418" i="1"/>
  <c r="B8404" i="1"/>
  <c r="B419" i="1"/>
  <c r="B8547" i="1"/>
  <c r="B420" i="1"/>
  <c r="B8373" i="1"/>
  <c r="B421" i="1"/>
  <c r="B422" i="1"/>
  <c r="B423" i="1"/>
  <c r="B424" i="1"/>
  <c r="B8461" i="1"/>
  <c r="B8462" i="1"/>
  <c r="B412" i="1"/>
  <c r="B396" i="1"/>
  <c r="B8446" i="1"/>
  <c r="B397" i="1"/>
  <c r="B398" i="1"/>
  <c r="B8370" i="1"/>
  <c r="B8350" i="1"/>
  <c r="B399" i="1"/>
  <c r="B400" i="1"/>
  <c r="B8981" i="1"/>
  <c r="B401" i="1"/>
  <c r="B374" i="1"/>
  <c r="B9387" i="1"/>
  <c r="B375" i="1"/>
  <c r="B373" i="1"/>
  <c r="B372" i="1"/>
  <c r="B369" i="1"/>
  <c r="B370" i="1"/>
  <c r="B371" i="1"/>
  <c r="B8485" i="1"/>
  <c r="B8437" i="1"/>
  <c r="B358" i="1"/>
  <c r="B359" i="1"/>
  <c r="B360" i="1"/>
  <c r="B8423" i="1"/>
  <c r="B361" i="1"/>
  <c r="B8240" i="1"/>
  <c r="B8480" i="1"/>
  <c r="B362" i="1"/>
  <c r="B8381" i="1"/>
  <c r="B339" i="1"/>
  <c r="B340" i="1"/>
  <c r="B341" i="1"/>
  <c r="B342" i="1"/>
  <c r="B8279" i="1"/>
  <c r="B8190" i="1"/>
  <c r="B319" i="1"/>
  <c r="B8175" i="1"/>
  <c r="B320" i="1"/>
  <c r="B321" i="1"/>
  <c r="B8260" i="1"/>
  <c r="B8361" i="1"/>
  <c r="B304" i="1"/>
  <c r="B8170" i="1"/>
  <c r="B305" i="1"/>
  <c r="B8191" i="1"/>
  <c r="B306" i="1"/>
  <c r="B8315" i="1"/>
  <c r="B307" i="1"/>
  <c r="B8289" i="1"/>
  <c r="B8391" i="1"/>
  <c r="B282" i="1"/>
  <c r="B283" i="1"/>
  <c r="B284" i="1"/>
  <c r="B285" i="1"/>
  <c r="B286" i="1"/>
  <c r="B8290" i="1"/>
  <c r="B258" i="1"/>
  <c r="B259" i="1"/>
  <c r="B260" i="1"/>
  <c r="B1201" i="1"/>
  <c r="B1184" i="1"/>
  <c r="B9269" i="1"/>
  <c r="B1163" i="1"/>
  <c r="B1164" i="1"/>
  <c r="B1165" i="1"/>
  <c r="B1166" i="1"/>
  <c r="B1167" i="1"/>
  <c r="B1168" i="1"/>
  <c r="B1169" i="1"/>
  <c r="B1170" i="1"/>
  <c r="B1171" i="1"/>
  <c r="B1172" i="1"/>
  <c r="B1173" i="1"/>
  <c r="B9190" i="1"/>
  <c r="B9552" i="1"/>
  <c r="B9534" i="1"/>
  <c r="B9544" i="1"/>
  <c r="B9512" i="1"/>
  <c r="B9513" i="1"/>
  <c r="B1135" i="1"/>
  <c r="B1136" i="1"/>
  <c r="B1137" i="1"/>
  <c r="B1138" i="1"/>
  <c r="B1139" i="1"/>
  <c r="B1140" i="1"/>
  <c r="B1141" i="1"/>
  <c r="B1142" i="1"/>
  <c r="B9333" i="1"/>
  <c r="B9320" i="1"/>
  <c r="B9329" i="1"/>
  <c r="B9330" i="1"/>
  <c r="B9313" i="1"/>
  <c r="B9304" i="1"/>
  <c r="B9305" i="1"/>
  <c r="B9377" i="1"/>
  <c r="B9293" i="1"/>
  <c r="B9289" i="1"/>
  <c r="B9290" i="1"/>
  <c r="B9291" i="1"/>
  <c r="B9441" i="1"/>
  <c r="B9514" i="1"/>
  <c r="B1044" i="1"/>
  <c r="B1045" i="1"/>
  <c r="B1046" i="1"/>
  <c r="B1047" i="1"/>
  <c r="B1048" i="1"/>
  <c r="B1049" i="1"/>
  <c r="B1050" i="1"/>
  <c r="B1022" i="1"/>
  <c r="B1007" i="1"/>
  <c r="B1008" i="1"/>
  <c r="B1009" i="1"/>
  <c r="B1010" i="1"/>
  <c r="B981" i="1"/>
  <c r="B982" i="1"/>
  <c r="B983" i="1"/>
  <c r="B984" i="1"/>
  <c r="B985" i="1"/>
  <c r="B9126" i="1"/>
  <c r="B986" i="1"/>
  <c r="B987" i="1"/>
  <c r="B988" i="1"/>
  <c r="B989" i="1"/>
  <c r="B990" i="1"/>
  <c r="B959" i="1"/>
  <c r="B960" i="1"/>
  <c r="B9281" i="1"/>
  <c r="B8945" i="1"/>
  <c r="B961" i="1"/>
  <c r="B962" i="1"/>
  <c r="B963" i="1"/>
  <c r="B964" i="1"/>
  <c r="B965" i="1"/>
  <c r="B966" i="1"/>
  <c r="B967" i="1"/>
  <c r="B9032" i="1"/>
  <c r="B968" i="1"/>
  <c r="B950" i="1"/>
  <c r="B951" i="1"/>
  <c r="B940" i="1"/>
  <c r="B941" i="1"/>
  <c r="B942" i="1"/>
  <c r="B943" i="1"/>
  <c r="B9321" i="1"/>
  <c r="B944" i="1"/>
  <c r="B945" i="1"/>
  <c r="B946" i="1"/>
  <c r="B947" i="1"/>
  <c r="B8983" i="1"/>
  <c r="B935" i="1"/>
  <c r="B919" i="1"/>
  <c r="B920" i="1"/>
  <c r="B921" i="1"/>
  <c r="B914" i="1"/>
  <c r="B915" i="1"/>
  <c r="B916" i="1"/>
  <c r="B9069" i="1"/>
  <c r="B9033" i="1"/>
  <c r="B917" i="1"/>
  <c r="B893" i="1"/>
  <c r="B882" i="1"/>
  <c r="B881" i="1"/>
  <c r="B860" i="1"/>
  <c r="B8703" i="1"/>
  <c r="B851" i="1"/>
  <c r="B852" i="1"/>
  <c r="B853" i="1"/>
  <c r="B854" i="1"/>
  <c r="B855" i="1"/>
  <c r="B856" i="1"/>
  <c r="B857" i="1"/>
  <c r="B858" i="1"/>
  <c r="B8982" i="1"/>
  <c r="B859" i="1"/>
  <c r="B861" i="1"/>
  <c r="B862" i="1"/>
  <c r="B863" i="1"/>
  <c r="B8809" i="1"/>
  <c r="B8810" i="1"/>
  <c r="B848" i="1"/>
  <c r="B849" i="1"/>
  <c r="B8926" i="1"/>
  <c r="B8892" i="1"/>
  <c r="B8904" i="1"/>
  <c r="B8787" i="1"/>
  <c r="B8958" i="1"/>
  <c r="B850" i="1"/>
  <c r="B839" i="1"/>
  <c r="B824" i="1"/>
  <c r="B825" i="1"/>
  <c r="B826" i="1"/>
  <c r="B8811" i="1"/>
  <c r="B827" i="1"/>
  <c r="B8803" i="1"/>
  <c r="B8859" i="1"/>
  <c r="B8930" i="1"/>
  <c r="B828" i="1"/>
  <c r="B8860" i="1"/>
  <c r="B829" i="1"/>
  <c r="B830" i="1"/>
  <c r="B9037" i="1"/>
  <c r="B831" i="1"/>
  <c r="B840" i="1"/>
  <c r="B841" i="1"/>
  <c r="B842" i="1"/>
  <c r="B843" i="1"/>
  <c r="B844" i="1"/>
  <c r="B8975" i="1"/>
  <c r="B8735" i="1"/>
  <c r="B845" i="1"/>
  <c r="B771" i="1"/>
  <c r="B772" i="1"/>
  <c r="B749" i="1"/>
  <c r="B750" i="1"/>
  <c r="B729" i="1"/>
  <c r="B730" i="1"/>
  <c r="B731" i="1"/>
  <c r="B732" i="1"/>
  <c r="B720" i="1"/>
  <c r="B721" i="1"/>
  <c r="B722" i="1"/>
  <c r="B723" i="1"/>
  <c r="B724" i="1"/>
  <c r="B725" i="1"/>
  <c r="B715" i="1"/>
  <c r="B716" i="1"/>
  <c r="B717" i="1"/>
  <c r="B694" i="1"/>
  <c r="B695" i="1"/>
  <c r="B696" i="1"/>
  <c r="B697" i="1"/>
  <c r="B698" i="1"/>
  <c r="B8680" i="1"/>
  <c r="B686" i="1"/>
  <c r="B687" i="1"/>
  <c r="B8804" i="1"/>
  <c r="B563" i="1"/>
  <c r="B564" i="1"/>
  <c r="B565" i="1"/>
  <c r="B8788" i="1"/>
  <c r="B8637" i="1"/>
  <c r="B566" i="1"/>
  <c r="B567" i="1"/>
  <c r="B568" i="1"/>
  <c r="B559" i="1"/>
  <c r="B8501" i="1"/>
  <c r="B551" i="1"/>
  <c r="B552" i="1"/>
  <c r="B8614" i="1"/>
  <c r="B8681" i="1"/>
  <c r="B8518" i="1"/>
  <c r="B553" i="1"/>
  <c r="B547" i="1"/>
  <c r="B533" i="1"/>
  <c r="B525" i="1"/>
  <c r="B526" i="1"/>
  <c r="B8638" i="1"/>
  <c r="B527" i="1"/>
  <c r="B8490" i="1"/>
  <c r="B528" i="1"/>
  <c r="B529" i="1"/>
  <c r="B515" i="1"/>
  <c r="B516" i="1"/>
  <c r="B517" i="1"/>
  <c r="B518" i="1"/>
  <c r="B519" i="1"/>
  <c r="B8513" i="1"/>
  <c r="B8682" i="1"/>
  <c r="B8697" i="1"/>
  <c r="B520" i="1"/>
  <c r="B508" i="1"/>
  <c r="B8615" i="1"/>
  <c r="B509" i="1"/>
  <c r="B510" i="1"/>
  <c r="B8661" i="1"/>
  <c r="B8606" i="1"/>
  <c r="B490" i="1"/>
  <c r="B491" i="1"/>
  <c r="B492" i="1"/>
  <c r="B493" i="1"/>
  <c r="B494" i="1"/>
  <c r="B495" i="1"/>
  <c r="B496" i="1"/>
  <c r="B497" i="1"/>
  <c r="B8540" i="1"/>
  <c r="B498" i="1"/>
  <c r="B499" i="1"/>
  <c r="B500" i="1"/>
  <c r="B501" i="1"/>
  <c r="B502" i="1"/>
  <c r="B503" i="1"/>
  <c r="B504" i="1"/>
  <c r="B505" i="1"/>
  <c r="B8502" i="1"/>
  <c r="B8630" i="1"/>
  <c r="B8473" i="1"/>
  <c r="B471" i="1"/>
  <c r="B8430" i="1"/>
  <c r="B466" i="1"/>
  <c r="B467" i="1"/>
  <c r="B455" i="1"/>
  <c r="B456" i="1"/>
  <c r="B457" i="1"/>
  <c r="B447" i="1"/>
  <c r="B534" i="1"/>
  <c r="B8669" i="1"/>
  <c r="B8529" i="1"/>
  <c r="B535" i="1"/>
  <c r="B536" i="1"/>
  <c r="B588" i="1"/>
  <c r="B539" i="1"/>
  <c r="B557" i="1"/>
  <c r="B540" i="1"/>
  <c r="B8434" i="1"/>
  <c r="B8519" i="1"/>
  <c r="B442" i="1"/>
  <c r="B8474" i="1"/>
  <c r="B548" i="1"/>
  <c r="B8470" i="1"/>
  <c r="B8447" i="1"/>
  <c r="B511" i="1"/>
  <c r="B8427" i="1"/>
  <c r="B443" i="1"/>
  <c r="B558" i="1"/>
  <c r="B448" i="1"/>
  <c r="B413" i="1"/>
  <c r="B8351" i="1"/>
  <c r="B402" i="1"/>
  <c r="B403" i="1"/>
  <c r="B404" i="1"/>
  <c r="B8442" i="1"/>
  <c r="B405" i="1"/>
  <c r="B406" i="1"/>
  <c r="B8441" i="1"/>
  <c r="B8475" i="1"/>
  <c r="B8374" i="1"/>
  <c r="B8352" i="1"/>
  <c r="B385" i="1"/>
  <c r="B8362" i="1"/>
  <c r="B7967" i="1"/>
  <c r="B386" i="1"/>
  <c r="B8296" i="1"/>
  <c r="B387" i="1"/>
  <c r="B388" i="1"/>
  <c r="B389" i="1"/>
  <c r="B390" i="1"/>
  <c r="B391" i="1"/>
  <c r="B8375" i="1"/>
  <c r="B446" i="1"/>
  <c r="B376" i="1"/>
  <c r="B8412" i="1"/>
  <c r="B363" i="1"/>
  <c r="B352" i="1"/>
  <c r="B353" i="1"/>
  <c r="B354" i="1"/>
  <c r="B355" i="1"/>
  <c r="B356" i="1"/>
  <c r="B343" i="1"/>
  <c r="B344" i="1"/>
  <c r="B8333" i="1"/>
  <c r="B8243" i="1"/>
  <c r="B345" i="1"/>
  <c r="B8413" i="1"/>
  <c r="B8306" i="1"/>
  <c r="B8205" i="1"/>
  <c r="B8261" i="1"/>
  <c r="B8280" i="1"/>
  <c r="B8281" i="1"/>
  <c r="B346" i="1"/>
  <c r="B338" i="1"/>
  <c r="B322" i="1"/>
  <c r="B8262" i="1"/>
  <c r="B8382" i="1"/>
  <c r="B8307" i="1"/>
  <c r="B8252" i="1"/>
  <c r="B323" i="1"/>
  <c r="B324" i="1"/>
  <c r="B325" i="1"/>
  <c r="B8405" i="1"/>
  <c r="B8398" i="1"/>
  <c r="B326" i="1"/>
  <c r="B327" i="1"/>
  <c r="B328" i="1"/>
  <c r="B8253" i="1"/>
  <c r="B329" i="1"/>
  <c r="B330" i="1"/>
  <c r="B8334" i="1"/>
  <c r="B308" i="1"/>
  <c r="B8310" i="1"/>
  <c r="B309" i="1"/>
  <c r="B8141" i="1"/>
  <c r="B8263" i="1"/>
  <c r="B8201" i="1"/>
  <c r="B8335" i="1"/>
  <c r="B298" i="1"/>
  <c r="B8199" i="1"/>
  <c r="B299" i="1"/>
  <c r="B300" i="1"/>
  <c r="B301" i="1"/>
  <c r="B302" i="1"/>
  <c r="B303" i="1"/>
  <c r="B278" i="1"/>
  <c r="B261" i="1"/>
</calcChain>
</file>

<file path=xl/sharedStrings.xml><?xml version="1.0" encoding="utf-8"?>
<sst xmlns="http://schemas.openxmlformats.org/spreadsheetml/2006/main" count="98752" uniqueCount="33388">
  <si>
    <t>CBDU4616</t>
  </si>
  <si>
    <t>Hendy Farm</t>
  </si>
  <si>
    <t>Tywyn</t>
  </si>
  <si>
    <t>Gwynedd</t>
  </si>
  <si>
    <t>LL36 9RU</t>
  </si>
  <si>
    <t>Individual</t>
  </si>
  <si>
    <t>Upper</t>
  </si>
  <si>
    <t>Broker / Carrier</t>
  </si>
  <si>
    <t>Active</t>
  </si>
  <si>
    <t>CBDU2855</t>
  </si>
  <si>
    <t>Cae Rodyn Pantllyn</t>
  </si>
  <si>
    <t>Llandebie</t>
  </si>
  <si>
    <t>Rhydaman</t>
  </si>
  <si>
    <t>SA18 3JU</t>
  </si>
  <si>
    <t>Carrier</t>
  </si>
  <si>
    <t>CBDU015019</t>
  </si>
  <si>
    <t xml:space="preserve">Llanwnnen </t>
  </si>
  <si>
    <t>Llanbedr Pont Steffan</t>
  </si>
  <si>
    <t>SA48 7JY</t>
  </si>
  <si>
    <t>Company</t>
  </si>
  <si>
    <t>CBDU4719</t>
  </si>
  <si>
    <t xml:space="preserve">97 Charles Street </t>
  </si>
  <si>
    <t>Porth</t>
  </si>
  <si>
    <t>CF39 9YF</t>
  </si>
  <si>
    <t>Carrier / Dealer</t>
  </si>
  <si>
    <t>CBDU5094</t>
  </si>
  <si>
    <t xml:space="preserve">Curran Road </t>
  </si>
  <si>
    <t>Caerdydd</t>
  </si>
  <si>
    <t>CF10 5DF</t>
  </si>
  <si>
    <t>CBDU015021</t>
  </si>
  <si>
    <t>Unit 4 Glynneath Village Workshops</t>
  </si>
  <si>
    <t>Glynneath</t>
  </si>
  <si>
    <t>Neath</t>
  </si>
  <si>
    <t>SA11 5RG</t>
  </si>
  <si>
    <t>Broker / Carrier / Dealer</t>
  </si>
  <si>
    <t>CBDU6516</t>
  </si>
  <si>
    <t>Cwm Nant Yard Capel Bangor</t>
  </si>
  <si>
    <t>Aberystwyth</t>
  </si>
  <si>
    <t>SY23 3LL</t>
  </si>
  <si>
    <t>CBDU5420</t>
  </si>
  <si>
    <t>CBDU015027</t>
  </si>
  <si>
    <t>Unit 5 Trostre Industrial Park</t>
  </si>
  <si>
    <t>Llanelli</t>
  </si>
  <si>
    <t>SA14 9UU</t>
  </si>
  <si>
    <t>CBDU015028</t>
  </si>
  <si>
    <t>Unit 15 Llandeilo Road Industrial Estate</t>
  </si>
  <si>
    <t>SA18 3JG</t>
  </si>
  <si>
    <t>CBDU015029</t>
  </si>
  <si>
    <t>Erwlas</t>
  </si>
  <si>
    <t>Ty Mawr</t>
  </si>
  <si>
    <t>Llanybydder</t>
  </si>
  <si>
    <t>Sir Gaerfyrddin</t>
  </si>
  <si>
    <t>SA40 9RB</t>
  </si>
  <si>
    <t>CBDU015043</t>
  </si>
  <si>
    <t>Uplands Arm Farm</t>
  </si>
  <si>
    <t>Uplands</t>
  </si>
  <si>
    <t>Carmarthen</t>
  </si>
  <si>
    <t>SA32 8DX</t>
  </si>
  <si>
    <t>CBDU015044</t>
  </si>
  <si>
    <t>28 Rhes Brickyard Row</t>
  </si>
  <si>
    <t>SA15 2EN</t>
  </si>
  <si>
    <t>CBDL015045</t>
  </si>
  <si>
    <t>KSB Projects</t>
  </si>
  <si>
    <t>21 Northampton Lane</t>
  </si>
  <si>
    <t>Swansea</t>
  </si>
  <si>
    <t>Abertawe</t>
  </si>
  <si>
    <t>SA1 4EH</t>
  </si>
  <si>
    <t>Lower</t>
  </si>
  <si>
    <t>N/A- Lower tier registrations do not expire by default</t>
  </si>
  <si>
    <t>CBDL015047</t>
  </si>
  <si>
    <t>9 Maes Caenog</t>
  </si>
  <si>
    <t>Clocaenog</t>
  </si>
  <si>
    <t>Ruthin</t>
  </si>
  <si>
    <t>Denbighshire</t>
  </si>
  <si>
    <t>LL15 2AU</t>
  </si>
  <si>
    <t>CBDU4817</t>
  </si>
  <si>
    <t>UNIT 2 SELECT BUSINESS PARK</t>
  </si>
  <si>
    <t>WATTSTOWN</t>
  </si>
  <si>
    <t>PORTH</t>
  </si>
  <si>
    <t>CF39 0PB</t>
  </si>
  <si>
    <t>CBDU3281</t>
  </si>
  <si>
    <t>Unit 1D Glan Y Morfa Industrial Estate</t>
  </si>
  <si>
    <t>Marsh Road</t>
  </si>
  <si>
    <t>Y Rhyl</t>
  </si>
  <si>
    <t>LL18 2AD</t>
  </si>
  <si>
    <t>CBDU5162</t>
  </si>
  <si>
    <t>Rock &amp; Fountain Quarry</t>
  </si>
  <si>
    <t>Cynwyl Road</t>
  </si>
  <si>
    <t>SA33 6AR</t>
  </si>
  <si>
    <t>CBDU4498</t>
  </si>
  <si>
    <t>1 Graig View Risca</t>
  </si>
  <si>
    <t>Casnewydd</t>
  </si>
  <si>
    <t>NP11 6DA</t>
  </si>
  <si>
    <t>CBDU5285</t>
  </si>
  <si>
    <t>Amex Park Llansteffan Road</t>
  </si>
  <si>
    <t>Johnstown</t>
  </si>
  <si>
    <t>Caerfyrddin</t>
  </si>
  <si>
    <t>SA31 3NF</t>
  </si>
  <si>
    <t>CBDU5314</t>
  </si>
  <si>
    <t>Eco Technology Ltd</t>
  </si>
  <si>
    <t>M B G House Block C Maerdy Industrial Estate South</t>
  </si>
  <si>
    <t>Rhymney</t>
  </si>
  <si>
    <t>Tredegar</t>
  </si>
  <si>
    <t>Caerffili</t>
  </si>
  <si>
    <t>NP22 5PH</t>
  </si>
  <si>
    <t>CBDU015112</t>
  </si>
  <si>
    <t>19 Cwmnantllwyd Road</t>
  </si>
  <si>
    <t>Gellinudd</t>
  </si>
  <si>
    <t>Pontardawe</t>
  </si>
  <si>
    <t>Castell-nedd Port Talbot</t>
  </si>
  <si>
    <t>SA8 3DT</t>
  </si>
  <si>
    <t>CBDU015113</t>
  </si>
  <si>
    <t>PG Recycling</t>
  </si>
  <si>
    <t>Parc Gwynfryn</t>
  </si>
  <si>
    <t>Crymych</t>
  </si>
  <si>
    <t>Sir Benfro</t>
  </si>
  <si>
    <t>SA41 3RQ</t>
  </si>
  <si>
    <t>CBDU5089</t>
  </si>
  <si>
    <t>Ry-An Pentre Berw</t>
  </si>
  <si>
    <t>Gaerwen</t>
  </si>
  <si>
    <t>LL60 6LG</t>
  </si>
  <si>
    <t>CBDU015114</t>
  </si>
  <si>
    <t>44 Woodvale Avenue</t>
  </si>
  <si>
    <t>Cardiff</t>
  </si>
  <si>
    <t>CF23 6SQ</t>
  </si>
  <si>
    <t>Partnership</t>
  </si>
  <si>
    <t>CBDU5820</t>
  </si>
  <si>
    <t>Tawelfan Bancffosfelen</t>
  </si>
  <si>
    <t>SA15 5DR</t>
  </si>
  <si>
    <t>CBDU015115</t>
  </si>
  <si>
    <t>2 Glyncoed Terrace</t>
  </si>
  <si>
    <t>SA15 1EZ</t>
  </si>
  <si>
    <t>CBDU5276</t>
  </si>
  <si>
    <t xml:space="preserve">42 Steynton Road </t>
  </si>
  <si>
    <t>Aberdaugleddau</t>
  </si>
  <si>
    <t>SA73 1BJ</t>
  </si>
  <si>
    <t>CBDU015116</t>
  </si>
  <si>
    <t>Bush Healthcare Ltd</t>
  </si>
  <si>
    <t>Mobility House Unit 16 Aberaman Industrial Estate</t>
  </si>
  <si>
    <t>Aberaman</t>
  </si>
  <si>
    <t>Aberdare</t>
  </si>
  <si>
    <t>Rhondda Cynon Taff</t>
  </si>
  <si>
    <t>CF44 6DA</t>
  </si>
  <si>
    <t>CBDU5552</t>
  </si>
  <si>
    <t>The Transport Depot</t>
  </si>
  <si>
    <t>Ddole Road Industrial Estate</t>
  </si>
  <si>
    <t>Llandrindod</t>
  </si>
  <si>
    <t>LD1 6DF</t>
  </si>
  <si>
    <t>CBDU015133</t>
  </si>
  <si>
    <t>Argraig Lon Uchaf</t>
  </si>
  <si>
    <t>Brynsiencyn</t>
  </si>
  <si>
    <t>Llanfairpwllgwyngyll</t>
  </si>
  <si>
    <t>LL61 6UD</t>
  </si>
  <si>
    <t>CBDU015135</t>
  </si>
  <si>
    <t>8 Upper Ochrwyth</t>
  </si>
  <si>
    <t>Risca</t>
  </si>
  <si>
    <t>Newport</t>
  </si>
  <si>
    <t>NP11 6EQ</t>
  </si>
  <si>
    <t>CBDL015137</t>
  </si>
  <si>
    <t>1 Bwthyn Derw</t>
  </si>
  <si>
    <t>Bwlch-y-Cibau</t>
  </si>
  <si>
    <t>Llanfyllin</t>
  </si>
  <si>
    <t>Powys</t>
  </si>
  <si>
    <t>SY22 5LL</t>
  </si>
  <si>
    <t>CBDU015149</t>
  </si>
  <si>
    <t>Cwm Farm</t>
  </si>
  <si>
    <t>Montogomery</t>
  </si>
  <si>
    <t>SY15 6TH</t>
  </si>
  <si>
    <t>CBDU015150</t>
  </si>
  <si>
    <t>20-22 Wenlock road</t>
  </si>
  <si>
    <t>London</t>
  </si>
  <si>
    <t>N1 7GU</t>
  </si>
  <si>
    <t>CBDU5614</t>
  </si>
  <si>
    <t>Llwynllanc Uchaf Farm Y Creunant</t>
  </si>
  <si>
    <t>Castell-Nedd</t>
  </si>
  <si>
    <t>SA10 8SF</t>
  </si>
  <si>
    <t>CBDL015151</t>
  </si>
  <si>
    <t>Penyfai Lodge</t>
  </si>
  <si>
    <t>Pen-y-Fai</t>
  </si>
  <si>
    <t>Bridgend</t>
  </si>
  <si>
    <t>Pen-y-bont ar Ogwr</t>
  </si>
  <si>
    <t>CF31 4LW</t>
  </si>
  <si>
    <t>CBDU015152</t>
  </si>
  <si>
    <t>County Hall</t>
  </si>
  <si>
    <t>Freemans Way</t>
  </si>
  <si>
    <t>Haverdordwest</t>
  </si>
  <si>
    <t>Pembs</t>
  </si>
  <si>
    <t>SA61 1TP</t>
  </si>
  <si>
    <t>Public Body</t>
  </si>
  <si>
    <t>CBDL015153</t>
  </si>
  <si>
    <t>Youth Hostels Association</t>
  </si>
  <si>
    <t>Trevelyan House</t>
  </si>
  <si>
    <t>Matlock</t>
  </si>
  <si>
    <t>Derbyshire</t>
  </si>
  <si>
    <t>DE4 3YH</t>
  </si>
  <si>
    <t>CBDU5731</t>
  </si>
  <si>
    <t>Unit 6 Bryn Lane</t>
  </si>
  <si>
    <t>Ystad Ddiwydiannol Wrecsam</t>
  </si>
  <si>
    <t>Wrecsam</t>
  </si>
  <si>
    <t>LL13 9UT</t>
  </si>
  <si>
    <t>CBDL015154</t>
  </si>
  <si>
    <t>30 Coryton Rise</t>
  </si>
  <si>
    <t>CF14 7EJ</t>
  </si>
  <si>
    <t>CBDU5068</t>
  </si>
  <si>
    <t>Ivy House Llanddewi Rhydderch</t>
  </si>
  <si>
    <t>Y Fenni</t>
  </si>
  <si>
    <t>NP7 9TT</t>
  </si>
  <si>
    <t>CBDU015164</t>
  </si>
  <si>
    <t>Whitchurch Windows LTD</t>
  </si>
  <si>
    <t>Parkside</t>
  </si>
  <si>
    <t>Bonvilston</t>
  </si>
  <si>
    <t>Vale of Glamorgan</t>
  </si>
  <si>
    <t>CBDU5653</t>
  </si>
  <si>
    <t>4 Kings Avenue</t>
  </si>
  <si>
    <t>Prestatyn</t>
  </si>
  <si>
    <t>LL19 9AA</t>
  </si>
  <si>
    <t>CBDU5422</t>
  </si>
  <si>
    <t>UNIT 21 PANT INDUSTRIAL ESTATE</t>
  </si>
  <si>
    <t>DOWLAIS</t>
  </si>
  <si>
    <t>MERTHYR TYDFIL</t>
  </si>
  <si>
    <t>CF48 2SR</t>
  </si>
  <si>
    <t>CBDU5647</t>
  </si>
  <si>
    <t>The Old Airfield Templeton</t>
  </si>
  <si>
    <t>Arberth</t>
  </si>
  <si>
    <t>SA67 8SR</t>
  </si>
  <si>
    <t>CBDU015172</t>
  </si>
  <si>
    <t>66 Afon Road</t>
  </si>
  <si>
    <t>SA15 3JQ</t>
  </si>
  <si>
    <t>CBDU015173</t>
  </si>
  <si>
    <t>3 Park Avenue</t>
  </si>
  <si>
    <t>Abergavenny</t>
  </si>
  <si>
    <t>Sir Fynwy</t>
  </si>
  <si>
    <t>NP7 5SG</t>
  </si>
  <si>
    <t>CBDU4691</t>
  </si>
  <si>
    <t>Head Office Nash Road</t>
  </si>
  <si>
    <t>np182bs</t>
  </si>
  <si>
    <t>CBDU5291</t>
  </si>
  <si>
    <t>Unit 24 Mwrwg Road</t>
  </si>
  <si>
    <t>Llangennech</t>
  </si>
  <si>
    <t>SA14 8YP</t>
  </si>
  <si>
    <t>CBDL015176</t>
  </si>
  <si>
    <t>Applegarth</t>
  </si>
  <si>
    <t>Elmdale</t>
  </si>
  <si>
    <t>Chepstow</t>
  </si>
  <si>
    <t>Gloucestershire</t>
  </si>
  <si>
    <t>NP16 7LA</t>
  </si>
  <si>
    <t>CBDL015177</t>
  </si>
  <si>
    <t>7 Pencisely Crescent</t>
  </si>
  <si>
    <t>CF5 1DS</t>
  </si>
  <si>
    <t>CBDU015222</t>
  </si>
  <si>
    <t>3 Bell Place</t>
  </si>
  <si>
    <t>CF44 6BX</t>
  </si>
  <si>
    <t>CBDU5455</t>
  </si>
  <si>
    <t>208 Trallwn Road Llansamlet</t>
  </si>
  <si>
    <t>SA7 9UG</t>
  </si>
  <si>
    <t>CBDU015225</t>
  </si>
  <si>
    <t>1st floor</t>
  </si>
  <si>
    <t>6 St. Johns Court</t>
  </si>
  <si>
    <t>Swansea Enterprise Park</t>
  </si>
  <si>
    <t>SA6 8QQ</t>
  </si>
  <si>
    <t>CBDU5905</t>
  </si>
  <si>
    <t xml:space="preserve">47 Clarence Embankment </t>
  </si>
  <si>
    <t>CF10 5GR</t>
  </si>
  <si>
    <t>CBDU015226</t>
  </si>
  <si>
    <t>Bro Meusydd</t>
  </si>
  <si>
    <t>Llanarthney</t>
  </si>
  <si>
    <t>SA32 8JD</t>
  </si>
  <si>
    <t>0612 1175</t>
  </si>
  <si>
    <t>CBDU015228</t>
  </si>
  <si>
    <t>Tyn Y Coed</t>
  </si>
  <si>
    <t>Rosygwalia</t>
  </si>
  <si>
    <t>Bala</t>
  </si>
  <si>
    <t>LL23 7PW</t>
  </si>
  <si>
    <t>CBDL015229</t>
  </si>
  <si>
    <t>Taff Vale Practice</t>
  </si>
  <si>
    <t>Dyffryn Road</t>
  </si>
  <si>
    <t>Rhydyfelin</t>
  </si>
  <si>
    <t>Pontypridd</t>
  </si>
  <si>
    <t>CF37 5RW</t>
  </si>
  <si>
    <t>CBDU4956</t>
  </si>
  <si>
    <t xml:space="preserve">11 Bessemer Close </t>
  </si>
  <si>
    <t>CF11 8DL</t>
  </si>
  <si>
    <t>CBDU5735</t>
  </si>
  <si>
    <t>Talwrn Buildings Llwyneinion Road</t>
  </si>
  <si>
    <t>Legacy</t>
  </si>
  <si>
    <t>Rhostyllen</t>
  </si>
  <si>
    <t>LL14 4ET</t>
  </si>
  <si>
    <t>CBDU5745</t>
  </si>
  <si>
    <t>The New Croft Garage Whitehill</t>
  </si>
  <si>
    <t>Cresselly</t>
  </si>
  <si>
    <t>Cilgeti</t>
  </si>
  <si>
    <t>SA68 0TU</t>
  </si>
  <si>
    <t>CBDU5790</t>
  </si>
  <si>
    <t>Riverbank House Duffryn Business Park</t>
  </si>
  <si>
    <t>Ystrad Mynach</t>
  </si>
  <si>
    <t>CF82 7RJ</t>
  </si>
  <si>
    <t>CBDU4843</t>
  </si>
  <si>
    <t xml:space="preserve">1 Trem Powys </t>
  </si>
  <si>
    <t>Y Barri</t>
  </si>
  <si>
    <t>CF63 1DX</t>
  </si>
  <si>
    <t>CBDU5563</t>
  </si>
  <si>
    <t>92 Ael-y-Bryn Llanedeyrn</t>
  </si>
  <si>
    <t>CF23 9LL</t>
  </si>
  <si>
    <t>CBDL015230</t>
  </si>
  <si>
    <t>The Hollies</t>
  </si>
  <si>
    <t>Gumfreston</t>
  </si>
  <si>
    <t>TENBY</t>
  </si>
  <si>
    <t>Dyfed</t>
  </si>
  <si>
    <t>SA70 8RA</t>
  </si>
  <si>
    <t>CBDU015231</t>
  </si>
  <si>
    <t>Apollo Business Village</t>
  </si>
  <si>
    <t>Heol Persondy</t>
  </si>
  <si>
    <t>Aberkenfig</t>
  </si>
  <si>
    <t>CF32 9TF</t>
  </si>
  <si>
    <t>CBDU015236</t>
  </si>
  <si>
    <t>Ty Lwyfan</t>
  </si>
  <si>
    <t>Graig Y Bedw</t>
  </si>
  <si>
    <t>New Tredegar</t>
  </si>
  <si>
    <t>NP24 6NS</t>
  </si>
  <si>
    <t>CBDU015238</t>
  </si>
  <si>
    <t>Gordon &amp; Woodcock House Clearances</t>
  </si>
  <si>
    <t>28 Sealand Road</t>
  </si>
  <si>
    <t>Sealand</t>
  </si>
  <si>
    <t>Deeside</t>
  </si>
  <si>
    <t>Flintshire</t>
  </si>
  <si>
    <t>CH5 2RJ</t>
  </si>
  <si>
    <t>CBDU5903</t>
  </si>
  <si>
    <t>Rhianfa Caergeiliog</t>
  </si>
  <si>
    <t>Caergybi</t>
  </si>
  <si>
    <t>LL65 3YD</t>
  </si>
  <si>
    <t>CBDU015253</t>
  </si>
  <si>
    <t>Ynys Dawly</t>
  </si>
  <si>
    <t>Dulais Road</t>
  </si>
  <si>
    <t>Seven Sisters</t>
  </si>
  <si>
    <t>SA10 9EN</t>
  </si>
  <si>
    <t>CBDU015254</t>
  </si>
  <si>
    <t>45 Powis Close</t>
  </si>
  <si>
    <t>NP10 8HT</t>
  </si>
  <si>
    <t>CBDU5220</t>
  </si>
  <si>
    <t>Penrhiw Stores Bethania</t>
  </si>
  <si>
    <t>Llan-Non</t>
  </si>
  <si>
    <t>SY23 5NL</t>
  </si>
  <si>
    <t>CBDU015255</t>
  </si>
  <si>
    <t>Penlan</t>
  </si>
  <si>
    <t>Station Road</t>
  </si>
  <si>
    <t>Llanwrtyd Wells</t>
  </si>
  <si>
    <t>LD5 4RW</t>
  </si>
  <si>
    <t>CBDU014991</t>
  </si>
  <si>
    <t>Jesmonde</t>
  </si>
  <si>
    <t>Gaer Road</t>
  </si>
  <si>
    <t>NP20 3GY</t>
  </si>
  <si>
    <t>CBDU4411</t>
  </si>
  <si>
    <t>Glan Y Nant</t>
  </si>
  <si>
    <t>Graig</t>
  </si>
  <si>
    <t>Burry Port</t>
  </si>
  <si>
    <t>SA16 0EE</t>
  </si>
  <si>
    <t>CBDU014994</t>
  </si>
  <si>
    <t>2 Meadowbank</t>
  </si>
  <si>
    <t>Colwyn Bay</t>
  </si>
  <si>
    <t>Conwy</t>
  </si>
  <si>
    <t>LL29 8EX</t>
  </si>
  <si>
    <t>CBDU014995</t>
  </si>
  <si>
    <t>9 Penywrlod</t>
  </si>
  <si>
    <t>Gelligaer</t>
  </si>
  <si>
    <t>Hengoed</t>
  </si>
  <si>
    <t>CF82 8EU</t>
  </si>
  <si>
    <t>Broker</t>
  </si>
  <si>
    <t>CBDU5062</t>
  </si>
  <si>
    <t xml:space="preserve">Bron Eirian Bron Eirian </t>
  </si>
  <si>
    <t>Tanygrisiau</t>
  </si>
  <si>
    <t>Blaenau Ffestiniog</t>
  </si>
  <si>
    <t>LL41 3SL</t>
  </si>
  <si>
    <t>CBDU4742</t>
  </si>
  <si>
    <t>44 South Parade Pensarn</t>
  </si>
  <si>
    <t>Abergele</t>
  </si>
  <si>
    <t>LL22 7RH</t>
  </si>
  <si>
    <t>CBDU4728</t>
  </si>
  <si>
    <t>Unit 4</t>
  </si>
  <si>
    <t>Hill Street</t>
  </si>
  <si>
    <t>Ty Coch Industrial Estate</t>
  </si>
  <si>
    <t>Cwmbran</t>
  </si>
  <si>
    <t>Torfaen</t>
  </si>
  <si>
    <t>NP44 7PG</t>
  </si>
  <si>
    <t>CBDU4908</t>
  </si>
  <si>
    <t>4 Cambrian Terrace Dinas Cross</t>
  </si>
  <si>
    <t>Trefdraeth</t>
  </si>
  <si>
    <t>SA42 0UY</t>
  </si>
  <si>
    <t>CBDU5070</t>
  </si>
  <si>
    <t>Fern Close Pen-y-Fan Industrial Estate</t>
  </si>
  <si>
    <t>Crumlin</t>
  </si>
  <si>
    <t>NP11 3EH</t>
  </si>
  <si>
    <t>CBDU4909</t>
  </si>
  <si>
    <t>12 Cwrt-yr-Aeron Cwmrhydyceirw</t>
  </si>
  <si>
    <t>SA6 6NZ</t>
  </si>
  <si>
    <t>CBDL015020</t>
  </si>
  <si>
    <t>South Wales Police HQ</t>
  </si>
  <si>
    <t>Cowbridge Road</t>
  </si>
  <si>
    <t>CF31 3SU</t>
  </si>
  <si>
    <t>CBDL015022</t>
  </si>
  <si>
    <t>89 Treetops</t>
  </si>
  <si>
    <t>Portskewett</t>
  </si>
  <si>
    <t>Caldicot</t>
  </si>
  <si>
    <t>NP26 5RT</t>
  </si>
  <si>
    <t>CBDU015024</t>
  </si>
  <si>
    <t>Greenacre Farm St. Brides</t>
  </si>
  <si>
    <t>Wentloog</t>
  </si>
  <si>
    <t>NP10 8SR</t>
  </si>
  <si>
    <t>CBDU4992</t>
  </si>
  <si>
    <t>Foel Pont Robert</t>
  </si>
  <si>
    <t>Meifod</t>
  </si>
  <si>
    <t>SY22 6JJ</t>
  </si>
  <si>
    <t>CBDU015025</t>
  </si>
  <si>
    <t xml:space="preserve">87 Bryncyn </t>
  </si>
  <si>
    <t>CF23 7BJ</t>
  </si>
  <si>
    <t>CBDU015026</t>
  </si>
  <si>
    <t>Potters Yard Severn Road</t>
  </si>
  <si>
    <t>Y Trallwng</t>
  </si>
  <si>
    <t>SY21 7YE</t>
  </si>
  <si>
    <t>CBDU5172</t>
  </si>
  <si>
    <t>Heathercroft Newport Road</t>
  </si>
  <si>
    <t>Castleton</t>
  </si>
  <si>
    <t>CF3 2UQ</t>
  </si>
  <si>
    <t>CBDU015032</t>
  </si>
  <si>
    <t>14 Brayley Road</t>
  </si>
  <si>
    <t>Morriston</t>
  </si>
  <si>
    <t>SA6 6DZ</t>
  </si>
  <si>
    <t>CBDL015033</t>
  </si>
  <si>
    <t>The Sands Leisure Complex</t>
  </si>
  <si>
    <t>Talybont</t>
  </si>
  <si>
    <t>LL43 2BJ</t>
  </si>
  <si>
    <t>CBDL015034</t>
  </si>
  <si>
    <t>Greenways</t>
  </si>
  <si>
    <t>Caerleon Road</t>
  </si>
  <si>
    <t>Llanfrechfa</t>
  </si>
  <si>
    <t>NP44 8TY</t>
  </si>
  <si>
    <t>CBDU5236</t>
  </si>
  <si>
    <t>Unit 3A East Estate Withybush Business Park</t>
  </si>
  <si>
    <t>Withybush Road</t>
  </si>
  <si>
    <t>Hwlffordd</t>
  </si>
  <si>
    <t>SA62 4BW</t>
  </si>
  <si>
    <t>CBDU015035</t>
  </si>
  <si>
    <t xml:space="preserve">96 Gnoll Park Road </t>
  </si>
  <si>
    <t>SA11 3DD</t>
  </si>
  <si>
    <t>CBDU5187</t>
  </si>
  <si>
    <t>Bronhaulwen Bettws Cedewain</t>
  </si>
  <si>
    <t>Y Drenewydd</t>
  </si>
  <si>
    <t>SY16 3LF</t>
  </si>
  <si>
    <t>CBDU4658</t>
  </si>
  <si>
    <t>Bwthyn Rhosyn</t>
  </si>
  <si>
    <t>Cross Hands</t>
  </si>
  <si>
    <t>SA14 6DG</t>
  </si>
  <si>
    <t>CBDU4988</t>
  </si>
  <si>
    <t xml:space="preserve">16 West Park Road </t>
  </si>
  <si>
    <t>NP20 3EH</t>
  </si>
  <si>
    <t>CBDU015063</t>
  </si>
  <si>
    <t>22 Rhys Street</t>
  </si>
  <si>
    <t>Williamstown</t>
  </si>
  <si>
    <t>Tonypandy</t>
  </si>
  <si>
    <t>CF40 1NS</t>
  </si>
  <si>
    <t>CBDU4916</t>
  </si>
  <si>
    <t>Moy Road Industrial Estate Taffs Well</t>
  </si>
  <si>
    <t>CF15 7QR</t>
  </si>
  <si>
    <t>CBDU015064</t>
  </si>
  <si>
    <t>Sunnyway Yard</t>
  </si>
  <si>
    <t>Ty Mawr Lane</t>
  </si>
  <si>
    <t>Marshfield</t>
  </si>
  <si>
    <t>CF3 2YF</t>
  </si>
  <si>
    <t>CBDU015065</t>
  </si>
  <si>
    <t>16 Pentre Ucha</t>
  </si>
  <si>
    <t>LL22 7LJ</t>
  </si>
  <si>
    <t>CBDU015085</t>
  </si>
  <si>
    <t>19 Mary Street</t>
  </si>
  <si>
    <t>SA11 1PN</t>
  </si>
  <si>
    <t>CBDU015086</t>
  </si>
  <si>
    <t>7 Berllan Avenue</t>
  </si>
  <si>
    <t>Rhuddlan</t>
  </si>
  <si>
    <t>Rhyl</t>
  </si>
  <si>
    <t>LL18 2UG</t>
  </si>
  <si>
    <t>CBDU4788</t>
  </si>
  <si>
    <t>25 Bryn Paun Llangoed</t>
  </si>
  <si>
    <t>Beaumaris</t>
  </si>
  <si>
    <t>LL58 8LT</t>
  </si>
  <si>
    <t>CBDU4931</t>
  </si>
  <si>
    <t>Unit 10 Llandough Trading Estate Penarth Road</t>
  </si>
  <si>
    <t>CF11 8RR</t>
  </si>
  <si>
    <t>CBDU015087</t>
  </si>
  <si>
    <t>47 Duffryn Street</t>
  </si>
  <si>
    <t>Mountain Ash</t>
  </si>
  <si>
    <t>CF45 3NL</t>
  </si>
  <si>
    <t>CBDU4903</t>
  </si>
  <si>
    <t>34 Freemans Walk</t>
  </si>
  <si>
    <t>Pembroke</t>
  </si>
  <si>
    <t>SA71 4AS</t>
  </si>
  <si>
    <t>CBDU5377</t>
  </si>
  <si>
    <t>Unit 14A Block B</t>
  </si>
  <si>
    <t>Parc Busnes Penrhos</t>
  </si>
  <si>
    <t>Penrhos</t>
  </si>
  <si>
    <t>LL65 2FD</t>
  </si>
  <si>
    <t>CBDU5313</t>
  </si>
  <si>
    <t>Newton Willows Newton Road</t>
  </si>
  <si>
    <t>Rumney</t>
  </si>
  <si>
    <t>CF3 2EJ</t>
  </si>
  <si>
    <t>CBDU5273</t>
  </si>
  <si>
    <t>Highfield Farm Wick Road</t>
  </si>
  <si>
    <t>Llanilltud Fawr</t>
  </si>
  <si>
    <t>CF61 1YU</t>
  </si>
  <si>
    <t>CBDU5239</t>
  </si>
  <si>
    <t>Brierly House Aber-Big</t>
  </si>
  <si>
    <t>Abertyleri</t>
  </si>
  <si>
    <t>NP13 2DT</t>
  </si>
  <si>
    <t>CBDU015124</t>
  </si>
  <si>
    <t>12 Ellesmere Avenue</t>
  </si>
  <si>
    <t>Rosemarket</t>
  </si>
  <si>
    <t>Milford Haven</t>
  </si>
  <si>
    <t>SA73 1JU</t>
  </si>
  <si>
    <t>CBDU4709</t>
  </si>
  <si>
    <t xml:space="preserve">120 Sandy Road </t>
  </si>
  <si>
    <t>SA15 4DP</t>
  </si>
  <si>
    <t>CBDU5321</t>
  </si>
  <si>
    <t>Wern Trading Estate Rogerstone</t>
  </si>
  <si>
    <t>NP10 9FQ</t>
  </si>
  <si>
    <t>CBDU015239</t>
  </si>
  <si>
    <t>4 Osprey Drive</t>
  </si>
  <si>
    <t>Penallta</t>
  </si>
  <si>
    <t>CF82 6BA</t>
  </si>
  <si>
    <t>CBDU015249</t>
  </si>
  <si>
    <t xml:space="preserve">36 Grosvenor Street </t>
  </si>
  <si>
    <t>CF5 1NJ</t>
  </si>
  <si>
    <t>CBDU015250</t>
  </si>
  <si>
    <t>Wrought Iron Designs</t>
  </si>
  <si>
    <t>Mold Road</t>
  </si>
  <si>
    <t>Cefn-y-Bedd</t>
  </si>
  <si>
    <t>Wrexham</t>
  </si>
  <si>
    <t>LL12 9YG</t>
  </si>
  <si>
    <t>CBDU015251</t>
  </si>
  <si>
    <t>3 Tai Huw Llwyd</t>
  </si>
  <si>
    <t>Ffestiniog</t>
  </si>
  <si>
    <t>LL41 4LS</t>
  </si>
  <si>
    <t>CBDL014992</t>
  </si>
  <si>
    <t>Cae Brwyn</t>
  </si>
  <si>
    <t>Hafod Bridge</t>
  </si>
  <si>
    <t>Llanwrda</t>
  </si>
  <si>
    <t>SA19 8BG</t>
  </si>
  <si>
    <t>CBDL014993</t>
  </si>
  <si>
    <t>Hoffs Mini Market</t>
  </si>
  <si>
    <t>51-52 Islwyn Street</t>
  </si>
  <si>
    <t>Abercarn</t>
  </si>
  <si>
    <t>NP11 4SR</t>
  </si>
  <si>
    <t>CBDU5129</t>
  </si>
  <si>
    <t>Waterloo House Unit 28</t>
  </si>
  <si>
    <t>Heol Stanllyd</t>
  </si>
  <si>
    <t>Cross Hands Industrial Estate</t>
  </si>
  <si>
    <t>SA14 6RB</t>
  </si>
  <si>
    <t>CBDL014999</t>
  </si>
  <si>
    <t>4 Perrott Street</t>
  </si>
  <si>
    <t>Treharris</t>
  </si>
  <si>
    <t>Merthyr Tydfil</t>
  </si>
  <si>
    <t>CF46 5ET</t>
  </si>
  <si>
    <t>CBDU015000</t>
  </si>
  <si>
    <t>20 Sunnybank Close</t>
  </si>
  <si>
    <t>Whitchurch</t>
  </si>
  <si>
    <t>CF14 1EQ</t>
  </si>
  <si>
    <t>CBDU015004</t>
  </si>
  <si>
    <t>1 Cae Garw Caravan Site</t>
  </si>
  <si>
    <t>Pyle</t>
  </si>
  <si>
    <t>CF33 6PS</t>
  </si>
  <si>
    <t>CBDU4871</t>
  </si>
  <si>
    <t>19 Zealand Park Caergeiliog</t>
  </si>
  <si>
    <t>LL65 3PQ</t>
  </si>
  <si>
    <t>CBDU015005</t>
  </si>
  <si>
    <t>Sunnybank Farm</t>
  </si>
  <si>
    <t>Earlswood</t>
  </si>
  <si>
    <t>NP16 6AR</t>
  </si>
  <si>
    <t>CBDU5127</t>
  </si>
  <si>
    <t>100 Wern Road Sgiwen</t>
  </si>
  <si>
    <t>SA10 6DW</t>
  </si>
  <si>
    <t>CBDU015006</t>
  </si>
  <si>
    <t>1 Cameron Place</t>
  </si>
  <si>
    <t>Gorseinon</t>
  </si>
  <si>
    <t>SA4 4PD</t>
  </si>
  <si>
    <t>CBDU015007</t>
  </si>
  <si>
    <t>Bay 7c</t>
  </si>
  <si>
    <t>Aviation Park</t>
  </si>
  <si>
    <t>Flint Road</t>
  </si>
  <si>
    <t>Saltney Ferry</t>
  </si>
  <si>
    <t>Chester</t>
  </si>
  <si>
    <t>CH4 0GZ</t>
  </si>
  <si>
    <t>CBDU015008</t>
  </si>
  <si>
    <t>10 Springwood</t>
  </si>
  <si>
    <t>CF23 6UA</t>
  </si>
  <si>
    <t>CBDU4736</t>
  </si>
  <si>
    <t xml:space="preserve">2 Roper Close </t>
  </si>
  <si>
    <t>CF5 2RD</t>
  </si>
  <si>
    <t>CBDL015009</t>
  </si>
  <si>
    <t>154 Squirrel Walk</t>
  </si>
  <si>
    <t>Fforest</t>
  </si>
  <si>
    <t>Pontarddulais</t>
  </si>
  <si>
    <t>SA4 0UJ</t>
  </si>
  <si>
    <t>CBDL015010</t>
  </si>
  <si>
    <t>1 Oaklands Rise</t>
  </si>
  <si>
    <t>CF31 4SP</t>
  </si>
  <si>
    <t>CBDU015011</t>
  </si>
  <si>
    <t>2 Court Road</t>
  </si>
  <si>
    <t>CF14 1HN</t>
  </si>
  <si>
    <t>CBDU5163</t>
  </si>
  <si>
    <t>Penderyn Village Road</t>
  </si>
  <si>
    <t>Maeshafn</t>
  </si>
  <si>
    <t>Yr Wyddgrug</t>
  </si>
  <si>
    <t>CH7 5LZ</t>
  </si>
  <si>
    <t>CBDU015012</t>
  </si>
  <si>
    <t>7 Hartfield Close</t>
  </si>
  <si>
    <t>Sketty</t>
  </si>
  <si>
    <t>SA2 7NH</t>
  </si>
  <si>
    <t>CBDU4861</t>
  </si>
  <si>
    <t>19 Bodrhyddan Avenue Rhuddlan</t>
  </si>
  <si>
    <t>LL18 5PE</t>
  </si>
  <si>
    <t>CBDU5041</t>
  </si>
  <si>
    <t>23 St. Dogmaels Avenue Llanishen</t>
  </si>
  <si>
    <t>CF14 5PZ</t>
  </si>
  <si>
    <t>CBDU4724</t>
  </si>
  <si>
    <t>39 Sir Ivors Road Pontllanfraith</t>
  </si>
  <si>
    <t>Coed-Duon</t>
  </si>
  <si>
    <t>NP12 2JL</t>
  </si>
  <si>
    <t>CBDU5101</t>
  </si>
  <si>
    <t>Unit 4 Block</t>
  </si>
  <si>
    <t>1-2 Mariner Way</t>
  </si>
  <si>
    <t>Felnex Industrial Estate</t>
  </si>
  <si>
    <t>NP19 4PQ</t>
  </si>
  <si>
    <t>CBDU5026</t>
  </si>
  <si>
    <t>30 Cork House Mannheim Quay</t>
  </si>
  <si>
    <t>Maritime Quarter</t>
  </si>
  <si>
    <t>SA1 1RT</t>
  </si>
  <si>
    <t>CBDL015015</t>
  </si>
  <si>
    <t>26 Dyffryn Avenue</t>
  </si>
  <si>
    <t>CF37 5RY</t>
  </si>
  <si>
    <t>CBDU4730</t>
  </si>
  <si>
    <t>8 Gordon Parry Road Neyland</t>
  </si>
  <si>
    <t>SA73 1PU</t>
  </si>
  <si>
    <t>CBDU015016</t>
  </si>
  <si>
    <t>54 Beaufort Hill</t>
  </si>
  <si>
    <t>Beaufort</t>
  </si>
  <si>
    <t>Ebbw Vale</t>
  </si>
  <si>
    <t>Blaenau Gwent</t>
  </si>
  <si>
    <t>NP23 5QN</t>
  </si>
  <si>
    <t>CBDU6894</t>
  </si>
  <si>
    <t>By-Pass Road Queensferry</t>
  </si>
  <si>
    <t>CH5 2DU</t>
  </si>
  <si>
    <t>CBDU4152</t>
  </si>
  <si>
    <t>Ty Main Farm Niwbwrch</t>
  </si>
  <si>
    <t>LL61 6PY</t>
  </si>
  <si>
    <t>CBDU015030</t>
  </si>
  <si>
    <t>Pencefn Dryscol</t>
  </si>
  <si>
    <t>Dewi Road</t>
  </si>
  <si>
    <t>Tregaron</t>
  </si>
  <si>
    <t>Sir Ceredigion</t>
  </si>
  <si>
    <t>SY25 6JW</t>
  </si>
  <si>
    <t>CBDU5142</t>
  </si>
  <si>
    <t>Meadow Drive Heol Llwyncelyn</t>
  </si>
  <si>
    <t>Glanamman</t>
  </si>
  <si>
    <t>SA18 2AE</t>
  </si>
  <si>
    <t>CBDU5274</t>
  </si>
  <si>
    <t>Eisteddfa Gurig Farm Ponterwyd</t>
  </si>
  <si>
    <t>SY23 3LE</t>
  </si>
  <si>
    <t>CBDU4838</t>
  </si>
  <si>
    <t xml:space="preserve">Shoppers World Wind Street </t>
  </si>
  <si>
    <t>Ammanford</t>
  </si>
  <si>
    <t>Carmarthenshire</t>
  </si>
  <si>
    <t>SA183DN</t>
  </si>
  <si>
    <t>CBDU4920</t>
  </si>
  <si>
    <t>Glanyrafon Ind Est Glanyrafon Ind Est</t>
  </si>
  <si>
    <t>SY23 3HJ</t>
  </si>
  <si>
    <t>CBDU4958</t>
  </si>
  <si>
    <t>39B Village Farm Industrial Estate</t>
  </si>
  <si>
    <t>CF33 6NU</t>
  </si>
  <si>
    <t>CBDU015051</t>
  </si>
  <si>
    <t>C1phertech Ltd</t>
  </si>
  <si>
    <t>Unit 9 Pen Yr Orsedd</t>
  </si>
  <si>
    <t>Industrial Estate Road</t>
  </si>
  <si>
    <t>Llangefni</t>
  </si>
  <si>
    <t>Sir Ynys Mon</t>
  </si>
  <si>
    <t>LL77 7AW</t>
  </si>
  <si>
    <t>CBDU015052</t>
  </si>
  <si>
    <t>3 Lon-y-Rhyd</t>
  </si>
  <si>
    <t>Rhiwbina</t>
  </si>
  <si>
    <t>CF14 6JS</t>
  </si>
  <si>
    <t>CBDU015068</t>
  </si>
  <si>
    <t>Awelfor</t>
  </si>
  <si>
    <t>3 Marine Road</t>
  </si>
  <si>
    <t>Barmouth</t>
  </si>
  <si>
    <t>LL42 1NL</t>
  </si>
  <si>
    <t>CBDU015094</t>
  </si>
  <si>
    <t>Ridgewell Business Park</t>
  </si>
  <si>
    <t>Ridgewell Way</t>
  </si>
  <si>
    <t>Llwynypia</t>
  </si>
  <si>
    <t>CF40 2JP</t>
  </si>
  <si>
    <t>CBDU015105</t>
  </si>
  <si>
    <t>Pangbourne 13 Pill Road</t>
  </si>
  <si>
    <t>Hook</t>
  </si>
  <si>
    <t>SA62 4LX</t>
  </si>
  <si>
    <t>CBDL015106</t>
  </si>
  <si>
    <t>The third floor</t>
  </si>
  <si>
    <t>Langdon House</t>
  </si>
  <si>
    <t>Langdon Road</t>
  </si>
  <si>
    <t>SA1 8QY</t>
  </si>
  <si>
    <t>CBDU4765</t>
  </si>
  <si>
    <t>Cuckoo Mill Moulton</t>
  </si>
  <si>
    <t>Barry</t>
  </si>
  <si>
    <t>CF62 3AB</t>
  </si>
  <si>
    <t>CBDU5472</t>
  </si>
  <si>
    <t>Waen Rhythallt Llanrug</t>
  </si>
  <si>
    <t>Caernarfon</t>
  </si>
  <si>
    <t>LL55 3BB</t>
  </si>
  <si>
    <t>CBDU5512</t>
  </si>
  <si>
    <t>The Salterns Marsh Road</t>
  </si>
  <si>
    <t>Dinbych-y-Pysgod</t>
  </si>
  <si>
    <t>SA70 8EP</t>
  </si>
  <si>
    <t>CBDL015108</t>
  </si>
  <si>
    <t>2 Pwll y Gaseg</t>
  </si>
  <si>
    <t>Hall Lane</t>
  </si>
  <si>
    <t>Sychdyn</t>
  </si>
  <si>
    <t>Mold</t>
  </si>
  <si>
    <t>Clwyd</t>
  </si>
  <si>
    <t>CH7 6AE</t>
  </si>
  <si>
    <t>CBDU5201</t>
  </si>
  <si>
    <t>Principality House Baglan Energy Park</t>
  </si>
  <si>
    <t>Brunel Way</t>
  </si>
  <si>
    <t>Llansawel</t>
  </si>
  <si>
    <t>SA11 2GA</t>
  </si>
  <si>
    <t>CBDU015109</t>
  </si>
  <si>
    <t xml:space="preserve">2 Tyn Rhos </t>
  </si>
  <si>
    <t>LL61 5QH</t>
  </si>
  <si>
    <t>CBDU4233</t>
  </si>
  <si>
    <t>Unit 9 Llantrisant Business Park</t>
  </si>
  <si>
    <t>Llantrisant</t>
  </si>
  <si>
    <t>CF72 8LF</t>
  </si>
  <si>
    <t>CBDU9504</t>
  </si>
  <si>
    <t>Unit A6 Venture Wales</t>
  </si>
  <si>
    <t>Merthyr Tydfil Industrial Park</t>
  </si>
  <si>
    <t>Pentrebach</t>
  </si>
  <si>
    <t>Merthyr Tudful</t>
  </si>
  <si>
    <t>CF48 4DR</t>
  </si>
  <si>
    <t>CBDU5327</t>
  </si>
  <si>
    <t>5 Mount Pleasant Tonna</t>
  </si>
  <si>
    <t>SA11 3HX</t>
  </si>
  <si>
    <t>CBDU4835</t>
  </si>
  <si>
    <t>84 Phoenix Street</t>
  </si>
  <si>
    <t>Sandycroft</t>
  </si>
  <si>
    <t>CH5 2PE</t>
  </si>
  <si>
    <t>CBDU4571</t>
  </si>
  <si>
    <t>Verona Bungalow Intervalley Road</t>
  </si>
  <si>
    <t>Glyn-Nedd</t>
  </si>
  <si>
    <t>SA11 5TU</t>
  </si>
  <si>
    <t>CBDU5359</t>
  </si>
  <si>
    <t>Jersey Road Bonymaen</t>
  </si>
  <si>
    <t>SA1 7DW</t>
  </si>
  <si>
    <t>CBDU015138</t>
  </si>
  <si>
    <t>52 Blossom Close</t>
  </si>
  <si>
    <t>Langstone</t>
  </si>
  <si>
    <t>NP18 2LT</t>
  </si>
  <si>
    <t>CBDL015139</t>
  </si>
  <si>
    <t>26 Pwll-y-Domen Road</t>
  </si>
  <si>
    <t>Manselton</t>
  </si>
  <si>
    <t>SA5 8PX</t>
  </si>
  <si>
    <t>CBDU5160</t>
  </si>
  <si>
    <t>A L Griffiths Ltd</t>
  </si>
  <si>
    <t>Common Sidings Ely Valley Road</t>
  </si>
  <si>
    <t>Ynysmaerdy</t>
  </si>
  <si>
    <t>Pontyclun</t>
  </si>
  <si>
    <t>CF72 8LN</t>
  </si>
  <si>
    <t>CBDU5057</t>
  </si>
  <si>
    <t>351 Llantarnam Road Llantarnam</t>
  </si>
  <si>
    <t>NP44 3BJ</t>
  </si>
  <si>
    <t>CBDU5750</t>
  </si>
  <si>
    <t xml:space="preserve">London Road </t>
  </si>
  <si>
    <t>LL65 2PB</t>
  </si>
  <si>
    <t>CBDU5536</t>
  </si>
  <si>
    <t xml:space="preserve">Severn Road </t>
  </si>
  <si>
    <t>SY21 7AZ</t>
  </si>
  <si>
    <t>CBDU015190</t>
  </si>
  <si>
    <t>Unit 10A</t>
  </si>
  <si>
    <t>Llandow Trading Estate</t>
  </si>
  <si>
    <t>Llandow</t>
  </si>
  <si>
    <t>Cowbridge</t>
  </si>
  <si>
    <t>CF71 7PB</t>
  </si>
  <si>
    <t>CBDU5388</t>
  </si>
  <si>
    <t>Cae Maen Farm Llantriddyd</t>
  </si>
  <si>
    <t>Bont-Faen</t>
  </si>
  <si>
    <t>CF71 7UB</t>
  </si>
  <si>
    <t>CBDU4971</t>
  </si>
  <si>
    <t>18 Parciau Mynytho</t>
  </si>
  <si>
    <t>Pwllheli</t>
  </si>
  <si>
    <t>LL53 7SB</t>
  </si>
  <si>
    <t>CBDU5034</t>
  </si>
  <si>
    <t xml:space="preserve">18 Heol Lucy </t>
  </si>
  <si>
    <t>SA10 6RR</t>
  </si>
  <si>
    <t>CBDU015191</t>
  </si>
  <si>
    <t>Braddon</t>
  </si>
  <si>
    <t>High street</t>
  </si>
  <si>
    <t>Llandrindod Wells</t>
  </si>
  <si>
    <t>LD1 6AG</t>
  </si>
  <si>
    <t>CBDU5625</t>
  </si>
  <si>
    <t>Marion House New Brighton</t>
  </si>
  <si>
    <t>Minera</t>
  </si>
  <si>
    <t>LL11 3DS</t>
  </si>
  <si>
    <t>CBDU5341</t>
  </si>
  <si>
    <t>Unit 2 A 4 Cwm road</t>
  </si>
  <si>
    <t>Hafod</t>
  </si>
  <si>
    <t>SA1 2AY</t>
  </si>
  <si>
    <t>CBDU015192</t>
  </si>
  <si>
    <t>117 Marsh Road</t>
  </si>
  <si>
    <t>LL18 2AB</t>
  </si>
  <si>
    <t>CBDU5233</t>
  </si>
  <si>
    <t xml:space="preserve">Alexandra Docks </t>
  </si>
  <si>
    <t>NP20 2UW</t>
  </si>
  <si>
    <t>CBDU5073</t>
  </si>
  <si>
    <t>Office 3 Pentre Menter</t>
  </si>
  <si>
    <t>Gorseinon Road</t>
  </si>
  <si>
    <t>Penllergaer</t>
  </si>
  <si>
    <t>SA4 9GD</t>
  </si>
  <si>
    <t>CBDU5256</t>
  </si>
  <si>
    <t>Unedau 1-3 Adeilad Utica</t>
  </si>
  <si>
    <t>Trawsfynydd</t>
  </si>
  <si>
    <t>LL41 4DU</t>
  </si>
  <si>
    <t>CBDU015220</t>
  </si>
  <si>
    <t>13 Greenways</t>
  </si>
  <si>
    <t>Maesteg</t>
  </si>
  <si>
    <t>CF34 9NL</t>
  </si>
  <si>
    <t>CBDU015221</t>
  </si>
  <si>
    <t>59 Tanylan Terrace</t>
  </si>
  <si>
    <t>SA6 7DU</t>
  </si>
  <si>
    <t>CBDU5033</t>
  </si>
  <si>
    <t xml:space="preserve">118 Dyserth Road </t>
  </si>
  <si>
    <t>LL18 4DT</t>
  </si>
  <si>
    <t>CBDU015223</t>
  </si>
  <si>
    <t>9 Brown Avenue</t>
  </si>
  <si>
    <t>SA15 2BB</t>
  </si>
  <si>
    <t>CBDU015224</t>
  </si>
  <si>
    <t>Old Smithy Cottage</t>
  </si>
  <si>
    <t>Carew Newton</t>
  </si>
  <si>
    <t>Kilgetty</t>
  </si>
  <si>
    <t>SA68 0TP</t>
  </si>
  <si>
    <t>CBDU015227</t>
  </si>
  <si>
    <t>20 Pant Y Felin Road</t>
  </si>
  <si>
    <t>SA4 8QA</t>
  </si>
  <si>
    <t>CBDU5506</t>
  </si>
  <si>
    <t>Gors Tyn Rhos Llithfaen</t>
  </si>
  <si>
    <t>LL53 6NH</t>
  </si>
  <si>
    <t>CBDU5756</t>
  </si>
  <si>
    <t xml:space="preserve">101 Jenner Road </t>
  </si>
  <si>
    <t>CF62 7HQ</t>
  </si>
  <si>
    <t>CBDU015232</t>
  </si>
  <si>
    <t>7 Station Road</t>
  </si>
  <si>
    <t>Gowerton</t>
  </si>
  <si>
    <t>SA4 3AJ</t>
  </si>
  <si>
    <t>CBDU015233</t>
  </si>
  <si>
    <t>Thomas Glass Ltd</t>
  </si>
  <si>
    <t>16 Inkerman Street</t>
  </si>
  <si>
    <t>SA15 1SA</t>
  </si>
  <si>
    <t>CBDU015234</t>
  </si>
  <si>
    <t>Tanffordd Farm</t>
  </si>
  <si>
    <t>Cilgwyn</t>
  </si>
  <si>
    <t>Carmel</t>
  </si>
  <si>
    <t>LL54 7SB</t>
  </si>
  <si>
    <t>CBDU5378</t>
  </si>
  <si>
    <t>6 Erw Wen Pen-Coed</t>
  </si>
  <si>
    <t>Pen-y-Bont Ar Ogwr</t>
  </si>
  <si>
    <t>CF35 6YF</t>
  </si>
  <si>
    <t>CBDU5269</t>
  </si>
  <si>
    <t>The Garage Old Smelt Road</t>
  </si>
  <si>
    <t>Coedpoeth</t>
  </si>
  <si>
    <t>LL11 3UN</t>
  </si>
  <si>
    <t>CBDU5326</t>
  </si>
  <si>
    <t xml:space="preserve">12 Millfield </t>
  </si>
  <si>
    <t>Pont-y-Clun</t>
  </si>
  <si>
    <t>CF72 9DG</t>
  </si>
  <si>
    <t>CBDU015235</t>
  </si>
  <si>
    <t>Unit 2</t>
  </si>
  <si>
    <t>Glanyrafon Ind Est</t>
  </si>
  <si>
    <t>Llanbadarn Fawr</t>
  </si>
  <si>
    <t>SY23 3JQ</t>
  </si>
  <si>
    <t>CBDU5565</t>
  </si>
  <si>
    <t>Glan Yr Afon Industrial Estate Llanbadarn Fawr</t>
  </si>
  <si>
    <t>CBDU5116</t>
  </si>
  <si>
    <t>Square Lodge Llandwrog</t>
  </si>
  <si>
    <t>LL54 5TF</t>
  </si>
  <si>
    <t>CBDU4995</t>
  </si>
  <si>
    <t>Unit 9a Old TNT Building Phoenix Way</t>
  </si>
  <si>
    <t>Garngoch Ind. Est. Gorseinon</t>
  </si>
  <si>
    <t>SWANSEA</t>
  </si>
  <si>
    <t>SA4 9WF</t>
  </si>
  <si>
    <t>CBDU015246</t>
  </si>
  <si>
    <t xml:space="preserve">1 Constance Street </t>
  </si>
  <si>
    <t>NP19 7DB</t>
  </si>
  <si>
    <t>CBDU015247</t>
  </si>
  <si>
    <t>Unit 32</t>
  </si>
  <si>
    <t>Llys Edmund Prys</t>
  </si>
  <si>
    <t>St. Asaph Business Park</t>
  </si>
  <si>
    <t>St. Asaph</t>
  </si>
  <si>
    <t>LL17 0JA</t>
  </si>
  <si>
    <t>CBDU015248</t>
  </si>
  <si>
    <t xml:space="preserve">69 Heol Tregoning </t>
  </si>
  <si>
    <t>SA15 2BD</t>
  </si>
  <si>
    <t>CBDU015252</t>
  </si>
  <si>
    <t>First Floor Market Chambers</t>
  </si>
  <si>
    <t>The Parade</t>
  </si>
  <si>
    <t>sa11 1PU</t>
  </si>
  <si>
    <t>CBDL015001</t>
  </si>
  <si>
    <t>Parc Store Ltd</t>
  </si>
  <si>
    <t>TMS Associated Ltd</t>
  </si>
  <si>
    <t>168 Clare Road</t>
  </si>
  <si>
    <t>CF11 6RX</t>
  </si>
  <si>
    <t>CBDU015002</t>
  </si>
  <si>
    <t>28 Water Street</t>
  </si>
  <si>
    <t>LL18 1SS</t>
  </si>
  <si>
    <t>CBDU4675</t>
  </si>
  <si>
    <t>4 Heol Edwards</t>
  </si>
  <si>
    <t>Nantgarw</t>
  </si>
  <si>
    <t>CF15 7UD</t>
  </si>
  <si>
    <t>CBDU015003</t>
  </si>
  <si>
    <t>Unit A1</t>
  </si>
  <si>
    <t>Trem Y Dyffryn</t>
  </si>
  <si>
    <t>Colomendy Industrial Estate</t>
  </si>
  <si>
    <t>Denbigh</t>
  </si>
  <si>
    <t>LL16 5TX</t>
  </si>
  <si>
    <t>CBDU5204</t>
  </si>
  <si>
    <t xml:space="preserve">Langland Way </t>
  </si>
  <si>
    <t>NP19 4PT</t>
  </si>
  <si>
    <t>CBDU5165</t>
  </si>
  <si>
    <t>Ty Gwyrdd A Gwyn Sully Moors Road</t>
  </si>
  <si>
    <t>Sully</t>
  </si>
  <si>
    <t>Penarth</t>
  </si>
  <si>
    <t>CF64 5RP</t>
  </si>
  <si>
    <t>CBDU5211</t>
  </si>
  <si>
    <t>Unit 9 Beeches Industrial Estate</t>
  </si>
  <si>
    <t>Coedcae Lane</t>
  </si>
  <si>
    <t>CF72 9DY</t>
  </si>
  <si>
    <t>CBDL015013</t>
  </si>
  <si>
    <t>18 Castle Street</t>
  </si>
  <si>
    <t>Loughor</t>
  </si>
  <si>
    <t>SA4 6TU</t>
  </si>
  <si>
    <t>CBDU5151</t>
  </si>
  <si>
    <t>Unit 7 Betws Park Workshops</t>
  </si>
  <si>
    <t>Park Street</t>
  </si>
  <si>
    <t>SA18 2ET</t>
  </si>
  <si>
    <t>CBDL015014</t>
  </si>
  <si>
    <t>7 Heol Dyddwr</t>
  </si>
  <si>
    <t>Tonna</t>
  </si>
  <si>
    <t>SA11 3PZ</t>
  </si>
  <si>
    <t>CBDU4953</t>
  </si>
  <si>
    <t>Hafod-y-Garreg Beulah</t>
  </si>
  <si>
    <t>Lanwrtyd</t>
  </si>
  <si>
    <t>LD5 4UA</t>
  </si>
  <si>
    <t>CBDU015036</t>
  </si>
  <si>
    <t>Unit 6 Astbury House</t>
  </si>
  <si>
    <t>Swan Road Mochdre Business Park</t>
  </si>
  <si>
    <t>Mochdre</t>
  </si>
  <si>
    <t>LL28 5HB</t>
  </si>
  <si>
    <t>CBDU015037</t>
  </si>
  <si>
    <t>Unit A-D</t>
  </si>
  <si>
    <t>Factory Road</t>
  </si>
  <si>
    <t>CH5 2QJ</t>
  </si>
  <si>
    <t>CBDU015038</t>
  </si>
  <si>
    <t>Unit E Upper Boat Trading Estate</t>
  </si>
  <si>
    <t>CF37 5BP</t>
  </si>
  <si>
    <t>CBDU5206</t>
  </si>
  <si>
    <t>Unit 3A Atlantic Trading Estate</t>
  </si>
  <si>
    <t>CF63 3RF</t>
  </si>
  <si>
    <t>CBDU5174</t>
  </si>
  <si>
    <t>Willow Cottage Treoes</t>
  </si>
  <si>
    <t>CF35 5DL</t>
  </si>
  <si>
    <t>CBDL015039</t>
  </si>
  <si>
    <t>Cefn Ydfa Farm</t>
  </si>
  <si>
    <t>Coytrahen</t>
  </si>
  <si>
    <t>CF32 0EG</t>
  </si>
  <si>
    <t>CBDL015041</t>
  </si>
  <si>
    <t>30 The Shires</t>
  </si>
  <si>
    <t>CF3 2AX</t>
  </si>
  <si>
    <t>CBDU015046</t>
  </si>
  <si>
    <t>Heulfryn Rhostryfan</t>
  </si>
  <si>
    <t>LL54 7LS</t>
  </si>
  <si>
    <t>CBDU015048</t>
  </si>
  <si>
    <t>5 Mwrog Street</t>
  </si>
  <si>
    <t>LL15 1LB</t>
  </si>
  <si>
    <t>CBDU015049</t>
  </si>
  <si>
    <t>Yard 2 The Willows</t>
  </si>
  <si>
    <t>The Willows Works</t>
  </si>
  <si>
    <t>Abercanaid</t>
  </si>
  <si>
    <t>CF48 1YF</t>
  </si>
  <si>
    <t>CBDU015050</t>
  </si>
  <si>
    <t>8 Kendal Close</t>
  </si>
  <si>
    <t>CF44 0LA</t>
  </si>
  <si>
    <t>CBDU5148</t>
  </si>
  <si>
    <t>Ty Gwrydd 11 Beddau Way</t>
  </si>
  <si>
    <t>CF83 2AX</t>
  </si>
  <si>
    <t>CBDU4833</t>
  </si>
  <si>
    <t xml:space="preserve">111 Llangorse Road </t>
  </si>
  <si>
    <t>Aberdar</t>
  </si>
  <si>
    <t>CF44 0LD</t>
  </si>
  <si>
    <t>CBDU015054</t>
  </si>
  <si>
    <t>Value Food &amp; Wine Ltd</t>
  </si>
  <si>
    <t>67/68 Commercial Road</t>
  </si>
  <si>
    <t>NP20 2PF</t>
  </si>
  <si>
    <t>CBDU015055</t>
  </si>
  <si>
    <t>Alba</t>
  </si>
  <si>
    <t>Main Road</t>
  </si>
  <si>
    <t>Crynant</t>
  </si>
  <si>
    <t>SA10 8PF</t>
  </si>
  <si>
    <t>CBDL015056</t>
  </si>
  <si>
    <t>Cwmaman Town Council</t>
  </si>
  <si>
    <t>Community Centre</t>
  </si>
  <si>
    <t>High Street</t>
  </si>
  <si>
    <t>Glanaman</t>
  </si>
  <si>
    <t>SA18 1DX</t>
  </si>
  <si>
    <t>CBDL015057</t>
  </si>
  <si>
    <t>Llannon Community Council</t>
  </si>
  <si>
    <t>Tumble Hall</t>
  </si>
  <si>
    <t>Neuadd Rd.</t>
  </si>
  <si>
    <t>Tumble</t>
  </si>
  <si>
    <t>SA14 6HR</t>
  </si>
  <si>
    <t>CBDU5040</t>
  </si>
  <si>
    <t>Gwrthwynt Transfer Station Beulah</t>
  </si>
  <si>
    <t>Newcastle Emlyn</t>
  </si>
  <si>
    <t>SA38 9QE</t>
  </si>
  <si>
    <t>CBDU5159</t>
  </si>
  <si>
    <t>Unit D3 West Point Industrial Estate</t>
  </si>
  <si>
    <t>Penarth Road</t>
  </si>
  <si>
    <t>CF11 8JQ</t>
  </si>
  <si>
    <t>CBDL015058</t>
  </si>
  <si>
    <t>Channel Electrical</t>
  </si>
  <si>
    <t>Viaduct Road</t>
  </si>
  <si>
    <t>CF63 4JB</t>
  </si>
  <si>
    <t>CBDU015060</t>
  </si>
  <si>
    <t>R Lewis &amp; Co Ltd</t>
  </si>
  <si>
    <t>Unit 7 Parklands Industrial Estate</t>
  </si>
  <si>
    <t>East Moors Road</t>
  </si>
  <si>
    <t>CF24 5JP</t>
  </si>
  <si>
    <t>CBDU015061</t>
  </si>
  <si>
    <t>141 Pentregethin Road</t>
  </si>
  <si>
    <t>Cwmbwrla</t>
  </si>
  <si>
    <t>SA5 8AY</t>
  </si>
  <si>
    <t>CBDL015062</t>
  </si>
  <si>
    <t>Unit 1 Kane Close</t>
  </si>
  <si>
    <t>Llanishen</t>
  </si>
  <si>
    <t>CF14 5LG</t>
  </si>
  <si>
    <t>CBDU015066</t>
  </si>
  <si>
    <t>76 Cadwal Court</t>
  </si>
  <si>
    <t>Llantwit Fardre</t>
  </si>
  <si>
    <t>CF38 2FA</t>
  </si>
  <si>
    <t>CBDU015067</t>
  </si>
  <si>
    <t>Banwell Accountancy</t>
  </si>
  <si>
    <t>4 Paradise Crescent</t>
  </si>
  <si>
    <t>Penmaenmawr</t>
  </si>
  <si>
    <t>LL34 6AR</t>
  </si>
  <si>
    <t>CBDU015069</t>
  </si>
  <si>
    <t>19 Derwendeg Avenue</t>
  </si>
  <si>
    <t>CF37 3BY</t>
  </si>
  <si>
    <t>CBDL015074</t>
  </si>
  <si>
    <t>The Race Bungalow</t>
  </si>
  <si>
    <t>Pontypool</t>
  </si>
  <si>
    <t>NP4 5XF</t>
  </si>
  <si>
    <t>CBDL015075</t>
  </si>
  <si>
    <t>22 Parklands</t>
  </si>
  <si>
    <t>St. Florence</t>
  </si>
  <si>
    <t>Tenby</t>
  </si>
  <si>
    <t>SA70 8NL</t>
  </si>
  <si>
    <t>CBDU015076</t>
  </si>
  <si>
    <t>8 Llys Y Wennol</t>
  </si>
  <si>
    <t>Coity</t>
  </si>
  <si>
    <t>CF35 6FD</t>
  </si>
  <si>
    <t>CBDU5193</t>
  </si>
  <si>
    <t>Dock 2 David Davies Road</t>
  </si>
  <si>
    <t>CF63 4AB</t>
  </si>
  <si>
    <t>CBDU5066</t>
  </si>
  <si>
    <t xml:space="preserve">David Davies Road David Davies Road </t>
  </si>
  <si>
    <t>Port of Barry</t>
  </si>
  <si>
    <t>CF634AB</t>
  </si>
  <si>
    <t>CBDL015077</t>
  </si>
  <si>
    <t>6 Ashdown House</t>
  </si>
  <si>
    <t>Riverside Business Park</t>
  </si>
  <si>
    <t>Benarth Road</t>
  </si>
  <si>
    <t>LL32 8UB</t>
  </si>
  <si>
    <t>CBDU015078</t>
  </si>
  <si>
    <t>16 Beechley Drive</t>
  </si>
  <si>
    <t>CF5 3SF</t>
  </si>
  <si>
    <t>CBDU5293</t>
  </si>
  <si>
    <t>Tylar Fedw Farm Ynys-y-Bwl</t>
  </si>
  <si>
    <t>CF37 3LY</t>
  </si>
  <si>
    <t>CBDU015079</t>
  </si>
  <si>
    <t>THE RAILWAY BUILDINGS TENBY RAILWAY STATION</t>
  </si>
  <si>
    <t>WARREN STREET</t>
  </si>
  <si>
    <t>SA70 7JY</t>
  </si>
  <si>
    <t>CBDU015080</t>
  </si>
  <si>
    <t>62 Half Acre Court</t>
  </si>
  <si>
    <t>Caerphilly</t>
  </si>
  <si>
    <t>CF83 3SU</t>
  </si>
  <si>
    <t>CBDL015081</t>
  </si>
  <si>
    <t>6 Meadow Walk</t>
  </si>
  <si>
    <t>Pentre</t>
  </si>
  <si>
    <t>CF41 7QN</t>
  </si>
  <si>
    <t>CBDU5480</t>
  </si>
  <si>
    <t>Cwmdu Ganol Farm Cwmdu</t>
  </si>
  <si>
    <t>CF34 0DH</t>
  </si>
  <si>
    <t>CBDL015122</t>
  </si>
  <si>
    <t>Llawenan</t>
  </si>
  <si>
    <t>Rhiw</t>
  </si>
  <si>
    <t>LL53 8AN</t>
  </si>
  <si>
    <t>CBDL015123</t>
  </si>
  <si>
    <t>5 Morawelon Close</t>
  </si>
  <si>
    <t>Holyhead</t>
  </si>
  <si>
    <t>LL65 2DP</t>
  </si>
  <si>
    <t>CBDL015125</t>
  </si>
  <si>
    <t>61 Sanquhar Street</t>
  </si>
  <si>
    <t>CF24 2AD</t>
  </si>
  <si>
    <t>CBDU5180</t>
  </si>
  <si>
    <t>92A Gwendoline Street Treherbert</t>
  </si>
  <si>
    <t>Treorci</t>
  </si>
  <si>
    <t>CF42 5BW</t>
  </si>
  <si>
    <t>CBDU6279</t>
  </si>
  <si>
    <t>Denbigh Road Afon Wen</t>
  </si>
  <si>
    <t>CH7 5UB</t>
  </si>
  <si>
    <t>CBDU5363</t>
  </si>
  <si>
    <t>The Old Chapel Narrow Street</t>
  </si>
  <si>
    <t>SY22 5BU</t>
  </si>
  <si>
    <t>CBDU5445</t>
  </si>
  <si>
    <t xml:space="preserve">11 Mundy Place </t>
  </si>
  <si>
    <t>CF24 4BZ</t>
  </si>
  <si>
    <t>CBDU4887</t>
  </si>
  <si>
    <t>Unit 21</t>
  </si>
  <si>
    <t>Clarion Court</t>
  </si>
  <si>
    <t>SA6 8RF</t>
  </si>
  <si>
    <t>CBDU5192</t>
  </si>
  <si>
    <t>JR House Main Ave</t>
  </si>
  <si>
    <t>Reforest Industrial Estate</t>
  </si>
  <si>
    <t xml:space="preserve">Treforest </t>
  </si>
  <si>
    <t>CF375UR</t>
  </si>
  <si>
    <t>CBDU5251</t>
  </si>
  <si>
    <t>64 SLOPER ROAD</t>
  </si>
  <si>
    <t>CARDIFF</t>
  </si>
  <si>
    <t>CF11 8AB</t>
  </si>
  <si>
    <t>CBDU5411</t>
  </si>
  <si>
    <t>Glade View Llan-Fair</t>
  </si>
  <si>
    <t>CF71 7LT</t>
  </si>
  <si>
    <t>CBDU5214</t>
  </si>
  <si>
    <t>Hen Dafarn St Mary Hill</t>
  </si>
  <si>
    <t>CF35 5DY</t>
  </si>
  <si>
    <t>CBDU5459</t>
  </si>
  <si>
    <t>105 Coldbrook Road East</t>
  </si>
  <si>
    <t>CF63 1NN</t>
  </si>
  <si>
    <t>CBDU015127</t>
  </si>
  <si>
    <t>Nant Uchaf</t>
  </si>
  <si>
    <t>LL60 6AB</t>
  </si>
  <si>
    <t>CBDU4136</t>
  </si>
  <si>
    <t>CBDL015128</t>
  </si>
  <si>
    <t>25 James Street</t>
  </si>
  <si>
    <t>SA15 1DU</t>
  </si>
  <si>
    <t>CBDL015129</t>
  </si>
  <si>
    <t>Pentrecwm</t>
  </si>
  <si>
    <t>Porthyrhyd</t>
  </si>
  <si>
    <t>SA19 8DG</t>
  </si>
  <si>
    <t>CBDU5424</t>
  </si>
  <si>
    <t>Unit A-B Maerdy Industrial Estate</t>
  </si>
  <si>
    <t>Maerdy Road</t>
  </si>
  <si>
    <t>Glynrhedyn</t>
  </si>
  <si>
    <t>CF43 4AB</t>
  </si>
  <si>
    <t>CBDU5145</t>
  </si>
  <si>
    <t>16  Penallt terrace</t>
  </si>
  <si>
    <t>SA15 1HD</t>
  </si>
  <si>
    <t>CBDU015130</t>
  </si>
  <si>
    <t xml:space="preserve">42 Mytton Park </t>
  </si>
  <si>
    <t>Dinbych</t>
  </si>
  <si>
    <t>LL16 3HR</t>
  </si>
  <si>
    <t>CBDU5595</t>
  </si>
  <si>
    <t>Unit 4 South Pontypool Industrial Park</t>
  </si>
  <si>
    <t>Panteg Way</t>
  </si>
  <si>
    <t>New Inn</t>
  </si>
  <si>
    <t>Pont-y-Pwl</t>
  </si>
  <si>
    <t>NP4 0LS</t>
  </si>
  <si>
    <t>CBDU5290</t>
  </si>
  <si>
    <t>Wernlydaw Cefn Coch</t>
  </si>
  <si>
    <t>Llanrhaeadr Ym Mochnant</t>
  </si>
  <si>
    <t>Croesoswallt</t>
  </si>
  <si>
    <t>SY10 0BN</t>
  </si>
  <si>
    <t>CBDU5527</t>
  </si>
  <si>
    <t>Glasfryn Bryn-y-Maen</t>
  </si>
  <si>
    <t>Bae Colwyn</t>
  </si>
  <si>
    <t>LL28 5ER</t>
  </si>
  <si>
    <t>CBDU5009</t>
  </si>
  <si>
    <t>1 Llys Hendre Llangennech</t>
  </si>
  <si>
    <t>SA14 8WB</t>
  </si>
  <si>
    <t>CBDU5602</t>
  </si>
  <si>
    <t>Y Bwthyn Llaindelyn</t>
  </si>
  <si>
    <t>Llanybri</t>
  </si>
  <si>
    <t>SA33 5HF</t>
  </si>
  <si>
    <t>CBDL015140</t>
  </si>
  <si>
    <t>Flat 8</t>
  </si>
  <si>
    <t>Salisbury Court</t>
  </si>
  <si>
    <t>Salisbury Avenue</t>
  </si>
  <si>
    <t>CF64 3JZ</t>
  </si>
  <si>
    <t>CBDL015141</t>
  </si>
  <si>
    <t>Absolute Associates Ltd</t>
  </si>
  <si>
    <t>Unit C Valley House</t>
  </si>
  <si>
    <t>25 Pantglas Industrial Estate Bedwas</t>
  </si>
  <si>
    <t>CF83 8DR</t>
  </si>
  <si>
    <t>CBDL015142</t>
  </si>
  <si>
    <t>2 Login Terrace</t>
  </si>
  <si>
    <t>Trecastle</t>
  </si>
  <si>
    <t>Brecon</t>
  </si>
  <si>
    <t>LD3 8UH</t>
  </si>
  <si>
    <t>CBDU5182</t>
  </si>
  <si>
    <t>4 Awelfryn Pen-y-Coed-Cae</t>
  </si>
  <si>
    <t>CF37 1PX</t>
  </si>
  <si>
    <t>CBDU015145</t>
  </si>
  <si>
    <t>Axis 8 Axis Court</t>
  </si>
  <si>
    <t>Mallard Way Riverside Business Park</t>
  </si>
  <si>
    <t>Swansea Vale</t>
  </si>
  <si>
    <t>SA7 0AJ</t>
  </si>
  <si>
    <t>CBDL015146</t>
  </si>
  <si>
    <t>CBDU4879</t>
  </si>
  <si>
    <t>Orchard Cottage Pen Y Fron Road</t>
  </si>
  <si>
    <t>Pantymwyn</t>
  </si>
  <si>
    <t>CH7 5EG</t>
  </si>
  <si>
    <t>CBDU015160</t>
  </si>
  <si>
    <t>33A Gnoll Park Road</t>
  </si>
  <si>
    <t>SA11 3BT</t>
  </si>
  <si>
    <t>CBDU015161</t>
  </si>
  <si>
    <t>Cysgod Y Deri</t>
  </si>
  <si>
    <t>Whitland</t>
  </si>
  <si>
    <t>SA34 0LG</t>
  </si>
  <si>
    <t>CBDU015162</t>
  </si>
  <si>
    <t>Tan House Barn</t>
  </si>
  <si>
    <t>Llanymynech</t>
  </si>
  <si>
    <t>SY22 6QF</t>
  </si>
  <si>
    <t>CBDU015165</t>
  </si>
  <si>
    <t>Parkside Garage</t>
  </si>
  <si>
    <t>Alexandra Terrace</t>
  </si>
  <si>
    <t>Brynmawr</t>
  </si>
  <si>
    <t>NP23 4EB</t>
  </si>
  <si>
    <t>CBDU5058</t>
  </si>
  <si>
    <t>85 Hereford Road</t>
  </si>
  <si>
    <t>Monmouth</t>
  </si>
  <si>
    <t>Gwent</t>
  </si>
  <si>
    <t>NP25 3GA</t>
  </si>
  <si>
    <t>CBDU015167</t>
  </si>
  <si>
    <t>Y Berllan</t>
  </si>
  <si>
    <t>SY22 5LQ</t>
  </si>
  <si>
    <t>CBDU015168</t>
  </si>
  <si>
    <t>Unit 1 Severn Bridge Industrial Estate</t>
  </si>
  <si>
    <t>Severn Bridge Industrial Estate</t>
  </si>
  <si>
    <t>NP26 5PS</t>
  </si>
  <si>
    <t>CBDU5549</t>
  </si>
  <si>
    <t>10 Cyfarthfa Court Gwaelodygarth Lane</t>
  </si>
  <si>
    <t>CF47 8EY</t>
  </si>
  <si>
    <t>CBDL015169</t>
  </si>
  <si>
    <t xml:space="preserve">wyndham court </t>
  </si>
  <si>
    <t>fairways</t>
  </si>
  <si>
    <t>north cornelly</t>
  </si>
  <si>
    <t>bridgend</t>
  </si>
  <si>
    <t>CF33 4DH</t>
  </si>
  <si>
    <t>CBDU015170</t>
  </si>
  <si>
    <t>15 Maelgwyn Drive Deganwy</t>
  </si>
  <si>
    <t>Aberconwy</t>
  </si>
  <si>
    <t>LL31 9UY</t>
  </si>
  <si>
    <t>CBDU5103</t>
  </si>
  <si>
    <t>Unit 10 Pant Ind. Est.</t>
  </si>
  <si>
    <t>Dowlais</t>
  </si>
  <si>
    <t>CBDU015171</t>
  </si>
  <si>
    <t>3 Blackbridge Drive</t>
  </si>
  <si>
    <t>SA73 1ET</t>
  </si>
  <si>
    <t>CBDU5319</t>
  </si>
  <si>
    <t>Cillefwr Industrial Estate Johnstown</t>
  </si>
  <si>
    <t>SA31 3RB</t>
  </si>
  <si>
    <t>CBDU4860</t>
  </si>
  <si>
    <t xml:space="preserve">THE YARD OLD BARRY </t>
  </si>
  <si>
    <t>SIDINGS</t>
  </si>
  <si>
    <t>PONTYPRIDD</t>
  </si>
  <si>
    <t>CF37 2PP</t>
  </si>
  <si>
    <t>CBDU5573</t>
  </si>
  <si>
    <t>The Brambles Allt Y Golch</t>
  </si>
  <si>
    <t>Treffynnon</t>
  </si>
  <si>
    <t>CH8 8QT</t>
  </si>
  <si>
    <t>CBDU015184</t>
  </si>
  <si>
    <t>Unit 1A</t>
  </si>
  <si>
    <t>Lawrance House</t>
  </si>
  <si>
    <t>Llay Hall Industrial Estate</t>
  </si>
  <si>
    <t>CBDU015189</t>
  </si>
  <si>
    <t>Dewstow Manor</t>
  </si>
  <si>
    <t>Caerwent</t>
  </si>
  <si>
    <t>NP26 5AJ</t>
  </si>
  <si>
    <t>CBDU5215</t>
  </si>
  <si>
    <t>15 The Oaks Oakdale</t>
  </si>
  <si>
    <t>NP12 0EN</t>
  </si>
  <si>
    <t>CBDL015193</t>
  </si>
  <si>
    <t>Meranti</t>
  </si>
  <si>
    <t>Pentre Lane</t>
  </si>
  <si>
    <t>Gronant</t>
  </si>
  <si>
    <t>LL19 9TR</t>
  </si>
  <si>
    <t>CBDU5751</t>
  </si>
  <si>
    <t>Unit 6 Maesglas Retail Park</t>
  </si>
  <si>
    <t>NP20 2NS</t>
  </si>
  <si>
    <t>CBDL015195</t>
  </si>
  <si>
    <t>2 Maes Y Coed</t>
  </si>
  <si>
    <t>LL41 4PE</t>
  </si>
  <si>
    <t>CBDU5763</t>
  </si>
  <si>
    <t>Unit 1-4 Ongar Hall Farm Estate</t>
  </si>
  <si>
    <t>Brentwood Road</t>
  </si>
  <si>
    <t>Orsett</t>
  </si>
  <si>
    <t>Grays</t>
  </si>
  <si>
    <t>RM16 3HU</t>
  </si>
  <si>
    <t>CBDL015197</t>
  </si>
  <si>
    <t>6A Belgrave Close</t>
  </si>
  <si>
    <t>NP7 7AP</t>
  </si>
  <si>
    <t>CBDU015198</t>
  </si>
  <si>
    <t>14 Bargoed Street</t>
  </si>
  <si>
    <t>CF11 7AF</t>
  </si>
  <si>
    <t>CBDU015199</t>
  </si>
  <si>
    <t xml:space="preserve">2 Ty Canol </t>
  </si>
  <si>
    <t>Harlech</t>
  </si>
  <si>
    <t>LL46 2NZ</t>
  </si>
  <si>
    <t>CBDU015200</t>
  </si>
  <si>
    <t>Bryn Glas</t>
  </si>
  <si>
    <t>Minffordd</t>
  </si>
  <si>
    <t>Bangor</t>
  </si>
  <si>
    <t>LL57 4DR</t>
  </si>
  <si>
    <t>CBDU5091</t>
  </si>
  <si>
    <t>Graig Dolfor</t>
  </si>
  <si>
    <t>SY16 4AE</t>
  </si>
  <si>
    <t>CBDU015215</t>
  </si>
  <si>
    <t>Ace Site Services UK Ltd</t>
  </si>
  <si>
    <t>Unit 14D</t>
  </si>
  <si>
    <t>Atlantic Trading Estate</t>
  </si>
  <si>
    <t>CBDL015241</t>
  </si>
  <si>
    <t>7 Eastgate</t>
  </si>
  <si>
    <t>CF71 7EL</t>
  </si>
  <si>
    <t>CBDU015243</t>
  </si>
  <si>
    <t>Unit 16</t>
  </si>
  <si>
    <t>Felin Fawr</t>
  </si>
  <si>
    <t>Bethesda</t>
  </si>
  <si>
    <t>LL57 4AX</t>
  </si>
  <si>
    <t>CBDU015245</t>
  </si>
  <si>
    <t>156 Pencoed Avenue</t>
  </si>
  <si>
    <t>Cefn Fforest</t>
  </si>
  <si>
    <t>Blackwood</t>
  </si>
  <si>
    <t>NP12 3LQ</t>
  </si>
  <si>
    <t>CBDU5801</t>
  </si>
  <si>
    <t>Unit 8 Queensferry Industrial Estate</t>
  </si>
  <si>
    <t>Chester Road</t>
  </si>
  <si>
    <t>Glannau Dyfrdwy</t>
  </si>
  <si>
    <t>CH5 2DJ</t>
  </si>
  <si>
    <t>CBDU5401</t>
  </si>
  <si>
    <t>Jistcourt House Seaway Parade</t>
  </si>
  <si>
    <t>Baglan</t>
  </si>
  <si>
    <t>Port Talbot</t>
  </si>
  <si>
    <t>SA12 7BR</t>
  </si>
  <si>
    <t>CBDU015256</t>
  </si>
  <si>
    <t>10 Cwrt Neville</t>
  </si>
  <si>
    <t>SA15 1TX</t>
  </si>
  <si>
    <t>CBDL015257</t>
  </si>
  <si>
    <t>18 Cledwen Road</t>
  </si>
  <si>
    <t>Broughton</t>
  </si>
  <si>
    <t>CH4 0TH</t>
  </si>
  <si>
    <t>CBDU015258</t>
  </si>
  <si>
    <t>Unit 1 Windsor Buildings</t>
  </si>
  <si>
    <t>Ferry Road</t>
  </si>
  <si>
    <t>CF11 0JL</t>
  </si>
  <si>
    <t>CBDU5076</t>
  </si>
  <si>
    <t>Goetre Villa Aber-Miwl</t>
  </si>
  <si>
    <t>Trefaldwyn</t>
  </si>
  <si>
    <t>SY15 6NW</t>
  </si>
  <si>
    <t>CBDU015031</t>
  </si>
  <si>
    <t>27 Station Road</t>
  </si>
  <si>
    <t>Pengelli</t>
  </si>
  <si>
    <t>SA4 4GY</t>
  </si>
  <si>
    <t>CBDU4671</t>
  </si>
  <si>
    <t>Unit B Mochdre Industrial Estate</t>
  </si>
  <si>
    <t>SY16 4LE</t>
  </si>
  <si>
    <t>CBDU4947</t>
  </si>
  <si>
    <t>2 Bryn Road Ystradgynlais</t>
  </si>
  <si>
    <t>SA9 1HP</t>
  </si>
  <si>
    <t>CBDU4945</t>
  </si>
  <si>
    <t xml:space="preserve">13 Lon Ceiriog </t>
  </si>
  <si>
    <t>SA14 9EN</t>
  </si>
  <si>
    <t>CBDU015042</t>
  </si>
  <si>
    <t>Unit 5D</t>
  </si>
  <si>
    <t>Lampeter Industrial Estate</t>
  </si>
  <si>
    <t>Tregaron Road</t>
  </si>
  <si>
    <t>Lampeter</t>
  </si>
  <si>
    <t>SA48 8LT</t>
  </si>
  <si>
    <t>CBDU5194</t>
  </si>
  <si>
    <t>36 Village Farm Road Village Farm Industrial Estate</t>
  </si>
  <si>
    <t>Pil</t>
  </si>
  <si>
    <t>CF33 6BL</t>
  </si>
  <si>
    <t>CBDU5298</t>
  </si>
  <si>
    <t>The Square Llanharan</t>
  </si>
  <si>
    <t>CF72 9NR</t>
  </si>
  <si>
    <t>CBDU015053</t>
  </si>
  <si>
    <t>Penrhiw Alltwalis</t>
  </si>
  <si>
    <t>SA32 7EE</t>
  </si>
  <si>
    <t>CBDU015083</t>
  </si>
  <si>
    <t>Gwelfryn</t>
  </si>
  <si>
    <t>Ganllwyd</t>
  </si>
  <si>
    <t>Dolgellau</t>
  </si>
  <si>
    <t>LL40 2TF</t>
  </si>
  <si>
    <t>CBDU015084</t>
  </si>
  <si>
    <t>Bancyreithin</t>
  </si>
  <si>
    <t>Capel Hendre</t>
  </si>
  <si>
    <t>SA18 3SE</t>
  </si>
  <si>
    <t>CBDU5288</t>
  </si>
  <si>
    <t>Par Contractors Ltd Ynys Uchaf</t>
  </si>
  <si>
    <t>Brynteg</t>
  </si>
  <si>
    <t>LL78 8JZ</t>
  </si>
  <si>
    <t>CBDU5284</t>
  </si>
  <si>
    <t>3 Penrhos Radyr</t>
  </si>
  <si>
    <t>CF15 8RJ</t>
  </si>
  <si>
    <t>CBDL015088</t>
  </si>
  <si>
    <t>Tawelfan</t>
  </si>
  <si>
    <t>Rhydargaeau</t>
  </si>
  <si>
    <t>SA32 7DR</t>
  </si>
  <si>
    <t>CBDU4829</t>
  </si>
  <si>
    <t>1 Hendre Mawr Fron Goch</t>
  </si>
  <si>
    <t>Y Bala</t>
  </si>
  <si>
    <t>LL23 7SA</t>
  </si>
  <si>
    <t>CBDU5161</t>
  </si>
  <si>
    <t>Creswell House Field Way</t>
  </si>
  <si>
    <t>CF14 4UH</t>
  </si>
  <si>
    <t>CBDU5366</t>
  </si>
  <si>
    <t>Dwyfor Gorsedd</t>
  </si>
  <si>
    <t>CH8 8QY</t>
  </si>
  <si>
    <t>CBDU5286</t>
  </si>
  <si>
    <t>Court House</t>
  </si>
  <si>
    <t>Court Road</t>
  </si>
  <si>
    <t>CF31 1BE</t>
  </si>
  <si>
    <t>CBDU5119</t>
  </si>
  <si>
    <t xml:space="preserve">Longships Road </t>
  </si>
  <si>
    <t>CF10 4RP</t>
  </si>
  <si>
    <t>CBDU015089</t>
  </si>
  <si>
    <t>483 Cowbridge Road West</t>
  </si>
  <si>
    <t>CF5 5TG</t>
  </si>
  <si>
    <t>CBDU5166</t>
  </si>
  <si>
    <t xml:space="preserve">25 Argyle Street </t>
  </si>
  <si>
    <t>NP20 5NE</t>
  </si>
  <si>
    <t>CBDL015090</t>
  </si>
  <si>
    <t>Vale Of Glamorgan Council</t>
  </si>
  <si>
    <t>Civic Offices</t>
  </si>
  <si>
    <t>Holton Road</t>
  </si>
  <si>
    <t>Glamorgan</t>
  </si>
  <si>
    <t>CF5 6AA</t>
  </si>
  <si>
    <t>CBDL015091</t>
  </si>
  <si>
    <t>7 Shopping Centre</t>
  </si>
  <si>
    <t>Penywaun</t>
  </si>
  <si>
    <t>CF44 9HD</t>
  </si>
  <si>
    <t>CBDL015092</t>
  </si>
  <si>
    <t>Abaca Ltd</t>
  </si>
  <si>
    <t>Pontardulais Road</t>
  </si>
  <si>
    <t>Tycroes</t>
  </si>
  <si>
    <t>SA18 3RD</t>
  </si>
  <si>
    <t>CBDU4792</t>
  </si>
  <si>
    <t>Unit 2 Ty Coch Distribution Centre</t>
  </si>
  <si>
    <t>Ty Coch Way</t>
  </si>
  <si>
    <t>NP44 7HF</t>
  </si>
  <si>
    <t>CBDL015093</t>
  </si>
  <si>
    <t>167 Haven Drive</t>
  </si>
  <si>
    <t>Hakin</t>
  </si>
  <si>
    <t>SA73 3HR</t>
  </si>
  <si>
    <t>CBDU5399</t>
  </si>
  <si>
    <t>Geufron Dinas</t>
  </si>
  <si>
    <t>LL54 5UB</t>
  </si>
  <si>
    <t>CBDL015110</t>
  </si>
  <si>
    <t>Dolgamfa</t>
  </si>
  <si>
    <t>Ystumtuen</t>
  </si>
  <si>
    <t>SY23 3AE</t>
  </si>
  <si>
    <t>CBDU5168</t>
  </si>
  <si>
    <t>Unit 14 Crawford Trading Estate</t>
  </si>
  <si>
    <t>Crawford Street</t>
  </si>
  <si>
    <t>NP19 7AY</t>
  </si>
  <si>
    <t>CBDU5503</t>
  </si>
  <si>
    <t>Storage House Priority Business Park</t>
  </si>
  <si>
    <t>CF63 2BG</t>
  </si>
  <si>
    <t>CBDU015111</t>
  </si>
  <si>
    <t>6 Meadow Avenue</t>
  </si>
  <si>
    <t>Buckley</t>
  </si>
  <si>
    <t>CH7 3EA</t>
  </si>
  <si>
    <t>CBDU5494</t>
  </si>
  <si>
    <t xml:space="preserve">Seawall Road </t>
  </si>
  <si>
    <t>CF24 5TH</t>
  </si>
  <si>
    <t>CBDU5496</t>
  </si>
  <si>
    <t>Llanover House Llanover Road</t>
  </si>
  <si>
    <t>Mid Glamorgan</t>
  </si>
  <si>
    <t>CF37 4DY</t>
  </si>
  <si>
    <t>CBDU5167</t>
  </si>
  <si>
    <t>1 Bryn Afon Terrace Llanrug</t>
  </si>
  <si>
    <t>LL55 4BS</t>
  </si>
  <si>
    <t>CBDU4985</t>
  </si>
  <si>
    <t>Gwel Y Grug Caeathro</t>
  </si>
  <si>
    <t>GWYNEDD</t>
  </si>
  <si>
    <t>LL55 2TA</t>
  </si>
  <si>
    <t>CBDU5543</t>
  </si>
  <si>
    <t xml:space="preserve">25 Penybont Road </t>
  </si>
  <si>
    <t>NP13 1JF</t>
  </si>
  <si>
    <t>CBDU015143</t>
  </si>
  <si>
    <t>The sidings</t>
  </si>
  <si>
    <t>CH7 3DQ</t>
  </si>
  <si>
    <t>CBDU5266</t>
  </si>
  <si>
    <t>Y Graig Hirwaun Industrial Estate</t>
  </si>
  <si>
    <t>Hirwaun</t>
  </si>
  <si>
    <t>CF44 9UP</t>
  </si>
  <si>
    <t>CBDU015144</t>
  </si>
  <si>
    <t>Clifton House</t>
  </si>
  <si>
    <t>Four Elms Road</t>
  </si>
  <si>
    <t>CF24 1LE</t>
  </si>
  <si>
    <t>CBDU5364</t>
  </si>
  <si>
    <t>Jamsons Tresaith</t>
  </si>
  <si>
    <t>Aberteifi</t>
  </si>
  <si>
    <t>SA43 2JN</t>
  </si>
  <si>
    <t>CBDL015148</t>
  </si>
  <si>
    <t>7 Greenlawns</t>
  </si>
  <si>
    <t>CF23 6AW</t>
  </si>
  <si>
    <t>CBDU5609</t>
  </si>
  <si>
    <t>Bevan House Penarth Road</t>
  </si>
  <si>
    <t>CF11 8UQ</t>
  </si>
  <si>
    <t>CBDU5133</t>
  </si>
  <si>
    <t>Little Acre Cwmffrwd</t>
  </si>
  <si>
    <t>SA31 2LT</t>
  </si>
  <si>
    <t>CBDU015155</t>
  </si>
  <si>
    <t xml:space="preserve"> Dyffryn Close </t>
  </si>
  <si>
    <t>swansea enterprise park</t>
  </si>
  <si>
    <t>swansea</t>
  </si>
  <si>
    <t>sa6 8qg</t>
  </si>
  <si>
    <t>CBDU015156</t>
  </si>
  <si>
    <t>1 Ty Gwyn Cottages</t>
  </si>
  <si>
    <t>Pantygasseg</t>
  </si>
  <si>
    <t>NP6 6UJ</t>
  </si>
  <si>
    <t>CBDU015157</t>
  </si>
  <si>
    <t>Vaughan Construction Ltd</t>
  </si>
  <si>
    <t>Arfryn Horeb</t>
  </si>
  <si>
    <t>Five Roads</t>
  </si>
  <si>
    <t>SA15 5AQ</t>
  </si>
  <si>
    <t>CBDL015158</t>
  </si>
  <si>
    <t>2 Castle Terrace</t>
  </si>
  <si>
    <t>Criccieth</t>
  </si>
  <si>
    <t>LL52 0DY</t>
  </si>
  <si>
    <t>CBDU015159</t>
  </si>
  <si>
    <t>Bwthyn Y Ffrwd</t>
  </si>
  <si>
    <t>Bwlchtocyn</t>
  </si>
  <si>
    <t>Ll53 7BP</t>
  </si>
  <si>
    <t>CBDU5530</t>
  </si>
  <si>
    <t xml:space="preserve">14 Pandy Close </t>
  </si>
  <si>
    <t>CF47 8PB</t>
  </si>
  <si>
    <t>CBDU5217</t>
  </si>
  <si>
    <t>Hafan Dawel 3 Erw Las</t>
  </si>
  <si>
    <t>Llandegla</t>
  </si>
  <si>
    <t>LL11 3AW</t>
  </si>
  <si>
    <t>CBDU5282</t>
  </si>
  <si>
    <t xml:space="preserve">10 Gardners Lane </t>
  </si>
  <si>
    <t>SA11 2AH</t>
  </si>
  <si>
    <t>CBDU5887</t>
  </si>
  <si>
    <t xml:space="preserve">44 St. Davids Way </t>
  </si>
  <si>
    <t>Porthcawl</t>
  </si>
  <si>
    <t>CF36 5HA</t>
  </si>
  <si>
    <t>CBDU015181</t>
  </si>
  <si>
    <t>Plot P &amp; W</t>
  </si>
  <si>
    <t>Corporation Road</t>
  </si>
  <si>
    <t>Fforestfach Ind Est</t>
  </si>
  <si>
    <t>SA5 4HH</t>
  </si>
  <si>
    <t>CBDU5493</t>
  </si>
  <si>
    <t xml:space="preserve">Hazells Haulage Yard Nash Road </t>
  </si>
  <si>
    <t>NP18 2BS</t>
  </si>
  <si>
    <t>CBDU5416</t>
  </si>
  <si>
    <t>Volehurst Old Town Dock</t>
  </si>
  <si>
    <t>NP20 2BW</t>
  </si>
  <si>
    <t>CBDU015182</t>
  </si>
  <si>
    <t>Allt Yr Hendre</t>
  </si>
  <si>
    <t>Bettws</t>
  </si>
  <si>
    <t>CF32 8TA</t>
  </si>
  <si>
    <t>CBDL015183</t>
  </si>
  <si>
    <t>Enfys Crafts Ltd</t>
  </si>
  <si>
    <t>Unit 7 Palmerston Workshops</t>
  </si>
  <si>
    <t>Palmerston Road</t>
  </si>
  <si>
    <t>CF63 2YZ</t>
  </si>
  <si>
    <t>CBDU5497</t>
  </si>
  <si>
    <t>Penllwynio Llanddarog</t>
  </si>
  <si>
    <t>SA32 8PA</t>
  </si>
  <si>
    <t>CBDU5550</t>
  </si>
  <si>
    <t>Trem Y Bont</t>
  </si>
  <si>
    <t>Penmachno</t>
  </si>
  <si>
    <t>Betws-y-Coed</t>
  </si>
  <si>
    <t>LL24 0UU</t>
  </si>
  <si>
    <t>CBDU015211</t>
  </si>
  <si>
    <t>The Scrapyard</t>
  </si>
  <si>
    <t>Carew Airfield</t>
  </si>
  <si>
    <t>Carew</t>
  </si>
  <si>
    <t>SA70 8SX</t>
  </si>
  <si>
    <t>CBDL015212</t>
  </si>
  <si>
    <t>Swn-y-Gwynt</t>
  </si>
  <si>
    <t>Cross Lane</t>
  </si>
  <si>
    <t>Pentre Broughton</t>
  </si>
  <si>
    <t>Wrexham County Borough County</t>
  </si>
  <si>
    <t>LL11 6AR</t>
  </si>
  <si>
    <t>CBDU5810</t>
  </si>
  <si>
    <t>Morfa Landfill Site</t>
  </si>
  <si>
    <t>Tata Steel</t>
  </si>
  <si>
    <t>Port Talbot Works</t>
  </si>
  <si>
    <t>SA13 2NG</t>
  </si>
  <si>
    <t>CBDU015214</t>
  </si>
  <si>
    <t>70 Geiriol Road</t>
  </si>
  <si>
    <t>Townhill</t>
  </si>
  <si>
    <t>SA1 6QR</t>
  </si>
  <si>
    <t>CBDU5123</t>
  </si>
  <si>
    <t>The Cambria</t>
  </si>
  <si>
    <t>Cambria Road</t>
  </si>
  <si>
    <t>Menai Bridge</t>
  </si>
  <si>
    <t>Porthaethwy</t>
  </si>
  <si>
    <t>LL59 5HF</t>
  </si>
  <si>
    <t>CBDU015217</t>
  </si>
  <si>
    <t>Station Yard Heol Yr Hen Orsaf</t>
  </si>
  <si>
    <t>SA31 1JN</t>
  </si>
  <si>
    <t>CBDU015218</t>
  </si>
  <si>
    <t>30 South Parade</t>
  </si>
  <si>
    <t>Pensarn</t>
  </si>
  <si>
    <t>LL22 7RG</t>
  </si>
  <si>
    <t>CBDU015219</t>
  </si>
  <si>
    <t>Floods Properties &amp; Developments</t>
  </si>
  <si>
    <t>Unit 10 Queensferry Industrial Estate</t>
  </si>
  <si>
    <t>Chester Road Pentre</t>
  </si>
  <si>
    <t>CBDU015244</t>
  </si>
  <si>
    <t>Dream Doors</t>
  </si>
  <si>
    <t>3 Sway Road</t>
  </si>
  <si>
    <t>SA6 6HT</t>
  </si>
  <si>
    <t>CBDU4521</t>
  </si>
  <si>
    <t>Regus</t>
  </si>
  <si>
    <t>Regus House</t>
  </si>
  <si>
    <t>Falcon Drive</t>
  </si>
  <si>
    <t>CF10 4RU</t>
  </si>
  <si>
    <t>Dealer</t>
  </si>
  <si>
    <t>CBDU4921</t>
  </si>
  <si>
    <t>24 Queen Street Tongwynlais</t>
  </si>
  <si>
    <t>CF15 7NL</t>
  </si>
  <si>
    <t>CBDU014996</t>
  </si>
  <si>
    <t>7 Stone Street</t>
  </si>
  <si>
    <t>Llandovery</t>
  </si>
  <si>
    <t>SA20 0BX</t>
  </si>
  <si>
    <t>CBDU4904</t>
  </si>
  <si>
    <t>Waterways House Merthyr Road</t>
  </si>
  <si>
    <t>Monmouthshire</t>
  </si>
  <si>
    <t>NP7 9PE</t>
  </si>
  <si>
    <t>CBDU5000</t>
  </si>
  <si>
    <t>Seaway Parade Industrial Estate Baglan</t>
  </si>
  <si>
    <t>CBDU014997</t>
  </si>
  <si>
    <t>148 Wentloog Road</t>
  </si>
  <si>
    <t>CF3 3EB</t>
  </si>
  <si>
    <t>CBDL014998</t>
  </si>
  <si>
    <t>4 Llyn Tircoed</t>
  </si>
  <si>
    <t>Tircoed Forest Village</t>
  </si>
  <si>
    <t>SA4 9LB</t>
  </si>
  <si>
    <t>CBDU4776</t>
  </si>
  <si>
    <t xml:space="preserve">79 Cimla Road </t>
  </si>
  <si>
    <t>Cimla</t>
  </si>
  <si>
    <t>SA11 3TT</t>
  </si>
  <si>
    <t>CBDU015017</t>
  </si>
  <si>
    <t>WSP</t>
  </si>
  <si>
    <t>1 cAPITAL qUARTER</t>
  </si>
  <si>
    <t>Tyndall Street</t>
  </si>
  <si>
    <t>CF10 4BZ</t>
  </si>
  <si>
    <t>CBDU5241</t>
  </si>
  <si>
    <t>Rear of 12-14 Railway Terrace</t>
  </si>
  <si>
    <t>CF64 2TT</t>
  </si>
  <si>
    <t>CBDU015070</t>
  </si>
  <si>
    <t>4 Elwy Crescent</t>
  </si>
  <si>
    <t>Cockett</t>
  </si>
  <si>
    <t>SA2 0XB</t>
  </si>
  <si>
    <t>CBDU015071</t>
  </si>
  <si>
    <t>Dream Builders Wales</t>
  </si>
  <si>
    <t>Bryn Street</t>
  </si>
  <si>
    <t>Brynhyfryd</t>
  </si>
  <si>
    <t>SA5 9HR</t>
  </si>
  <si>
    <t>CBDU4684</t>
  </si>
  <si>
    <t>Block H Unit 14 - 15 Penmaen Ind Est</t>
  </si>
  <si>
    <t>Pontllanfraith</t>
  </si>
  <si>
    <t>NP12 2DQ</t>
  </si>
  <si>
    <t>CBDU4937</t>
  </si>
  <si>
    <t>Williams House West Point Industrial Estate</t>
  </si>
  <si>
    <t>CBDU015073</t>
  </si>
  <si>
    <t xml:space="preserve">Pembroke Refinery </t>
  </si>
  <si>
    <t>PEMBROKE</t>
  </si>
  <si>
    <t>SA71 5SJ</t>
  </si>
  <si>
    <t>CBDU4907</t>
  </si>
  <si>
    <t>2 Maes Y Dre</t>
  </si>
  <si>
    <t>LL15 1DB</t>
  </si>
  <si>
    <t>CBDU4487</t>
  </si>
  <si>
    <t>Unit 78 Springvale Industrial Estate</t>
  </si>
  <si>
    <t>NP44 5BE</t>
  </si>
  <si>
    <t>CBDU5224</t>
  </si>
  <si>
    <t>Islawen Farm Caeau Duon</t>
  </si>
  <si>
    <t>Pen-Coed</t>
  </si>
  <si>
    <t>CF35 6SP</t>
  </si>
  <si>
    <t>CBDU5315</t>
  </si>
  <si>
    <t>The Garage</t>
  </si>
  <si>
    <t>Llannerch-y-Medd</t>
  </si>
  <si>
    <t>LL71 8EB</t>
  </si>
  <si>
    <t>CBDU5322</t>
  </si>
  <si>
    <t>Unit 7 Lon Parcwr Industrial Estate</t>
  </si>
  <si>
    <t>Rhuthun</t>
  </si>
  <si>
    <t>LL15 1NJ</t>
  </si>
  <si>
    <t>CBDU015095</t>
  </si>
  <si>
    <t>Unit 3A Efi Ind Est</t>
  </si>
  <si>
    <t>E F I Industrial Estate</t>
  </si>
  <si>
    <t>Brecon Road</t>
  </si>
  <si>
    <t>CF47 8RB</t>
  </si>
  <si>
    <t>CBDU5348</t>
  </si>
  <si>
    <t>Tredegar Street Risca</t>
  </si>
  <si>
    <t>NP11 6BU</t>
  </si>
  <si>
    <t>CBDU5150</t>
  </si>
  <si>
    <t>Cae Goronwy Bontddu</t>
  </si>
  <si>
    <t>LL40 2UR</t>
  </si>
  <si>
    <t>CBDU4698</t>
  </si>
  <si>
    <t>Castle Lane Hay On Wye</t>
  </si>
  <si>
    <t>Hay On Wye</t>
  </si>
  <si>
    <t>HR3 5AF</t>
  </si>
  <si>
    <t>CBDU5212</t>
  </si>
  <si>
    <t>Unit 2 Purcell Avenue Industrial Estate</t>
  </si>
  <si>
    <t>Sandfields</t>
  </si>
  <si>
    <t>PORT TALBOT</t>
  </si>
  <si>
    <t>SA12 7TZ</t>
  </si>
  <si>
    <t>CBDL015096</t>
  </si>
  <si>
    <t>Manor Side Cottage</t>
  </si>
  <si>
    <t>The Narth</t>
  </si>
  <si>
    <t>NP25 4QY</t>
  </si>
  <si>
    <t>CBDL015097</t>
  </si>
  <si>
    <t>Room 403 Swansea University</t>
  </si>
  <si>
    <t>Singleton Park</t>
  </si>
  <si>
    <t>SA2 8PP</t>
  </si>
  <si>
    <t>CBDU015098</t>
  </si>
  <si>
    <t>Unit 48A Symondscliffe Way</t>
  </si>
  <si>
    <t>NP26 5PW</t>
  </si>
  <si>
    <t>CBDL015099</t>
  </si>
  <si>
    <t>45 Blanche Street</t>
  </si>
  <si>
    <t>CF24 1QS</t>
  </si>
  <si>
    <t>CBDL015100</t>
  </si>
  <si>
    <t>Wright Landscapes Ltd</t>
  </si>
  <si>
    <t>Elm Works Pinfold Lane</t>
  </si>
  <si>
    <t>Alltami</t>
  </si>
  <si>
    <t>CH7 6NZ</t>
  </si>
  <si>
    <t>CBDU015101</t>
  </si>
  <si>
    <t>The Verlands</t>
  </si>
  <si>
    <t>Beaufort Road</t>
  </si>
  <si>
    <t>Osbaston</t>
  </si>
  <si>
    <t>NP25 3HU</t>
  </si>
  <si>
    <t>CBDU5281</t>
  </si>
  <si>
    <t xml:space="preserve">279 Malpas Road </t>
  </si>
  <si>
    <t>NP20 6WA</t>
  </si>
  <si>
    <t>CBDL015102</t>
  </si>
  <si>
    <t>Farmers Arms</t>
  </si>
  <si>
    <t>St. Illtyds Road</t>
  </si>
  <si>
    <t>Upper Church Village</t>
  </si>
  <si>
    <t>CF38 1EB</t>
  </si>
  <si>
    <t>CBDL015103</t>
  </si>
  <si>
    <t>Unit F1</t>
  </si>
  <si>
    <t>Britannia Centre For Enterprise</t>
  </si>
  <si>
    <t>Pengam</t>
  </si>
  <si>
    <t>NP12 3SP</t>
  </si>
  <si>
    <t>CBDU015104</t>
  </si>
  <si>
    <t>1 Brynderwen Road</t>
  </si>
  <si>
    <t>Cilfynydd</t>
  </si>
  <si>
    <t>CF37 4EU</t>
  </si>
  <si>
    <t>CBDU4745</t>
  </si>
  <si>
    <t xml:space="preserve">6 Bronhaul </t>
  </si>
  <si>
    <t>CF44 0DW</t>
  </si>
  <si>
    <t>CBDU5461</t>
  </si>
  <si>
    <t>Hammond E S C Ltd</t>
  </si>
  <si>
    <t>Rear of ATS Tyres Canal Road</t>
  </si>
  <si>
    <t>Cwmbach</t>
  </si>
  <si>
    <t>CF44 0AE</t>
  </si>
  <si>
    <t>CBDU5219</t>
  </si>
  <si>
    <t xml:space="preserve">25 Hollybush Road </t>
  </si>
  <si>
    <t>CF23 6SY</t>
  </si>
  <si>
    <t>CBDU015107</t>
  </si>
  <si>
    <t>155 Haven Road</t>
  </si>
  <si>
    <t>Haverfordwest</t>
  </si>
  <si>
    <t>SA61 1DL</t>
  </si>
  <si>
    <t>CBDL015117</t>
  </si>
  <si>
    <t>Hillcrest</t>
  </si>
  <si>
    <t>The Ridgeway</t>
  </si>
  <si>
    <t>Penally</t>
  </si>
  <si>
    <t>SA70 7NT</t>
  </si>
  <si>
    <t>CBDU4929</t>
  </si>
  <si>
    <t>Penllain Ffordd Amlwch</t>
  </si>
  <si>
    <t>Benllech</t>
  </si>
  <si>
    <t>Tyn-y-Gongl</t>
  </si>
  <si>
    <t>LL74 8RU</t>
  </si>
  <si>
    <t>CBDU4982</t>
  </si>
  <si>
    <t>Unit 1 Glendale Avenue</t>
  </si>
  <si>
    <t>Sandycroft Industrial Estate</t>
  </si>
  <si>
    <t>CH5 2QP</t>
  </si>
  <si>
    <t>CBDU4975</t>
  </si>
  <si>
    <t>1 Heol Y Sunningdale Baglan</t>
  </si>
  <si>
    <t>SA12 8NW</t>
  </si>
  <si>
    <t>CBDU015118</t>
  </si>
  <si>
    <t>24 St. Johns Road</t>
  </si>
  <si>
    <t>NP19 8GW</t>
  </si>
  <si>
    <t>CBDL015119</t>
  </si>
  <si>
    <t>Tynllywyn</t>
  </si>
  <si>
    <t>Llanddewi Brefi</t>
  </si>
  <si>
    <t>SY256NY</t>
  </si>
  <si>
    <t>CBDU015120</t>
  </si>
  <si>
    <t>378 Cowbridge Road West</t>
  </si>
  <si>
    <t>CF5 5BY</t>
  </si>
  <si>
    <t>CBDU015121</t>
  </si>
  <si>
    <t xml:space="preserve">10 Min Y Mor Road </t>
  </si>
  <si>
    <t>LL65 1AW</t>
  </si>
  <si>
    <t>CBDU5425</t>
  </si>
  <si>
    <t xml:space="preserve">Brynford </t>
  </si>
  <si>
    <t>CH8 8AD</t>
  </si>
  <si>
    <t>CBDU5346</t>
  </si>
  <si>
    <t xml:space="preserve">44 Newlands Street </t>
  </si>
  <si>
    <t>CF62 8DZ</t>
  </si>
  <si>
    <t>CBDL015126</t>
  </si>
  <si>
    <t>Unit 7</t>
  </si>
  <si>
    <t>Treowain Enterprise Park</t>
  </si>
  <si>
    <t>Forge Road</t>
  </si>
  <si>
    <t>Machynlleth</t>
  </si>
  <si>
    <t>SY208EG</t>
  </si>
  <si>
    <t>CBDL015131</t>
  </si>
  <si>
    <t xml:space="preserve">6 Haytor Road </t>
  </si>
  <si>
    <t>LL11 2PT</t>
  </si>
  <si>
    <t>CBDL015132</t>
  </si>
  <si>
    <t>Caerau Discount Store</t>
  </si>
  <si>
    <t>76-76 Caerau Road</t>
  </si>
  <si>
    <t>cf34 0pr</t>
  </si>
  <si>
    <t>CBDU015136</t>
  </si>
  <si>
    <t>Unit 118</t>
  </si>
  <si>
    <t>Dyffaty Park</t>
  </si>
  <si>
    <t>SA16 0FB</t>
  </si>
  <si>
    <t>CBDU5508</t>
  </si>
  <si>
    <t>Haldon House Cardiff Road</t>
  </si>
  <si>
    <t>Glan-y-Llyn</t>
  </si>
  <si>
    <t>Taffs Well</t>
  </si>
  <si>
    <t>CF15 7QD</t>
  </si>
  <si>
    <t>CBDU5447</t>
  </si>
  <si>
    <t>Unit A-B European Terminal Building</t>
  </si>
  <si>
    <t>22 Pantglas Industrial Estate</t>
  </si>
  <si>
    <t>Bedwas</t>
  </si>
  <si>
    <t>CBDU4940</t>
  </si>
  <si>
    <t>Block A Western Industrial Estate</t>
  </si>
  <si>
    <t>Lon-y-Llyn</t>
  </si>
  <si>
    <t>CF83 1NA</t>
  </si>
  <si>
    <t>CBDU5105</t>
  </si>
  <si>
    <t>Communications House Grange Industrial Estate</t>
  </si>
  <si>
    <t>NP44 8HQ</t>
  </si>
  <si>
    <t>CBDU015174</t>
  </si>
  <si>
    <t>P H H Environmental Ltd</t>
  </si>
  <si>
    <t>Forgeside House Cardiff Bay Business Centre</t>
  </si>
  <si>
    <t>Forgeside Close</t>
  </si>
  <si>
    <t>CF24 5FA</t>
  </si>
  <si>
    <t>CBDU015175</t>
  </si>
  <si>
    <t>The Old Grange</t>
  </si>
  <si>
    <t>Llandogo</t>
  </si>
  <si>
    <t>NP25 4TW</t>
  </si>
  <si>
    <t>CBDU5473</t>
  </si>
  <si>
    <t>Bryn Pistyll Waunfawr</t>
  </si>
  <si>
    <t>LL55 4BJ</t>
  </si>
  <si>
    <t>Broker / Dealer</t>
  </si>
  <si>
    <t>CBDU5098</t>
  </si>
  <si>
    <t>Llwyn Gwyn Llangybi</t>
  </si>
  <si>
    <t>LL53 6SR</t>
  </si>
  <si>
    <t>CBDU015178</t>
  </si>
  <si>
    <t>Jenjo Ltd</t>
  </si>
  <si>
    <t>Fairways</t>
  </si>
  <si>
    <t>St. Lukes Road</t>
  </si>
  <si>
    <t>Dukestown</t>
  </si>
  <si>
    <t>NP22 4EN</t>
  </si>
  <si>
    <t>CBDL015179</t>
  </si>
  <si>
    <t>Unit 1.2</t>
  </si>
  <si>
    <t>Trostre Industrial Park</t>
  </si>
  <si>
    <t>Charity or Voluntary Organisation</t>
  </si>
  <si>
    <t>CBDU015180</t>
  </si>
  <si>
    <t>2 Hampsons Grove</t>
  </si>
  <si>
    <t>Ruabon</t>
  </si>
  <si>
    <t>LL14 6AN</t>
  </si>
  <si>
    <t>CBDU5004</t>
  </si>
  <si>
    <t>Ael Y Garth</t>
  </si>
  <si>
    <t>Nant y Garth</t>
  </si>
  <si>
    <t>Y Felinheli</t>
  </si>
  <si>
    <t>LL56 4QE</t>
  </si>
  <si>
    <t>CBDU015185</t>
  </si>
  <si>
    <t>Castle-A-Buff Farm</t>
  </si>
  <si>
    <t>Brockweir</t>
  </si>
  <si>
    <t>NP16 7NW</t>
  </si>
  <si>
    <t>CBDU5587</t>
  </si>
  <si>
    <t xml:space="preserve">Cross Lane </t>
  </si>
  <si>
    <t>Llangollen</t>
  </si>
  <si>
    <t>LL20 8HU</t>
  </si>
  <si>
    <t>CBDL015187</t>
  </si>
  <si>
    <t>Glynmeirch Farm Tyn Y Pant Road</t>
  </si>
  <si>
    <t>SA8 4RL</t>
  </si>
  <si>
    <t>CBDU015188</t>
  </si>
  <si>
    <t>CBDU015196</t>
  </si>
  <si>
    <t>D R P Glass &amp; Glazing Ltd</t>
  </si>
  <si>
    <t>16 New Tredegar Business Park</t>
  </si>
  <si>
    <t>Elliots Town</t>
  </si>
  <si>
    <t>NP24 6BH</t>
  </si>
  <si>
    <t>CBDL015201</t>
  </si>
  <si>
    <t>Cedar Bungalow</t>
  </si>
  <si>
    <t>Plough Road</t>
  </si>
  <si>
    <t>Penperlleni</t>
  </si>
  <si>
    <t>NP4 0AL</t>
  </si>
  <si>
    <t>CBDL015202</t>
  </si>
  <si>
    <t>Greenthumb</t>
  </si>
  <si>
    <t>Unit 7 Fairwater Workshops</t>
  </si>
  <si>
    <t>Norbury Road</t>
  </si>
  <si>
    <t>CF5 3BG</t>
  </si>
  <si>
    <t>CBDU5147</t>
  </si>
  <si>
    <t xml:space="preserve">1 Bessemer Close </t>
  </si>
  <si>
    <t>CBDL015203</t>
  </si>
  <si>
    <t>19-20 Plasmelin Flats</t>
  </si>
  <si>
    <t>Westbourne Road</t>
  </si>
  <si>
    <t>CF14 2BT</t>
  </si>
  <si>
    <t>CBDU5777</t>
  </si>
  <si>
    <t>M and M Lowloaders Ltd Moy Road Industrial Estate</t>
  </si>
  <si>
    <t>cf157QR</t>
  </si>
  <si>
    <t>CBDU5540</t>
  </si>
  <si>
    <t xml:space="preserve">Adelaide Street </t>
  </si>
  <si>
    <t>NP20 5NF</t>
  </si>
  <si>
    <t>CBDU5301</t>
  </si>
  <si>
    <t xml:space="preserve">117 Bute Street </t>
  </si>
  <si>
    <t>CF42 6AY</t>
  </si>
  <si>
    <t>CBDU015204</t>
  </si>
  <si>
    <t>Unit 6</t>
  </si>
  <si>
    <t>Chelgrove Business centre</t>
  </si>
  <si>
    <t>Chelgrove</t>
  </si>
  <si>
    <t>Chichester</t>
  </si>
  <si>
    <t>Wes Sussex</t>
  </si>
  <si>
    <t>PO18 9HU</t>
  </si>
  <si>
    <t>CBDU015205</t>
  </si>
  <si>
    <t>54 Birchgrove Road</t>
  </si>
  <si>
    <t>Birchgrove</t>
  </si>
  <si>
    <t>SA7 9JR</t>
  </si>
  <si>
    <t>CBDU015206</t>
  </si>
  <si>
    <t>Cefn Rhyswg Farm</t>
  </si>
  <si>
    <t>Cwmcarn</t>
  </si>
  <si>
    <t>NP11 7FB</t>
  </si>
  <si>
    <t>CBDU5353</t>
  </si>
  <si>
    <t>Unit 1C Glan Y Morfa Industrial Estate</t>
  </si>
  <si>
    <t>CBDU5758</t>
  </si>
  <si>
    <t>23 Lon Cadog Sketty</t>
  </si>
  <si>
    <t>SA2 0TS</t>
  </si>
  <si>
    <t>CBDU5598</t>
  </si>
  <si>
    <t>Montague House Clifton Street</t>
  </si>
  <si>
    <t>Talacharn</t>
  </si>
  <si>
    <t>SA33 4QG</t>
  </si>
  <si>
    <t>CBDU5572</t>
  </si>
  <si>
    <t>Rhosfawr Bowls Road</t>
  </si>
  <si>
    <t>Blaenporth</t>
  </si>
  <si>
    <t>SA43 2AR</t>
  </si>
  <si>
    <t>CBDU5685</t>
  </si>
  <si>
    <t>Unit 26 Ponthenry Industrial Estate</t>
  </si>
  <si>
    <t>Pont Henri</t>
  </si>
  <si>
    <t>SA15 5RA</t>
  </si>
  <si>
    <t>CBDU015207</t>
  </si>
  <si>
    <t>5 Hazelbeach Road</t>
  </si>
  <si>
    <t>Waterston</t>
  </si>
  <si>
    <t>SA73 1DX</t>
  </si>
  <si>
    <t>CBDL015208</t>
  </si>
  <si>
    <t>38 Canterbury Drive</t>
  </si>
  <si>
    <t>LL19 8ER</t>
  </si>
  <si>
    <t>CBDU015209</t>
  </si>
  <si>
    <t>Po Box 21 The Old Convent</t>
  </si>
  <si>
    <t>Llanbadaran Road</t>
  </si>
  <si>
    <t>SY23 1WX</t>
  </si>
  <si>
    <t>CBDU015210</t>
  </si>
  <si>
    <t>27 Parcau Avenue</t>
  </si>
  <si>
    <t>CF31 4SZ</t>
  </si>
  <si>
    <t>CBDU5740</t>
  </si>
  <si>
    <t xml:space="preserve">Nant Newydd Quarry </t>
  </si>
  <si>
    <t>LL78 7JJ</t>
  </si>
  <si>
    <t>CBDU5560</t>
  </si>
  <si>
    <t>Cambrian Buildings Lower Lamphey Road</t>
  </si>
  <si>
    <t>Penfro</t>
  </si>
  <si>
    <t>SA71 4AE</t>
  </si>
  <si>
    <t>CBDU015237</t>
  </si>
  <si>
    <t>Kismet</t>
  </si>
  <si>
    <t>The Rhyd</t>
  </si>
  <si>
    <t>NP22 4NB</t>
  </si>
  <si>
    <t>CBDU5499</t>
  </si>
  <si>
    <t>LAS  Recycling Ltd Tregaron Road</t>
  </si>
  <si>
    <t>Ceredigion</t>
  </si>
  <si>
    <t>CBDL000017</t>
  </si>
  <si>
    <t>Heartsease</t>
  </si>
  <si>
    <t>Knighton</t>
  </si>
  <si>
    <t>LD7 1LU</t>
  </si>
  <si>
    <t>CBDU000018</t>
  </si>
  <si>
    <t>Parc Y Llyn</t>
  </si>
  <si>
    <t>Ferwig</t>
  </si>
  <si>
    <t>Cardigan</t>
  </si>
  <si>
    <t>SA43 1QA</t>
  </si>
  <si>
    <t>CBDU000020</t>
  </si>
  <si>
    <t>Harold Smith</t>
  </si>
  <si>
    <t>Unit 32 Llys Edmund Prys</t>
  </si>
  <si>
    <t>CBDU000030</t>
  </si>
  <si>
    <t>33 Maes Awel</t>
  </si>
  <si>
    <t>Fishguard</t>
  </si>
  <si>
    <t>SA65 9QZ</t>
  </si>
  <si>
    <t>CBDU000032</t>
  </si>
  <si>
    <t>Llechryd Farm</t>
  </si>
  <si>
    <t>Ffordd Glan Mor</t>
  </si>
  <si>
    <t>LL43 2AR</t>
  </si>
  <si>
    <t>CBDL000033</t>
  </si>
  <si>
    <t>23 Heol Danyrodyn</t>
  </si>
  <si>
    <t>Pentyrch</t>
  </si>
  <si>
    <t>CF15 9QB</t>
  </si>
  <si>
    <t>CBDL000034</t>
  </si>
  <si>
    <t>7 Cwmnantllwyd Road</t>
  </si>
  <si>
    <t>CBDU000035</t>
  </si>
  <si>
    <t>SA8 4HU</t>
  </si>
  <si>
    <t>CBDU1797</t>
  </si>
  <si>
    <t>Lion Works</t>
  </si>
  <si>
    <t>Pool Road</t>
  </si>
  <si>
    <t>SY16 3AG</t>
  </si>
  <si>
    <t>CBDU014039</t>
  </si>
  <si>
    <t>2 Maes Conwy</t>
  </si>
  <si>
    <t>SA14 8RQ</t>
  </si>
  <si>
    <t>CBDU014040</t>
  </si>
  <si>
    <t>43 Banc-y-Ddraenen</t>
  </si>
  <si>
    <t>SA18 3SR</t>
  </si>
  <si>
    <t>CBDU014041</t>
  </si>
  <si>
    <t>31 Rhiwlas</t>
  </si>
  <si>
    <t>SA10 7RB</t>
  </si>
  <si>
    <t>CBDU014042</t>
  </si>
  <si>
    <t>9 Albion Road</t>
  </si>
  <si>
    <t>SA12 8BY</t>
  </si>
  <si>
    <t>CBDU014043</t>
  </si>
  <si>
    <t>Penyrallt Cottage</t>
  </si>
  <si>
    <t>Llanbedr</t>
  </si>
  <si>
    <t>LL45 2PA</t>
  </si>
  <si>
    <t>CBDU014044</t>
  </si>
  <si>
    <t>Unit 2 Cae Gwyn</t>
  </si>
  <si>
    <t>SY23 3JF</t>
  </si>
  <si>
    <t>CBDU2830</t>
  </si>
  <si>
    <t>Islwyn</t>
  </si>
  <si>
    <t>LL15 1SL</t>
  </si>
  <si>
    <t>CBDU2887</t>
  </si>
  <si>
    <t>City Hire Gorseinon Ltd</t>
  </si>
  <si>
    <t>Prydwen Road</t>
  </si>
  <si>
    <t>Fforestfach</t>
  </si>
  <si>
    <t>SA5 4HN</t>
  </si>
  <si>
    <t>CBDU2873</t>
  </si>
  <si>
    <t>Envirosavers Ltd</t>
  </si>
  <si>
    <t>Unit 22</t>
  </si>
  <si>
    <t>Enterprise Way</t>
  </si>
  <si>
    <t>NP20 2AQ</t>
  </si>
  <si>
    <t>CBDU2854</t>
  </si>
  <si>
    <t>A S A P Sign Services</t>
  </si>
  <si>
    <t>9 Bradley Road</t>
  </si>
  <si>
    <t>LL13 7TG</t>
  </si>
  <si>
    <t>CBDU1821</t>
  </si>
  <si>
    <t>Cardiff Demolition Co Ltd</t>
  </si>
  <si>
    <t>Ty To Maen Farm Newton Road</t>
  </si>
  <si>
    <t>CBDU1730</t>
  </si>
  <si>
    <t>10 Heol Ty Aberaman</t>
  </si>
  <si>
    <t>CF44 6LP</t>
  </si>
  <si>
    <t>CBDU1791</t>
  </si>
  <si>
    <t>Unit 2 Britannia House</t>
  </si>
  <si>
    <t>Pentraeth Road</t>
  </si>
  <si>
    <t>LL59 5RW</t>
  </si>
  <si>
    <t>CBDU1806</t>
  </si>
  <si>
    <t>Kraven Enterprises Ltd</t>
  </si>
  <si>
    <t>11-12 Little Castle Business Park</t>
  </si>
  <si>
    <t>Raglan</t>
  </si>
  <si>
    <t>Usk</t>
  </si>
  <si>
    <t>NP15 2BX</t>
  </si>
  <si>
    <t>CBDU1813</t>
  </si>
  <si>
    <t>Pentre Isaf</t>
  </si>
  <si>
    <t>Mount Road</t>
  </si>
  <si>
    <t>LL17 0DH</t>
  </si>
  <si>
    <t>CBDU1856</t>
  </si>
  <si>
    <t>1 Cambria Street</t>
  </si>
  <si>
    <t>Griffithstown</t>
  </si>
  <si>
    <t>NP4 5HW</t>
  </si>
  <si>
    <t>CBDU1833</t>
  </si>
  <si>
    <t>Checkfire Ltd</t>
  </si>
  <si>
    <t>13 Sir Alfred Owen Way</t>
  </si>
  <si>
    <t>Pontygwindy Industrial Estate</t>
  </si>
  <si>
    <t>CF83 3HU</t>
  </si>
  <si>
    <t>CBDU014064</t>
  </si>
  <si>
    <t>Upper Cwmhir</t>
  </si>
  <si>
    <t>Jerusalem Lane</t>
  </si>
  <si>
    <t>NP4 0TU</t>
  </si>
  <si>
    <t>CBDU014065</t>
  </si>
  <si>
    <t>33 Waterloo Road</t>
  </si>
  <si>
    <t>NP20 4FP</t>
  </si>
  <si>
    <t>CBDU014066</t>
  </si>
  <si>
    <t>24 St. Josephs Court</t>
  </si>
  <si>
    <t>SA15 1NR</t>
  </si>
  <si>
    <t>CBDU014067</t>
  </si>
  <si>
    <t>The Granary</t>
  </si>
  <si>
    <t>Tranch</t>
  </si>
  <si>
    <t>Laleston</t>
  </si>
  <si>
    <t>CF32 0NR</t>
  </si>
  <si>
    <t>CBDL014071</t>
  </si>
  <si>
    <t>Ty Hosbis</t>
  </si>
  <si>
    <t>Whitchurch Hospital Grounds Whitchurch Hospital</t>
  </si>
  <si>
    <t>Park Road Whitchurch</t>
  </si>
  <si>
    <t>CF14 7BF</t>
  </si>
  <si>
    <t>CBDU2896</t>
  </si>
  <si>
    <t>Unit 10 Ash Court</t>
  </si>
  <si>
    <t>Ffordd Y Llyn</t>
  </si>
  <si>
    <t>Parc Menai</t>
  </si>
  <si>
    <t>LL57 4DF</t>
  </si>
  <si>
    <t>CBDU014074</t>
  </si>
  <si>
    <t>Pontypool Community Council</t>
  </si>
  <si>
    <t>35A Commercial Street</t>
  </si>
  <si>
    <t>NP4 6JQ</t>
  </si>
  <si>
    <t>CBDU2924</t>
  </si>
  <si>
    <t>The Grove</t>
  </si>
  <si>
    <t>2 Aberffrwd Road</t>
  </si>
  <si>
    <t>CF45 4DD</t>
  </si>
  <si>
    <t>CBDU2928</t>
  </si>
  <si>
    <t>Briar Bank</t>
  </si>
  <si>
    <t>Derllwyn Road</t>
  </si>
  <si>
    <t>Tondu</t>
  </si>
  <si>
    <t>CF32 9DG</t>
  </si>
  <si>
    <t>CBDU1815</t>
  </si>
  <si>
    <t>78 Heol Y Glyn</t>
  </si>
  <si>
    <t>Cymmer</t>
  </si>
  <si>
    <t>SA13 3NB</t>
  </si>
  <si>
    <t>CBDU1932</t>
  </si>
  <si>
    <t>W R W Construction  Ltd</t>
  </si>
  <si>
    <t>Anchor Point</t>
  </si>
  <si>
    <t>North Dock</t>
  </si>
  <si>
    <t>SA15 2LF</t>
  </si>
  <si>
    <t>CBDU2741</t>
  </si>
  <si>
    <t>Unit 2 Llanelli Gate</t>
  </si>
  <si>
    <t>Dafen</t>
  </si>
  <si>
    <t>SA14 8LQ</t>
  </si>
  <si>
    <t>CBDU014116</t>
  </si>
  <si>
    <t>Ty Newydd Farm Axton</t>
  </si>
  <si>
    <t>CH8 9DH</t>
  </si>
  <si>
    <t>CBDU014117</t>
  </si>
  <si>
    <t>Good Hope</t>
  </si>
  <si>
    <t>Letterston</t>
  </si>
  <si>
    <t>SA62 5UD</t>
  </si>
  <si>
    <t>CBDU014118</t>
  </si>
  <si>
    <t>Church Lane Coedkernew</t>
  </si>
  <si>
    <t>NP10 8TU</t>
  </si>
  <si>
    <t>CBDU014119</t>
  </si>
  <si>
    <t>7 Caer Street</t>
  </si>
  <si>
    <t>SA1 3PP</t>
  </si>
  <si>
    <t>CBDU2938</t>
  </si>
  <si>
    <t>Unit 8 Ely Bridge Induatrial Estate</t>
  </si>
  <si>
    <t>Wroughton Place Ely</t>
  </si>
  <si>
    <t>CF5 4AQ</t>
  </si>
  <si>
    <t>CBDU2977</t>
  </si>
  <si>
    <t>CBDU2701</t>
  </si>
  <si>
    <t>Bromfield Westra</t>
  </si>
  <si>
    <t>Dinas Powys</t>
  </si>
  <si>
    <t>CF64 4HA</t>
  </si>
  <si>
    <t>CBDU2675</t>
  </si>
  <si>
    <t>Unit 2 Parc Ferryman Block B</t>
  </si>
  <si>
    <t>Newbridge Road Industrial Estate</t>
  </si>
  <si>
    <t>NP12 2XF</t>
  </si>
  <si>
    <t>CBDU2680</t>
  </si>
  <si>
    <t>Station House Old Road</t>
  </si>
  <si>
    <t>LL11 3YQ</t>
  </si>
  <si>
    <t>CBDU2663</t>
  </si>
  <si>
    <t>Unit C2 Capel Hendre Industrial Estate</t>
  </si>
  <si>
    <t>SA18 3SJ</t>
  </si>
  <si>
    <t>CBDU014174</t>
  </si>
  <si>
    <t>12 Bryn Tirion Park</t>
  </si>
  <si>
    <t>LL32 8ND</t>
  </si>
  <si>
    <t>CBDU014175</t>
  </si>
  <si>
    <t>52 Minffrwd Road</t>
  </si>
  <si>
    <t>Pencoed</t>
  </si>
  <si>
    <t>CF35 6SD</t>
  </si>
  <si>
    <t>CBDU014176</t>
  </si>
  <si>
    <t>Tenby Glass Upvc Window Centre</t>
  </si>
  <si>
    <t>Lower Park Road</t>
  </si>
  <si>
    <t>SA70 7NG</t>
  </si>
  <si>
    <t>CBDU014177</t>
  </si>
  <si>
    <t>197 Greenway Road</t>
  </si>
  <si>
    <t>CF3 3PJ</t>
  </si>
  <si>
    <t>CBDU014178</t>
  </si>
  <si>
    <t>Unit 2B</t>
  </si>
  <si>
    <t>NP19 0RD</t>
  </si>
  <si>
    <t>CBDU014179</t>
  </si>
  <si>
    <t>4 Stratford Close</t>
  </si>
  <si>
    <t>LL12 7UR</t>
  </si>
  <si>
    <t>CBDU014180</t>
  </si>
  <si>
    <t>Cae Llewelyn Llewelyn Road</t>
  </si>
  <si>
    <t>Vron</t>
  </si>
  <si>
    <t>Tanyfron</t>
  </si>
  <si>
    <t>LL11 5TL</t>
  </si>
  <si>
    <t>CBDU014181</t>
  </si>
  <si>
    <t>5 Greys Terrace</t>
  </si>
  <si>
    <t>SA7 9QB</t>
  </si>
  <si>
    <t>CBDU2534</t>
  </si>
  <si>
    <t>56 Clyde Street Risca</t>
  </si>
  <si>
    <t>NP11 6BG</t>
  </si>
  <si>
    <t>CBDU2984</t>
  </si>
  <si>
    <t>Argoed Edwin Farm Llanharan</t>
  </si>
  <si>
    <t>CF72 9NG</t>
  </si>
  <si>
    <t>CBDU2927</t>
  </si>
  <si>
    <t>Pantyffynnon Salem</t>
  </si>
  <si>
    <t>Llandeilo</t>
  </si>
  <si>
    <t>SA19 7NR</t>
  </si>
  <si>
    <t>CBDU014190</t>
  </si>
  <si>
    <t>41 Wiston Path</t>
  </si>
  <si>
    <t>Fairwater</t>
  </si>
  <si>
    <t>NP44 4PY</t>
  </si>
  <si>
    <t>CBDU014191</t>
  </si>
  <si>
    <t>The Office</t>
  </si>
  <si>
    <t>Ffordd Pentre Bach</t>
  </si>
  <si>
    <t>Nercwys</t>
  </si>
  <si>
    <t>CH7 4EG</t>
  </si>
  <si>
    <t>CBDU014192</t>
  </si>
  <si>
    <t>22 Oaklands Park Ystrad Road</t>
  </si>
  <si>
    <t>SA5 4BX</t>
  </si>
  <si>
    <t>CBDU014193</t>
  </si>
  <si>
    <t>35 Dan-y-Coed</t>
  </si>
  <si>
    <t>Tonmawr</t>
  </si>
  <si>
    <t>SA12 9UH</t>
  </si>
  <si>
    <t>CBDU014194</t>
  </si>
  <si>
    <t>Unit 3E Palmers Vale Business Centre</t>
  </si>
  <si>
    <t>CF63 2XA</t>
  </si>
  <si>
    <t>CBDU014195</t>
  </si>
  <si>
    <t>253 Llangyfelach Road</t>
  </si>
  <si>
    <t>SA5 9LD</t>
  </si>
  <si>
    <t>CBDU014196</t>
  </si>
  <si>
    <t>Ullyses Ltd</t>
  </si>
  <si>
    <t>Unit 16 Phoenix Business Park</t>
  </si>
  <si>
    <t>Telford Street</t>
  </si>
  <si>
    <t>NP19 0LW</t>
  </si>
  <si>
    <t>CBDU014197</t>
  </si>
  <si>
    <t>Total Doors UK Ltd</t>
  </si>
  <si>
    <t>Unit 5 Heol Aur</t>
  </si>
  <si>
    <t>Dafen Industrial Estate Dafen</t>
  </si>
  <si>
    <t>SA14 8QN</t>
  </si>
  <si>
    <t>CBDU014198</t>
  </si>
  <si>
    <t>Tir Llwyd Industrial Estate</t>
  </si>
  <si>
    <t>Kinmel Bay</t>
  </si>
  <si>
    <t>LL18 5JA</t>
  </si>
  <si>
    <t>CBDU014199</t>
  </si>
  <si>
    <t>Twenty4 Fire &amp; Security Limited</t>
  </si>
  <si>
    <t>376 Newport Road</t>
  </si>
  <si>
    <t>CF23 9AE</t>
  </si>
  <si>
    <t>CBDL014222</t>
  </si>
  <si>
    <t>8 Princes Walk</t>
  </si>
  <si>
    <t>NP4 0PF</t>
  </si>
  <si>
    <t>CBDL014223</t>
  </si>
  <si>
    <t>48 Golf Road</t>
  </si>
  <si>
    <t>NP4 0PR</t>
  </si>
  <si>
    <t>CBDL014224</t>
  </si>
  <si>
    <t>Whitethorn Drive</t>
  </si>
  <si>
    <t>Brackla</t>
  </si>
  <si>
    <t>CF31 2PQ</t>
  </si>
  <si>
    <t>CBDL014251</t>
  </si>
  <si>
    <t>Dingle Farm</t>
  </si>
  <si>
    <t>Dingle Lane</t>
  </si>
  <si>
    <t>Crundale</t>
  </si>
  <si>
    <t>SA62 4DJ</t>
  </si>
  <si>
    <t>CBDL014252</t>
  </si>
  <si>
    <t>Showroom 1 Sandy Bridge</t>
  </si>
  <si>
    <t>Pembrey Road</t>
  </si>
  <si>
    <t>SA15 3EU</t>
  </si>
  <si>
    <t>CBDL014256</t>
  </si>
  <si>
    <t>172 Keyston Road</t>
  </si>
  <si>
    <t>CF5 3NJ</t>
  </si>
  <si>
    <t>CBDL014261</t>
  </si>
  <si>
    <t>St. Wulstans Farm</t>
  </si>
  <si>
    <t>Welsh Newton Common</t>
  </si>
  <si>
    <t>NP25 5RT</t>
  </si>
  <si>
    <t>CBDL014262</t>
  </si>
  <si>
    <t>Buckholt House Farm</t>
  </si>
  <si>
    <t>Buckholt</t>
  </si>
  <si>
    <t>NP25 5RZ</t>
  </si>
  <si>
    <t>CBDU2603</t>
  </si>
  <si>
    <t>West View North Road</t>
  </si>
  <si>
    <t>SY22 6EA</t>
  </si>
  <si>
    <t>CBDL014263</t>
  </si>
  <si>
    <t>Drury Industrial Estate Drury Lane</t>
  </si>
  <si>
    <t>Bwcle</t>
  </si>
  <si>
    <t>CH7 3DZ</t>
  </si>
  <si>
    <t>CBDL014264</t>
  </si>
  <si>
    <t>Siambar Wen Gwyddelwern</t>
  </si>
  <si>
    <t>Corwen</t>
  </si>
  <si>
    <t>LL21 9DU</t>
  </si>
  <si>
    <t>CBDL014265</t>
  </si>
  <si>
    <t>40A Richards Street</t>
  </si>
  <si>
    <t>CF24 4DA</t>
  </si>
  <si>
    <t>CBDL014266</t>
  </si>
  <si>
    <t>Ideal Stores</t>
  </si>
  <si>
    <t>392 Caerleon Road</t>
  </si>
  <si>
    <t>NP19 7LT</t>
  </si>
  <si>
    <t>CBDL014267</t>
  </si>
  <si>
    <t>21 Sandpiper Road</t>
  </si>
  <si>
    <t>CF36 3UF</t>
  </si>
  <si>
    <t>CBDL014271</t>
  </si>
  <si>
    <t>Bryn Awel Farm</t>
  </si>
  <si>
    <t>SA10 8PU</t>
  </si>
  <si>
    <t>CBDU014295</t>
  </si>
  <si>
    <t>5 Pantydwr</t>
  </si>
  <si>
    <t>Llandeilo Road</t>
  </si>
  <si>
    <t>Upper Brynamman</t>
  </si>
  <si>
    <t>SA18 1BE</t>
  </si>
  <si>
    <t>CBDU014296</t>
  </si>
  <si>
    <t>48 Pendre Avenue</t>
  </si>
  <si>
    <t>LL18 4NQ</t>
  </si>
  <si>
    <t>CBDU014297</t>
  </si>
  <si>
    <t>Antur Teifi Cyf</t>
  </si>
  <si>
    <t>Antur Teifi Business Park</t>
  </si>
  <si>
    <t>Heol Arad Aberarad</t>
  </si>
  <si>
    <t>SA38 9DB</t>
  </si>
  <si>
    <t>IR23194</t>
  </si>
  <si>
    <t>CBDU014298</t>
  </si>
  <si>
    <t>44 Penmark Green</t>
  </si>
  <si>
    <t>CF5 4QN</t>
  </si>
  <si>
    <t>CBDU014299</t>
  </si>
  <si>
    <t>38 Tennyson Road</t>
  </si>
  <si>
    <t>CF64 2RZ</t>
  </si>
  <si>
    <t>CBDU014300</t>
  </si>
  <si>
    <t>38 Trewen Road</t>
  </si>
  <si>
    <t>SA7 9PJ</t>
  </si>
  <si>
    <t>CBDU3371</t>
  </si>
  <si>
    <t>Llannerch Ddyfi</t>
  </si>
  <si>
    <t>Cemmaes Road</t>
  </si>
  <si>
    <t>SY20 8JZ</t>
  </si>
  <si>
    <t>CBDL014320</t>
  </si>
  <si>
    <t>Ying Yang Ltd</t>
  </si>
  <si>
    <t>91 Station Street</t>
  </si>
  <si>
    <t>CF63 4LX</t>
  </si>
  <si>
    <t>CBDU014353</t>
  </si>
  <si>
    <t>Safer Surfacing Ltd Units A-D</t>
  </si>
  <si>
    <t>Deva Industrial Est Factory Road</t>
  </si>
  <si>
    <t>CBDU014354</t>
  </si>
  <si>
    <t>Safer Surfacing Ltd</t>
  </si>
  <si>
    <t>CBDU014355</t>
  </si>
  <si>
    <t>18 Allt Dderw</t>
  </si>
  <si>
    <t>CF31 5BZ</t>
  </si>
  <si>
    <t>CBDU3653</t>
  </si>
  <si>
    <t>Independence UK Ltd</t>
  </si>
  <si>
    <t>Shands Road</t>
  </si>
  <si>
    <t>SA18 3QU</t>
  </si>
  <si>
    <t>CBDU3620</t>
  </si>
  <si>
    <t>Swn Y Nant</t>
  </si>
  <si>
    <t>Llangyndeyrn</t>
  </si>
  <si>
    <t>Kidwelly</t>
  </si>
  <si>
    <t>SA17 5BN</t>
  </si>
  <si>
    <t>CBDU014356</t>
  </si>
  <si>
    <t>Llwynhywel</t>
  </si>
  <si>
    <t>SA20 0EL</t>
  </si>
  <si>
    <t>CBDU2083</t>
  </si>
  <si>
    <t>2 Cork Drive</t>
  </si>
  <si>
    <t>Pontprennau</t>
  </si>
  <si>
    <t>CF23 8PU</t>
  </si>
  <si>
    <t>CBDU2950</t>
  </si>
  <si>
    <t>Noddfa House</t>
  </si>
  <si>
    <t>Ebenezer Street</t>
  </si>
  <si>
    <t>CF44 8NU</t>
  </si>
  <si>
    <t>CBDU014357</t>
  </si>
  <si>
    <t>9 Kildare Street</t>
  </si>
  <si>
    <t>SA5 9PH</t>
  </si>
  <si>
    <t>CBDU014358</t>
  </si>
  <si>
    <t>Rhiwderyn</t>
  </si>
  <si>
    <t>Llannon</t>
  </si>
  <si>
    <t>SA14 8JZ</t>
  </si>
  <si>
    <t>CBDU014359</t>
  </si>
  <si>
    <t>Elite Maintenance Solutions Ltd</t>
  </si>
  <si>
    <t>Suite 3</t>
  </si>
  <si>
    <t>Dura Park off Yspitty Road</t>
  </si>
  <si>
    <t>SA14 9TD</t>
  </si>
  <si>
    <t>CBDU3394</t>
  </si>
  <si>
    <t>39 New Road</t>
  </si>
  <si>
    <t>SA61 1TU</t>
  </si>
  <si>
    <t>CBDL014400</t>
  </si>
  <si>
    <t>59 Corporation Avenue</t>
  </si>
  <si>
    <t>SA15 3NH</t>
  </si>
  <si>
    <t>CBDL014401</t>
  </si>
  <si>
    <t>11 Maes Y Farchnad</t>
  </si>
  <si>
    <t>SA19 6ND</t>
  </si>
  <si>
    <t>CBDL014402</t>
  </si>
  <si>
    <t>Glyndwr University</t>
  </si>
  <si>
    <t>Plas Coch</t>
  </si>
  <si>
    <t>LL11 2AW</t>
  </si>
  <si>
    <t>CBDL014403</t>
  </si>
  <si>
    <t>14 Bryndulais</t>
  </si>
  <si>
    <t>SA19 8AG</t>
  </si>
  <si>
    <t>CBDL014404</t>
  </si>
  <si>
    <t>Trewallter Fawr</t>
  </si>
  <si>
    <t>Walterston</t>
  </si>
  <si>
    <t>CF62 3AS</t>
  </si>
  <si>
    <t>CBDL014405</t>
  </si>
  <si>
    <t>Ashbys</t>
  </si>
  <si>
    <t>Unit 4A Brecon Court</t>
  </si>
  <si>
    <t>William Brown Close Llantarnam Industrial Park</t>
  </si>
  <si>
    <t>NP44 3AB</t>
  </si>
  <si>
    <t>CBDL014406</t>
  </si>
  <si>
    <t>Y Castell</t>
  </si>
  <si>
    <t>Rhodiad</t>
  </si>
  <si>
    <t>St. Davids</t>
  </si>
  <si>
    <t>SA62 6PW</t>
  </si>
  <si>
    <t>CBDL014407</t>
  </si>
  <si>
    <t>Pantglas</t>
  </si>
  <si>
    <t>Bronwydd Arms</t>
  </si>
  <si>
    <t>SA33 6BN</t>
  </si>
  <si>
    <t>CBDL014408</t>
  </si>
  <si>
    <t>71 Blaendare Road</t>
  </si>
  <si>
    <t>NP4 5RU</t>
  </si>
  <si>
    <t>CBDL014409</t>
  </si>
  <si>
    <t>Fforrest Farm</t>
  </si>
  <si>
    <t>Star Crossing Road</t>
  </si>
  <si>
    <t>Cilcain</t>
  </si>
  <si>
    <t>CH7 5NW</t>
  </si>
  <si>
    <t>CBDL014410</t>
  </si>
  <si>
    <t>3 Woodside Avenue</t>
  </si>
  <si>
    <t>SA71 4QN</t>
  </si>
  <si>
    <t>CBDL014411</t>
  </si>
  <si>
    <t>McLintock Chartered Accountants</t>
  </si>
  <si>
    <t>2 Hilliards Court</t>
  </si>
  <si>
    <t>Chester Business Park</t>
  </si>
  <si>
    <t>Cheshire</t>
  </si>
  <si>
    <t>CH4 9PX</t>
  </si>
  <si>
    <t>CBDU3544</t>
  </si>
  <si>
    <t>67 Crwys Terrace</t>
  </si>
  <si>
    <t>SA5 9AH</t>
  </si>
  <si>
    <t>CBDU3730</t>
  </si>
  <si>
    <t>28 Sturmi Way  Village Farm Ind Est</t>
  </si>
  <si>
    <t>CBDU3254</t>
  </si>
  <si>
    <t>Persondy Rhosmeirch</t>
  </si>
  <si>
    <t>LL77 7RQ</t>
  </si>
  <si>
    <t>CBDU014430</t>
  </si>
  <si>
    <t>87 St. Isan Road</t>
  </si>
  <si>
    <t>CF14 4LW</t>
  </si>
  <si>
    <t>CBDU014431</t>
  </si>
  <si>
    <t>Riverside Skips Limited</t>
  </si>
  <si>
    <t>Unit 12</t>
  </si>
  <si>
    <t>Greens Industrial Estate</t>
  </si>
  <si>
    <t>The Roe</t>
  </si>
  <si>
    <t>St Asaph</t>
  </si>
  <si>
    <t>ll17 0lt</t>
  </si>
  <si>
    <t>CBDU014445</t>
  </si>
  <si>
    <t>36 Thornhill Way</t>
  </si>
  <si>
    <t>Rogerstone</t>
  </si>
  <si>
    <t>NP10 9FT</t>
  </si>
  <si>
    <t>CBDL014446</t>
  </si>
  <si>
    <t>10 Brunswick Street</t>
  </si>
  <si>
    <t>CF5 1LH</t>
  </si>
  <si>
    <t>CBDL014451</t>
  </si>
  <si>
    <t>Blackwood Road</t>
  </si>
  <si>
    <t>NP12 2YU</t>
  </si>
  <si>
    <t>CBDL014452</t>
  </si>
  <si>
    <t>22 Bridge Street</t>
  </si>
  <si>
    <t>NP15 1BQ</t>
  </si>
  <si>
    <t>CBDL014453</t>
  </si>
  <si>
    <t>26 Conway Crescent</t>
  </si>
  <si>
    <t>Tonteg</t>
  </si>
  <si>
    <t>CF38 1HP</t>
  </si>
  <si>
    <t>CBDU014457</t>
  </si>
  <si>
    <t>18 Gloucester Street</t>
  </si>
  <si>
    <t>CF11 6EJ</t>
  </si>
  <si>
    <t>CBDL014458</t>
  </si>
  <si>
    <t>Maes Pridd</t>
  </si>
  <si>
    <t>Manafon</t>
  </si>
  <si>
    <t>Welshpool</t>
  </si>
  <si>
    <t>SY21 8BP</t>
  </si>
  <si>
    <t>CBDL014459</t>
  </si>
  <si>
    <t>Unit 23</t>
  </si>
  <si>
    <t>Oldbury Business Centre</t>
  </si>
  <si>
    <t>Oldbury Road</t>
  </si>
  <si>
    <t>NP44 3JU</t>
  </si>
  <si>
    <t>CBDL014460</t>
  </si>
  <si>
    <t>Adventureland</t>
  </si>
  <si>
    <t>Unit 5 Viaduct House</t>
  </si>
  <si>
    <t>Merthyr Tydfil Industrial Park Pentrebach</t>
  </si>
  <si>
    <t>CBDU3533</t>
  </si>
  <si>
    <t>Stove &amp; Flue Services</t>
  </si>
  <si>
    <t>1 Bank Quay Bryncelyn</t>
  </si>
  <si>
    <t>Talysarn</t>
  </si>
  <si>
    <t>LL54 6AB</t>
  </si>
  <si>
    <t>CBDL014461</t>
  </si>
  <si>
    <t>CBDU3098</t>
  </si>
  <si>
    <t>Pleasant View</t>
  </si>
  <si>
    <t>Heol Undeb Lane</t>
  </si>
  <si>
    <t>Cwmavon</t>
  </si>
  <si>
    <t>SA12 9DD</t>
  </si>
  <si>
    <t>CBDU3483</t>
  </si>
  <si>
    <t>Cysgod Y Bryn</t>
  </si>
  <si>
    <t>Cilgerran</t>
  </si>
  <si>
    <t>SA43 2SN</t>
  </si>
  <si>
    <t>CBDU014480</t>
  </si>
  <si>
    <t>K Howells Plumbing and Heating Installations LTD</t>
  </si>
  <si>
    <t>11 Ninian Street</t>
  </si>
  <si>
    <t>Treherbert</t>
  </si>
  <si>
    <t>Treorchy</t>
  </si>
  <si>
    <t>CF42 5RD</t>
  </si>
  <si>
    <t>CBDU014490</t>
  </si>
  <si>
    <t>126 Round Wood</t>
  </si>
  <si>
    <t>Llanedeyrn</t>
  </si>
  <si>
    <t>CF23 9PJ</t>
  </si>
  <si>
    <t>CBDU014491</t>
  </si>
  <si>
    <t>Unit b Chilgrove Business Centre Chilgrove Park Road</t>
  </si>
  <si>
    <t>West Sussex</t>
  </si>
  <si>
    <t>PO189HU</t>
  </si>
  <si>
    <t>CBDU014501</t>
  </si>
  <si>
    <t>2 Withybush Lodge</t>
  </si>
  <si>
    <t>CBDU014502</t>
  </si>
  <si>
    <t>19 Ralph Street</t>
  </si>
  <si>
    <t>Borth-y-Gest</t>
  </si>
  <si>
    <t>Porthmadog</t>
  </si>
  <si>
    <t>LL49 9UA</t>
  </si>
  <si>
    <t>CBDU014503</t>
  </si>
  <si>
    <t>The Barn Bodoryn Fawr</t>
  </si>
  <si>
    <t>Rhuddlan Road</t>
  </si>
  <si>
    <t>St. George</t>
  </si>
  <si>
    <t>LL22 9SF</t>
  </si>
  <si>
    <t>CBDU014505</t>
  </si>
  <si>
    <t>8 Cae Stumpie</t>
  </si>
  <si>
    <t>CF71 7DL</t>
  </si>
  <si>
    <t>CBDU014506</t>
  </si>
  <si>
    <t>244 Bridgend Road</t>
  </si>
  <si>
    <t>CF34 0NN</t>
  </si>
  <si>
    <t>CBDU3644</t>
  </si>
  <si>
    <t>Brynteg Garage Llannon Road</t>
  </si>
  <si>
    <t>Tymbl Uchaf</t>
  </si>
  <si>
    <t>SA14 6BT</t>
  </si>
  <si>
    <t>CBDU3547</t>
  </si>
  <si>
    <t>Amico Electrical Services Llwyn Y Graig</t>
  </si>
  <si>
    <t>Garngoch Industrial Estate</t>
  </si>
  <si>
    <t>SA4 9WG</t>
  </si>
  <si>
    <t>CBDU3612</t>
  </si>
  <si>
    <t>Gilfach Wen</t>
  </si>
  <si>
    <t>Llanrhystud</t>
  </si>
  <si>
    <t>SY23 5AD</t>
  </si>
  <si>
    <t>CBDU3456</t>
  </si>
  <si>
    <t>20 Cwrt Pant Yr Awel</t>
  </si>
  <si>
    <t>Lewistown</t>
  </si>
  <si>
    <t>CF32 7HW</t>
  </si>
  <si>
    <t>CBDU3803</t>
  </si>
  <si>
    <t>45  HIGH STREET</t>
  </si>
  <si>
    <t>Cricieth</t>
  </si>
  <si>
    <t>LL52 0EY</t>
  </si>
  <si>
    <t>CBDU014507</t>
  </si>
  <si>
    <t>23-24 Furnace Terrace</t>
  </si>
  <si>
    <t>SA11 2EE</t>
  </si>
  <si>
    <t>CBDU3769</t>
  </si>
  <si>
    <t>3 Snow Terrace Ystradgynlais</t>
  </si>
  <si>
    <t>SA9 1AX</t>
  </si>
  <si>
    <t>CBDU014510</t>
  </si>
  <si>
    <t>Prichard Rail LTD</t>
  </si>
  <si>
    <t>Earthmover's House Unit 16 Llantrisant Business Park</t>
  </si>
  <si>
    <t>CBDU3559</t>
  </si>
  <si>
    <t>82-84 Port Road East</t>
  </si>
  <si>
    <t>CF62 9PU</t>
  </si>
  <si>
    <t>CBDU3494</t>
  </si>
  <si>
    <t>Lower Gaufron Farm</t>
  </si>
  <si>
    <t>Howey</t>
  </si>
  <si>
    <t>LD1 5RG</t>
  </si>
  <si>
    <t>CBDU3900</t>
  </si>
  <si>
    <t>H O S Hire Ltd</t>
  </si>
  <si>
    <t>Canal Road</t>
  </si>
  <si>
    <t>SA11 1LJ</t>
  </si>
  <si>
    <t>CBDU3678</t>
  </si>
  <si>
    <t>69 Wind Street</t>
  </si>
  <si>
    <t>SA18 3DT</t>
  </si>
  <si>
    <t>CBDU014536</t>
  </si>
  <si>
    <t>Hen Ysgubor Garreg</t>
  </si>
  <si>
    <t>CBDU3839</t>
  </si>
  <si>
    <t>90 Stelvio Park Drive</t>
  </si>
  <si>
    <t>NP20 3ES</t>
  </si>
  <si>
    <t>CBDU3660</t>
  </si>
  <si>
    <t>CBDU3426</t>
  </si>
  <si>
    <t>The Old Barn Graig-yr-Hufen Road</t>
  </si>
  <si>
    <t>Senghenydd</t>
  </si>
  <si>
    <t>CF83 4BW</t>
  </si>
  <si>
    <t>CBDU014547</t>
  </si>
  <si>
    <t>68 Llys David Lord</t>
  </si>
  <si>
    <t>LL13 7NZ</t>
  </si>
  <si>
    <t>CBDU4180</t>
  </si>
  <si>
    <t>Gwylfa Rhyl Road</t>
  </si>
  <si>
    <t>LL18 2TP</t>
  </si>
  <si>
    <t>CBDU014548</t>
  </si>
  <si>
    <t>Unit 14</t>
  </si>
  <si>
    <t>Timbercraft Industrial Park</t>
  </si>
  <si>
    <t>Llangattock</t>
  </si>
  <si>
    <t>Crickhowell</t>
  </si>
  <si>
    <t>NP8 1HW</t>
  </si>
  <si>
    <t>CBDU3809</t>
  </si>
  <si>
    <t>28 Sandringham Road</t>
  </si>
  <si>
    <t>Penylan</t>
  </si>
  <si>
    <t>CF23 5BJ</t>
  </si>
  <si>
    <t>CBDU014549</t>
  </si>
  <si>
    <t>Meyrick Estate Management Ltd</t>
  </si>
  <si>
    <t>Estate Office</t>
  </si>
  <si>
    <t>Bodorgan</t>
  </si>
  <si>
    <t>LL62 5LP</t>
  </si>
  <si>
    <t>CBDU3869</t>
  </si>
  <si>
    <t>Victoria Depository Waterston Industrial Estate</t>
  </si>
  <si>
    <t>SA73 1DP</t>
  </si>
  <si>
    <t>CBDU3682</t>
  </si>
  <si>
    <t>Davy Way Llay Industrial Estate</t>
  </si>
  <si>
    <t>Llay</t>
  </si>
  <si>
    <t>LL12 0PG</t>
  </si>
  <si>
    <t>CBDU014550</t>
  </si>
  <si>
    <t>Trafford House</t>
  </si>
  <si>
    <t>Trawscoed</t>
  </si>
  <si>
    <t>Crosswood</t>
  </si>
  <si>
    <t>SY23 4HS</t>
  </si>
  <si>
    <t>CBDU014551</t>
  </si>
  <si>
    <t>CDH Contractors LTD</t>
  </si>
  <si>
    <t>Unit T</t>
  </si>
  <si>
    <t>Caerphilly Business Park</t>
  </si>
  <si>
    <t>CF83 3ED</t>
  </si>
  <si>
    <t>CBDU3788</t>
  </si>
  <si>
    <t>Haldane Court</t>
  </si>
  <si>
    <t>Lansbury Park</t>
  </si>
  <si>
    <t>CF83 1RA</t>
  </si>
  <si>
    <t>CBDU3715</t>
  </si>
  <si>
    <t>Coed Cae Farm Llanharan</t>
  </si>
  <si>
    <t>CF72 9NH</t>
  </si>
  <si>
    <t>CBDU3662</t>
  </si>
  <si>
    <t>Coaster Place Rover Way</t>
  </si>
  <si>
    <t>CF10 4XZ</t>
  </si>
  <si>
    <t>CBDU3759</t>
  </si>
  <si>
    <t>21 Colcot Road</t>
  </si>
  <si>
    <t>CF62 8HJ</t>
  </si>
  <si>
    <t>CBDU3530</t>
  </si>
  <si>
    <t>Unit 1 Benson Way</t>
  </si>
  <si>
    <t>Parc Anturiaeth Abertawe</t>
  </si>
  <si>
    <t>SA6 8RD</t>
  </si>
  <si>
    <t>CBDU3802</t>
  </si>
  <si>
    <t>Unit 9 Mardon Park</t>
  </si>
  <si>
    <t>Central Avenue</t>
  </si>
  <si>
    <t>SA12 7AX</t>
  </si>
  <si>
    <t>CBDU3988</t>
  </si>
  <si>
    <t>Bryngwyntog 1 County Smallholding</t>
  </si>
  <si>
    <t>Hendre Lane</t>
  </si>
  <si>
    <t>CF35 6RB</t>
  </si>
  <si>
    <t>CBDU014552</t>
  </si>
  <si>
    <t>747 Carmarthen Road</t>
  </si>
  <si>
    <t>Gendros</t>
  </si>
  <si>
    <t>SA5 8JL</t>
  </si>
  <si>
    <t>CBDU3611</t>
  </si>
  <si>
    <t>Suite 8a Quinton Hazell Enterprise</t>
  </si>
  <si>
    <t>Glan-y-Wern</t>
  </si>
  <si>
    <t>LL28 5BS</t>
  </si>
  <si>
    <t>CBDU014553</t>
  </si>
  <si>
    <t>Maes Y Beddau</t>
  </si>
  <si>
    <t>Dyffryn Crawnon</t>
  </si>
  <si>
    <t>Llangynidr</t>
  </si>
  <si>
    <t>NP8 1NU</t>
  </si>
  <si>
    <t>CBDU014554</t>
  </si>
  <si>
    <t>4 Park Close</t>
  </si>
  <si>
    <t>NP20 3AR</t>
  </si>
  <si>
    <t>CBDU014555</t>
  </si>
  <si>
    <t>Madoc House</t>
  </si>
  <si>
    <t>Gors Road</t>
  </si>
  <si>
    <t>Towyn</t>
  </si>
  <si>
    <t>LL22 9NR</t>
  </si>
  <si>
    <t>CBDU014556</t>
  </si>
  <si>
    <t>11 St. Augustine Road</t>
  </si>
  <si>
    <t>Heath</t>
  </si>
  <si>
    <t>CF14 4BD</t>
  </si>
  <si>
    <t>CBDU3833</t>
  </si>
  <si>
    <t>Clifton Street Rogerstone</t>
  </si>
  <si>
    <t>NP10 9YU</t>
  </si>
  <si>
    <t>CBDU014559</t>
  </si>
  <si>
    <t>69 Beverley Drive</t>
  </si>
  <si>
    <t>LL19 7RD</t>
  </si>
  <si>
    <t>CBDU4118</t>
  </si>
  <si>
    <t>SITE 6 AMLWCH BUSINESS PARK</t>
  </si>
  <si>
    <t>AMLWCH</t>
  </si>
  <si>
    <t>LL68 9BX</t>
  </si>
  <si>
    <t>CBDU014560</t>
  </si>
  <si>
    <t>Charles M Willie &amp; Co (Shipping) Ltd</t>
  </si>
  <si>
    <t>Celtic House</t>
  </si>
  <si>
    <t>6 Ocean Way</t>
  </si>
  <si>
    <t>CF24 5HG</t>
  </si>
  <si>
    <t>CBDU014563</t>
  </si>
  <si>
    <t>16 Ladysmith Road</t>
  </si>
  <si>
    <t>Treboeth</t>
  </si>
  <si>
    <t>SA5 9DL</t>
  </si>
  <si>
    <t>CBDU3970</t>
  </si>
  <si>
    <t>49 Coronation Road</t>
  </si>
  <si>
    <t>SA15 1PD</t>
  </si>
  <si>
    <t>CBDU3677</t>
  </si>
  <si>
    <t>19 Mor Awel Estate Penygroes</t>
  </si>
  <si>
    <t>LL54 6RA</t>
  </si>
  <si>
    <t>CBDU014565</t>
  </si>
  <si>
    <t>419a chester road</t>
  </si>
  <si>
    <t>Oakenholt</t>
  </si>
  <si>
    <t>Flint</t>
  </si>
  <si>
    <t>CH6 5SF</t>
  </si>
  <si>
    <t>CBDU014568</t>
  </si>
  <si>
    <t>Unit 12C</t>
  </si>
  <si>
    <t>Langland Park</t>
  </si>
  <si>
    <t>West Langland Way</t>
  </si>
  <si>
    <t>CBDU4040</t>
  </si>
  <si>
    <t>The Chapel The Old Workhouse Hatherleigh Place</t>
  </si>
  <si>
    <t>Union Road West</t>
  </si>
  <si>
    <t>NP7 7RL</t>
  </si>
  <si>
    <t>CBDU014569</t>
  </si>
  <si>
    <t>37 Cristionydd Penycae</t>
  </si>
  <si>
    <t>LL14 2RR</t>
  </si>
  <si>
    <t>CBDU014570</t>
  </si>
  <si>
    <t>50 Church Street</t>
  </si>
  <si>
    <t>CH6 5AE</t>
  </si>
  <si>
    <t>CBDU3967</t>
  </si>
  <si>
    <t>Unit 10 Phoenix Workshops</t>
  </si>
  <si>
    <t>LL28 5EF</t>
  </si>
  <si>
    <t>CBDU014603</t>
  </si>
  <si>
    <t>1 Prospect Street</t>
  </si>
  <si>
    <t>SY23 1JJ</t>
  </si>
  <si>
    <t>CBDU3463</t>
  </si>
  <si>
    <t>Trevellyn Croesfaen</t>
  </si>
  <si>
    <t>Penallt</t>
  </si>
  <si>
    <t>Trefynwy</t>
  </si>
  <si>
    <t>NP25 4SF</t>
  </si>
  <si>
    <t>CBDU3800</t>
  </si>
  <si>
    <t>149 Hawthorn Rise</t>
  </si>
  <si>
    <t>SA61 2AZ</t>
  </si>
  <si>
    <t>CBDU014604</t>
  </si>
  <si>
    <t>17 Church Street</t>
  </si>
  <si>
    <t>Ton Pentre</t>
  </si>
  <si>
    <t>CF41 7AD</t>
  </si>
  <si>
    <t>CBDL014605</t>
  </si>
  <si>
    <t>488A Bearwood Road</t>
  </si>
  <si>
    <t>Smethwick</t>
  </si>
  <si>
    <t>West Midlands</t>
  </si>
  <si>
    <t>B66 4HB</t>
  </si>
  <si>
    <t>CBDU3799</t>
  </si>
  <si>
    <t>Unit 8B Mardy Trading Estate</t>
  </si>
  <si>
    <t>SA4 4HJ</t>
  </si>
  <si>
    <t>CBDU014606</t>
  </si>
  <si>
    <t>T J H Builders Ltd</t>
  </si>
  <si>
    <t>Unit 1- 1A Glan Y Wern Road</t>
  </si>
  <si>
    <t>LL28 5BW</t>
  </si>
  <si>
    <t>CBDU014618</t>
  </si>
  <si>
    <t>Glantawe</t>
  </si>
  <si>
    <t>Graig Road</t>
  </si>
  <si>
    <t>SA6 8PG</t>
  </si>
  <si>
    <t>CBDU014619</t>
  </si>
  <si>
    <t>Old Abbey Forge</t>
  </si>
  <si>
    <t>Monastery Road</t>
  </si>
  <si>
    <t>SA10 7DW</t>
  </si>
  <si>
    <t>CBDU014620</t>
  </si>
  <si>
    <t>23 Cunliffe Street</t>
  </si>
  <si>
    <t>LL11 2LY</t>
  </si>
  <si>
    <t>CBDU014622</t>
  </si>
  <si>
    <t>Tynant Lodge</t>
  </si>
  <si>
    <t>SA13 3NR</t>
  </si>
  <si>
    <t>CBDU014623</t>
  </si>
  <si>
    <t>63 Highfield Place Sarn</t>
  </si>
  <si>
    <t>CF32 9RN</t>
  </si>
  <si>
    <t>CBDU014624</t>
  </si>
  <si>
    <t>Coed Y Glyn</t>
  </si>
  <si>
    <t>Groeslon</t>
  </si>
  <si>
    <t>LL54 7DE</t>
  </si>
  <si>
    <t>CBDU014625</t>
  </si>
  <si>
    <t>Herbie Cranston Removals &amp; Storage Ltd</t>
  </si>
  <si>
    <t>Unit 4 Site 3</t>
  </si>
  <si>
    <t>Amlwch Industrial Estate</t>
  </si>
  <si>
    <t>Amlwch</t>
  </si>
  <si>
    <t>CBDU014626</t>
  </si>
  <si>
    <t>Ashmole &amp; Co</t>
  </si>
  <si>
    <t>1 St. Johns Court</t>
  </si>
  <si>
    <t>CBDL014655</t>
  </si>
  <si>
    <t>Plot 20 LLandegai Ind Est</t>
  </si>
  <si>
    <t>LL57 4YH</t>
  </si>
  <si>
    <t>CBDU014656</t>
  </si>
  <si>
    <t>29 Gabalfa Road Sketty</t>
  </si>
  <si>
    <t>SA2 8NE</t>
  </si>
  <si>
    <t>CBDU014657</t>
  </si>
  <si>
    <t>The Old Drift Garage</t>
  </si>
  <si>
    <t>Gwaelod-y-Garth</t>
  </si>
  <si>
    <t>CF15 9HJ</t>
  </si>
  <si>
    <t>CBDU3903</t>
  </si>
  <si>
    <t xml:space="preserve">7A Port Road  Maesglas Retail Est </t>
  </si>
  <si>
    <t xml:space="preserve">Newport </t>
  </si>
  <si>
    <t xml:space="preserve">Gwent </t>
  </si>
  <si>
    <t>NP20 2XF</t>
  </si>
  <si>
    <t>CBDU014672</t>
  </si>
  <si>
    <t>Penparc</t>
  </si>
  <si>
    <t>Llanarth</t>
  </si>
  <si>
    <t>SA47 0NR</t>
  </si>
  <si>
    <t>CBDU014673</t>
  </si>
  <si>
    <t>Plas Newydd</t>
  </si>
  <si>
    <t>Heol Ffigys</t>
  </si>
  <si>
    <t>Ffairfach</t>
  </si>
  <si>
    <t>SA19 6PR</t>
  </si>
  <si>
    <t>CBDU014674</t>
  </si>
  <si>
    <t>Welsh Window Systems</t>
  </si>
  <si>
    <t>2 Vere Street</t>
  </si>
  <si>
    <t>CF63 2HX</t>
  </si>
  <si>
    <t>CBDU014717</t>
  </si>
  <si>
    <t>City Energy Network Limited</t>
  </si>
  <si>
    <t>Coptic House</t>
  </si>
  <si>
    <t>Mount Stuart Square</t>
  </si>
  <si>
    <t>CF10 5EE</t>
  </si>
  <si>
    <t>CBDL014719</t>
  </si>
  <si>
    <t>Glaspant Fawr</t>
  </si>
  <si>
    <t>Talog</t>
  </si>
  <si>
    <t>SA33 6PE</t>
  </si>
  <si>
    <t>CBDU014747</t>
  </si>
  <si>
    <t>Cilyrchen</t>
  </si>
  <si>
    <t>Industriel Estate</t>
  </si>
  <si>
    <t>Llandybie</t>
  </si>
  <si>
    <t>SA18 3GY</t>
  </si>
  <si>
    <t>CBDU014748</t>
  </si>
  <si>
    <t>CBDU014750</t>
  </si>
  <si>
    <t>Off edge</t>
  </si>
  <si>
    <t>Station approach</t>
  </si>
  <si>
    <t>CF64 3EE</t>
  </si>
  <si>
    <t>CBDU3955</t>
  </si>
  <si>
    <t>8 Naseby Close Pontprennau</t>
  </si>
  <si>
    <t>CF23 8LS</t>
  </si>
  <si>
    <t>CBDU014751</t>
  </si>
  <si>
    <t>Hillview</t>
  </si>
  <si>
    <t>Trofarth</t>
  </si>
  <si>
    <t>ll22 8bd</t>
  </si>
  <si>
    <t>CBDU014752</t>
  </si>
  <si>
    <t>Ffrwd Farm Pen-Bre</t>
  </si>
  <si>
    <t>Porth Tywyn</t>
  </si>
  <si>
    <t>SA16 0JS</t>
  </si>
  <si>
    <t>CBDU3843</t>
  </si>
  <si>
    <t>31 Bedavere Close Thornhill</t>
  </si>
  <si>
    <t>CF14 9AR</t>
  </si>
  <si>
    <t>CBDU014753</t>
  </si>
  <si>
    <t>Unit 5</t>
  </si>
  <si>
    <t>Waterside business Park</t>
  </si>
  <si>
    <t>Lamby Way</t>
  </si>
  <si>
    <t>South Glamorgan</t>
  </si>
  <si>
    <t>CF3 2ET</t>
  </si>
  <si>
    <t>CBDL014754</t>
  </si>
  <si>
    <t>Talargoch Trading estate</t>
  </si>
  <si>
    <t>ll18 6dj</t>
  </si>
  <si>
    <t>CBDU014755</t>
  </si>
  <si>
    <t>Unit 3 Former Roc Stores</t>
  </si>
  <si>
    <t>Borras Road</t>
  </si>
  <si>
    <t>ll13 9te</t>
  </si>
  <si>
    <t>CBDL014756</t>
  </si>
  <si>
    <t>Steve Lloyd Timber</t>
  </si>
  <si>
    <t>Unit 2 Antur Teifi Business Park</t>
  </si>
  <si>
    <t>CBDU4284</t>
  </si>
  <si>
    <t>Unit 12 Brunel Industrial Estate</t>
  </si>
  <si>
    <t>SA12 9DE</t>
  </si>
  <si>
    <t>CBDL014757</t>
  </si>
  <si>
    <t>J W Bowkett Electrical Installations Ltd</t>
  </si>
  <si>
    <t>2A Rugby Road</t>
  </si>
  <si>
    <t>NP19 0BS</t>
  </si>
  <si>
    <t>CBDU014758</t>
  </si>
  <si>
    <t>Dan-yr-Heol</t>
  </si>
  <si>
    <t>St Clears</t>
  </si>
  <si>
    <t>SA33 4NF</t>
  </si>
  <si>
    <t>CBDU3646</t>
  </si>
  <si>
    <t>BRYNTEG YARD LLANNON ROAD</t>
  </si>
  <si>
    <t>TUMBLE</t>
  </si>
  <si>
    <t>LLANELLI</t>
  </si>
  <si>
    <t>CBDL014759</t>
  </si>
  <si>
    <t>Zone C</t>
  </si>
  <si>
    <t>Llandegai Ind Est</t>
  </si>
  <si>
    <t>CBDL014760</t>
  </si>
  <si>
    <t>Dolyhir Garage</t>
  </si>
  <si>
    <t>Old Radnor</t>
  </si>
  <si>
    <t>Presteigne</t>
  </si>
  <si>
    <t>LD8 2RN</t>
  </si>
  <si>
    <t>CBDU4355</t>
  </si>
  <si>
    <t>15 Moorside Road West Cross</t>
  </si>
  <si>
    <t>SA3 5EY</t>
  </si>
  <si>
    <t>CBDU4034</t>
  </si>
  <si>
    <t>28 Bohun Street Manselton</t>
  </si>
  <si>
    <t>SA5 9LA</t>
  </si>
  <si>
    <t>CBDU4390</t>
  </si>
  <si>
    <t>Unit 4 Cyfarthfa Yard</t>
  </si>
  <si>
    <t>George Town</t>
  </si>
  <si>
    <t>CF48 1BS</t>
  </si>
  <si>
    <t>CBDL014761</t>
  </si>
  <si>
    <t>Angel Building 407 St John Street</t>
  </si>
  <si>
    <t>EC1V 4AD</t>
  </si>
  <si>
    <t>CBDU014762</t>
  </si>
  <si>
    <t>1 Llanfair Cottages</t>
  </si>
  <si>
    <t>SA62 5TL</t>
  </si>
  <si>
    <t>CBDL014763</t>
  </si>
  <si>
    <t>Crown Works</t>
  </si>
  <si>
    <t>Henfaes Lane</t>
  </si>
  <si>
    <t>SY21 7BE</t>
  </si>
  <si>
    <t>CBDU014764</t>
  </si>
  <si>
    <t>48 Pendyffryn Road</t>
  </si>
  <si>
    <t>LL18 4RY</t>
  </si>
  <si>
    <t>CBDU4410</t>
  </si>
  <si>
    <t>89 Ystrad Road</t>
  </si>
  <si>
    <t>SA5 4BU</t>
  </si>
  <si>
    <t>CBDL014816</t>
  </si>
  <si>
    <t>I S C Ltd</t>
  </si>
  <si>
    <t>Unit 1 Llandygai Industrial Estate</t>
  </si>
  <si>
    <t>Llandygai</t>
  </si>
  <si>
    <t>CBDL014817</t>
  </si>
  <si>
    <t>John Archer</t>
  </si>
  <si>
    <t>12 Boston Street</t>
  </si>
  <si>
    <t>LL65 1BW</t>
  </si>
  <si>
    <t>CBDU014818</t>
  </si>
  <si>
    <t>CBDU014819</t>
  </si>
  <si>
    <t>Min Yr Awel</t>
  </si>
  <si>
    <t>Blaenycoed Road</t>
  </si>
  <si>
    <t>SA33 6EG</t>
  </si>
  <si>
    <t>CBDU014821</t>
  </si>
  <si>
    <t>Tyn Pistyll</t>
  </si>
  <si>
    <t>Glyndyfrdwy</t>
  </si>
  <si>
    <t>LL21 9BP</t>
  </si>
  <si>
    <t>CBDU4563</t>
  </si>
  <si>
    <t>13 Hanley Court Business Centre Tidenham</t>
  </si>
  <si>
    <t>Cas-Gwent</t>
  </si>
  <si>
    <t>NP16 7NA</t>
  </si>
  <si>
    <t>CBDU014823</t>
  </si>
  <si>
    <t>The Gate Business Centre</t>
  </si>
  <si>
    <t>Keppoch Street</t>
  </si>
  <si>
    <t>CF24 3JW</t>
  </si>
  <si>
    <t>998 6573</t>
  </si>
  <si>
    <t>CBDU4349</t>
  </si>
  <si>
    <t>47  Cowbridge Road</t>
  </si>
  <si>
    <t>RCT</t>
  </si>
  <si>
    <t>CF72 9WS</t>
  </si>
  <si>
    <t>CBDU014826</t>
  </si>
  <si>
    <t>Lleweni</t>
  </si>
  <si>
    <t>Wern Uchaf</t>
  </si>
  <si>
    <t>LL15 1EH</t>
  </si>
  <si>
    <t>CBDU014827</t>
  </si>
  <si>
    <t>10 Shirenewton Caravan Park</t>
  </si>
  <si>
    <t>Wentloog Road</t>
  </si>
  <si>
    <t>CF3 2EE</t>
  </si>
  <si>
    <t>CBDU014838</t>
  </si>
  <si>
    <t>Ty Coch Farm</t>
  </si>
  <si>
    <t>St. Brides-super-Ely</t>
  </si>
  <si>
    <t>CF5 6EY</t>
  </si>
  <si>
    <t>CBDU4660</t>
  </si>
  <si>
    <t>Graig View Talybont-on-Usk</t>
  </si>
  <si>
    <t>LD3 7YZ</t>
  </si>
  <si>
    <t>CBDU4608</t>
  </si>
  <si>
    <t xml:space="preserve">Hen Lon Parcwr </t>
  </si>
  <si>
    <t>LL15 1NA</t>
  </si>
  <si>
    <t>CBDU014839</t>
  </si>
  <si>
    <t>4 Elizabeth Terrace</t>
  </si>
  <si>
    <t>Glasinfryn</t>
  </si>
  <si>
    <t>LL57 4UW</t>
  </si>
  <si>
    <t>CBDU4384</t>
  </si>
  <si>
    <t>Ynysygerwn Avenue Aberdulais</t>
  </si>
  <si>
    <t>SA10 8HH</t>
  </si>
  <si>
    <t>CBDU4402</t>
  </si>
  <si>
    <t>Creigle Morfa Bychan</t>
  </si>
  <si>
    <t>LL49 9UY</t>
  </si>
  <si>
    <t>CBDU4518</t>
  </si>
  <si>
    <t xml:space="preserve">24 Victoria Avenue </t>
  </si>
  <si>
    <t>CF36 3HG</t>
  </si>
  <si>
    <t>CBDU4239</t>
  </si>
  <si>
    <t>83 Park Avenue Saltney</t>
  </si>
  <si>
    <t>Caer</t>
  </si>
  <si>
    <t>CH4 8TR</t>
  </si>
  <si>
    <t>CBDU014845</t>
  </si>
  <si>
    <t>133 St. Helens Road</t>
  </si>
  <si>
    <t>SA1 4BL</t>
  </si>
  <si>
    <t>CBDU4532</t>
  </si>
  <si>
    <t>Unit 25 Tondu Enterprise Centre</t>
  </si>
  <si>
    <t>CF32 9BS</t>
  </si>
  <si>
    <t>CBDU014848</t>
  </si>
  <si>
    <t>Penrhiwprian</t>
  </si>
  <si>
    <t>Penrhiwllan</t>
  </si>
  <si>
    <t>Llandysul</t>
  </si>
  <si>
    <t>SA44 5NS</t>
  </si>
  <si>
    <t>CBDU014849</t>
  </si>
  <si>
    <t>11 Winterson Close</t>
  </si>
  <si>
    <t>Rassau</t>
  </si>
  <si>
    <t>NP23 5SP</t>
  </si>
  <si>
    <t>CBDU4547</t>
  </si>
  <si>
    <t>2 Greenmeadow Terrace Tillery Road</t>
  </si>
  <si>
    <t>NP13 1JA</t>
  </si>
  <si>
    <t>CBDU4403</t>
  </si>
  <si>
    <t xml:space="preserve">47 Kinmel Street </t>
  </si>
  <si>
    <t>LL18 1AG</t>
  </si>
  <si>
    <t>CBDU014864</t>
  </si>
  <si>
    <t>Frontier Plastics Ltd</t>
  </si>
  <si>
    <t>NP12 2YN</t>
  </si>
  <si>
    <t>CBDU014865</t>
  </si>
  <si>
    <t>Inglewood</t>
  </si>
  <si>
    <t>Church Lane</t>
  </si>
  <si>
    <t>Old St. Mellons</t>
  </si>
  <si>
    <t>CF3 5UP</t>
  </si>
  <si>
    <t>CBDL014866</t>
  </si>
  <si>
    <t>68 Pencaerfenni Lane</t>
  </si>
  <si>
    <t>Crofty</t>
  </si>
  <si>
    <t>SA4 3SW</t>
  </si>
  <si>
    <t>CBDL014867</t>
  </si>
  <si>
    <t>Premier</t>
  </si>
  <si>
    <t>163A Donald Street</t>
  </si>
  <si>
    <t>CF24 4TP</t>
  </si>
  <si>
    <t>CBDU014869</t>
  </si>
  <si>
    <t>30 Augusta Road</t>
  </si>
  <si>
    <t>CF64 5RJ</t>
  </si>
  <si>
    <t>CBDU014870</t>
  </si>
  <si>
    <t>UNIT 1 GILCHRIST THOMAS IND EST</t>
  </si>
  <si>
    <t>BLAENAVON</t>
  </si>
  <si>
    <t>NP4 9RL</t>
  </si>
  <si>
    <t>CBDU4567</t>
  </si>
  <si>
    <t>Top y Glol Moelfre</t>
  </si>
  <si>
    <t>LL22 9RH</t>
  </si>
  <si>
    <t>CBDU4531</t>
  </si>
  <si>
    <t>Imperial House New Road</t>
  </si>
  <si>
    <t>NP4 0TL</t>
  </si>
  <si>
    <t>CBDU4637</t>
  </si>
  <si>
    <t>Unit 1 Glan-y-Llyn Industrial Estate</t>
  </si>
  <si>
    <t>Cardiff Road</t>
  </si>
  <si>
    <t>CF15 7JD</t>
  </si>
  <si>
    <t>CBDU4503</t>
  </si>
  <si>
    <t>Pen Y Clawdd Farm Pentredwr</t>
  </si>
  <si>
    <t>LL20 8DG</t>
  </si>
  <si>
    <t>CBDU4190</t>
  </si>
  <si>
    <t>Penrhiw Derwydd Road</t>
  </si>
  <si>
    <t>SA18 2TT</t>
  </si>
  <si>
    <t>CBDU014872</t>
  </si>
  <si>
    <t>Henry Williams &amp; Son (Roads) Ltd</t>
  </si>
  <si>
    <t>Park Road</t>
  </si>
  <si>
    <t>Rhosymedre</t>
  </si>
  <si>
    <t>LL14 3AX</t>
  </si>
  <si>
    <t>CBDU014879</t>
  </si>
  <si>
    <t>Atlantic Auto Salvage Ltd</t>
  </si>
  <si>
    <t>12-13 Argyle Way</t>
  </si>
  <si>
    <t>Ely Distribution Centre</t>
  </si>
  <si>
    <t>CF5 5NP</t>
  </si>
  <si>
    <t>CBDL014904</t>
  </si>
  <si>
    <t>Electronic Services</t>
  </si>
  <si>
    <t>Unit 1A Europa Way</t>
  </si>
  <si>
    <t>SA5 4AJ</t>
  </si>
  <si>
    <t>CBDU4890</t>
  </si>
  <si>
    <t>The Barn</t>
  </si>
  <si>
    <t>Main Avenue</t>
  </si>
  <si>
    <t>Treforest Industrial Estate</t>
  </si>
  <si>
    <t>CF37 5UR</t>
  </si>
  <si>
    <t>CBDU4799</t>
  </si>
  <si>
    <t>9 Hafod View Close</t>
  </si>
  <si>
    <t>NP23 4AT</t>
  </si>
  <si>
    <t>CBDL014905</t>
  </si>
  <si>
    <t>Furniture directory</t>
  </si>
  <si>
    <t>Freystrop Cross</t>
  </si>
  <si>
    <t>SA62 4LD</t>
  </si>
  <si>
    <t>CBDU4232</t>
  </si>
  <si>
    <t>Atal Contracting Ltd</t>
  </si>
  <si>
    <t>Unit 27 Tafarnaubach Industrial Estate</t>
  </si>
  <si>
    <t>Tafarnaubach</t>
  </si>
  <si>
    <t>NP22 3AA</t>
  </si>
  <si>
    <t>CBDL014906</t>
  </si>
  <si>
    <t>50 Bronallt Road</t>
  </si>
  <si>
    <t>Hendy</t>
  </si>
  <si>
    <t>SA4 0UE</t>
  </si>
  <si>
    <t>CBDU4494</t>
  </si>
  <si>
    <t xml:space="preserve">19 Stad Bryn Goleu </t>
  </si>
  <si>
    <t>LL74 8QF</t>
  </si>
  <si>
    <t>CBDU014907</t>
  </si>
  <si>
    <t>10 Caradog Road</t>
  </si>
  <si>
    <t>Llandudno Junction</t>
  </si>
  <si>
    <t>LL31 9NN</t>
  </si>
  <si>
    <t>CBDU4550</t>
  </si>
  <si>
    <t>17 Nant-y-Moel Row Nantymoel</t>
  </si>
  <si>
    <t>CF32 7RW</t>
  </si>
  <si>
    <t>CBDU4565</t>
  </si>
  <si>
    <t xml:space="preserve">Gaerwen Industrial Estate </t>
  </si>
  <si>
    <t>LL60 6HR</t>
  </si>
  <si>
    <t>CBDL014908</t>
  </si>
  <si>
    <t>St David's House</t>
  </si>
  <si>
    <t>48 Free Street</t>
  </si>
  <si>
    <t>LD3 7BN</t>
  </si>
  <si>
    <t>CBDU014919</t>
  </si>
  <si>
    <t>Unit A14</t>
  </si>
  <si>
    <t>Maritime Industrial Park</t>
  </si>
  <si>
    <t>Criterion Way</t>
  </si>
  <si>
    <t>Pembroke Dock</t>
  </si>
  <si>
    <t>SA72 6UL</t>
  </si>
  <si>
    <t>CBDU014920</t>
  </si>
  <si>
    <t>5 Ael Y Bryn</t>
  </si>
  <si>
    <t>Beddau</t>
  </si>
  <si>
    <t>CF38 2AL</t>
  </si>
  <si>
    <t>CBDU014921</t>
  </si>
  <si>
    <t>Stanley Builders Limited</t>
  </si>
  <si>
    <t>UNit 26 Pontymister Industrial Estate</t>
  </si>
  <si>
    <t>NP11 6NP</t>
  </si>
  <si>
    <t>CBDL014922</t>
  </si>
  <si>
    <t>The Slip Shack Wellington Inn</t>
  </si>
  <si>
    <t>Wellington Place</t>
  </si>
  <si>
    <t>New Quay</t>
  </si>
  <si>
    <t>SA45 9NR</t>
  </si>
  <si>
    <t>CBDU4477</t>
  </si>
  <si>
    <t>Unit 7A Lon Parcwr Industrial Estate</t>
  </si>
  <si>
    <t>CBDU014929</t>
  </si>
  <si>
    <t>Unit R5</t>
  </si>
  <si>
    <t>Capital Business Park</t>
  </si>
  <si>
    <t>Parkway</t>
  </si>
  <si>
    <t>CF3 2PU</t>
  </si>
  <si>
    <t>CBDU014976</t>
  </si>
  <si>
    <t>GW Commercial Cleaning</t>
  </si>
  <si>
    <t>Plas Treflan</t>
  </si>
  <si>
    <t>Llanbeblig Road</t>
  </si>
  <si>
    <t>LL55 2SE</t>
  </si>
  <si>
    <t>CBDU014977</t>
  </si>
  <si>
    <t>Cwrt Henllys Farm</t>
  </si>
  <si>
    <t>Henllys</t>
  </si>
  <si>
    <t>NP44 7AS</t>
  </si>
  <si>
    <t>CBDU4694</t>
  </si>
  <si>
    <t>Prospect House Canal Road</t>
  </si>
  <si>
    <t>CF44 0AG</t>
  </si>
  <si>
    <t>CBDU4647</t>
  </si>
  <si>
    <t>Ysgubor Fach Cross Inn</t>
  </si>
  <si>
    <t>Cross Inn</t>
  </si>
  <si>
    <t>Llanon</t>
  </si>
  <si>
    <t>SY23 5NF</t>
  </si>
  <si>
    <t>CBDU014979</t>
  </si>
  <si>
    <t>Glandwr Farm</t>
  </si>
  <si>
    <t>SA14 7UA</t>
  </si>
  <si>
    <t>CBDU4805</t>
  </si>
  <si>
    <t>Caris Cwmann</t>
  </si>
  <si>
    <t>SA48 8DU</t>
  </si>
  <si>
    <t>CBDU014980</t>
  </si>
  <si>
    <t>37 Court Road</t>
  </si>
  <si>
    <t>CF83 2LT</t>
  </si>
  <si>
    <t>CBDU1749</t>
  </si>
  <si>
    <t>St Ives Way Factory Road</t>
  </si>
  <si>
    <t>CH5 2QS</t>
  </si>
  <si>
    <t>CBDU4996</t>
  </si>
  <si>
    <t>Queens Road Bridgend Industrial Estate</t>
  </si>
  <si>
    <t>CF31 3UT</t>
  </si>
  <si>
    <t>CBDU4828</t>
  </si>
  <si>
    <t>Fairleap House Brecon Road</t>
  </si>
  <si>
    <t>CF44 9NS</t>
  </si>
  <si>
    <t>CBDU4922</t>
  </si>
  <si>
    <t>131 Islwyn Road</t>
  </si>
  <si>
    <t>Wattsville</t>
  </si>
  <si>
    <t>Cross Keys</t>
  </si>
  <si>
    <t>NP11 7QL</t>
  </si>
  <si>
    <t>CBDU4892</t>
  </si>
  <si>
    <t xml:space="preserve">Ffordd Caernarfon </t>
  </si>
  <si>
    <t>LL57 4SU</t>
  </si>
  <si>
    <t>CBDU4818</t>
  </si>
  <si>
    <t xml:space="preserve">153 Heol Windsor </t>
  </si>
  <si>
    <t>SA11 1NU</t>
  </si>
  <si>
    <t>CBDU014981</t>
  </si>
  <si>
    <t>30 St. Helens Avenue</t>
  </si>
  <si>
    <t>SA1 4ND</t>
  </si>
  <si>
    <t>CBDU014982</t>
  </si>
  <si>
    <t>Bryn Rhedyn</t>
  </si>
  <si>
    <t>Pontdolgoch</t>
  </si>
  <si>
    <t>Caersws</t>
  </si>
  <si>
    <t>SY17 5JE</t>
  </si>
  <si>
    <t>CBDU014983</t>
  </si>
  <si>
    <t>Lindon House</t>
  </si>
  <si>
    <t>Monk Street</t>
  </si>
  <si>
    <t>NP7 5NF</t>
  </si>
  <si>
    <t>CBDU5049</t>
  </si>
  <si>
    <t>Cornel Ni Pwlltrap</t>
  </si>
  <si>
    <t>Sancler</t>
  </si>
  <si>
    <t>SA33 4AX</t>
  </si>
  <si>
    <t>CBDU014988</t>
  </si>
  <si>
    <t>28 Bryn Glas</t>
  </si>
  <si>
    <t>Thornhill</t>
  </si>
  <si>
    <t>CF14 9AA</t>
  </si>
  <si>
    <t>CBDL014989</t>
  </si>
  <si>
    <t>The Village Stores</t>
  </si>
  <si>
    <t>9 Station Road</t>
  </si>
  <si>
    <t>CF64 4DE</t>
  </si>
  <si>
    <t>CBDL000019</t>
  </si>
  <si>
    <t>Pendine</t>
  </si>
  <si>
    <t>SA33 4PA</t>
  </si>
  <si>
    <t>CBDU000022</t>
  </si>
  <si>
    <t>27 Pen Y Pwll</t>
  </si>
  <si>
    <t>SA4 8EH</t>
  </si>
  <si>
    <t>CBDL000023</t>
  </si>
  <si>
    <t>Cadwyn Housing Association Ltd</t>
  </si>
  <si>
    <t>197 Newport Road</t>
  </si>
  <si>
    <t>CF24 1AJ</t>
  </si>
  <si>
    <t>CBDU000024</t>
  </si>
  <si>
    <t>Mill Garage</t>
  </si>
  <si>
    <t>Betws Gwerfil Goch</t>
  </si>
  <si>
    <t>LL21 9PU</t>
  </si>
  <si>
    <t>CBDU000025</t>
  </si>
  <si>
    <t>Xgas Limited</t>
  </si>
  <si>
    <t>Colliery Road</t>
  </si>
  <si>
    <t>LL14 4EG</t>
  </si>
  <si>
    <t>CBDU000026</t>
  </si>
  <si>
    <t>Margaret-Rose</t>
  </si>
  <si>
    <t>Haven View</t>
  </si>
  <si>
    <t>Neyland</t>
  </si>
  <si>
    <t>SA73 1LS</t>
  </si>
  <si>
    <t>CBDU000027</t>
  </si>
  <si>
    <t>Millstone Construction (Wales) Ltd</t>
  </si>
  <si>
    <t>Brynna Mill Church Street</t>
  </si>
  <si>
    <t>Brynna</t>
  </si>
  <si>
    <t>CF72 9QP</t>
  </si>
  <si>
    <t>CBDU000028</t>
  </si>
  <si>
    <t>22A Waterloo Fields</t>
  </si>
  <si>
    <t>Kingswood</t>
  </si>
  <si>
    <t>Forden</t>
  </si>
  <si>
    <t>SY21 8LF</t>
  </si>
  <si>
    <t>CBDL000029</t>
  </si>
  <si>
    <t>7 Maescelyn</t>
  </si>
  <si>
    <t>Talley</t>
  </si>
  <si>
    <t>SA19 7YR</t>
  </si>
  <si>
    <t>CBDL174</t>
  </si>
  <si>
    <t>Unit 32 Fferdarech Industrial Estate</t>
  </si>
  <si>
    <t>LD3 8LA</t>
  </si>
  <si>
    <t>CBDL175</t>
  </si>
  <si>
    <t>CBDL176</t>
  </si>
  <si>
    <t>CBDL177</t>
  </si>
  <si>
    <t>CBDL178</t>
  </si>
  <si>
    <t>CBDL181</t>
  </si>
  <si>
    <t>Unit 32 Ffwrdgrech Industrial Estate</t>
  </si>
  <si>
    <t>CBDL182</t>
  </si>
  <si>
    <t>St Hilary Court Copthorne Way</t>
  </si>
  <si>
    <t>Culverhouse Cross</t>
  </si>
  <si>
    <t>CF5 6ES</t>
  </si>
  <si>
    <t>CBDL186</t>
  </si>
  <si>
    <t>5 Elm Grove Road</t>
  </si>
  <si>
    <t>CF64 4AA</t>
  </si>
  <si>
    <t>CBDL188</t>
  </si>
  <si>
    <t>14 High Street</t>
  </si>
  <si>
    <t>LD8 2BA</t>
  </si>
  <si>
    <t>CBDL189</t>
  </si>
  <si>
    <t>Offas Dyke Centre West Street</t>
  </si>
  <si>
    <t>LD7 1EN</t>
  </si>
  <si>
    <t>CBDL430</t>
  </si>
  <si>
    <t>unit 5 Phoenix Workshops Station Road</t>
  </si>
  <si>
    <t>LL28 5LN</t>
  </si>
  <si>
    <t>CBDL431</t>
  </si>
  <si>
    <t>CBDL432</t>
  </si>
  <si>
    <t>CBDL433</t>
  </si>
  <si>
    <t>CBDL677</t>
  </si>
  <si>
    <t>6 Hillview Crescent</t>
  </si>
  <si>
    <t>NP194NS</t>
  </si>
  <si>
    <t>CBDL682</t>
  </si>
  <si>
    <t>college guest house 93 hill st St Thomas Green</t>
  </si>
  <si>
    <t>SA61 1QL</t>
  </si>
  <si>
    <t>CBDL683</t>
  </si>
  <si>
    <t>Unit B Cefndy Road Employment Park</t>
  </si>
  <si>
    <t>Cefndy Road</t>
  </si>
  <si>
    <t>LL18 2TT</t>
  </si>
  <si>
    <t>CBDL684</t>
  </si>
  <si>
    <t>PENSHWA PENSHWA LANE</t>
  </si>
  <si>
    <t>NEWTOWN</t>
  </si>
  <si>
    <t>SY16 3LY</t>
  </si>
  <si>
    <t>CBDL685</t>
  </si>
  <si>
    <t>Unit 10-11 Cae Bach Industrial Estate</t>
  </si>
  <si>
    <t>Builder Street</t>
  </si>
  <si>
    <t>Llandudno</t>
  </si>
  <si>
    <t>LL30 1DR</t>
  </si>
  <si>
    <t>CBDL686</t>
  </si>
  <si>
    <t>19 HEOL TOWY</t>
  </si>
  <si>
    <t>CALDICOT</t>
  </si>
  <si>
    <t>NEWPORT</t>
  </si>
  <si>
    <t>NP264PH</t>
  </si>
  <si>
    <t>CBDL689</t>
  </si>
  <si>
    <t>Split Willow Penmaenmawr Road</t>
  </si>
  <si>
    <t>Llanfairfechan</t>
  </si>
  <si>
    <t>LL33 0PA</t>
  </si>
  <si>
    <t>CBDL871</t>
  </si>
  <si>
    <t>PEN Y PARC FARM RAGLAN</t>
  </si>
  <si>
    <t>USK</t>
  </si>
  <si>
    <t>MON</t>
  </si>
  <si>
    <t>CBDL872</t>
  </si>
  <si>
    <t>15 Fforest Drive</t>
  </si>
  <si>
    <t>CF626LS</t>
  </si>
  <si>
    <t>CBDL874</t>
  </si>
  <si>
    <t>101 Longford Road</t>
  </si>
  <si>
    <t>SA10 7HF</t>
  </si>
  <si>
    <t>CBDL875</t>
  </si>
  <si>
    <t>CBDL877</t>
  </si>
  <si>
    <t xml:space="preserve">294 Conway Road </t>
  </si>
  <si>
    <t xml:space="preserve">Mochdre </t>
  </si>
  <si>
    <t>ll28 5DS</t>
  </si>
  <si>
    <t>CBDL880</t>
  </si>
  <si>
    <t>Silver Springs Cardiff Rd</t>
  </si>
  <si>
    <t>CF15 9NL</t>
  </si>
  <si>
    <t>CBDL882</t>
  </si>
  <si>
    <t>Castlebank Hotel Mount Pleasant</t>
  </si>
  <si>
    <t>LL328Ny</t>
  </si>
  <si>
    <t>CBDL883</t>
  </si>
  <si>
    <t>morfa uchaf llangranog</t>
  </si>
  <si>
    <t>llandysul</t>
  </si>
  <si>
    <t>ceredigion</t>
  </si>
  <si>
    <t>sa44 6ru</t>
  </si>
  <si>
    <t>CBDL884</t>
  </si>
  <si>
    <t>CBDL1116</t>
  </si>
  <si>
    <t>Arncliffe Arms Arncliffe terrace</t>
  </si>
  <si>
    <t>Glaisdale</t>
  </si>
  <si>
    <t>Whitby</t>
  </si>
  <si>
    <t>Yo212ql</t>
  </si>
  <si>
    <t>CBDL1118</t>
  </si>
  <si>
    <t>21 Glan Y Lli</t>
  </si>
  <si>
    <t>Penclawdd</t>
  </si>
  <si>
    <t>SA4 3RW</t>
  </si>
  <si>
    <t>CBDL1121</t>
  </si>
  <si>
    <t>Taff Vale Practice Duffryn Road</t>
  </si>
  <si>
    <t>CBDL1122</t>
  </si>
  <si>
    <t>Mynydd Islwyn Offices Bryn Road</t>
  </si>
  <si>
    <t>NP12 2BH</t>
  </si>
  <si>
    <t>CBDL1126</t>
  </si>
  <si>
    <t>14a Ty Wern Road</t>
  </si>
  <si>
    <t>CF14 6AA</t>
  </si>
  <si>
    <t>CBDL1127</t>
  </si>
  <si>
    <t>Lliswerry Medical Centre Fallowfield Drive</t>
  </si>
  <si>
    <t>NP19 4TD</t>
  </si>
  <si>
    <t>CBDL1128</t>
  </si>
  <si>
    <t>8 - 10 North Road</t>
  </si>
  <si>
    <t>Penallta Industrial Estate</t>
  </si>
  <si>
    <t>CF82 7SS</t>
  </si>
  <si>
    <t>CBDL1356</t>
  </si>
  <si>
    <t>Station House Station Road</t>
  </si>
  <si>
    <t>NP152ER</t>
  </si>
  <si>
    <t>CBDL1359</t>
  </si>
  <si>
    <t>southfields rockfield rd</t>
  </si>
  <si>
    <t>monmouth</t>
  </si>
  <si>
    <t>np25 5ba</t>
  </si>
  <si>
    <t>CBDL1361</t>
  </si>
  <si>
    <t>Unit 11a Penrhos industrial estate</t>
  </si>
  <si>
    <t>LL65 2UQ</t>
  </si>
  <si>
    <t>CBDL1363</t>
  </si>
  <si>
    <t>Units 21 22  Wernddu court</t>
  </si>
  <si>
    <t>caerphilly</t>
  </si>
  <si>
    <t>cf833sg</t>
  </si>
  <si>
    <t>CBDL1364</t>
  </si>
  <si>
    <t>Sunnybank Health Centre Bryn Road</t>
  </si>
  <si>
    <t>NP12 3NA</t>
  </si>
  <si>
    <t>CBDL1366</t>
  </si>
  <si>
    <t>London House Cwm Y Glo</t>
  </si>
  <si>
    <t>LL55 4DT</t>
  </si>
  <si>
    <t>CBDL1368</t>
  </si>
  <si>
    <t>108 Cecil Road</t>
  </si>
  <si>
    <t>SA4 4BY</t>
  </si>
  <si>
    <t>CBDL1369</t>
  </si>
  <si>
    <t>Docks Office Subway Road</t>
  </si>
  <si>
    <t>CF63 4RT</t>
  </si>
  <si>
    <t>CBDL1371</t>
  </si>
  <si>
    <t>St Florence Stores 6 High street</t>
  </si>
  <si>
    <t>St Florence</t>
  </si>
  <si>
    <t>SA70 8LN</t>
  </si>
  <si>
    <t>CBDL1585</t>
  </si>
  <si>
    <t>2 Castle Street</t>
  </si>
  <si>
    <t>Hay on Wye</t>
  </si>
  <si>
    <t>Hereford</t>
  </si>
  <si>
    <t>HR3 5DF</t>
  </si>
  <si>
    <t>CBDL1587</t>
  </si>
  <si>
    <t>2 Polo Grounds Ind Est</t>
  </si>
  <si>
    <t>NP4 0TW</t>
  </si>
  <si>
    <t>CBDL1589</t>
  </si>
  <si>
    <t>4 George terrace</t>
  </si>
  <si>
    <t xml:space="preserve">Pentrebach </t>
  </si>
  <si>
    <t xml:space="preserve">Merthyr Tydfil </t>
  </si>
  <si>
    <t>Cf48 4db</t>
  </si>
  <si>
    <t>CBDL1590</t>
  </si>
  <si>
    <t xml:space="preserve">ServiceMaster LTD  Tigers Road </t>
  </si>
  <si>
    <t xml:space="preserve">Wigston </t>
  </si>
  <si>
    <t xml:space="preserve">Leicester </t>
  </si>
  <si>
    <t xml:space="preserve">LE18 4WS </t>
  </si>
  <si>
    <t>CBDL1591</t>
  </si>
  <si>
    <t>304 Woodside Way Springvale Ind. Est.</t>
  </si>
  <si>
    <t>NP44 5BR</t>
  </si>
  <si>
    <t>CBDL1592</t>
  </si>
  <si>
    <t>unit 14 cwm draw</t>
  </si>
  <si>
    <t>industial estate</t>
  </si>
  <si>
    <t>ebbw vale</t>
  </si>
  <si>
    <t>np23 5ae</t>
  </si>
  <si>
    <t>CBDL1593</t>
  </si>
  <si>
    <t>43 Llys Onnen</t>
  </si>
  <si>
    <t>LL31 9EZ</t>
  </si>
  <si>
    <t>CBDL1598</t>
  </si>
  <si>
    <t>28 LlewelynGoch</t>
  </si>
  <si>
    <t>St Fagans</t>
  </si>
  <si>
    <t>CF5 6HR</t>
  </si>
  <si>
    <t>CBDL1822</t>
  </si>
  <si>
    <t>Unit 5 Ponthenry Industrial Estate</t>
  </si>
  <si>
    <t>CBDL1823</t>
  </si>
  <si>
    <t xml:space="preserve">14A Woodland Terrace </t>
  </si>
  <si>
    <t>Tredegyr Newydd</t>
  </si>
  <si>
    <t>NP24 6LL</t>
  </si>
  <si>
    <t>CBDU1825</t>
  </si>
  <si>
    <t>Unit 3D Upper Boat Trading Estate</t>
  </si>
  <si>
    <t>CBDU1828</t>
  </si>
  <si>
    <t xml:space="preserve">25 Lon Llewelyn </t>
  </si>
  <si>
    <t>LL16 3RW</t>
  </si>
  <si>
    <t>CBDU1829</t>
  </si>
  <si>
    <t>Colour Centre Portland Street</t>
  </si>
  <si>
    <t>np20 2dp</t>
  </si>
  <si>
    <t>CBDL2068</t>
  </si>
  <si>
    <t>39 Commercial Street Risca</t>
  </si>
  <si>
    <t>NP11 6AW</t>
  </si>
  <si>
    <t>CBDL2070</t>
  </si>
  <si>
    <t>Parkway Deeside Industrial Park</t>
  </si>
  <si>
    <t>CH5 2NL</t>
  </si>
  <si>
    <t>CBDL2071</t>
  </si>
  <si>
    <t xml:space="preserve">Longford House </t>
  </si>
  <si>
    <t>Clunderwen</t>
  </si>
  <si>
    <t>SA66 7HB</t>
  </si>
  <si>
    <t>CBDL2072</t>
  </si>
  <si>
    <t>Forge House Llanvetherine</t>
  </si>
  <si>
    <t>NP7 8NL</t>
  </si>
  <si>
    <t>CBDL2461</t>
  </si>
  <si>
    <t>Ffordd Towyn Towyn</t>
  </si>
  <si>
    <t>LL22 9NW</t>
  </si>
  <si>
    <t>CBDL2464</t>
  </si>
  <si>
    <t xml:space="preserve">6 High Street </t>
  </si>
  <si>
    <t>LL32 8DB</t>
  </si>
  <si>
    <t>CBDL2468</t>
  </si>
  <si>
    <t>Rhandir Llangadfan</t>
  </si>
  <si>
    <t>SY21 0PU</t>
  </si>
  <si>
    <t>CBDL2721</t>
  </si>
  <si>
    <t>147 Station Road Deganwy</t>
  </si>
  <si>
    <t>LL31 9EJ</t>
  </si>
  <si>
    <t>CBDL2921</t>
  </si>
  <si>
    <t xml:space="preserve">55 New King Street </t>
  </si>
  <si>
    <t>Bath</t>
  </si>
  <si>
    <t>BA1 2BN</t>
  </si>
  <si>
    <t>CBDL2922</t>
  </si>
  <si>
    <t>The Old Bakery Clayton Road</t>
  </si>
  <si>
    <t>LL11 6BL</t>
  </si>
  <si>
    <t>CBDL2934</t>
  </si>
  <si>
    <t>Castle Lodge Pontsenni</t>
  </si>
  <si>
    <t>Aberhonddu</t>
  </si>
  <si>
    <t>LD3 8PS</t>
  </si>
  <si>
    <t>CBDL3140</t>
  </si>
  <si>
    <t>Unit 17 Enterprise Workshops</t>
  </si>
  <si>
    <t>Lower Trostre Road</t>
  </si>
  <si>
    <t>SA15 2EA</t>
  </si>
  <si>
    <t>CBDL3142</t>
  </si>
  <si>
    <t>Flat 8 Tir Einon</t>
  </si>
  <si>
    <t>SA14 9DT</t>
  </si>
  <si>
    <t>CBDL3147</t>
  </si>
  <si>
    <t>Camps Highways Ltd 8 Broadaxe Business Park</t>
  </si>
  <si>
    <t>Llanandras</t>
  </si>
  <si>
    <t>LD8 2UH</t>
  </si>
  <si>
    <t>CBDL3373</t>
  </si>
  <si>
    <t>Walwyn Road Upper Colwall</t>
  </si>
  <si>
    <t>Malvern</t>
  </si>
  <si>
    <t>WR13 6PL</t>
  </si>
  <si>
    <t>CBDL3376</t>
  </si>
  <si>
    <t>The Barn Mynydd Bodafon</t>
  </si>
  <si>
    <t>LL71 8BL</t>
  </si>
  <si>
    <t>CBDL3650</t>
  </si>
  <si>
    <t>Premier Jam and Fess Stores 47-49 Corporation Road</t>
  </si>
  <si>
    <t>Grangetown</t>
  </si>
  <si>
    <t>cf11 7ap</t>
  </si>
  <si>
    <t>CBDL3651</t>
  </si>
  <si>
    <t>Pharos House Wye Valley Business Park</t>
  </si>
  <si>
    <t>Y Gelli Gandryll</t>
  </si>
  <si>
    <t>HR3 5PG</t>
  </si>
  <si>
    <t>CBDL3652</t>
  </si>
  <si>
    <t>Station Yard Trefeglwys Road</t>
  </si>
  <si>
    <t>SY17 5HH</t>
  </si>
  <si>
    <t>CBDL3885</t>
  </si>
  <si>
    <t>Maes Bach Willowford Road</t>
  </si>
  <si>
    <t>Ton-Teg</t>
  </si>
  <si>
    <t>CF38 1SL</t>
  </si>
  <si>
    <t>CBDL4146</t>
  </si>
  <si>
    <t xml:space="preserve">243 Felixstowe Road </t>
  </si>
  <si>
    <t>Ipswich</t>
  </si>
  <si>
    <t>IP3 9BN</t>
  </si>
  <si>
    <t>CBDL4147</t>
  </si>
  <si>
    <t>Clywedog Road South Ystad Ddiwydiannol Wrecsam</t>
  </si>
  <si>
    <t>LL13 9XS</t>
  </si>
  <si>
    <t>CBDL4622</t>
  </si>
  <si>
    <t>Hafod Yard 1333 Neath Road</t>
  </si>
  <si>
    <t>SA1 2LF</t>
  </si>
  <si>
    <t>CBDL4624</t>
  </si>
  <si>
    <t>Park Road Garage Park Road</t>
  </si>
  <si>
    <t>NP7 5TU</t>
  </si>
  <si>
    <t>CBDL4628</t>
  </si>
  <si>
    <t>2-3 High Street</t>
  </si>
  <si>
    <t>Newtown</t>
  </si>
  <si>
    <t>SY16 2NX</t>
  </si>
  <si>
    <t>CBDL4811</t>
  </si>
  <si>
    <t xml:space="preserve"> </t>
  </si>
  <si>
    <t>SA66 7NW</t>
  </si>
  <si>
    <t>CBDL4823</t>
  </si>
  <si>
    <t>18 Grantham Road Bingham</t>
  </si>
  <si>
    <t>Nottingham</t>
  </si>
  <si>
    <t>NG13 8BW</t>
  </si>
  <si>
    <t>CBDL4825</t>
  </si>
  <si>
    <t>Y Cil Llanmerewig</t>
  </si>
  <si>
    <t>Abermule</t>
  </si>
  <si>
    <t>MONTGOMERY</t>
  </si>
  <si>
    <t>SY15 6NR</t>
  </si>
  <si>
    <t>CBDL5047</t>
  </si>
  <si>
    <t>The Elms Caerwent</t>
  </si>
  <si>
    <t>NP26 5BB</t>
  </si>
  <si>
    <t>CBDL5297</t>
  </si>
  <si>
    <t xml:space="preserve">3 Rock View </t>
  </si>
  <si>
    <t>SY22 6ED</t>
  </si>
  <si>
    <t>CBDL5300</t>
  </si>
  <si>
    <t>CBDU5575</t>
  </si>
  <si>
    <t>Unit 3 Rhymney River Bridge Road</t>
  </si>
  <si>
    <t>CF23 9AF</t>
  </si>
  <si>
    <t>CBDL5586</t>
  </si>
  <si>
    <t>Antioch Centre Copperworks Road</t>
  </si>
  <si>
    <t>SA15 2NE</t>
  </si>
  <si>
    <t>CBDL5828</t>
  </si>
  <si>
    <t>Workshop 3 Sandfields Business Centre</t>
  </si>
  <si>
    <t>Rhodfa Purcell</t>
  </si>
  <si>
    <t>SA12 7PQ</t>
  </si>
  <si>
    <t>CBDL5830</t>
  </si>
  <si>
    <t>11 Troed Y Garn Llangybi</t>
  </si>
  <si>
    <t>LL53 6DQ</t>
  </si>
  <si>
    <t>CBDU5833</t>
  </si>
  <si>
    <t>Unit 1A Crown Industrial Estate</t>
  </si>
  <si>
    <t>NP22 4EF</t>
  </si>
  <si>
    <t>CBDL5837</t>
  </si>
  <si>
    <t xml:space="preserve">3 Portmanmoor Road Lane </t>
  </si>
  <si>
    <t>CF24 5EQ</t>
  </si>
  <si>
    <t>CBDU5838</t>
  </si>
  <si>
    <t>Polo Grounds New Inn</t>
  </si>
  <si>
    <t>CBDU5839</t>
  </si>
  <si>
    <t>Coalbrook Tyre Centre Coalbrook Road</t>
  </si>
  <si>
    <t>Pontyberem</t>
  </si>
  <si>
    <t>SA15 5HU</t>
  </si>
  <si>
    <t>CBDU6079</t>
  </si>
  <si>
    <t xml:space="preserve">207 Park Road </t>
  </si>
  <si>
    <t>CF42 6LD</t>
  </si>
  <si>
    <t>CBDU6080</t>
  </si>
  <si>
    <t>Pencoed Yard Bellvue Road</t>
  </si>
  <si>
    <t>SA14 9LN</t>
  </si>
  <si>
    <t>CBDL6082</t>
  </si>
  <si>
    <t xml:space="preserve">Fishguard Harbour </t>
  </si>
  <si>
    <t>Wdig</t>
  </si>
  <si>
    <t>SA64 0BX</t>
  </si>
  <si>
    <t>CBDU6084</t>
  </si>
  <si>
    <t>Riverside Yard Canning Street</t>
  </si>
  <si>
    <t>Cwm</t>
  </si>
  <si>
    <t>NP23 7RW</t>
  </si>
  <si>
    <t>CBDU6087</t>
  </si>
  <si>
    <t>Stanethly Kiln Lane</t>
  </si>
  <si>
    <t>Cross Lanes</t>
  </si>
  <si>
    <t>LL13 0TG</t>
  </si>
  <si>
    <t>CBDU6088</t>
  </si>
  <si>
    <t>W H Offices Bodffordd</t>
  </si>
  <si>
    <t>LL77 7DZ</t>
  </si>
  <si>
    <t>CBDU6090</t>
  </si>
  <si>
    <t>6 Third Avenue Llay</t>
  </si>
  <si>
    <t>LL12 0TD</t>
  </si>
  <si>
    <t>CBDU6324</t>
  </si>
  <si>
    <t>unit 3 79 high street</t>
  </si>
  <si>
    <t>pershore</t>
  </si>
  <si>
    <t>wr10 1ex</t>
  </si>
  <si>
    <t>CBDU6325</t>
  </si>
  <si>
    <t>14 TANGLEWOOD DRIVE BLAINA</t>
  </si>
  <si>
    <t>ABERTILLERY</t>
  </si>
  <si>
    <t>GWENT</t>
  </si>
  <si>
    <t>NP13 3JB</t>
  </si>
  <si>
    <t>CBDL6330</t>
  </si>
  <si>
    <t>Priddbwll Mawr Llangedwyn</t>
  </si>
  <si>
    <t>SY10 9JZ</t>
  </si>
  <si>
    <t>CBDL6333</t>
  </si>
  <si>
    <t>Gwaith Cerrig Beddi Stryd Salem</t>
  </si>
  <si>
    <t>Ynys Mon</t>
  </si>
  <si>
    <t>LL68 9BT</t>
  </si>
  <si>
    <t>CBDU6334</t>
  </si>
  <si>
    <t>Lamby Industrial Park Wentloog Avenue</t>
  </si>
  <si>
    <t>CF3 2EX</t>
  </si>
  <si>
    <t>CBDU6634</t>
  </si>
  <si>
    <t>Unit 4A Ewenny Industrial Estate</t>
  </si>
  <si>
    <t>CF31 3EX</t>
  </si>
  <si>
    <t>CBDU6637</t>
  </si>
  <si>
    <t>Unit 8 Llandeilo Road Industrial Estate</t>
  </si>
  <si>
    <t>CBDU6640</t>
  </si>
  <si>
    <t xml:space="preserve">90 Mardy Street </t>
  </si>
  <si>
    <t>CF11 6QW</t>
  </si>
  <si>
    <t>CBDL6642</t>
  </si>
  <si>
    <t>Unit 10 Gabalfa Workshops</t>
  </si>
  <si>
    <t>Clos Menter</t>
  </si>
  <si>
    <t>Excelsior Industrial Estate</t>
  </si>
  <si>
    <t>CF14 3AY</t>
  </si>
  <si>
    <t>CBDU6643</t>
  </si>
  <si>
    <t>24 Ffordd Nant Rhuddlan</t>
  </si>
  <si>
    <t>LL18 2SW</t>
  </si>
  <si>
    <t>CBDU6644</t>
  </si>
  <si>
    <t>Clifton House 2-6 Four Elms Road</t>
  </si>
  <si>
    <t>CBDL6645</t>
  </si>
  <si>
    <t>11 Albany Road Granby Industrial Estate</t>
  </si>
  <si>
    <t>Weymouth</t>
  </si>
  <si>
    <t>DT4 9TH</t>
  </si>
  <si>
    <t>CBDL6647</t>
  </si>
  <si>
    <t>Whittle Close Factory Road</t>
  </si>
  <si>
    <t>CH5 2QE</t>
  </si>
  <si>
    <t>CBDU6874</t>
  </si>
  <si>
    <t xml:space="preserve">57 St. Isan Road </t>
  </si>
  <si>
    <t>CBDU6876</t>
  </si>
  <si>
    <t>Tir Llwyd Industrial Estate Bae Cinmel</t>
  </si>
  <si>
    <t>CBDU6878</t>
  </si>
  <si>
    <t>Unit 5 Neath Business Park</t>
  </si>
  <si>
    <t>Resolven</t>
  </si>
  <si>
    <t>Nr Neath</t>
  </si>
  <si>
    <t>SA11 4HN</t>
  </si>
  <si>
    <t>CBDU6879</t>
  </si>
  <si>
    <t xml:space="preserve">8 Wentworth Close </t>
  </si>
  <si>
    <t>CH7 2QX</t>
  </si>
  <si>
    <t>CBDU7219</t>
  </si>
  <si>
    <t>Unit K Hirwaun Industrial Estate</t>
  </si>
  <si>
    <t>CBDU7220</t>
  </si>
  <si>
    <t>Gwynfryn Elwy Avenue</t>
  </si>
  <si>
    <t>Dyserth</t>
  </si>
  <si>
    <t>LL18 6HW</t>
  </si>
  <si>
    <t>CBDU7221</t>
  </si>
  <si>
    <t>Unit 31 Pant Ind. Estate</t>
  </si>
  <si>
    <t>cf482sr</t>
  </si>
  <si>
    <t>CBDU7222</t>
  </si>
  <si>
    <t>UNIT 7  PHOENIX WORKSHOPS</t>
  </si>
  <si>
    <t>COLWYN BAY</t>
  </si>
  <si>
    <t>MOCHDRE</t>
  </si>
  <si>
    <t>CBDU7224</t>
  </si>
  <si>
    <t>Unit B4-B6 Pinfold Workshops</t>
  </si>
  <si>
    <t>Ffordd Derwen</t>
  </si>
  <si>
    <t>LL18 2YR</t>
  </si>
  <si>
    <t>CBDL7225</t>
  </si>
  <si>
    <t>Automation House Newton Road</t>
  </si>
  <si>
    <t>Lowton</t>
  </si>
  <si>
    <t>Warrington</t>
  </si>
  <si>
    <t>WA3 2AP</t>
  </si>
  <si>
    <t>CBDL7229</t>
  </si>
  <si>
    <t>The Portergate 257 Ecclesall Road</t>
  </si>
  <si>
    <t xml:space="preserve">Sheffield </t>
  </si>
  <si>
    <t>S118nx</t>
  </si>
  <si>
    <t>CBDU7230</t>
  </si>
  <si>
    <t>Spencer Industrial Estate Liverpool Road</t>
  </si>
  <si>
    <t>CH7 3LY</t>
  </si>
  <si>
    <t>CBDL7233</t>
  </si>
  <si>
    <t>Cartref Melys Drury Lane</t>
  </si>
  <si>
    <t>CH7 3DY</t>
  </si>
  <si>
    <t>CBDL7235</t>
  </si>
  <si>
    <t xml:space="preserve">16 Stryd Y Porth Mawr </t>
  </si>
  <si>
    <t>LL55 1AG</t>
  </si>
  <si>
    <t>CBDU7446</t>
  </si>
  <si>
    <t>Home Farm Itton</t>
  </si>
  <si>
    <t>NP16 6BP</t>
  </si>
  <si>
    <t>CBDU7448</t>
  </si>
  <si>
    <t>74 Walters Street Manselton</t>
  </si>
  <si>
    <t>SA5 9PL</t>
  </si>
  <si>
    <t>CBDU7456</t>
  </si>
  <si>
    <t>CF34 6NU</t>
  </si>
  <si>
    <t>CBDU7457</t>
  </si>
  <si>
    <t>Ffrwdgrech Industrial Estate Brecon</t>
  </si>
  <si>
    <t>CBDU7458</t>
  </si>
  <si>
    <t>Ystad Diwydianol Pant Dowlais</t>
  </si>
  <si>
    <t>CBDU7459</t>
  </si>
  <si>
    <t>CBDL7460</t>
  </si>
  <si>
    <t>Cleifiog Isaf Llanynghenedl</t>
  </si>
  <si>
    <t>LL65 3PZ</t>
  </si>
  <si>
    <t>CBDL7462</t>
  </si>
  <si>
    <t>23 Lion Street Y Gelli Gandryll</t>
  </si>
  <si>
    <t>HR3 5AD</t>
  </si>
  <si>
    <t>CBDL7463</t>
  </si>
  <si>
    <t>Unit 1 Rawreth Industrial Estate</t>
  </si>
  <si>
    <t>Rawreth Lane</t>
  </si>
  <si>
    <t>Rayleigh</t>
  </si>
  <si>
    <t>SS6 9RL</t>
  </si>
  <si>
    <t>CBDL7466</t>
  </si>
  <si>
    <t>21 Charles Street</t>
  </si>
  <si>
    <t>LL13 8BT</t>
  </si>
  <si>
    <t>CBDL7871</t>
  </si>
  <si>
    <t>Mellington Churchstoke</t>
  </si>
  <si>
    <t>Montgomery</t>
  </si>
  <si>
    <t>SY15 6TQ</t>
  </si>
  <si>
    <t>CBDU7872</t>
  </si>
  <si>
    <t xml:space="preserve">2 Trilleck Avenue </t>
  </si>
  <si>
    <t>HR2 7HX</t>
  </si>
  <si>
    <t>CBDU7873</t>
  </si>
  <si>
    <t>1 Tyn Y Weirglodd Lon Llainffynnon</t>
  </si>
  <si>
    <t>LL54 7TT</t>
  </si>
  <si>
    <t>CBDU7875</t>
  </si>
  <si>
    <t>8 Coventry Road Bulkington</t>
  </si>
  <si>
    <t>Bedworth</t>
  </si>
  <si>
    <t>CV12 9ND</t>
  </si>
  <si>
    <t>CBDU7876</t>
  </si>
  <si>
    <t>Unit 1 Factory Road</t>
  </si>
  <si>
    <t>CBDU7877</t>
  </si>
  <si>
    <t>CBDL7878</t>
  </si>
  <si>
    <t>Gwaith Set Ffordd Manod</t>
  </si>
  <si>
    <t>LL41 4AE</t>
  </si>
  <si>
    <t>CBDL7880</t>
  </si>
  <si>
    <t>Bryn Sion Hall Llanover Street</t>
  </si>
  <si>
    <t>CF63 2HD</t>
  </si>
  <si>
    <t>CBDU7881</t>
  </si>
  <si>
    <t>CBDL7883</t>
  </si>
  <si>
    <t>Unit 4 Eastlake Close</t>
  </si>
  <si>
    <t>Litchard Industrial Estate</t>
  </si>
  <si>
    <t>CF312AL</t>
  </si>
  <si>
    <t>CBDU7884</t>
  </si>
  <si>
    <t>UNIT 12 MINLLYN</t>
  </si>
  <si>
    <t>GLANYRAFON IND EST LLANBADARN</t>
  </si>
  <si>
    <t>ABERYSTWYTH</t>
  </si>
  <si>
    <t>SY233JQ</t>
  </si>
  <si>
    <t>CBDU7885</t>
  </si>
  <si>
    <t>75 Marine Drive Llandrillo-yn-Rhos</t>
  </si>
  <si>
    <t>LL28 4HT</t>
  </si>
  <si>
    <t>CBDU8118</t>
  </si>
  <si>
    <t>Greenfields Cresselly</t>
  </si>
  <si>
    <t>Pembrokeshire</t>
  </si>
  <si>
    <t>SA69 0SL</t>
  </si>
  <si>
    <t>CBDU8119</t>
  </si>
  <si>
    <t>Malpas Depot (rear of fire station)</t>
  </si>
  <si>
    <t>off Malpas Road</t>
  </si>
  <si>
    <t>NP20 5PP</t>
  </si>
  <si>
    <t>CBDL8122</t>
  </si>
  <si>
    <t>Queensway Industrial Estate Queensway</t>
  </si>
  <si>
    <t>LL13 8YR</t>
  </si>
  <si>
    <t>CBDU8123</t>
  </si>
  <si>
    <t>11A Heol Amman Glanamman</t>
  </si>
  <si>
    <t>SA18 2AW</t>
  </si>
  <si>
    <t>CBDU8127</t>
  </si>
  <si>
    <t>Assured Solutions Plas Angharad</t>
  </si>
  <si>
    <t>Stryd Fawr</t>
  </si>
  <si>
    <t>CBDL8129</t>
  </si>
  <si>
    <t>Unit 5 Towngate Industrial Estate</t>
  </si>
  <si>
    <t>NP44 7EZ</t>
  </si>
  <si>
    <t>CBDL8130</t>
  </si>
  <si>
    <t>11 Cross Street Garndiffaith</t>
  </si>
  <si>
    <t>NP4 7NQ</t>
  </si>
  <si>
    <t>CBDU8275</t>
  </si>
  <si>
    <t>Cliff House Llancarfan</t>
  </si>
  <si>
    <t>CF62 3AJ</t>
  </si>
  <si>
    <t>CBDU8277</t>
  </si>
  <si>
    <t>106 Solva Road Clase</t>
  </si>
  <si>
    <t>SA6 7NT</t>
  </si>
  <si>
    <t>CBDU8280</t>
  </si>
  <si>
    <t>Clwyd House Ash Road South</t>
  </si>
  <si>
    <t>LL13 9UG</t>
  </si>
  <si>
    <t>CBDL8281</t>
  </si>
  <si>
    <t xml:space="preserve">16  Rhosmaen Street </t>
  </si>
  <si>
    <t>SA19 6LU</t>
  </si>
  <si>
    <t>CBDU8284</t>
  </si>
  <si>
    <t xml:space="preserve">99 Ferry Road </t>
  </si>
  <si>
    <t>Cydweli</t>
  </si>
  <si>
    <t>SA17 5EJ</t>
  </si>
  <si>
    <t>CBDU8286</t>
  </si>
  <si>
    <t>Stone Mill  Rhydawel</t>
  </si>
  <si>
    <t>Llangeler</t>
  </si>
  <si>
    <t>SA44 5HA</t>
  </si>
  <si>
    <t>CBDU8287</t>
  </si>
  <si>
    <t xml:space="preserve">13 Heol Compton </t>
  </si>
  <si>
    <t>SA10 6BA</t>
  </si>
  <si>
    <t>CBDU8288</t>
  </si>
  <si>
    <t>Stonehaven Dolecoed Road</t>
  </si>
  <si>
    <t>LD5 4RA</t>
  </si>
  <si>
    <t>CBDL8289</t>
  </si>
  <si>
    <t>Applegarth Elmdale</t>
  </si>
  <si>
    <t>CBDU8525</t>
  </si>
  <si>
    <t>Unit 8-9 Wern Trading Estate</t>
  </si>
  <si>
    <t>CBDU8527</t>
  </si>
  <si>
    <t>37 Pencefnarda Road Gorseinon</t>
  </si>
  <si>
    <t>SA4 4FY</t>
  </si>
  <si>
    <t>CBDL8531</t>
  </si>
  <si>
    <t>CBDU8768</t>
  </si>
  <si>
    <t>Catheralls Industrial Estate Brookhill Way</t>
  </si>
  <si>
    <t>CH7 3PS</t>
  </si>
  <si>
    <t>CBDU8769</t>
  </si>
  <si>
    <t>Unit C Henfaes Lane</t>
  </si>
  <si>
    <t>CBDL8775</t>
  </si>
  <si>
    <t>17-19 high street caeharris</t>
  </si>
  <si>
    <t>dowlais</t>
  </si>
  <si>
    <t>merthyr tydfil</t>
  </si>
  <si>
    <t>cf483hb</t>
  </si>
  <si>
    <t>CBDL8777</t>
  </si>
  <si>
    <t xml:space="preserve">106 sycamore way </t>
  </si>
  <si>
    <t>sa31 3qe</t>
  </si>
  <si>
    <t>CBDU8909</t>
  </si>
  <si>
    <t>Unit 5 Cwrt Y Parc</t>
  </si>
  <si>
    <t>Earlswood Road</t>
  </si>
  <si>
    <t>CF14 5GH</t>
  </si>
  <si>
    <t>CBDU8910</t>
  </si>
  <si>
    <t>Avondale House Avondale Road</t>
  </si>
  <si>
    <t>NP44 1TT</t>
  </si>
  <si>
    <t>CBDU8911</t>
  </si>
  <si>
    <t xml:space="preserve">Kings Dock </t>
  </si>
  <si>
    <t>SA1 8QT</t>
  </si>
  <si>
    <t>CBDU8921</t>
  </si>
  <si>
    <t>Berllan Dawel Cilgwyn</t>
  </si>
  <si>
    <t>SA42 0QW</t>
  </si>
  <si>
    <t>CBDU9164</t>
  </si>
  <si>
    <t xml:space="preserve">48 Christchurch Road </t>
  </si>
  <si>
    <t>NP19 7SP</t>
  </si>
  <si>
    <t>CBDU9166</t>
  </si>
  <si>
    <t xml:space="preserve">8 Oak Tree Close </t>
  </si>
  <si>
    <t>CH7 3JU</t>
  </si>
  <si>
    <t>CBDL9169</t>
  </si>
  <si>
    <t>The Control Tower Llandow Trading Estate</t>
  </si>
  <si>
    <t>CBDU9170</t>
  </si>
  <si>
    <t xml:space="preserve">2 Heol Corswigen </t>
  </si>
  <si>
    <t>CF63 1AS</t>
  </si>
  <si>
    <t>CBDL9172</t>
  </si>
  <si>
    <t>Stagmill Garage Alltwalis Road</t>
  </si>
  <si>
    <t>Pontarsais</t>
  </si>
  <si>
    <t>SA32 7DU</t>
  </si>
  <si>
    <t>CBDU9173</t>
  </si>
  <si>
    <t>CBDU9174</t>
  </si>
  <si>
    <t>Suite 20 Hubbway House</t>
  </si>
  <si>
    <t>Bassington Industrial Estate</t>
  </si>
  <si>
    <t>Cramlington</t>
  </si>
  <si>
    <t>NE23 8AD</t>
  </si>
  <si>
    <t>CBDU9176</t>
  </si>
  <si>
    <t>Kemys Way Parc Anturiaeth Abertawe</t>
  </si>
  <si>
    <t>SA6 8QF</t>
  </si>
  <si>
    <t>CBDU9177</t>
  </si>
  <si>
    <t xml:space="preserve">Alltami Road </t>
  </si>
  <si>
    <t>CH7 3PG</t>
  </si>
  <si>
    <t>CBDU9178</t>
  </si>
  <si>
    <t xml:space="preserve">9-11 Malpas Road </t>
  </si>
  <si>
    <t>NP20 5PA</t>
  </si>
  <si>
    <t>CBDU9179</t>
  </si>
  <si>
    <t>Ty-Nant Cwmerfyn</t>
  </si>
  <si>
    <t>SY23 3HB</t>
  </si>
  <si>
    <t>CBDU9180</t>
  </si>
  <si>
    <t>85 Dulais Road Blaendulais</t>
  </si>
  <si>
    <t>SA10 9ES</t>
  </si>
  <si>
    <t>CBDU9183</t>
  </si>
  <si>
    <t>Building Two Trident Industrial Park</t>
  </si>
  <si>
    <t>Glass Avenue</t>
  </si>
  <si>
    <t>CF24 5EN</t>
  </si>
  <si>
    <t>CBDU9412</t>
  </si>
  <si>
    <t>Redwither Road Ystad Ddiwydiannol Wrecsam</t>
  </si>
  <si>
    <t>LL13 9RD</t>
  </si>
  <si>
    <t>CBDU9413</t>
  </si>
  <si>
    <t>Unit 10 Conwy Morfa Enterprise Park</t>
  </si>
  <si>
    <t>Parc Caer Seion</t>
  </si>
  <si>
    <t>LL32 8FA</t>
  </si>
  <si>
    <t>CBDU9414</t>
  </si>
  <si>
    <t xml:space="preserve">40 Park Avenue </t>
  </si>
  <si>
    <t>LL12 7AH</t>
  </si>
  <si>
    <t>CBDL9415</t>
  </si>
  <si>
    <t>CBDU9418</t>
  </si>
  <si>
    <t>Ty'n Twll Farm Bontddu</t>
  </si>
  <si>
    <t>LL40 2UG</t>
  </si>
  <si>
    <t>CBDU9608</t>
  </si>
  <si>
    <t>Bridge Street Newbridge</t>
  </si>
  <si>
    <t>NP11 5FE</t>
  </si>
  <si>
    <t>CBDL9609</t>
  </si>
  <si>
    <t>Bedwell Road Cross Lanes</t>
  </si>
  <si>
    <t>LL13 0TS</t>
  </si>
  <si>
    <t>CBDL9614</t>
  </si>
  <si>
    <t xml:space="preserve">10 Grange Drive </t>
  </si>
  <si>
    <t>Taunton</t>
  </si>
  <si>
    <t>TA2 7DY</t>
  </si>
  <si>
    <t>CBDL9616</t>
  </si>
  <si>
    <t xml:space="preserve">5 Fairlynch Close </t>
  </si>
  <si>
    <t>Braunton</t>
  </si>
  <si>
    <t>EX33 1JB</t>
  </si>
  <si>
    <t>CBDU9617</t>
  </si>
  <si>
    <t>Derwen Neath Abbey Wharf</t>
  </si>
  <si>
    <t>Neath Abbey</t>
  </si>
  <si>
    <t>SA10 6BL</t>
  </si>
  <si>
    <t>CBDU9618</t>
  </si>
  <si>
    <t>Stables Glan Clwyd Bella</t>
  </si>
  <si>
    <t>Llandyrnog</t>
  </si>
  <si>
    <t>LL16 4HY</t>
  </si>
  <si>
    <t>CBDL9619</t>
  </si>
  <si>
    <t>Newport Road Old St. Mellons</t>
  </si>
  <si>
    <t>CF3 5UN</t>
  </si>
  <si>
    <t>CBDU9832</t>
  </si>
  <si>
    <t>Unit 8A Charnwood Park</t>
  </si>
  <si>
    <t>Clos Marion</t>
  </si>
  <si>
    <t>CF10 4LJ</t>
  </si>
  <si>
    <t>CBDU9834</t>
  </si>
  <si>
    <t>The Clogery Aberdulais</t>
  </si>
  <si>
    <t>SA10 8HN</t>
  </si>
  <si>
    <t>CBDU9836</t>
  </si>
  <si>
    <t>The Old Bus Depot Dolgwili Road</t>
  </si>
  <si>
    <t>Glangwili</t>
  </si>
  <si>
    <t>SA31 2AG</t>
  </si>
  <si>
    <t>CBDU9838</t>
  </si>
  <si>
    <t>11 Rowan Trade Park Neville Road</t>
  </si>
  <si>
    <t>Bradford</t>
  </si>
  <si>
    <t>BD4 8TQ</t>
  </si>
  <si>
    <t>CBDU9839</t>
  </si>
  <si>
    <t>A H I House Tabernacle Street</t>
  </si>
  <si>
    <t>Landore</t>
  </si>
  <si>
    <t>SA1 2JQ</t>
  </si>
  <si>
    <t>CBDL9840</t>
  </si>
  <si>
    <t>Unit 1 Oakdale Court</t>
  </si>
  <si>
    <t>Bryn Brithdir</t>
  </si>
  <si>
    <t>Parc Busnes Glynderw</t>
  </si>
  <si>
    <t>NP12 4AD</t>
  </si>
  <si>
    <t>CBDU9841</t>
  </si>
  <si>
    <t>Brynawelon Bryn Hyfryd</t>
  </si>
  <si>
    <t>Llangynnwr</t>
  </si>
  <si>
    <t>SA31 2JZ</t>
  </si>
  <si>
    <t>CBDL9842</t>
  </si>
  <si>
    <t>Coney Beach Mackworth Road</t>
  </si>
  <si>
    <t>CF36 5BY</t>
  </si>
  <si>
    <t>CBDL9843</t>
  </si>
  <si>
    <t xml:space="preserve">Caerdeon Farm </t>
  </si>
  <si>
    <t>Abermo</t>
  </si>
  <si>
    <t>LL42 1TH</t>
  </si>
  <si>
    <t>CBDU9844</t>
  </si>
  <si>
    <t>Penrhiw Llanychaer</t>
  </si>
  <si>
    <t>Abergwaun</t>
  </si>
  <si>
    <t>SA65 9TD</t>
  </si>
  <si>
    <t>CBDL9848</t>
  </si>
  <si>
    <t>Unit 8 Bearmach House</t>
  </si>
  <si>
    <t>Pantglas Industrial Estate</t>
  </si>
  <si>
    <t>CF83 8GE</t>
  </si>
  <si>
    <t>CBDU9849</t>
  </si>
  <si>
    <t xml:space="preserve">22 Frailey Hill </t>
  </si>
  <si>
    <t xml:space="preserve">Woking </t>
  </si>
  <si>
    <t>GU22 8EA</t>
  </si>
  <si>
    <t>CBDU10070</t>
  </si>
  <si>
    <t>1 Bryneithin Road Gorseinon</t>
  </si>
  <si>
    <t>SA4 4XA</t>
  </si>
  <si>
    <t>CBDU10079</t>
  </si>
  <si>
    <t>Cwmlliw Trallong</t>
  </si>
  <si>
    <t>LD3 8HP</t>
  </si>
  <si>
    <t>CBDL10081</t>
  </si>
  <si>
    <t>Llwynon Stepaside</t>
  </si>
  <si>
    <t>SA67 8LL</t>
  </si>
  <si>
    <t>CBDL10082</t>
  </si>
  <si>
    <t xml:space="preserve">168-170 Battersea Park Road </t>
  </si>
  <si>
    <t>SW11 4ND</t>
  </si>
  <si>
    <t>CBDU10159</t>
  </si>
  <si>
    <t xml:space="preserve">42 Mountbatten Close </t>
  </si>
  <si>
    <t>CF23 5QH</t>
  </si>
  <si>
    <t>CBDL10166</t>
  </si>
  <si>
    <t>Alexandra House 307-315 Heol Ddwyreiniol Y Bont-Faen</t>
  </si>
  <si>
    <t>CF5 1JD</t>
  </si>
  <si>
    <t>CBDL10169</t>
  </si>
  <si>
    <t>33 Quay Street Lower Town</t>
  </si>
  <si>
    <t>SA65 9NB</t>
  </si>
  <si>
    <t>CBDU10170</t>
  </si>
  <si>
    <t>The Fron Treberfedd</t>
  </si>
  <si>
    <t>SY21 8EN</t>
  </si>
  <si>
    <t>CBDU10171</t>
  </si>
  <si>
    <t>12 ashdown house</t>
  </si>
  <si>
    <t>benarth rd</t>
  </si>
  <si>
    <t>conwy</t>
  </si>
  <si>
    <t>ll32 8ub</t>
  </si>
  <si>
    <t>CBDL10404</t>
  </si>
  <si>
    <t>162  Studio 4</t>
  </si>
  <si>
    <t>Essington Way</t>
  </si>
  <si>
    <t>Wolverhampton</t>
  </si>
  <si>
    <t>WV1 2NP</t>
  </si>
  <si>
    <t>CBDU10405</t>
  </si>
  <si>
    <t xml:space="preserve">Tanygroes </t>
  </si>
  <si>
    <t>SA43 2JP</t>
  </si>
  <si>
    <t>CBDU10409</t>
  </si>
  <si>
    <t>5 Tawe Place Clydach</t>
  </si>
  <si>
    <t>SA6 5LL</t>
  </si>
  <si>
    <t>CBDU10410</t>
  </si>
  <si>
    <t>41 Pen-yr-Alley Avenue Skewen</t>
  </si>
  <si>
    <t>SA10 6DS</t>
  </si>
  <si>
    <t>CBDL10412</t>
  </si>
  <si>
    <t>Unit 4 Gwaun Elai Medi-Science Campus</t>
  </si>
  <si>
    <t>CF72 8XL</t>
  </si>
  <si>
    <t>CBDU10413</t>
  </si>
  <si>
    <t>Plas Y Ffynnon Cambrian Way</t>
  </si>
  <si>
    <t>LD3 7HP</t>
  </si>
  <si>
    <t>CBDL10416</t>
  </si>
  <si>
    <t xml:space="preserve">Llechwedd Du Bach </t>
  </si>
  <si>
    <t>LL46 2UU</t>
  </si>
  <si>
    <t>CBDL10419</t>
  </si>
  <si>
    <t>Unit 1B Heron road</t>
  </si>
  <si>
    <t>CF3 3JE</t>
  </si>
  <si>
    <t>CBDU10421</t>
  </si>
  <si>
    <t>Soltherm EWI Wales Limited Viaduct Road</t>
  </si>
  <si>
    <t>No. 2 Dock</t>
  </si>
  <si>
    <t>CBDU10633</t>
  </si>
  <si>
    <t>The Vicarage Eglwyswrw</t>
  </si>
  <si>
    <t>SA41 3SN</t>
  </si>
  <si>
    <t>CBDU10634</t>
  </si>
  <si>
    <t xml:space="preserve">68 Llantwit Road </t>
  </si>
  <si>
    <t>SA11 3LB</t>
  </si>
  <si>
    <t>CBDU10637</t>
  </si>
  <si>
    <t>97 Dunvant Road Killay</t>
  </si>
  <si>
    <t>SA2 7NN</t>
  </si>
  <si>
    <t>CBDU10638</t>
  </si>
  <si>
    <t>Bridge Road Wrexham Industrial Estate</t>
  </si>
  <si>
    <t>LL13 9SQ</t>
  </si>
  <si>
    <t>CBDU10639</t>
  </si>
  <si>
    <t>Compound 4 Deeside Industrial Estate</t>
  </si>
  <si>
    <t>Welsh Road</t>
  </si>
  <si>
    <t>CH5 2LR</t>
  </si>
  <si>
    <t>CBDU10640</t>
  </si>
  <si>
    <t>Climate House 12 Tyn-y-Coed Place</t>
  </si>
  <si>
    <t>CF24 4TX</t>
  </si>
  <si>
    <t>CBDU10642</t>
  </si>
  <si>
    <t xml:space="preserve">11-13 High Street </t>
  </si>
  <si>
    <t>NP8 1BD</t>
  </si>
  <si>
    <t>CBDU10644</t>
  </si>
  <si>
    <t xml:space="preserve">72 Cowleaze </t>
  </si>
  <si>
    <t>Chinnor</t>
  </si>
  <si>
    <t>OX39 4TB</t>
  </si>
  <si>
    <t>CBDU10645</t>
  </si>
  <si>
    <t>North Dock Alexandra Dock</t>
  </si>
  <si>
    <t>NP202NP</t>
  </si>
  <si>
    <t>CBDL10753</t>
  </si>
  <si>
    <t>Flat The Moon</t>
  </si>
  <si>
    <t>Garth Close</t>
  </si>
  <si>
    <t>Trevethin</t>
  </si>
  <si>
    <t>NP4 8EH</t>
  </si>
  <si>
    <t>CBDU10755</t>
  </si>
  <si>
    <t xml:space="preserve">101 Maescader </t>
  </si>
  <si>
    <t>Pencader</t>
  </si>
  <si>
    <t>SA39 9HR</t>
  </si>
  <si>
    <t>CBDU10758</t>
  </si>
  <si>
    <t>Plas Dwpa Berriew</t>
  </si>
  <si>
    <t>SY21 8PS</t>
  </si>
  <si>
    <t>CBDU10760</t>
  </si>
  <si>
    <t>Bryn Ysgallog Burry Green</t>
  </si>
  <si>
    <t>Reynoldston</t>
  </si>
  <si>
    <t>SA3 1HR</t>
  </si>
  <si>
    <t>CBDU10761</t>
  </si>
  <si>
    <t>Block D Newbridge Road Industrial Estate</t>
  </si>
  <si>
    <t>NP12 2AN</t>
  </si>
  <si>
    <t>CBDU10762</t>
  </si>
  <si>
    <t>Ashmere Cwmifor</t>
  </si>
  <si>
    <t>SA19 7AH</t>
  </si>
  <si>
    <t>CBDU10764</t>
  </si>
  <si>
    <t>UNIT 20 KENFIG INDUSTRIAL ESTATE</t>
  </si>
  <si>
    <t>MARGAM</t>
  </si>
  <si>
    <t>SA13 2PE</t>
  </si>
  <si>
    <t>CBDL10766</t>
  </si>
  <si>
    <t>Axys House Heol Crochendy</t>
  </si>
  <si>
    <t>Parc Nantgarw</t>
  </si>
  <si>
    <t>CF15 7TW</t>
  </si>
  <si>
    <t>CBDU10769</t>
  </si>
  <si>
    <t>11 Greenland road</t>
  </si>
  <si>
    <t xml:space="preserve">Brynmawr </t>
  </si>
  <si>
    <t xml:space="preserve">Np234du </t>
  </si>
  <si>
    <t>CBDL11006</t>
  </si>
  <si>
    <t xml:space="preserve">32 Holton Road </t>
  </si>
  <si>
    <t>CF63 4HD</t>
  </si>
  <si>
    <t>CBDU11011</t>
  </si>
  <si>
    <t>The Old Chapel Pontfadog</t>
  </si>
  <si>
    <t>LL20 7AR</t>
  </si>
  <si>
    <t>CBDU11012</t>
  </si>
  <si>
    <t>Unit 7 Lamby Workshops</t>
  </si>
  <si>
    <t>CF3 2EQ</t>
  </si>
  <si>
    <t>CBDL11014</t>
  </si>
  <si>
    <t>Unit 46 Vale Business Park</t>
  </si>
  <si>
    <t>CF71 7PF</t>
  </si>
  <si>
    <t>CBDU11017</t>
  </si>
  <si>
    <t>Unit 5 Griffin Industrial Estate</t>
  </si>
  <si>
    <t>Penrhyndeudraeth</t>
  </si>
  <si>
    <t>LL48 6LE</t>
  </si>
  <si>
    <t>CBDU11019</t>
  </si>
  <si>
    <t>4 Bryn Calch Morganstown</t>
  </si>
  <si>
    <t>CF15 8FD</t>
  </si>
  <si>
    <t>CBDL11270</t>
  </si>
  <si>
    <t xml:space="preserve">5 Plas Pamir </t>
  </si>
  <si>
    <t>CF64 1BT</t>
  </si>
  <si>
    <t>CBDL11273</t>
  </si>
  <si>
    <t xml:space="preserve">6 Penylan Road </t>
  </si>
  <si>
    <t>NP19 8AD</t>
  </si>
  <si>
    <t>CBDU11274</t>
  </si>
  <si>
    <t xml:space="preserve">3 Ponsonby Road </t>
  </si>
  <si>
    <t>Poole</t>
  </si>
  <si>
    <t>BH14 9HE</t>
  </si>
  <si>
    <t>CBDL11275</t>
  </si>
  <si>
    <t>Nant Y Pia House Mamhilad Technology Park</t>
  </si>
  <si>
    <t>Mamhilad</t>
  </si>
  <si>
    <t>NP4 0JJ</t>
  </si>
  <si>
    <t>IP30087R</t>
  </si>
  <si>
    <t>CBDL11279</t>
  </si>
  <si>
    <t>Unit 1 Oakwood Close</t>
  </si>
  <si>
    <t>Pen-y-Fan Industrial Estate</t>
  </si>
  <si>
    <t>NP11 3HY</t>
  </si>
  <si>
    <t>CBDU11281</t>
  </si>
  <si>
    <t>Malpas Depot Malpas Road</t>
  </si>
  <si>
    <t>CBDU11282</t>
  </si>
  <si>
    <t xml:space="preserve">27A Cardiff Street </t>
  </si>
  <si>
    <t>CF44 7DP</t>
  </si>
  <si>
    <t>CBDU12071</t>
  </si>
  <si>
    <t xml:space="preserve">Abercrychan Mill </t>
  </si>
  <si>
    <t>SA20 0YW</t>
  </si>
  <si>
    <t>CBDU12072</t>
  </si>
  <si>
    <t>Maes Isaf Johnstown</t>
  </si>
  <si>
    <t>LL14 1UU</t>
  </si>
  <si>
    <t>CBDL12075</t>
  </si>
  <si>
    <t>Perthi Llewelyn Avenue</t>
  </si>
  <si>
    <t>Glan Conwy</t>
  </si>
  <si>
    <t>LL28 5LU</t>
  </si>
  <si>
    <t>CBDU12076</t>
  </si>
  <si>
    <t xml:space="preserve">6 Mill Lane </t>
  </si>
  <si>
    <t>Chatham</t>
  </si>
  <si>
    <t>ME5 0BA</t>
  </si>
  <si>
    <t>CBDU12077</t>
  </si>
  <si>
    <t>The Lodge Beresford House</t>
  </si>
  <si>
    <t>Hall Street</t>
  </si>
  <si>
    <t>NP23 6AT</t>
  </si>
  <si>
    <t>CBDU12079</t>
  </si>
  <si>
    <t xml:space="preserve">1 the Old Lookout </t>
  </si>
  <si>
    <t>Cemaes Bay</t>
  </si>
  <si>
    <t>LL67 0NF</t>
  </si>
  <si>
    <t>CBDL12080</t>
  </si>
  <si>
    <t>43 King Street Mansfield Woodhouse</t>
  </si>
  <si>
    <t>Mansfield</t>
  </si>
  <si>
    <t>NG19 9AT</t>
  </si>
  <si>
    <t>CBDU12082</t>
  </si>
  <si>
    <t xml:space="preserve">5 Marine Crescent </t>
  </si>
  <si>
    <t>LL34 6AU</t>
  </si>
  <si>
    <t>CBDL12083</t>
  </si>
  <si>
    <t>18 Pant Glas Sychdyn</t>
  </si>
  <si>
    <t>CH7 6SY</t>
  </si>
  <si>
    <t>CBDU11285</t>
  </si>
  <si>
    <t>21 Tygwyn Road Clydach</t>
  </si>
  <si>
    <t>SA6 5LX</t>
  </si>
  <si>
    <t>CBDL11286</t>
  </si>
  <si>
    <t>13C Valley Way Swansea Enterprise Park</t>
  </si>
  <si>
    <t>SA6 8QP</t>
  </si>
  <si>
    <t>CBDU11287</t>
  </si>
  <si>
    <t>The Triple-Eves 35A Bryn Road</t>
  </si>
  <si>
    <t>SA4 6PG</t>
  </si>
  <si>
    <t>CBDU11288</t>
  </si>
  <si>
    <t xml:space="preserve">Ty Pengau </t>
  </si>
  <si>
    <t>Ferryside</t>
  </si>
  <si>
    <t>SA17 5UG</t>
  </si>
  <si>
    <t>CBDL11290</t>
  </si>
  <si>
    <t xml:space="preserve">20 Salisbury Road </t>
  </si>
  <si>
    <t>St. Leonards-on-Sea</t>
  </si>
  <si>
    <t>TN37 6RX</t>
  </si>
  <si>
    <t>CBDU11292</t>
  </si>
  <si>
    <t>Celtic House Caxton Place</t>
  </si>
  <si>
    <t>CF23 8HA</t>
  </si>
  <si>
    <t>CBDU11293</t>
  </si>
  <si>
    <t>Rowleys Drive Shotton</t>
  </si>
  <si>
    <t>CH5 1PY</t>
  </si>
  <si>
    <t>CBDU11294</t>
  </si>
  <si>
    <t xml:space="preserve">136 Gladstone Road </t>
  </si>
  <si>
    <t>CF62 8ND</t>
  </si>
  <si>
    <t>CBDL11296</t>
  </si>
  <si>
    <t>Unit 3 Heathfield Industrial Estate</t>
  </si>
  <si>
    <t>Thornhill Road</t>
  </si>
  <si>
    <t>Cwmgwili</t>
  </si>
  <si>
    <t>SA14 6PT</t>
  </si>
  <si>
    <t>CBDU11303</t>
  </si>
  <si>
    <t xml:space="preserve">Minavon </t>
  </si>
  <si>
    <t>Llandinam</t>
  </si>
  <si>
    <t>SY17 5DG</t>
  </si>
  <si>
    <t>CBDL11532</t>
  </si>
  <si>
    <t>Unit 6 Miners Park Road</t>
  </si>
  <si>
    <t>Llay Ind. Est.</t>
  </si>
  <si>
    <t>LL12 0PJ</t>
  </si>
  <si>
    <t>CBDU11533</t>
  </si>
  <si>
    <t>Bryntirion Llanfabon</t>
  </si>
  <si>
    <t>Nelson</t>
  </si>
  <si>
    <t>CF46 6PG</t>
  </si>
  <si>
    <t>CBDU11535</t>
  </si>
  <si>
    <t>Maes Hafren Abermule</t>
  </si>
  <si>
    <t>SY15 6NT</t>
  </si>
  <si>
    <t>CBDU11536</t>
  </si>
  <si>
    <t xml:space="preserve">Viking Place </t>
  </si>
  <si>
    <t>CF10 4TR</t>
  </si>
  <si>
    <t>CBDU11537</t>
  </si>
  <si>
    <t>Unit 8 The Workshops</t>
  </si>
  <si>
    <t>Phoenix Way</t>
  </si>
  <si>
    <t>CBDL11538</t>
  </si>
  <si>
    <t>38 Trafalgar Place Brynmill</t>
  </si>
  <si>
    <t>SA2 0BU</t>
  </si>
  <si>
    <t>CBDU11542</t>
  </si>
  <si>
    <t>Caelan Drury Lane</t>
  </si>
  <si>
    <t>Leeswood</t>
  </si>
  <si>
    <t>CH7 4SJ</t>
  </si>
  <si>
    <t>CBDU11543</t>
  </si>
  <si>
    <t xml:space="preserve">175 High Street </t>
  </si>
  <si>
    <t>NP12 1AA</t>
  </si>
  <si>
    <t>CBDL11764</t>
  </si>
  <si>
    <t>Unit 10 Easter Park Baker Road</t>
  </si>
  <si>
    <t>Nelson Park West</t>
  </si>
  <si>
    <t>NE23 1WQ</t>
  </si>
  <si>
    <t>CBDU11765</t>
  </si>
  <si>
    <t>The Yard Broadwater Road</t>
  </si>
  <si>
    <t>Leeway Industrial Estate</t>
  </si>
  <si>
    <t>NP19 4SN</t>
  </si>
  <si>
    <t>CBDU11766</t>
  </si>
  <si>
    <t>Unit 2-3 Parc Elwy</t>
  </si>
  <si>
    <t>Eagles Farm Road</t>
  </si>
  <si>
    <t>Mochdre Business Park</t>
  </si>
  <si>
    <t>LL28 5HF</t>
  </si>
  <si>
    <t>CBDU11767</t>
  </si>
  <si>
    <t>Cambrian House East Moors Road</t>
  </si>
  <si>
    <t>CF24 5EG</t>
  </si>
  <si>
    <t>CBDU11769</t>
  </si>
  <si>
    <t xml:space="preserve">16 Alexandra Drive </t>
  </si>
  <si>
    <t>LL19 8BW</t>
  </si>
  <si>
    <t>CBDU11771</t>
  </si>
  <si>
    <t>Unit 12 Splott Industrial Estate</t>
  </si>
  <si>
    <t>Portmanmoor Road</t>
  </si>
  <si>
    <t>CF24 5FF</t>
  </si>
  <si>
    <t>CBDU11774</t>
  </si>
  <si>
    <t xml:space="preserve">108 Somers Road </t>
  </si>
  <si>
    <t>Southsea</t>
  </si>
  <si>
    <t>PO5 4PY</t>
  </si>
  <si>
    <t>CBDL11778</t>
  </si>
  <si>
    <t xml:space="preserve">245 Western Avenue </t>
  </si>
  <si>
    <t>CF5 2YX</t>
  </si>
  <si>
    <t>CBDU11779</t>
  </si>
  <si>
    <t>32 Garden City Industrial Estate Sealand Avenue</t>
  </si>
  <si>
    <t>CH5 2HW</t>
  </si>
  <si>
    <t>CBDU11780</t>
  </si>
  <si>
    <t xml:space="preserve">Wrexham Road </t>
  </si>
  <si>
    <t>CH7 4HE</t>
  </si>
  <si>
    <t>CBDU12276</t>
  </si>
  <si>
    <t>Unit 22 Capital Valley Eco Park</t>
  </si>
  <si>
    <t>NP22 5PT</t>
  </si>
  <si>
    <t>CBDU12277</t>
  </si>
  <si>
    <t>3 Tybryn Terrace Pencoed</t>
  </si>
  <si>
    <t>CF35 6PT</t>
  </si>
  <si>
    <t>CBDL12279</t>
  </si>
  <si>
    <t xml:space="preserve">14 Longcroft Road </t>
  </si>
  <si>
    <t>Colchester</t>
  </si>
  <si>
    <t>CO4 3AR</t>
  </si>
  <si>
    <t>CBDU12281</t>
  </si>
  <si>
    <t xml:space="preserve">14 St. Michaels Road </t>
  </si>
  <si>
    <t>Kettering</t>
  </si>
  <si>
    <t>NN15 6AS</t>
  </si>
  <si>
    <t>CBDU12283</t>
  </si>
  <si>
    <t xml:space="preserve">44 Glenwood </t>
  </si>
  <si>
    <t>CF23 6US</t>
  </si>
  <si>
    <t>CBDL12284</t>
  </si>
  <si>
    <t>Unit 1 The Queensway</t>
  </si>
  <si>
    <t>SA5 4DH</t>
  </si>
  <si>
    <t>CBDU12285</t>
  </si>
  <si>
    <t>244A Heol Y Meinciau Pontyates</t>
  </si>
  <si>
    <t>SA15 5SN</t>
  </si>
  <si>
    <t>CBDL12286</t>
  </si>
  <si>
    <t>38 Chester Road Gresford</t>
  </si>
  <si>
    <t>LL12 8TN</t>
  </si>
  <si>
    <t>CBDU12287</t>
  </si>
  <si>
    <t>82 Lon Tanyrallt</t>
  </si>
  <si>
    <t>Alltwen</t>
  </si>
  <si>
    <t>SA83AS</t>
  </si>
  <si>
    <t>CBDU12288</t>
  </si>
  <si>
    <t xml:space="preserve">23 Brynmelyn Avenue </t>
  </si>
  <si>
    <t>SA15 3RU</t>
  </si>
  <si>
    <t>CBDU12289</t>
  </si>
  <si>
    <t>16 Pandy Road Bedwas</t>
  </si>
  <si>
    <t>CF83 8EJ</t>
  </si>
  <si>
    <t>CBDU12290</t>
  </si>
  <si>
    <t xml:space="preserve">55 Mardy Crescent </t>
  </si>
  <si>
    <t>CF83 1PT</t>
  </si>
  <si>
    <t>CBDU12291</t>
  </si>
  <si>
    <t>CBDU12493</t>
  </si>
  <si>
    <t>Unit 5 Pinfold Lane Industrial Estate</t>
  </si>
  <si>
    <t>CH7 3PL</t>
  </si>
  <si>
    <t>CBDL12494</t>
  </si>
  <si>
    <t>Unit 3 Soho Mills</t>
  </si>
  <si>
    <t>London Road</t>
  </si>
  <si>
    <t>Wallington</t>
  </si>
  <si>
    <t>SM6 7HN</t>
  </si>
  <si>
    <t>CBDL12498</t>
  </si>
  <si>
    <t xml:space="preserve">6 The Retreat </t>
  </si>
  <si>
    <t>CF23 5QZ</t>
  </si>
  <si>
    <t>CBDU12500</t>
  </si>
  <si>
    <t>4 St. Teilo Street Pontarddulais</t>
  </si>
  <si>
    <t>SA4 8TH</t>
  </si>
  <si>
    <t>CBDL12626</t>
  </si>
  <si>
    <t xml:space="preserve">Eardington </t>
  </si>
  <si>
    <t>Bridgnorth</t>
  </si>
  <si>
    <t>WV16 5LS</t>
  </si>
  <si>
    <t>CBDU12627</t>
  </si>
  <si>
    <t>Manor Farmhouse Manor Lane</t>
  </si>
  <si>
    <t>Hawarden</t>
  </si>
  <si>
    <t>CH5 3PL</t>
  </si>
  <si>
    <t>CBDU12631</t>
  </si>
  <si>
    <t>3 Nant Celyn Rhymney</t>
  </si>
  <si>
    <t>NP22 5PD</t>
  </si>
  <si>
    <t>CBDU12632</t>
  </si>
  <si>
    <t xml:space="preserve">9 Neville Road </t>
  </si>
  <si>
    <t>CF31 3HB</t>
  </si>
  <si>
    <t>CBDL12633</t>
  </si>
  <si>
    <t xml:space="preserve">Council Offices </t>
  </si>
  <si>
    <t>LL77 7TW</t>
  </si>
  <si>
    <t>CBDL12635</t>
  </si>
  <si>
    <t>Pen Parc Cymmer Road</t>
  </si>
  <si>
    <t>CF39 9BL</t>
  </si>
  <si>
    <t>CBDU12636</t>
  </si>
  <si>
    <t>Unit A20-A21 Bersham Enterprise Centre</t>
  </si>
  <si>
    <t>CBDU12640</t>
  </si>
  <si>
    <t>Unit 2 Kings Parade</t>
  </si>
  <si>
    <t>NP20 2DU</t>
  </si>
  <si>
    <t>CBDL12832</t>
  </si>
  <si>
    <t>Unit C2 Engineering Shops Block C</t>
  </si>
  <si>
    <t>Graddfa Industrial Estate</t>
  </si>
  <si>
    <t>CF83 3QS</t>
  </si>
  <si>
    <t>CBDU12834</t>
  </si>
  <si>
    <t>Unit 7 Llandeilo Road Industrial Estate</t>
  </si>
  <si>
    <t>CBDU12835</t>
  </si>
  <si>
    <t xml:space="preserve">1 West Terrace </t>
  </si>
  <si>
    <t>Folkestone</t>
  </si>
  <si>
    <t>CT20 1RR</t>
  </si>
  <si>
    <t>CBDU12838</t>
  </si>
  <si>
    <t>Unit 8 Castle Way</t>
  </si>
  <si>
    <t>NP26 5PR</t>
  </si>
  <si>
    <t>CBDL12842</t>
  </si>
  <si>
    <t>Unit D1 Caerphilly Business Park</t>
  </si>
  <si>
    <t>CBDL12844</t>
  </si>
  <si>
    <t xml:space="preserve">140 Park Lane </t>
  </si>
  <si>
    <t>N17 0JP</t>
  </si>
  <si>
    <t>CBDL12846</t>
  </si>
  <si>
    <t>CBDU13058</t>
  </si>
  <si>
    <t>3 Woodland Court Abercynon</t>
  </si>
  <si>
    <t>CF45 4UJ</t>
  </si>
  <si>
    <t>CBDU13060</t>
  </si>
  <si>
    <t>Parc Carneddi</t>
  </si>
  <si>
    <t>LL57 3UG</t>
  </si>
  <si>
    <t>CBDU13061</t>
  </si>
  <si>
    <t>Woodside Trading Estate Llanbadoc</t>
  </si>
  <si>
    <t>NP15 1SS</t>
  </si>
  <si>
    <t>CBDU13062</t>
  </si>
  <si>
    <t>Riverside House River Lane</t>
  </si>
  <si>
    <t>Saltney</t>
  </si>
  <si>
    <t>CH4 8RQ</t>
  </si>
  <si>
    <t>CBDL13063</t>
  </si>
  <si>
    <t xml:space="preserve">Clayton Road </t>
  </si>
  <si>
    <t>CH7 1SS</t>
  </si>
  <si>
    <t>CBDU13066</t>
  </si>
  <si>
    <t>Derby House 29 Castle Street</t>
  </si>
  <si>
    <t>Caergwrle</t>
  </si>
  <si>
    <t>LL12 9AD</t>
  </si>
  <si>
    <t>CBDL13068</t>
  </si>
  <si>
    <t>The Old Fire Station Pandy Park Aberkenfig</t>
  </si>
  <si>
    <t>CF32 9RE</t>
  </si>
  <si>
    <t>CBDU13069</t>
  </si>
  <si>
    <t>Stuart Quarry Chapel Road</t>
  </si>
  <si>
    <t>Penderyn</t>
  </si>
  <si>
    <t>CF44 9JY</t>
  </si>
  <si>
    <t>CBDU13218</t>
  </si>
  <si>
    <t>Cwmbychan Cynwyl Elfed</t>
  </si>
  <si>
    <t>SA33 6TY</t>
  </si>
  <si>
    <t>CBDU13220</t>
  </si>
  <si>
    <t>UNIT 9 CURRAN ROAD IND EST</t>
  </si>
  <si>
    <t>CBDU13221</t>
  </si>
  <si>
    <t>Old Post Office Alltwalis</t>
  </si>
  <si>
    <t>SA32 7EB</t>
  </si>
  <si>
    <t>CBDL13223</t>
  </si>
  <si>
    <t xml:space="preserve">Bourne Park Piddlehinton </t>
  </si>
  <si>
    <t>Dorchester</t>
  </si>
  <si>
    <t>DT2 7TU</t>
  </si>
  <si>
    <t>CBDU13224</t>
  </si>
  <si>
    <t>Llwynhelyg Llandissilio</t>
  </si>
  <si>
    <t>Clynderwen</t>
  </si>
  <si>
    <t>SA66 7TH</t>
  </si>
  <si>
    <t>CBDU13226</t>
  </si>
  <si>
    <t>Ty Dewin Station Road</t>
  </si>
  <si>
    <t>SA13 1JB</t>
  </si>
  <si>
    <t>CBDU13227</t>
  </si>
  <si>
    <t>Cross Community Centre 1 High Street</t>
  </si>
  <si>
    <t>CBDU13406</t>
  </si>
  <si>
    <t>Unit 1-2 Park Gate Ind Est</t>
  </si>
  <si>
    <t>Usk Road</t>
  </si>
  <si>
    <t>NP4 8AJ</t>
  </si>
  <si>
    <t>CBDU13407</t>
  </si>
  <si>
    <t>Gwynfa Bryncrug</t>
  </si>
  <si>
    <t>LL36 9PH</t>
  </si>
  <si>
    <t>CBDL13410</t>
  </si>
  <si>
    <t>Whitehall Lodge East Williamston</t>
  </si>
  <si>
    <t>SA70 8RU</t>
  </si>
  <si>
    <t>CBDL13411</t>
  </si>
  <si>
    <t>Plas Newydd Deganwy</t>
  </si>
  <si>
    <t>LL31 9UH</t>
  </si>
  <si>
    <t>CBDL190</t>
  </si>
  <si>
    <t>7 Beechdale Road</t>
  </si>
  <si>
    <t>NP19 8AE</t>
  </si>
  <si>
    <t>CBDL191</t>
  </si>
  <si>
    <t>CBDL192</t>
  </si>
  <si>
    <t>CBDL193</t>
  </si>
  <si>
    <t>CBDL194</t>
  </si>
  <si>
    <t>CBDL195</t>
  </si>
  <si>
    <t>CBDL201</t>
  </si>
  <si>
    <t>The Workhouse The Industrial Estate</t>
  </si>
  <si>
    <t>LD8 2UF</t>
  </si>
  <si>
    <t>CBDL202</t>
  </si>
  <si>
    <t>CBDL203</t>
  </si>
  <si>
    <t>CBDL204</t>
  </si>
  <si>
    <t>CBDL434</t>
  </si>
  <si>
    <t>CBDL435</t>
  </si>
  <si>
    <t>CBDL436</t>
  </si>
  <si>
    <t>CBDL437</t>
  </si>
  <si>
    <t>CBDL438</t>
  </si>
  <si>
    <t>CBDL439</t>
  </si>
  <si>
    <t>Sax Bash Derwen Road</t>
  </si>
  <si>
    <t>CF31 1LH</t>
  </si>
  <si>
    <t>CBDL440</t>
  </si>
  <si>
    <t>Unit 6 Dyfi Eco Park</t>
  </si>
  <si>
    <t>SY20 8AX</t>
  </si>
  <si>
    <t>CBDL690</t>
  </si>
  <si>
    <t>The Barn Lower Blackhill</t>
  </si>
  <si>
    <t>Dolfor</t>
  </si>
  <si>
    <t>SY16 4AB</t>
  </si>
  <si>
    <t>CBDL695</t>
  </si>
  <si>
    <t>PSL House Eastern Avenue</t>
  </si>
  <si>
    <t xml:space="preserve">Dunstable </t>
  </si>
  <si>
    <t>LU5 4JY</t>
  </si>
  <si>
    <t>CBDL696</t>
  </si>
  <si>
    <t>Williamston Nursing Home Rhoose Ferry Road</t>
  </si>
  <si>
    <t>Houghton</t>
  </si>
  <si>
    <t>SA73 1NL</t>
  </si>
  <si>
    <t>CBDL698</t>
  </si>
  <si>
    <t>abergele day centre rhuddlan road</t>
  </si>
  <si>
    <t>abergele</t>
  </si>
  <si>
    <t>ll22 7hf</t>
  </si>
  <si>
    <t>CBDL700</t>
  </si>
  <si>
    <t>Pencelli Pencelli</t>
  </si>
  <si>
    <t>LD3 7LX</t>
  </si>
  <si>
    <t>CBDL704</t>
  </si>
  <si>
    <t>Imperial Building Bridge Street</t>
  </si>
  <si>
    <t>NP11 4SB</t>
  </si>
  <si>
    <t>CBDL891</t>
  </si>
  <si>
    <t>1 The Cot</t>
  </si>
  <si>
    <t>St Arvans</t>
  </si>
  <si>
    <t>CHEPSTOW</t>
  </si>
  <si>
    <t>NP16 6HL</t>
  </si>
  <si>
    <t>CBDL893</t>
  </si>
  <si>
    <t>F1 Capital Business Park</t>
  </si>
  <si>
    <t>CF3 2PY</t>
  </si>
  <si>
    <t>CBDL895</t>
  </si>
  <si>
    <t>Unit 1 Harlequin Trading Estate</t>
  </si>
  <si>
    <t>Alderney Street</t>
  </si>
  <si>
    <t>NP20 5NH</t>
  </si>
  <si>
    <t>CBDL897</t>
  </si>
  <si>
    <t>Coed Owen Farm Cwwtaff</t>
  </si>
  <si>
    <t>CF48 2HY</t>
  </si>
  <si>
    <t>CBDL1131</t>
  </si>
  <si>
    <t>pren Onnen lixwm</t>
  </si>
  <si>
    <t>holywell</t>
  </si>
  <si>
    <t>ch88nq</t>
  </si>
  <si>
    <t>CBDL1134</t>
  </si>
  <si>
    <t>Unit 23 Delta Lakes The Avenue</t>
  </si>
  <si>
    <t>Machynys</t>
  </si>
  <si>
    <t>SA15 2DR</t>
  </si>
  <si>
    <t>CBDL1135</t>
  </si>
  <si>
    <t>4  HEOL TREFIN</t>
  </si>
  <si>
    <t>PEN YR ABER</t>
  </si>
  <si>
    <t>SA65 9EN</t>
  </si>
  <si>
    <t>CBDL1136</t>
  </si>
  <si>
    <t>LLanrumney Medical Centre Ball Road</t>
  </si>
  <si>
    <t>LLanrumney</t>
  </si>
  <si>
    <t>cf35np</t>
  </si>
  <si>
    <t>CBDL1141</t>
  </si>
  <si>
    <t>angorfa park place</t>
  </si>
  <si>
    <t>tredegar</t>
  </si>
  <si>
    <t>gwent</t>
  </si>
  <si>
    <t>np224lq</t>
  </si>
  <si>
    <t>CBDL1142</t>
  </si>
  <si>
    <t>Unit 3 Rhos Industrial Park Church Road</t>
  </si>
  <si>
    <t>Rhos on Sea</t>
  </si>
  <si>
    <t xml:space="preserve"> Rhos on Sea</t>
  </si>
  <si>
    <t>LL28 4YX</t>
  </si>
  <si>
    <t>CBDL1376</t>
  </si>
  <si>
    <t>Unit D17  Western Avenue</t>
  </si>
  <si>
    <t>Bridgend Ind Est</t>
  </si>
  <si>
    <t>CF31 3RT</t>
  </si>
  <si>
    <t>CBDL1377</t>
  </si>
  <si>
    <t>netherton farm talkin</t>
  </si>
  <si>
    <t>brampton</t>
  </si>
  <si>
    <t>CA8 1LR</t>
  </si>
  <si>
    <t>CBDL1381</t>
  </si>
  <si>
    <t>2 The Struet</t>
  </si>
  <si>
    <t>LD3 7LH</t>
  </si>
  <si>
    <t>CBDL1383</t>
  </si>
  <si>
    <t>Graig Campus Sandy Road</t>
  </si>
  <si>
    <t>SA15 4DN</t>
  </si>
  <si>
    <t>CBDL1384</t>
  </si>
  <si>
    <t>25 Pedair Erw Road</t>
  </si>
  <si>
    <t>CF144NU</t>
  </si>
  <si>
    <t>CBDL1385</t>
  </si>
  <si>
    <t xml:space="preserve">Units 4 and 5 Village Workshops Pandy Road </t>
  </si>
  <si>
    <t xml:space="preserve">Llanbrynmiar </t>
  </si>
  <si>
    <t xml:space="preserve">SY19 7AA </t>
  </si>
  <si>
    <t>CBDL1386</t>
  </si>
  <si>
    <t>11 The Bulwark</t>
  </si>
  <si>
    <t>brecon</t>
  </si>
  <si>
    <t>ld3 7ae</t>
  </si>
  <si>
    <t>CBDL1387</t>
  </si>
  <si>
    <t>6 BEECH STREET</t>
  </si>
  <si>
    <t>SUMMERHILL</t>
  </si>
  <si>
    <t>WREXHM</t>
  </si>
  <si>
    <t>LL11 4UF</t>
  </si>
  <si>
    <t>CBDL1605</t>
  </si>
  <si>
    <t>printing house severn farm enterprise park</t>
  </si>
  <si>
    <t>welshpool</t>
  </si>
  <si>
    <t>sy21 7df</t>
  </si>
  <si>
    <t>CBDL1606</t>
  </si>
  <si>
    <t>CBDL1607</t>
  </si>
  <si>
    <t>19  Penytai Lane</t>
  </si>
  <si>
    <t>SA15 4EN</t>
  </si>
  <si>
    <t>CBDL1608</t>
  </si>
  <si>
    <t>49 Nightingale court</t>
  </si>
  <si>
    <t>Sa151hu</t>
  </si>
  <si>
    <t>CBDL1866</t>
  </si>
  <si>
    <t>139 Coalbrook Road Pengelli</t>
  </si>
  <si>
    <t>SA4 4GP</t>
  </si>
  <si>
    <t>CBDL2080</t>
  </si>
  <si>
    <t>28 Gibbons Street</t>
  </si>
  <si>
    <t>NG7 2SB</t>
  </si>
  <si>
    <t>CBDL2085</t>
  </si>
  <si>
    <t>Unit 5 Pontarddulais Workshops</t>
  </si>
  <si>
    <t>Tyn Y Bonau Road</t>
  </si>
  <si>
    <t>SA4 8SG</t>
  </si>
  <si>
    <t>CBDL2089</t>
  </si>
  <si>
    <t xml:space="preserve">49 Broad Street </t>
  </si>
  <si>
    <t>SY16 2AU</t>
  </si>
  <si>
    <t>CBDL2090</t>
  </si>
  <si>
    <t>London House 1 &amp; 3 Penallta Road</t>
  </si>
  <si>
    <t>CF82 7AP</t>
  </si>
  <si>
    <t>CBDL2092</t>
  </si>
  <si>
    <t>Pontarddulais Workshops TynyBonau Road</t>
  </si>
  <si>
    <t>SA48SG</t>
  </si>
  <si>
    <t>CBDL2250</t>
  </si>
  <si>
    <t xml:space="preserve">Y Castell Coch </t>
  </si>
  <si>
    <t>SY21 8RF</t>
  </si>
  <si>
    <t>CBDL2254</t>
  </si>
  <si>
    <t>Vardre Hall Castle Street</t>
  </si>
  <si>
    <t>LL32 8AY</t>
  </si>
  <si>
    <t>CBDL2255</t>
  </si>
  <si>
    <t>1-3 Aber Park Aber Road</t>
  </si>
  <si>
    <t>Y Fflint</t>
  </si>
  <si>
    <t>CH6 5EX</t>
  </si>
  <si>
    <t>CBDL2473</t>
  </si>
  <si>
    <t>Unit 2 George Street</t>
  </si>
  <si>
    <t>Bridgend Industrial Estate</t>
  </si>
  <si>
    <t>CF31 3TS</t>
  </si>
  <si>
    <t>CBDL2475</t>
  </si>
  <si>
    <t>Bridgend Road Bryncethin</t>
  </si>
  <si>
    <t>CF32 9TG</t>
  </si>
  <si>
    <t>CBDU2479</t>
  </si>
  <si>
    <t>2 Heol-y-Groes Pencoed</t>
  </si>
  <si>
    <t>CF35 5PE</t>
  </si>
  <si>
    <t>CBDL2482</t>
  </si>
  <si>
    <t xml:space="preserve">Gerlyn </t>
  </si>
  <si>
    <t>SA40 9TX</t>
  </si>
  <si>
    <t>CBDL2737</t>
  </si>
  <si>
    <t>Vauxhall Buildings Vauxhall</t>
  </si>
  <si>
    <t>SA15 3BD</t>
  </si>
  <si>
    <t>CBDL2948</t>
  </si>
  <si>
    <t>Unit 4-5 St. Ives Way</t>
  </si>
  <si>
    <t>CBDL2949</t>
  </si>
  <si>
    <t>Foundry House Tanygrisiau</t>
  </si>
  <si>
    <t>LL41 3TW</t>
  </si>
  <si>
    <t>CBDL3159</t>
  </si>
  <si>
    <t>Unit 1-3 Cwmdu Industrial Estate</t>
  </si>
  <si>
    <t>Carmarthen Road</t>
  </si>
  <si>
    <t>SA5 8JF</t>
  </si>
  <si>
    <t>CBDL3380</t>
  </si>
  <si>
    <t>Le Y Deryn Disserth</t>
  </si>
  <si>
    <t>Llanfair-Ym-Muallt</t>
  </si>
  <si>
    <t>LD2 3TN</t>
  </si>
  <si>
    <t>CBDL3389</t>
  </si>
  <si>
    <t xml:space="preserve">23 Chestnut Way </t>
  </si>
  <si>
    <t>CF47 9SB</t>
  </si>
  <si>
    <t>CBDL3451</t>
  </si>
  <si>
    <t xml:space="preserve">1 St. John Street </t>
  </si>
  <si>
    <t>NP25 3EA</t>
  </si>
  <si>
    <t>CBDL3663</t>
  </si>
  <si>
    <t>Apple Acre Llangrallo</t>
  </si>
  <si>
    <t>CF35 5HN</t>
  </si>
  <si>
    <t>CBDL3895</t>
  </si>
  <si>
    <t xml:space="preserve">17 Keats Way </t>
  </si>
  <si>
    <t>Greenford</t>
  </si>
  <si>
    <t>UB6 9HD</t>
  </si>
  <si>
    <t>CBDL3907</t>
  </si>
  <si>
    <t>Glebe House Nolton Haven</t>
  </si>
  <si>
    <t>SA62 3NW</t>
  </si>
  <si>
    <t>CBDL4156</t>
  </si>
  <si>
    <t xml:space="preserve">47 Neath Road </t>
  </si>
  <si>
    <t>SA1 2HR</t>
  </si>
  <si>
    <t>CBDL4162</t>
  </si>
  <si>
    <t xml:space="preserve">39 Union Road East </t>
  </si>
  <si>
    <t>NP7 5UL</t>
  </si>
  <si>
    <t>CBDL4399</t>
  </si>
  <si>
    <t>Unit 24 Ddole Road Industrial Estate</t>
  </si>
  <si>
    <t>CBDL4401</t>
  </si>
  <si>
    <t xml:space="preserve">North Road </t>
  </si>
  <si>
    <t>CF10 3ER</t>
  </si>
  <si>
    <t>CBDL4633</t>
  </si>
  <si>
    <t xml:space="preserve">2 Lower High Street </t>
  </si>
  <si>
    <t>LL32 8AL</t>
  </si>
  <si>
    <t>CBDL4827</t>
  </si>
  <si>
    <t xml:space="preserve">283 Penarth Road </t>
  </si>
  <si>
    <t>CF11 8UL</t>
  </si>
  <si>
    <t>CBDL5063</t>
  </si>
  <si>
    <t>The Courtyard 30 Worthing Road</t>
  </si>
  <si>
    <t>Horsham</t>
  </si>
  <si>
    <t>RH12 1SL</t>
  </si>
  <si>
    <t>CBDL5067</t>
  </si>
  <si>
    <t>ANOVO 5 Finlan Road</t>
  </si>
  <si>
    <t>Middleton</t>
  </si>
  <si>
    <t>M24 2RW</t>
  </si>
  <si>
    <t>CBDL5310</t>
  </si>
  <si>
    <t>Dorville Bryn Coch Lane</t>
  </si>
  <si>
    <t>CH7 1PN</t>
  </si>
  <si>
    <t>CBDL5328</t>
  </si>
  <si>
    <t>Pontystyllod Farm Llandegla</t>
  </si>
  <si>
    <t>LL11 3AL</t>
  </si>
  <si>
    <t>CBDL5589</t>
  </si>
  <si>
    <t>25 Orion Court Cranes Farm Road</t>
  </si>
  <si>
    <t>Basildon</t>
  </si>
  <si>
    <t>SS14 3DB</t>
  </si>
  <si>
    <t>CBDU5590</t>
  </si>
  <si>
    <t>Creigiau Tyres Ltd Newtown Industrial Estate</t>
  </si>
  <si>
    <t>Nr Pontypridd</t>
  </si>
  <si>
    <t>CF38 2EE</t>
  </si>
  <si>
    <t>CBDU5591</t>
  </si>
  <si>
    <t>unit 1 old road</t>
  </si>
  <si>
    <t>skewen</t>
  </si>
  <si>
    <t>neath</t>
  </si>
  <si>
    <t>sa10 6lr</t>
  </si>
  <si>
    <t>CBDU5596</t>
  </si>
  <si>
    <t>20 Ffordd Y Morfa Cross Hands</t>
  </si>
  <si>
    <t>SA14 6SL</t>
  </si>
  <si>
    <t>CBDL5599</t>
  </si>
  <si>
    <t xml:space="preserve">Pontypandy Industrial Estate </t>
  </si>
  <si>
    <t>CF83 3GL</t>
  </si>
  <si>
    <t>CBDU5600</t>
  </si>
  <si>
    <t>Unit 2 Usk Side Business Park Church Street</t>
  </si>
  <si>
    <t>NP20 2TX</t>
  </si>
  <si>
    <t>CBDL5601</t>
  </si>
  <si>
    <t>4 Erw Heulog Old Mold Road</t>
  </si>
  <si>
    <t>Gwersyllt</t>
  </si>
  <si>
    <t>LL11 4RH</t>
  </si>
  <si>
    <t>CBDU6098</t>
  </si>
  <si>
    <t>The Euroterminal Westinghouse Road</t>
  </si>
  <si>
    <t>Trafford Park</t>
  </si>
  <si>
    <t>Manchester</t>
  </si>
  <si>
    <t>M17 1EU</t>
  </si>
  <si>
    <t>CBDU6099</t>
  </si>
  <si>
    <t>Tyddyn Y Waen Llanfaethlu</t>
  </si>
  <si>
    <t>LL65 4DY</t>
  </si>
  <si>
    <t>CBDU6101</t>
  </si>
  <si>
    <t>FFynnonddofn 74 High Street</t>
  </si>
  <si>
    <t>SA65 9AU</t>
  </si>
  <si>
    <t>CBDU6102</t>
  </si>
  <si>
    <t>CARAVAN SITE 19 Ruthin Road</t>
  </si>
  <si>
    <t>LL11 3BP</t>
  </si>
  <si>
    <t>CBDU6103</t>
  </si>
  <si>
    <t>Heol Groeswen Treforest Industrial Estate</t>
  </si>
  <si>
    <t>CF37 5YF</t>
  </si>
  <si>
    <t>CBDU6105</t>
  </si>
  <si>
    <t xml:space="preserve">43 Ladyhill </t>
  </si>
  <si>
    <t>Brynbuga</t>
  </si>
  <si>
    <t>NP15 1SH</t>
  </si>
  <si>
    <t>CBDU6337</t>
  </si>
  <si>
    <t>0 EWENNY INDUSTRIAL ESTATE</t>
  </si>
  <si>
    <t>WATERTON</t>
  </si>
  <si>
    <t>BRIDGEND</t>
  </si>
  <si>
    <t>CF31 3YR</t>
  </si>
  <si>
    <t>CBDU6339</t>
  </si>
  <si>
    <t>Unit 5 Moreton Business Park</t>
  </si>
  <si>
    <t>Gledrid</t>
  </si>
  <si>
    <t>Clywd</t>
  </si>
  <si>
    <t>LL14 5DG</t>
  </si>
  <si>
    <t>CBDU6340</t>
  </si>
  <si>
    <t>3 Cae Helyg</t>
  </si>
  <si>
    <t>Pentre Halkyn</t>
  </si>
  <si>
    <t>Holywell</t>
  </si>
  <si>
    <t>CH8 8JA</t>
  </si>
  <si>
    <t>CBDU6341</t>
  </si>
  <si>
    <t>Rockfield Longford Road</t>
  </si>
  <si>
    <t>Mynachlog Nedd</t>
  </si>
  <si>
    <t>SA10 7HQ</t>
  </si>
  <si>
    <t>CBDU6345</t>
  </si>
  <si>
    <t>Unit A5 Severn Road</t>
  </si>
  <si>
    <t>CF37 5SP</t>
  </si>
  <si>
    <t>CBDU6350</t>
  </si>
  <si>
    <t>Unit A Crown Business Park</t>
  </si>
  <si>
    <t>Tredegyr</t>
  </si>
  <si>
    <t>CBDU6651</t>
  </si>
  <si>
    <t>Unit K2-K3 Lowfields Way</t>
  </si>
  <si>
    <t>Lowfields Business Park</t>
  </si>
  <si>
    <t>Elland</t>
  </si>
  <si>
    <t>HX5 9DA</t>
  </si>
  <si>
    <t>CBDL6652</t>
  </si>
  <si>
    <t>The Coal Exchange Mount Stuart Square</t>
  </si>
  <si>
    <t>CF10 5EB</t>
  </si>
  <si>
    <t>CBDU6655</t>
  </si>
  <si>
    <t>The Old Stables Talyllychau</t>
  </si>
  <si>
    <t>SA19 7AQ</t>
  </si>
  <si>
    <t>CBDU6656</t>
  </si>
  <si>
    <t>Plas Heulwen Llanfair Road</t>
  </si>
  <si>
    <t>SY16 3JY</t>
  </si>
  <si>
    <t>CBDL6659</t>
  </si>
  <si>
    <t>Coombe Farm Llanvair Discoed</t>
  </si>
  <si>
    <t>NP16 6LN</t>
  </si>
  <si>
    <t>CBDU6660</t>
  </si>
  <si>
    <t>The Willows Coton</t>
  </si>
  <si>
    <t>SY13 3LT</t>
  </si>
  <si>
    <t>CBDU6661</t>
  </si>
  <si>
    <t>10 Old Road Sgiwen</t>
  </si>
  <si>
    <t>SA10 6AR</t>
  </si>
  <si>
    <t>CBDU6664</t>
  </si>
  <si>
    <t>London Road Y Fali</t>
  </si>
  <si>
    <t>LL65 3DP</t>
  </si>
  <si>
    <t>CBDU6665</t>
  </si>
  <si>
    <t>Derwas Centre Henfaes Lane</t>
  </si>
  <si>
    <t>CBDU6883</t>
  </si>
  <si>
    <t>Unit 3 Carbon Court</t>
  </si>
  <si>
    <t>Springvale Road</t>
  </si>
  <si>
    <t>Grimethorpe</t>
  </si>
  <si>
    <t>Barnsley</t>
  </si>
  <si>
    <t>S72 7FF</t>
  </si>
  <si>
    <t>CBDU6887</t>
  </si>
  <si>
    <t>Valley View Llawhaden</t>
  </si>
  <si>
    <t>SA67 8HL</t>
  </si>
  <si>
    <t>CBDU6889</t>
  </si>
  <si>
    <t>31 Westland Ave</t>
  </si>
  <si>
    <t>West Cross</t>
  </si>
  <si>
    <t>SA3 5ND</t>
  </si>
  <si>
    <t>CBDU6890</t>
  </si>
  <si>
    <t>Block B Western Industrial Estate</t>
  </si>
  <si>
    <t>CF83 1XH</t>
  </si>
  <si>
    <t>CBDU6891</t>
  </si>
  <si>
    <t>Unit F Crown Business Park</t>
  </si>
  <si>
    <t>CBDU6893</t>
  </si>
  <si>
    <t>7 Tre Elidyr Llanover</t>
  </si>
  <si>
    <t>NP7 9HB</t>
  </si>
  <si>
    <t>CBDL7238</t>
  </si>
  <si>
    <t>UNIT 13 WATER STREET BUSINESS CENTR WATER STREET</t>
  </si>
  <si>
    <t xml:space="preserve">PORT TALBOT </t>
  </si>
  <si>
    <t>SA12 6LF</t>
  </si>
  <si>
    <t>CBDU7239</t>
  </si>
  <si>
    <t>Unit 21 Old Warehouse Brook Willow Farm</t>
  </si>
  <si>
    <t>Woodlands Road</t>
  </si>
  <si>
    <t>Leatherhead</t>
  </si>
  <si>
    <t>KT22 0AN</t>
  </si>
  <si>
    <t>CBDU7240</t>
  </si>
  <si>
    <t>218 West Street Gorseinon</t>
  </si>
  <si>
    <t>SA4 4AQ</t>
  </si>
  <si>
    <t>CBDU7242</t>
  </si>
  <si>
    <t>4 High Street Pontardawe</t>
  </si>
  <si>
    <t>CBDU7243</t>
  </si>
  <si>
    <t>59 The Ridgeway Marchwiel</t>
  </si>
  <si>
    <t>LL13 0RU</t>
  </si>
  <si>
    <t>CBDU7244</t>
  </si>
  <si>
    <t xml:space="preserve">Crundale </t>
  </si>
  <si>
    <t>SA62 4DF</t>
  </si>
  <si>
    <t>CBDU7245</t>
  </si>
  <si>
    <t>Regal House Gelligaer Lane</t>
  </si>
  <si>
    <t>CF14 3JS</t>
  </si>
  <si>
    <t>CBDU7246</t>
  </si>
  <si>
    <t>Old Station Yard Chester Street</t>
  </si>
  <si>
    <t>Llanelwy</t>
  </si>
  <si>
    <t>LL17 0RE</t>
  </si>
  <si>
    <t>CBDU7249</t>
  </si>
  <si>
    <t xml:space="preserve">120 Phyllis Street </t>
  </si>
  <si>
    <t>CF62 5UU</t>
  </si>
  <si>
    <t>CBDU7250</t>
  </si>
  <si>
    <t xml:space="preserve">Old Hakin Road </t>
  </si>
  <si>
    <t>SA61 1XE</t>
  </si>
  <si>
    <t>CBDU7252</t>
  </si>
  <si>
    <t>59 Cwmbach Road Fforestfach</t>
  </si>
  <si>
    <t>SA5 5BN</t>
  </si>
  <si>
    <t>CBDL7467</t>
  </si>
  <si>
    <t>3-4 Kingsway Bridgend Industrial Estate</t>
  </si>
  <si>
    <t>CF31 3RY</t>
  </si>
  <si>
    <t>CBDU7469</t>
  </si>
  <si>
    <t>Hazeldene Heol Waun Wen</t>
  </si>
  <si>
    <t>Llangyfelach</t>
  </si>
  <si>
    <t>SA6 6FD</t>
  </si>
  <si>
    <t>CBDU7470</t>
  </si>
  <si>
    <t>Unit 6 Sharpmaster House</t>
  </si>
  <si>
    <t>117 Ystrad Road</t>
  </si>
  <si>
    <t>SA5 4JB</t>
  </si>
  <si>
    <t>CBDU7472</t>
  </si>
  <si>
    <t>20 Byron Street Cwmaman</t>
  </si>
  <si>
    <t>CF44 6HP</t>
  </si>
  <si>
    <t>CBDU7473</t>
  </si>
  <si>
    <t>Rising Sun House Newport Road</t>
  </si>
  <si>
    <t>Machen</t>
  </si>
  <si>
    <t>CF83 8RJ</t>
  </si>
  <si>
    <t>CBDU7474</t>
  </si>
  <si>
    <t>19 Glanffrwd Road Pontarddulais</t>
  </si>
  <si>
    <t>SA4 8QE</t>
  </si>
  <si>
    <t>CBDL7475</t>
  </si>
  <si>
    <t xml:space="preserve">29 High Street </t>
  </si>
  <si>
    <t>LD2 3DL</t>
  </si>
  <si>
    <t>CBDU7476</t>
  </si>
  <si>
    <t xml:space="preserve">9 Pleasant Grove </t>
  </si>
  <si>
    <t>Croydon</t>
  </si>
  <si>
    <t>CR0 8AT</t>
  </si>
  <si>
    <t>CBDU7477</t>
  </si>
  <si>
    <t>Graig Farm Buildings Graig Road</t>
  </si>
  <si>
    <t>LL16 5US</t>
  </si>
  <si>
    <t>CBDL7478</t>
  </si>
  <si>
    <t xml:space="preserve">Cross Inn </t>
  </si>
  <si>
    <t>SY23 5NB</t>
  </si>
  <si>
    <t>CBDU7479</t>
  </si>
  <si>
    <t>Unit 3 Llys Aur Llanelli Gate</t>
  </si>
  <si>
    <t>CBDL7481</t>
  </si>
  <si>
    <t>Siop Ganol Abergele Road</t>
  </si>
  <si>
    <t>Llanddulas</t>
  </si>
  <si>
    <t>LL22 8EN</t>
  </si>
  <si>
    <t>CBDL7485</t>
  </si>
  <si>
    <t xml:space="preserve">10 Tudor Gardens </t>
  </si>
  <si>
    <t>West Wickham</t>
  </si>
  <si>
    <t>BR4 9LX</t>
  </si>
  <si>
    <t>CBDU7893</t>
  </si>
  <si>
    <t>Ty Nant Cwmduad</t>
  </si>
  <si>
    <t>SA33 6XL</t>
  </si>
  <si>
    <t>CBDU7899</t>
  </si>
  <si>
    <t>Unit F13 Bersham Enterprise Centre</t>
  </si>
  <si>
    <t>CBDU7900</t>
  </si>
  <si>
    <t xml:space="preserve">16 Rhosmaen Street </t>
  </si>
  <si>
    <t>CBDL7903</t>
  </si>
  <si>
    <t>Cnwc Y Saeson Penparc</t>
  </si>
  <si>
    <t>SA43 1RB</t>
  </si>
  <si>
    <t>CBDU8131</t>
  </si>
  <si>
    <t xml:space="preserve">Awel Mor </t>
  </si>
  <si>
    <t>Dulas</t>
  </si>
  <si>
    <t>LL70 9PZ</t>
  </si>
  <si>
    <t>CBDU8133</t>
  </si>
  <si>
    <t>Unit 10 Llancayo Business Park</t>
  </si>
  <si>
    <t>NP15 1HY</t>
  </si>
  <si>
    <t>CBDL8134</t>
  </si>
  <si>
    <t>77 Honeyborough Business Park Neyland</t>
  </si>
  <si>
    <t>SA73 1SJ</t>
  </si>
  <si>
    <t>CBDU8135</t>
  </si>
  <si>
    <t>Old Cross Keys Farm Chester Road</t>
  </si>
  <si>
    <t>CH7 3AJ</t>
  </si>
  <si>
    <t>CBDL8136</t>
  </si>
  <si>
    <t>Unit 30 Morlands Industrial Estate</t>
  </si>
  <si>
    <t>Tile Works Lane</t>
  </si>
  <si>
    <t>Rettendon Common</t>
  </si>
  <si>
    <t>Chelmsford</t>
  </si>
  <si>
    <t>CM3 8HB</t>
  </si>
  <si>
    <t>CBDL8137</t>
  </si>
  <si>
    <t>Unit 34 Llys Edmund Prys</t>
  </si>
  <si>
    <t>CBDL8138</t>
  </si>
  <si>
    <t>Vauxhall Industrial Estate Rhiwabon</t>
  </si>
  <si>
    <t>LL14 6HU</t>
  </si>
  <si>
    <t>CBDL8139</t>
  </si>
  <si>
    <t xml:space="preserve">18 Mary De Bohun Close </t>
  </si>
  <si>
    <t>NP25 5UB</t>
  </si>
  <si>
    <t>CBDU8140</t>
  </si>
  <si>
    <t xml:space="preserve">Garth Fawr Farm </t>
  </si>
  <si>
    <t>CBDL8141</t>
  </si>
  <si>
    <t xml:space="preserve">374 Heol Ddwyreiniol Y Bont-Faen </t>
  </si>
  <si>
    <t>CF5 1JJ</t>
  </si>
  <si>
    <t>CBDU8142</t>
  </si>
  <si>
    <t>Black Barn Kiff Green</t>
  </si>
  <si>
    <t>Upper Woolhampton</t>
  </si>
  <si>
    <t>Reading</t>
  </si>
  <si>
    <t>RG7 5TN</t>
  </si>
  <si>
    <t>CBDL7650</t>
  </si>
  <si>
    <t>17 Commercial Street Pontnewydd</t>
  </si>
  <si>
    <t>NP44 1DY</t>
  </si>
  <si>
    <t>CBDL7652</t>
  </si>
  <si>
    <t>Altham Lane Altham</t>
  </si>
  <si>
    <t>Accrington</t>
  </si>
  <si>
    <t>BB5 5YA</t>
  </si>
  <si>
    <t>CBDU7656</t>
  </si>
  <si>
    <t>CBDL7658</t>
  </si>
  <si>
    <t>4 Ogmore Crescent Bridgend Industrial Estate</t>
  </si>
  <si>
    <t>CF31 3TE</t>
  </si>
  <si>
    <t>CBDL7659</t>
  </si>
  <si>
    <t>20 Penfilia Road Brynhyfryd</t>
  </si>
  <si>
    <t>SA5 9HX</t>
  </si>
  <si>
    <t>CBDU7660</t>
  </si>
  <si>
    <t>unit 7b boening way</t>
  </si>
  <si>
    <t>southall</t>
  </si>
  <si>
    <t>london</t>
  </si>
  <si>
    <t>ub2 5lb</t>
  </si>
  <si>
    <t>CBDL8294</t>
  </si>
  <si>
    <t>The Grove Pontllanfraith</t>
  </si>
  <si>
    <t>NP12 2EQ</t>
  </si>
  <si>
    <t>CBDU8295</t>
  </si>
  <si>
    <t>Unit 25 Block G Evans Business Centre</t>
  </si>
  <si>
    <t>Western Industrial Estate</t>
  </si>
  <si>
    <t>CF83 1BE</t>
  </si>
  <si>
    <t>CBDU8296</t>
  </si>
  <si>
    <t>29 Underwood Road Llangatwg</t>
  </si>
  <si>
    <t>SA10 8BU</t>
  </si>
  <si>
    <t>CBDL8297</t>
  </si>
  <si>
    <t>Ffordd William Morgan St. Asaph Business Park</t>
  </si>
  <si>
    <t>LL17 0JD</t>
  </si>
  <si>
    <t>CBDU8301</t>
  </si>
  <si>
    <t xml:space="preserve">4 Fitzhamon Avenue </t>
  </si>
  <si>
    <t>Llantwit Major</t>
  </si>
  <si>
    <t>CF61 1TN</t>
  </si>
  <si>
    <t>CBDU8302</t>
  </si>
  <si>
    <t xml:space="preserve">14 Highfield Road </t>
  </si>
  <si>
    <t>LL29 7UF</t>
  </si>
  <si>
    <t>CBDU8303</t>
  </si>
  <si>
    <t xml:space="preserve">3 Rhydfelin </t>
  </si>
  <si>
    <t>SA67 8QW</t>
  </si>
  <si>
    <t>CBDU8305</t>
  </si>
  <si>
    <t>Abergele Road Rhuddlan</t>
  </si>
  <si>
    <t>LL18 5UE</t>
  </si>
  <si>
    <t>CBDU8306</t>
  </si>
  <si>
    <t>CBDU8307</t>
  </si>
  <si>
    <t>Tiverton Chambers Tiverton Place</t>
  </si>
  <si>
    <t>Lion St</t>
  </si>
  <si>
    <t>NP7 5PN</t>
  </si>
  <si>
    <t>CBDU8308</t>
  </si>
  <si>
    <t>The Barn Dan Y Darren Farm</t>
  </si>
  <si>
    <t>Cwmtaf</t>
  </si>
  <si>
    <t>CF48 2HP</t>
  </si>
  <si>
    <t>CBDU8537</t>
  </si>
  <si>
    <t>3 Griffiths Court Southsea Road</t>
  </si>
  <si>
    <t>LL11 6PP</t>
  </si>
  <si>
    <t>CBDU8539</t>
  </si>
  <si>
    <t>43 New Road Cockett</t>
  </si>
  <si>
    <t>SA2 0GA</t>
  </si>
  <si>
    <t>CBDL8540</t>
  </si>
  <si>
    <t>Unit 1 Abernethy Square</t>
  </si>
  <si>
    <t>SA1 1UH</t>
  </si>
  <si>
    <t>CBDU8543</t>
  </si>
  <si>
    <t xml:space="preserve">Unit B Gellideg Distribution Centr Gellideg Lane </t>
  </si>
  <si>
    <t xml:space="preserve">Maesycwmmmer </t>
  </si>
  <si>
    <t xml:space="preserve">CF82 7SH </t>
  </si>
  <si>
    <t>CBDU8544</t>
  </si>
  <si>
    <t xml:space="preserve">Efenechtyd </t>
  </si>
  <si>
    <t>LL15 2LP</t>
  </si>
  <si>
    <t>CBDU8545</t>
  </si>
  <si>
    <t xml:space="preserve">32 Frogmore Street </t>
  </si>
  <si>
    <t>NP7 5AL</t>
  </si>
  <si>
    <t>CBDU8546</t>
  </si>
  <si>
    <t>Glangwendraeth Farm Priory Street</t>
  </si>
  <si>
    <t>SA17 4TY</t>
  </si>
  <si>
    <t>CBDU8551</t>
  </si>
  <si>
    <t xml:space="preserve">Claire Chambers  38 Inkerman Street </t>
  </si>
  <si>
    <t xml:space="preserve">LLanelli </t>
  </si>
  <si>
    <t xml:space="preserve">Carmarthenshire </t>
  </si>
  <si>
    <t>CBDL8552</t>
  </si>
  <si>
    <t xml:space="preserve"> calle e</t>
  </si>
  <si>
    <t>parcela 23</t>
  </si>
  <si>
    <t>Rabade-lugo</t>
  </si>
  <si>
    <t>spain</t>
  </si>
  <si>
    <t>CBDU8553</t>
  </si>
  <si>
    <t xml:space="preserve">753 Beechley Drive </t>
  </si>
  <si>
    <t>CF5 3SJ</t>
  </si>
  <si>
    <t>CBDU8556</t>
  </si>
  <si>
    <t>Unit 20 Moorside Road</t>
  </si>
  <si>
    <t>Winchester</t>
  </si>
  <si>
    <t>SO23 7RX</t>
  </si>
  <si>
    <t>CBDU8782</t>
  </si>
  <si>
    <t>5 Little Castle Business Park Rhaglan</t>
  </si>
  <si>
    <t>CBDU8786</t>
  </si>
  <si>
    <t>20 Bosco Lane Pennard</t>
  </si>
  <si>
    <t>SA3 2AW</t>
  </si>
  <si>
    <t>CBDU8788</t>
  </si>
  <si>
    <t>39 Maes Dewi Pritchard Brackla</t>
  </si>
  <si>
    <t>CF31 2ET</t>
  </si>
  <si>
    <t>CBDU8790</t>
  </si>
  <si>
    <t>11 Moor Street</t>
  </si>
  <si>
    <t>NP16 5DD</t>
  </si>
  <si>
    <t>CBDU8791</t>
  </si>
  <si>
    <t>Tai Forgan Llannor</t>
  </si>
  <si>
    <t>LL53 5UH</t>
  </si>
  <si>
    <t>CBDU8792</t>
  </si>
  <si>
    <t>Cardiff House Cardiff Road</t>
  </si>
  <si>
    <t>CF632AW</t>
  </si>
  <si>
    <t>CBDU8798</t>
  </si>
  <si>
    <t>UNIT H1 BRYN BUSINESS CENTRE BRYN LANE</t>
  </si>
  <si>
    <t>WREXHAM</t>
  </si>
  <si>
    <t>CBDL8799</t>
  </si>
  <si>
    <t>9 Belvedere Terrace Risca</t>
  </si>
  <si>
    <t>NP11 6FS</t>
  </si>
  <si>
    <t>CBDU8923</t>
  </si>
  <si>
    <t>6 Millers Avenue</t>
  </si>
  <si>
    <t xml:space="preserve">Brynmenyn </t>
  </si>
  <si>
    <t>CF32 9TD</t>
  </si>
  <si>
    <t>CBDL8924</t>
  </si>
  <si>
    <t>Garage Bowydd Garage Ltd wynne road</t>
  </si>
  <si>
    <t>Blaenau ffestiniog</t>
  </si>
  <si>
    <t>ll413uh</t>
  </si>
  <si>
    <t>CBDL8926</t>
  </si>
  <si>
    <t>Bodwrdin Soar</t>
  </si>
  <si>
    <t>LL62 5DA</t>
  </si>
  <si>
    <t>CBDU8929</t>
  </si>
  <si>
    <t xml:space="preserve">Cyttir Lane </t>
  </si>
  <si>
    <t>LL57 4DA</t>
  </si>
  <si>
    <t>CBDU8933</t>
  </si>
  <si>
    <t xml:space="preserve"> koti. clonmines. wellingtonbridge. </t>
  </si>
  <si>
    <t>ireland</t>
  </si>
  <si>
    <t>CBDU8934</t>
  </si>
  <si>
    <t xml:space="preserve">28 Llain Drigarn </t>
  </si>
  <si>
    <t>SA41 3RF</t>
  </si>
  <si>
    <t>CBDU9184</t>
  </si>
  <si>
    <t>East Moors House Nettlefold Road</t>
  </si>
  <si>
    <t>CF24 5JQ</t>
  </si>
  <si>
    <t>CBDL9187</t>
  </si>
  <si>
    <t>Great Cantel Farm Llanbister Road</t>
  </si>
  <si>
    <t>LD1 6UD</t>
  </si>
  <si>
    <t>CBDU9189</t>
  </si>
  <si>
    <t>Yr Hen Fecws Glandwr Terrace</t>
  </si>
  <si>
    <t>Glanypwll</t>
  </si>
  <si>
    <t>LL41 3PP</t>
  </si>
  <si>
    <t>CBDU9190</t>
  </si>
  <si>
    <t>Ty Ferlon Bridgend Rd</t>
  </si>
  <si>
    <t>Llanharan</t>
  </si>
  <si>
    <t>CF72 9RD</t>
  </si>
  <si>
    <t>CBDL9191</t>
  </si>
  <si>
    <t>Celtic House Gaerwen Industrial Estate</t>
  </si>
  <si>
    <t>CBDU9192</t>
  </si>
  <si>
    <t>Unit 1 Victoria Ind Park</t>
  </si>
  <si>
    <t>Victoria Road</t>
  </si>
  <si>
    <t>Dartford</t>
  </si>
  <si>
    <t>DA1 5AJ</t>
  </si>
  <si>
    <t>CBDU9193</t>
  </si>
  <si>
    <t xml:space="preserve">97 Main Street </t>
  </si>
  <si>
    <t>SA71 4DB</t>
  </si>
  <si>
    <t>CBDL9194</t>
  </si>
  <si>
    <t>18 Upper Francis Street Abertridwr</t>
  </si>
  <si>
    <t>CF83 4DU</t>
  </si>
  <si>
    <t>CBDU9195</t>
  </si>
  <si>
    <t>Unit 22 Willow Road</t>
  </si>
  <si>
    <t>NP11 4EG</t>
  </si>
  <si>
    <t>CBDL9196</t>
  </si>
  <si>
    <t>Ty Elai Unit B1</t>
  </si>
  <si>
    <t>Dinas Isaf Industrial Estate</t>
  </si>
  <si>
    <t>Trewilliam</t>
  </si>
  <si>
    <t>CF40 1NY</t>
  </si>
  <si>
    <t>CBDL9197</t>
  </si>
  <si>
    <t>Unit 2 Dominion Business Centre</t>
  </si>
  <si>
    <t>Dominion Way</t>
  </si>
  <si>
    <t>CF24 1PT</t>
  </si>
  <si>
    <t>CBDU9422</t>
  </si>
  <si>
    <t>Delta Cottage Llancarfan</t>
  </si>
  <si>
    <t>CF62 3AD</t>
  </si>
  <si>
    <t>CBDL9423</t>
  </si>
  <si>
    <t>Abbey Road Ystad Ddiwydiannol Wrecsam</t>
  </si>
  <si>
    <t>LL13 9PW</t>
  </si>
  <si>
    <t>CBDL9425</t>
  </si>
  <si>
    <t xml:space="preserve">4 Wheat Street </t>
  </si>
  <si>
    <t>LD3 7DG</t>
  </si>
  <si>
    <t>CBDU9625</t>
  </si>
  <si>
    <t xml:space="preserve">Central </t>
  </si>
  <si>
    <t>SA66 7NQ</t>
  </si>
  <si>
    <t>CBDU9854</t>
  </si>
  <si>
    <t>20 Ceiriog Road Townhill</t>
  </si>
  <si>
    <t>SA1 6NL</t>
  </si>
  <si>
    <t>CBDL9857</t>
  </si>
  <si>
    <t>Merthyr Road Pentrebach</t>
  </si>
  <si>
    <t>CF48 4LA</t>
  </si>
  <si>
    <t>CBDL9858</t>
  </si>
  <si>
    <t>DJ Hughes Cae Pawb</t>
  </si>
  <si>
    <t>LL49 9DU</t>
  </si>
  <si>
    <t>CBDU9859</t>
  </si>
  <si>
    <t>E36 Ashmount Enterprise Park</t>
  </si>
  <si>
    <t>Aber Road</t>
  </si>
  <si>
    <t>CH6 5YL</t>
  </si>
  <si>
    <t>CBDU9860</t>
  </si>
  <si>
    <t>Plot 7 Cillefwr Industrial Estate Cillefwr Industrial Estate</t>
  </si>
  <si>
    <t>CBDU9862</t>
  </si>
  <si>
    <t>Office A Venta House</t>
  </si>
  <si>
    <t>9A Port Road</t>
  </si>
  <si>
    <t>CBDU9863</t>
  </si>
  <si>
    <t>Gelliargwelltt Gelligaer Farm Gelligaer</t>
  </si>
  <si>
    <t>CF82 8FY</t>
  </si>
  <si>
    <t>CBDL9864</t>
  </si>
  <si>
    <t>20 Carr Avenue Sherburn in Elmet</t>
  </si>
  <si>
    <t>Leeds</t>
  </si>
  <si>
    <t>LS25 6EG</t>
  </si>
  <si>
    <t>CBDL9865</t>
  </si>
  <si>
    <t>Unit 5 Block A</t>
  </si>
  <si>
    <t>Doc Fictoria</t>
  </si>
  <si>
    <t>LL55 1TH</t>
  </si>
  <si>
    <t>CBDU9866</t>
  </si>
  <si>
    <t>2 Project House Glendale Business Park</t>
  </si>
  <si>
    <t>CBDL9868</t>
  </si>
  <si>
    <t xml:space="preserve">6 Market Street </t>
  </si>
  <si>
    <t>SY16 2PQ</t>
  </si>
  <si>
    <t>CBDU9869</t>
  </si>
  <si>
    <t xml:space="preserve">8 Castle Oak </t>
  </si>
  <si>
    <t>NP15 1SG</t>
  </si>
  <si>
    <t>CBDL10172</t>
  </si>
  <si>
    <t xml:space="preserve">125 Brynglas Avenue </t>
  </si>
  <si>
    <t>NP20 5LP</t>
  </si>
  <si>
    <t>CBDU10175</t>
  </si>
  <si>
    <t>77 Ridgeway Machen</t>
  </si>
  <si>
    <t>CF83 8RD</t>
  </si>
  <si>
    <t>CBDU10176</t>
  </si>
  <si>
    <t>3 Pencaerfenni Court Crofty</t>
  </si>
  <si>
    <t>SA4 3SL</t>
  </si>
  <si>
    <t>CBDU10177</t>
  </si>
  <si>
    <t xml:space="preserve">107 Bethania Street </t>
  </si>
  <si>
    <t>CF34 9EX</t>
  </si>
  <si>
    <t>CBDU10179</t>
  </si>
  <si>
    <t>2C Orchard Close Longford</t>
  </si>
  <si>
    <t>Gloucester</t>
  </si>
  <si>
    <t>GL2 9BB</t>
  </si>
  <si>
    <t>CBDL10180</t>
  </si>
  <si>
    <t>The Medical Centre Hay Road</t>
  </si>
  <si>
    <t>Talgarth</t>
  </si>
  <si>
    <t>LD3 0AW</t>
  </si>
  <si>
    <t>CBDL10181</t>
  </si>
  <si>
    <t>Medical Centre Forest Road</t>
  </si>
  <si>
    <t>Hay-on-Wye</t>
  </si>
  <si>
    <t>HR3 5DS</t>
  </si>
  <si>
    <t>CBDU10182</t>
  </si>
  <si>
    <t>Unit 1 Park Road Industrial Estate</t>
  </si>
  <si>
    <t>LL14 3AQ</t>
  </si>
  <si>
    <t>CBDU10185</t>
  </si>
  <si>
    <t>Concorde House Waterton Ind Est</t>
  </si>
  <si>
    <t>CF31 3YN</t>
  </si>
  <si>
    <t>CBDU10423</t>
  </si>
  <si>
    <t>32 Bryn Hyfryd Coedpoeth</t>
  </si>
  <si>
    <t>LL11 3YB</t>
  </si>
  <si>
    <t>CBDU10424</t>
  </si>
  <si>
    <t>Unit 25A Greenway</t>
  </si>
  <si>
    <t>Bedwas House Industrial Estate</t>
  </si>
  <si>
    <t>CF83 8DW</t>
  </si>
  <si>
    <t>CBDU10425</t>
  </si>
  <si>
    <t>One Talbot Gateway Seaway Parade Industrial Estate</t>
  </si>
  <si>
    <t>CBDU10428</t>
  </si>
  <si>
    <t>Tanffordd Nebo</t>
  </si>
  <si>
    <t>SY23 5LF</t>
  </si>
  <si>
    <t>CBDU10432</t>
  </si>
  <si>
    <t xml:space="preserve">122 Trehafod Road </t>
  </si>
  <si>
    <t>CF37 2LY</t>
  </si>
  <si>
    <t>CBDU10648</t>
  </si>
  <si>
    <t>4 First Avenue Penparcau</t>
  </si>
  <si>
    <t>SY23 1QY</t>
  </si>
  <si>
    <t>CBDU10650</t>
  </si>
  <si>
    <t>17 Parracombe Crescent Llanrumney</t>
  </si>
  <si>
    <t>CF3 5LS</t>
  </si>
  <si>
    <t>CBDU10653</t>
  </si>
  <si>
    <t>Stonehouse Farm Broad Lane</t>
  </si>
  <si>
    <t>Fillongley</t>
  </si>
  <si>
    <t>Coventry</t>
  </si>
  <si>
    <t>CV7 8EH</t>
  </si>
  <si>
    <t>CBDU10654</t>
  </si>
  <si>
    <t>110 Whitchurch Road</t>
  </si>
  <si>
    <t>CF14 3LY</t>
  </si>
  <si>
    <t>CBDU10655</t>
  </si>
  <si>
    <t>Ynys House Tongwynlais</t>
  </si>
  <si>
    <t>CF15 7NT</t>
  </si>
  <si>
    <t>CBDL10770</t>
  </si>
  <si>
    <t>Tresgyrch Fawr Farm Rhydyfro</t>
  </si>
  <si>
    <t>SA8 4RU</t>
  </si>
  <si>
    <t>CBDU10771</t>
  </si>
  <si>
    <t>CBDU10774</t>
  </si>
  <si>
    <t xml:space="preserve">164 Taff Embankment </t>
  </si>
  <si>
    <t>CF11 7BJ</t>
  </si>
  <si>
    <t>CBDU10776</t>
  </si>
  <si>
    <t>Churchgate House 3 Church Road</t>
  </si>
  <si>
    <t>CF14 2DX</t>
  </si>
  <si>
    <t>CBDU10777</t>
  </si>
  <si>
    <t>73 Picton Street Griffithstown</t>
  </si>
  <si>
    <t>NP4 5HB</t>
  </si>
  <si>
    <t>CBDU10778</t>
  </si>
  <si>
    <t>Refail Newydd Caergeiliog</t>
  </si>
  <si>
    <t>LL65 3DX</t>
  </si>
  <si>
    <t>CBDU10782</t>
  </si>
  <si>
    <t xml:space="preserve">81 Woodfield Avenue </t>
  </si>
  <si>
    <t>CH6 5JQ</t>
  </si>
  <si>
    <t>CBDL10783</t>
  </si>
  <si>
    <t xml:space="preserve">Bwlchygwynt </t>
  </si>
  <si>
    <t>SA19 8AW</t>
  </si>
  <si>
    <t>CBDU10784</t>
  </si>
  <si>
    <t xml:space="preserve">96 Queen Victoria Road </t>
  </si>
  <si>
    <t>SA15 2TH</t>
  </si>
  <si>
    <t>CBDU10785</t>
  </si>
  <si>
    <t>First Floor  244 Edgware  Road</t>
  </si>
  <si>
    <t xml:space="preserve">London </t>
  </si>
  <si>
    <t xml:space="preserve">W2 1DS </t>
  </si>
  <si>
    <t>CBDU10787</t>
  </si>
  <si>
    <t>14 carlisle street  newport</t>
  </si>
  <si>
    <t>newport</t>
  </si>
  <si>
    <t>np20 2jd</t>
  </si>
  <si>
    <t>CBDL10788</t>
  </si>
  <si>
    <t xml:space="preserve">5 Ceridwen Terrace </t>
  </si>
  <si>
    <t>CF37 4PD</t>
  </si>
  <si>
    <t>CBDU10789</t>
  </si>
  <si>
    <t>Hill Top Farm Whitehall Road East</t>
  </si>
  <si>
    <t>Birkenshaw</t>
  </si>
  <si>
    <t>BD11 2LH</t>
  </si>
  <si>
    <t>CBDL11025</t>
  </si>
  <si>
    <t xml:space="preserve">Snowdrop Lane </t>
  </si>
  <si>
    <t>SA61 1ET</t>
  </si>
  <si>
    <t>CBDL11027</t>
  </si>
  <si>
    <t>Cardiff Marine Village Penarth Road</t>
  </si>
  <si>
    <t>CF11 8TU</t>
  </si>
  <si>
    <t>CBDU11028</t>
  </si>
  <si>
    <t xml:space="preserve">21 Gold Tops </t>
  </si>
  <si>
    <t>NP20 4PG</t>
  </si>
  <si>
    <t>CBDU11030</t>
  </si>
  <si>
    <t>Unit 1a Lonlas Industrial Estate</t>
  </si>
  <si>
    <t>Skewen</t>
  </si>
  <si>
    <t>NEATH</t>
  </si>
  <si>
    <t>CBDU11031</t>
  </si>
  <si>
    <t xml:space="preserve">10 Gaer Street </t>
  </si>
  <si>
    <t>NP20 4FD</t>
  </si>
  <si>
    <t>CBDL11032</t>
  </si>
  <si>
    <t>Paul Sartori House Winch Lane</t>
  </si>
  <si>
    <t>SA61 1RP</t>
  </si>
  <si>
    <t>CBDL11033</t>
  </si>
  <si>
    <t>Y Ddol Llansannan</t>
  </si>
  <si>
    <t>LL16 5HF</t>
  </si>
  <si>
    <t>CBDU11036</t>
  </si>
  <si>
    <t>8 Parc Yr Eos Hermon</t>
  </si>
  <si>
    <t>Glogue</t>
  </si>
  <si>
    <t>SA36 0EA</t>
  </si>
  <si>
    <t>CBDL11283</t>
  </si>
  <si>
    <t xml:space="preserve"> Nenzlingerweg 2</t>
  </si>
  <si>
    <t>P.O.Box 1037</t>
  </si>
  <si>
    <t>Switzerland</t>
  </si>
  <si>
    <t>CBDL12088</t>
  </si>
  <si>
    <t>14 Crickhowell Road St. Mellons</t>
  </si>
  <si>
    <t>CF3 0EF</t>
  </si>
  <si>
    <t>CBDL12089</t>
  </si>
  <si>
    <t xml:space="preserve">39 Bridge Street </t>
  </si>
  <si>
    <t>CBDL12090</t>
  </si>
  <si>
    <t xml:space="preserve">29 Commercial Road </t>
  </si>
  <si>
    <t>NP20 2PB</t>
  </si>
  <si>
    <t>CBDL12093</t>
  </si>
  <si>
    <t>Glen House Phoenix Way</t>
  </si>
  <si>
    <t>CBDL12095</t>
  </si>
  <si>
    <t>54 Canon Lane Caerwent</t>
  </si>
  <si>
    <t>NP26 4QQ</t>
  </si>
  <si>
    <t>CBDU11305</t>
  </si>
  <si>
    <t xml:space="preserve">31 Stone Street </t>
  </si>
  <si>
    <t>SA20 0BZ</t>
  </si>
  <si>
    <t>CBDU11308</t>
  </si>
  <si>
    <t>Unit 17 Spencer Industrial Estate</t>
  </si>
  <si>
    <t>Liverpool Road</t>
  </si>
  <si>
    <t>CBDU11311</t>
  </si>
  <si>
    <t>Palleg House 7a Palleg Place</t>
  </si>
  <si>
    <t>Cwmphil Road</t>
  </si>
  <si>
    <t>SA9 1DG</t>
  </si>
  <si>
    <t>CBDU11318</t>
  </si>
  <si>
    <t>Unit 3 Hirwaun Industrial Estate</t>
  </si>
  <si>
    <t>CBDU11319</t>
  </si>
  <si>
    <t>Woodlands Estate Mold Road</t>
  </si>
  <si>
    <t>CH7 6LG</t>
  </si>
  <si>
    <t>CBDU11321</t>
  </si>
  <si>
    <t>Summerfield Ewenny</t>
  </si>
  <si>
    <t>CF35 5AG</t>
  </si>
  <si>
    <t>CBDU11323</t>
  </si>
  <si>
    <t>25 Trevor Avenue Rhostyllen</t>
  </si>
  <si>
    <t>LL14 4BT</t>
  </si>
  <si>
    <t>CBDL11548</t>
  </si>
  <si>
    <t xml:space="preserve">5-7 Clive Street </t>
  </si>
  <si>
    <t>CF11 7HJ</t>
  </si>
  <si>
    <t>CBDL11549</t>
  </si>
  <si>
    <t>Trevisheg Bungalow Pencaer</t>
  </si>
  <si>
    <t>Goodwick</t>
  </si>
  <si>
    <t>SA64 0JN</t>
  </si>
  <si>
    <t>CBDU11551</t>
  </si>
  <si>
    <t>Unit 17B  Wilkinson Park</t>
  </si>
  <si>
    <t xml:space="preserve">Wrexham Industrial Estate </t>
  </si>
  <si>
    <t>LL13 9AE</t>
  </si>
  <si>
    <t>CBDU11552</t>
  </si>
  <si>
    <t>Arfryn Pen Y Ball</t>
  </si>
  <si>
    <t>CH8 8SZ</t>
  </si>
  <si>
    <t>CBDU11556</t>
  </si>
  <si>
    <t xml:space="preserve">New Road </t>
  </si>
  <si>
    <t>SA20 0EA</t>
  </si>
  <si>
    <t>CBDU11557</t>
  </si>
  <si>
    <t xml:space="preserve">Rosedew Farm </t>
  </si>
  <si>
    <t>CF61 1PZ</t>
  </si>
  <si>
    <t>CBDL11558</t>
  </si>
  <si>
    <t>First Floor Integra House</t>
  </si>
  <si>
    <t>Vaughan Court Celtic Springs</t>
  </si>
  <si>
    <t>NP10 8bd</t>
  </si>
  <si>
    <t>CBDL11561</t>
  </si>
  <si>
    <t>Glenside Lower Leigh Road</t>
  </si>
  <si>
    <t>Pontnewynydd</t>
  </si>
  <si>
    <t>NP4 8LG</t>
  </si>
  <si>
    <t>CBDU11785</t>
  </si>
  <si>
    <t>Tynewydd Dryslwyn</t>
  </si>
  <si>
    <t>SA32 8BA</t>
  </si>
  <si>
    <t>CBDU11791</t>
  </si>
  <si>
    <t>Llantrisant Business Park Llantrisant</t>
  </si>
  <si>
    <t>CF72 8XZ</t>
  </si>
  <si>
    <t>CBDU11793</t>
  </si>
  <si>
    <t>394 Greenway Road Rumney</t>
  </si>
  <si>
    <t>CF3 1QS</t>
  </si>
  <si>
    <t>CBDL11794</t>
  </si>
  <si>
    <t xml:space="preserve">13A Stafford Road </t>
  </si>
  <si>
    <t>NP19 7DQ</t>
  </si>
  <si>
    <t>CBDU11796</t>
  </si>
  <si>
    <t>2 Allt Y Graig Dyserth</t>
  </si>
  <si>
    <t>LL18 6DE</t>
  </si>
  <si>
    <t>CBDU11797</t>
  </si>
  <si>
    <t>22 Brynmawr Close St. Mellons</t>
  </si>
  <si>
    <t>CF3 0HJ</t>
  </si>
  <si>
    <t>CBDU12294</t>
  </si>
  <si>
    <t>Unit E2 Capel Hendre Industrial Estate</t>
  </si>
  <si>
    <t>CBDU12296</t>
  </si>
  <si>
    <t>1 St. Martins Row Albany Road</t>
  </si>
  <si>
    <t>CF24 3RP</t>
  </si>
  <si>
    <t>CBDU12299</t>
  </si>
  <si>
    <t>Unit J Prospect Industrial Units</t>
  </si>
  <si>
    <t>Rackery Lane</t>
  </si>
  <si>
    <t>LL12 0PB</t>
  </si>
  <si>
    <t>CBDU12301</t>
  </si>
  <si>
    <t>Unit 11 Graig Lelo Works</t>
  </si>
  <si>
    <t>Gwyddelwern</t>
  </si>
  <si>
    <t>LL21 9SD</t>
  </si>
  <si>
    <t>CBDL12304</t>
  </si>
  <si>
    <t>West Park Pendine</t>
  </si>
  <si>
    <t>SA33 4PJ</t>
  </si>
  <si>
    <t>CBDU12641</t>
  </si>
  <si>
    <t>80 Cwmbach Road Fforestfach</t>
  </si>
  <si>
    <t>CBDL12642</t>
  </si>
  <si>
    <t>Atlantic House Charnwood Park</t>
  </si>
  <si>
    <t>CF31 3PL</t>
  </si>
  <si>
    <t>CBDU12643</t>
  </si>
  <si>
    <t>The Haven Wooden</t>
  </si>
  <si>
    <t>Saundersfoot</t>
  </si>
  <si>
    <t>SA69 9DY</t>
  </si>
  <si>
    <t>CBDL12646</t>
  </si>
  <si>
    <t>3 Castle View Shopping Centre Cae Meillion</t>
  </si>
  <si>
    <t>CF83 1SN</t>
  </si>
  <si>
    <t>CBDU12650</t>
  </si>
  <si>
    <t>UNIT A UPPERBOAT BUSINESS CENTRE</t>
  </si>
  <si>
    <t>TREFOREST</t>
  </si>
  <si>
    <t>CBDU12652</t>
  </si>
  <si>
    <t xml:space="preserve">Noyadd Farm </t>
  </si>
  <si>
    <t>Rhayader</t>
  </si>
  <si>
    <t>LD6 5HH</t>
  </si>
  <si>
    <t>CBDU12654</t>
  </si>
  <si>
    <t>MSS House Galdames Place</t>
  </si>
  <si>
    <t>Ocean Park</t>
  </si>
  <si>
    <t>CF24 5RE</t>
  </si>
  <si>
    <t>CBDU12655</t>
  </si>
  <si>
    <t xml:space="preserve"> Ocean Park</t>
  </si>
  <si>
    <t>CBDU12850</t>
  </si>
  <si>
    <t xml:space="preserve">48 Trellewelyn Road </t>
  </si>
  <si>
    <t>LL18 4EY</t>
  </si>
  <si>
    <t>CBDU12853</t>
  </si>
  <si>
    <t>7 Dulais Road Seven Sisters</t>
  </si>
  <si>
    <t>SA10 9EL</t>
  </si>
  <si>
    <t>CBDU12855</t>
  </si>
  <si>
    <t>Ty Brynglas Tai Gwalia</t>
  </si>
  <si>
    <t>Upper Cwmtwrch</t>
  </si>
  <si>
    <t>SA9 2UW</t>
  </si>
  <si>
    <t>CBDL12858</t>
  </si>
  <si>
    <t>3 Deva Avenue Saltney</t>
  </si>
  <si>
    <t>CH4 8TD</t>
  </si>
  <si>
    <t>CBDL12860</t>
  </si>
  <si>
    <t>1 Heulfryn Llanfair Caereinion</t>
  </si>
  <si>
    <t>SY21 0BH</t>
  </si>
  <si>
    <t>CBDU12862</t>
  </si>
  <si>
    <t xml:space="preserve">North Dock </t>
  </si>
  <si>
    <t>CBDU12863</t>
  </si>
  <si>
    <t>Newfield Howlett End</t>
  </si>
  <si>
    <t>Wimbish</t>
  </si>
  <si>
    <t>Saffron Walden</t>
  </si>
  <si>
    <t>CB10 2XW</t>
  </si>
  <si>
    <t>CBDL13070</t>
  </si>
  <si>
    <t>Riverside House Brymau Three Trading Estate</t>
  </si>
  <si>
    <t>River Lane</t>
  </si>
  <si>
    <t>CBDU13071</t>
  </si>
  <si>
    <t>43 Walter Road</t>
  </si>
  <si>
    <t>SA1 5PN</t>
  </si>
  <si>
    <t>IP21057R</t>
  </si>
  <si>
    <t>CBDL13072</t>
  </si>
  <si>
    <t>The Walk Roath</t>
  </si>
  <si>
    <t>CF24 3AG</t>
  </si>
  <si>
    <t>CBDU13073</t>
  </si>
  <si>
    <t>74-78 Welsh Road Garden City</t>
  </si>
  <si>
    <t>CH5 2HU</t>
  </si>
  <si>
    <t>CBDU13075</t>
  </si>
  <si>
    <t>CBDL13076</t>
  </si>
  <si>
    <t>Unit 8 The Cedars</t>
  </si>
  <si>
    <t>Coton Road</t>
  </si>
  <si>
    <t>Nether Whitacre</t>
  </si>
  <si>
    <t>Birmingham</t>
  </si>
  <si>
    <t>B46 2HH</t>
  </si>
  <si>
    <t>CBDU13082</t>
  </si>
  <si>
    <t xml:space="preserve">264 Louth Road </t>
  </si>
  <si>
    <t>Grimsby</t>
  </si>
  <si>
    <t>DN33 2LF</t>
  </si>
  <si>
    <t>CBDU13084</t>
  </si>
  <si>
    <t xml:space="preserve">1A Gore Street </t>
  </si>
  <si>
    <t>NP19 7BG</t>
  </si>
  <si>
    <t>CBDU13230</t>
  </si>
  <si>
    <t>47 Harford Street Sirhowy</t>
  </si>
  <si>
    <t>NP22 4QF</t>
  </si>
  <si>
    <t>CBDL13231</t>
  </si>
  <si>
    <t>Pegasus House Polo Grounds</t>
  </si>
  <si>
    <t>CBDU13232</t>
  </si>
  <si>
    <t>Ocean House The Ring</t>
  </si>
  <si>
    <t>Bracknell</t>
  </si>
  <si>
    <t>RG12 1AX</t>
  </si>
  <si>
    <t>CBDL13236</t>
  </si>
  <si>
    <t xml:space="preserve">19 Eden Avenue </t>
  </si>
  <si>
    <t>LL19 9DL</t>
  </si>
  <si>
    <t>CBDL13237</t>
  </si>
  <si>
    <t>28 Bridge Street Troedyrhiw</t>
  </si>
  <si>
    <t>CF48 4DT</t>
  </si>
  <si>
    <t>CBDU13238</t>
  </si>
  <si>
    <t xml:space="preserve"> FA L Stoel</t>
  </si>
  <si>
    <t>Transportstraat 3</t>
  </si>
  <si>
    <t>Kampen</t>
  </si>
  <si>
    <t>Netherlands</t>
  </si>
  <si>
    <t>CBDU13240</t>
  </si>
  <si>
    <t xml:space="preserve">Byass Works  Docks Road </t>
  </si>
  <si>
    <t xml:space="preserve">Port Talbot </t>
  </si>
  <si>
    <t>SA13 1RS</t>
  </si>
  <si>
    <t>CBDU13241</t>
  </si>
  <si>
    <t>2nd Floor Romy House 163-167 Kings Road</t>
  </si>
  <si>
    <t>Brentwood</t>
  </si>
  <si>
    <t>CM14 4EG</t>
  </si>
  <si>
    <t>CBDU13242</t>
  </si>
  <si>
    <t>4 Trevor Close Pant</t>
  </si>
  <si>
    <t>CF48 2BG</t>
  </si>
  <si>
    <t>CBDL13243</t>
  </si>
  <si>
    <t>Penllyn Estate Farm Llwynhelig</t>
  </si>
  <si>
    <t>CF71 7FF</t>
  </si>
  <si>
    <t>CBDU13247</t>
  </si>
  <si>
    <t>unit 14 Atlantic Point</t>
  </si>
  <si>
    <t>cf63 3rf</t>
  </si>
  <si>
    <t>CBDU13248</t>
  </si>
  <si>
    <t xml:space="preserve">10 Cornerswell Road </t>
  </si>
  <si>
    <t>CF64 2UZ</t>
  </si>
  <si>
    <t>CBDU13249</t>
  </si>
  <si>
    <t>23 - 37 Broadstone Road</t>
  </si>
  <si>
    <t>Stockport</t>
  </si>
  <si>
    <t>SK5 7AR</t>
  </si>
  <si>
    <t>CBDU13251</t>
  </si>
  <si>
    <t xml:space="preserve">132-134 High Street </t>
  </si>
  <si>
    <t>Dorking</t>
  </si>
  <si>
    <t>RH4 1BG</t>
  </si>
  <si>
    <t>CBDU13252</t>
  </si>
  <si>
    <t>Penmaenau Llanelwedd</t>
  </si>
  <si>
    <t>Builth Wells</t>
  </si>
  <si>
    <t>LD2 3RD</t>
  </si>
  <si>
    <t>CBDU13414</t>
  </si>
  <si>
    <t>7 Garreg Frech Llanfrothen</t>
  </si>
  <si>
    <t>LL48 6BZ</t>
  </si>
  <si>
    <t>CBDL13416</t>
  </si>
  <si>
    <t>9 Cherrywood Close Thornhill</t>
  </si>
  <si>
    <t>CF14 9DH</t>
  </si>
  <si>
    <t>CBDL13422</t>
  </si>
  <si>
    <t xml:space="preserve">Atlantic Way </t>
  </si>
  <si>
    <t>CF63 3RA</t>
  </si>
  <si>
    <t>CBDU13423</t>
  </si>
  <si>
    <t xml:space="preserve">90 Broad Street </t>
  </si>
  <si>
    <t>Crewe</t>
  </si>
  <si>
    <t>CW1 3DJ</t>
  </si>
  <si>
    <t>CBDL207</t>
  </si>
  <si>
    <t>2 High Street</t>
  </si>
  <si>
    <t>CBDL209</t>
  </si>
  <si>
    <t>Elm Crescent</t>
  </si>
  <si>
    <t>Bryntyrion</t>
  </si>
  <si>
    <t>CF31 4EA</t>
  </si>
  <si>
    <t>CBDL210</t>
  </si>
  <si>
    <t>LD2 1AT</t>
  </si>
  <si>
    <t>CBDL212</t>
  </si>
  <si>
    <t>Glaslyn Greenfield Road</t>
  </si>
  <si>
    <t>LL15 1EP</t>
  </si>
  <si>
    <t>CBDL213</t>
  </si>
  <si>
    <t>17 Broad Street</t>
  </si>
  <si>
    <t>HR3 5DB</t>
  </si>
  <si>
    <t>CBDL214</t>
  </si>
  <si>
    <t>The Old Drill Hall Hereford Street</t>
  </si>
  <si>
    <t>LD8 2AR</t>
  </si>
  <si>
    <t>CBDL215</t>
  </si>
  <si>
    <t>CBDL217</t>
  </si>
  <si>
    <t>43-44 High Street</t>
  </si>
  <si>
    <t>Bedlinog</t>
  </si>
  <si>
    <t>CF46 6RW</t>
  </si>
  <si>
    <t>CBDL218</t>
  </si>
  <si>
    <t>5 The Bulwark</t>
  </si>
  <si>
    <t>LD3 7LB</t>
  </si>
  <si>
    <t>CBDL219</t>
  </si>
  <si>
    <t>High street Presteigne</t>
  </si>
  <si>
    <t>LD8 2RB</t>
  </si>
  <si>
    <t>CBDL220</t>
  </si>
  <si>
    <t>26 Milton Close</t>
  </si>
  <si>
    <t>Priory Park</t>
  </si>
  <si>
    <t>SA61 1SW</t>
  </si>
  <si>
    <t>CBDL451</t>
  </si>
  <si>
    <t>5 Hide Market Waterloo Street</t>
  </si>
  <si>
    <t>St Phillips</t>
  </si>
  <si>
    <t>Bristol</t>
  </si>
  <si>
    <t>BS2 0BH</t>
  </si>
  <si>
    <t>CBDL455</t>
  </si>
  <si>
    <t>Plas Ffynnon Warehouse Middleton Road</t>
  </si>
  <si>
    <t>Oswestry</t>
  </si>
  <si>
    <t>SY11 2PP</t>
  </si>
  <si>
    <t>CBDL706</t>
  </si>
  <si>
    <t>Wynnstay Hotel Llanbrynmair</t>
  </si>
  <si>
    <t>SY19 7AA</t>
  </si>
  <si>
    <t>CBDL707</t>
  </si>
  <si>
    <t>Hallmark House Conwy Road</t>
  </si>
  <si>
    <t>Mochare</t>
  </si>
  <si>
    <t>LL28 5HN</t>
  </si>
  <si>
    <t>CBDL709</t>
  </si>
  <si>
    <t>10 BRAMBLE CLOSE</t>
  </si>
  <si>
    <t>BRACKLA</t>
  </si>
  <si>
    <t>CF312PS</t>
  </si>
  <si>
    <t>CBDL711</t>
  </si>
  <si>
    <t>36 Market Street</t>
  </si>
  <si>
    <t>LL22 7AA</t>
  </si>
  <si>
    <t>CBDL713</t>
  </si>
  <si>
    <t>RSPCA  Wilberforce Way</t>
  </si>
  <si>
    <t xml:space="preserve">Southwater </t>
  </si>
  <si>
    <t>RH13 9RS</t>
  </si>
  <si>
    <t>CBDL717</t>
  </si>
  <si>
    <t>mike saunders milland road</t>
  </si>
  <si>
    <t>sa11 1nj</t>
  </si>
  <si>
    <t>CBDL718</t>
  </si>
  <si>
    <t>Cware Crug-Yr-Eryr Quarry Talgarreg</t>
  </si>
  <si>
    <t>SA44 4HB</t>
  </si>
  <si>
    <t>CBDL901</t>
  </si>
  <si>
    <t>Unit 14 Gilchrist Thomas Industrial Estate</t>
  </si>
  <si>
    <t>Blaenavon</t>
  </si>
  <si>
    <t>NP4 7LH</t>
  </si>
  <si>
    <t>CBDL902</t>
  </si>
  <si>
    <t>Tafarn Dwynant Ceinws</t>
  </si>
  <si>
    <t>SY20 9HA</t>
  </si>
  <si>
    <t>CBDL904</t>
  </si>
  <si>
    <t>4 Tan y Ddol Abbey Road</t>
  </si>
  <si>
    <t>LL20 8SL</t>
  </si>
  <si>
    <t>CBDL909</t>
  </si>
  <si>
    <t>3A Penrhos Ind Estate</t>
  </si>
  <si>
    <t>CBDL910</t>
  </si>
  <si>
    <t>NSA PCCARE Dalton Road</t>
  </si>
  <si>
    <t>SA12 6SF</t>
  </si>
  <si>
    <t>CBDL911</t>
  </si>
  <si>
    <t>Cleveland House Main Road</t>
  </si>
  <si>
    <t>Llansantffraid</t>
  </si>
  <si>
    <t>SY22 6AQ</t>
  </si>
  <si>
    <t>CBDL913</t>
  </si>
  <si>
    <t>Recreate Ely bdge ind est</t>
  </si>
  <si>
    <t>Wroughton Place</t>
  </si>
  <si>
    <t>CF116QR</t>
  </si>
  <si>
    <t>CBDL914</t>
  </si>
  <si>
    <t>unit5 Village Way</t>
  </si>
  <si>
    <t>Tongwynlais</t>
  </si>
  <si>
    <t>CF17 7NE</t>
  </si>
  <si>
    <t>CBDL915</t>
  </si>
  <si>
    <t xml:space="preserve">Fleetway Penarth </t>
  </si>
  <si>
    <t>Road</t>
  </si>
  <si>
    <t>CF11 8TY</t>
  </si>
  <si>
    <t>CBDL916</t>
  </si>
  <si>
    <t>Unit 10 Whitegate Industrial Estate</t>
  </si>
  <si>
    <t>LL13 8UG</t>
  </si>
  <si>
    <t>CBDL1146</t>
  </si>
  <si>
    <t>44 hight street</t>
  </si>
  <si>
    <t>denbigh</t>
  </si>
  <si>
    <t>ll163lb</t>
  </si>
  <si>
    <t>CBDL1147</t>
  </si>
  <si>
    <t>234 heol dulais</t>
  </si>
  <si>
    <t>birchgrove</t>
  </si>
  <si>
    <t>sa79lh</t>
  </si>
  <si>
    <t>CBDL1148</t>
  </si>
  <si>
    <t>CBDL1149</t>
  </si>
  <si>
    <t>Lewis Forecourts Ltd Bangor Road</t>
  </si>
  <si>
    <t>Pentraeth</t>
  </si>
  <si>
    <t>ll758az</t>
  </si>
  <si>
    <t>CBDL1150</t>
  </si>
  <si>
    <t>CBDL1151</t>
  </si>
  <si>
    <t>85 Woodstock Gardnes</t>
  </si>
  <si>
    <t>CF35 6ST</t>
  </si>
  <si>
    <t>CBDL1152</t>
  </si>
  <si>
    <t>Ty Gwyn Isaf Glanyrafon Ind Estate</t>
  </si>
  <si>
    <t>Llanbadarn fawr</t>
  </si>
  <si>
    <t>Sy23 3HJ</t>
  </si>
  <si>
    <t>CBDL1153</t>
  </si>
  <si>
    <t>the cottage binchurn farm trefin</t>
  </si>
  <si>
    <t>haverfordwest</t>
  </si>
  <si>
    <t>sa625ae</t>
  </si>
  <si>
    <t>CBDL1155</t>
  </si>
  <si>
    <t>Farmcentre Oxford Road</t>
  </si>
  <si>
    <t>Hay onWye</t>
  </si>
  <si>
    <t>Herefordshire</t>
  </si>
  <si>
    <t>HR3 5AJ</t>
  </si>
  <si>
    <t>CBDL1156</t>
  </si>
  <si>
    <t>CBDL1158</t>
  </si>
  <si>
    <t>31a  BROADWATER ROAD</t>
  </si>
  <si>
    <t>LEEWAY INDUSTRIAL ESTATE</t>
  </si>
  <si>
    <t>CBDL1159</t>
  </si>
  <si>
    <t>Unit C - Cirrus Building Glasgow Airport Business Park</t>
  </si>
  <si>
    <t>Marchburn Drive</t>
  </si>
  <si>
    <t>Abbotsinch</t>
  </si>
  <si>
    <t xml:space="preserve">PA3 2SJ </t>
  </si>
  <si>
    <t>CBDL1388</t>
  </si>
  <si>
    <t>NTC DUCTING Central Buisness Park</t>
  </si>
  <si>
    <t>Water Wheel Drive</t>
  </si>
  <si>
    <t xml:space="preserve">SA7 0AF </t>
  </si>
  <si>
    <t>CBDL1394</t>
  </si>
  <si>
    <t>56 Uzmaston Road</t>
  </si>
  <si>
    <t>SA611TZ</t>
  </si>
  <si>
    <t>CBDL1395</t>
  </si>
  <si>
    <t>Cross Hands Food Park Cross Hands</t>
  </si>
  <si>
    <t>SA14 6SX</t>
  </si>
  <si>
    <t>CBDL1398</t>
  </si>
  <si>
    <t>Bellevue Group Practice Bellevue Terrace</t>
  </si>
  <si>
    <t>NP20 2WQ</t>
  </si>
  <si>
    <t>CBDL1402</t>
  </si>
  <si>
    <t>Royal Buildings Princess Way</t>
  </si>
  <si>
    <t>SA1 3LW</t>
  </si>
  <si>
    <t>CBDL1403</t>
  </si>
  <si>
    <t>New inn Bronllys road</t>
  </si>
  <si>
    <t>Ld30hh</t>
  </si>
  <si>
    <t>CBDL1618</t>
  </si>
  <si>
    <t>1st Floor Anchor Court</t>
  </si>
  <si>
    <t>Keen Road</t>
  </si>
  <si>
    <t>CF245JW</t>
  </si>
  <si>
    <t>CBDL1623</t>
  </si>
  <si>
    <t>36 St Cuthmans Rd</t>
  </si>
  <si>
    <t>Steyning</t>
  </si>
  <si>
    <t>BN44 3RH</t>
  </si>
  <si>
    <t>CBDL1625</t>
  </si>
  <si>
    <t>Unit 14  Ffrwdgrech Industrial Estate</t>
  </si>
  <si>
    <t>CBDL1626</t>
  </si>
  <si>
    <t>CBDL1627</t>
  </si>
  <si>
    <t>31 marsh rise</t>
  </si>
  <si>
    <t>pudsey</t>
  </si>
  <si>
    <t>leeds</t>
  </si>
  <si>
    <t>ls28 7qd</t>
  </si>
  <si>
    <t>CBDL1628</t>
  </si>
  <si>
    <t>106 Rempstone Road</t>
  </si>
  <si>
    <t>Wimborne</t>
  </si>
  <si>
    <t>Dorset UK</t>
  </si>
  <si>
    <t>BH21 1SX</t>
  </si>
  <si>
    <t>CBDL1629</t>
  </si>
  <si>
    <t>CBDL1630</t>
  </si>
  <si>
    <t>Broneirion Broneirion</t>
  </si>
  <si>
    <t>SY17 5DE</t>
  </si>
  <si>
    <t>CBDL1631</t>
  </si>
  <si>
    <t xml:space="preserve">3 hafod lon </t>
  </si>
  <si>
    <t>rhiwlas</t>
  </si>
  <si>
    <t>Ll574gd</t>
  </si>
  <si>
    <t>CBDL1632</t>
  </si>
  <si>
    <t>CBDL1873</t>
  </si>
  <si>
    <t>Denbigh NHS Stores Colomendy Industrial Estate</t>
  </si>
  <si>
    <t>Rhyl Road</t>
  </si>
  <si>
    <t>LL16 5TA</t>
  </si>
  <si>
    <t>CBDL1875</t>
  </si>
  <si>
    <t>Unit F18 Ashmount Business Park</t>
  </si>
  <si>
    <t>Upper Fforest Way</t>
  </si>
  <si>
    <t>SA6 8QR</t>
  </si>
  <si>
    <t>CBDL1880</t>
  </si>
  <si>
    <t>Unit B8 Parc Cyflogi Ffordd Cefndy</t>
  </si>
  <si>
    <t>Ffordd Cefndy</t>
  </si>
  <si>
    <t>LL18 2HJ</t>
  </si>
  <si>
    <t>CBDL2095</t>
  </si>
  <si>
    <t>88 Tawe Park Ystradgynlais</t>
  </si>
  <si>
    <t>SA9 1GW</t>
  </si>
  <si>
    <t>CBDL2099</t>
  </si>
  <si>
    <t xml:space="preserve">43 Caer Worgan </t>
  </si>
  <si>
    <t>CF61 2SP</t>
  </si>
  <si>
    <t>CBDL2107</t>
  </si>
  <si>
    <t xml:space="preserve">20-24 Knightstone Road </t>
  </si>
  <si>
    <t>Weston-super-Mare</t>
  </si>
  <si>
    <t>BS23 2AW</t>
  </si>
  <si>
    <t>CBDL2274</t>
  </si>
  <si>
    <t>17 Waterside Business Park Lamby Way</t>
  </si>
  <si>
    <t>CBDL2275</t>
  </si>
  <si>
    <t>9 Archer Street Ynys-y-Bwl</t>
  </si>
  <si>
    <t>CF37 3LE</t>
  </si>
  <si>
    <t>CBDL2494</t>
  </si>
  <si>
    <t xml:space="preserve">The Smithy </t>
  </si>
  <si>
    <t>Aberaeron</t>
  </si>
  <si>
    <t>SA46 0LD</t>
  </si>
  <si>
    <t>CBDL2504</t>
  </si>
  <si>
    <t>Unit 47-48 Bowen Industrial Estate</t>
  </si>
  <si>
    <t>Aberbargoed</t>
  </si>
  <si>
    <t>Bargod</t>
  </si>
  <si>
    <t>CF81 9EP</t>
  </si>
  <si>
    <t>CBDL2744</t>
  </si>
  <si>
    <t xml:space="preserve">29 Wilbury Way </t>
  </si>
  <si>
    <t>Hitchin</t>
  </si>
  <si>
    <t>SG4 0TW</t>
  </si>
  <si>
    <t>CBDL2745</t>
  </si>
  <si>
    <t>Unit 1-2 Pennant House</t>
  </si>
  <si>
    <t>Mill Street</t>
  </si>
  <si>
    <t>CF37 2SW</t>
  </si>
  <si>
    <t>IP30261R</t>
  </si>
  <si>
    <t>CBDL2748</t>
  </si>
  <si>
    <t>Bank Farm Horton</t>
  </si>
  <si>
    <t>SA3 1LL</t>
  </si>
  <si>
    <t>CBDL2750</t>
  </si>
  <si>
    <t>CBDL2752</t>
  </si>
  <si>
    <t>Tenby House Oak Tree Court</t>
  </si>
  <si>
    <t>Mulberry Drive</t>
  </si>
  <si>
    <t>Cardiff Gate Business Park</t>
  </si>
  <si>
    <t>CF23 8RS</t>
  </si>
  <si>
    <t>CBDL2951</t>
  </si>
  <si>
    <t xml:space="preserve">3 Bessemer Close </t>
  </si>
  <si>
    <t>CBDL3170</t>
  </si>
  <si>
    <t>Cantref House Cantref</t>
  </si>
  <si>
    <t>LD3 8LR</t>
  </si>
  <si>
    <t>CBDL3175</t>
  </si>
  <si>
    <t xml:space="preserve">43 Dyfodwg Street </t>
  </si>
  <si>
    <t>CF42 6NL</t>
  </si>
  <si>
    <t>CBDL3178</t>
  </si>
  <si>
    <t>Unit 12B Kingsway</t>
  </si>
  <si>
    <t>CF31 3YH</t>
  </si>
  <si>
    <t>CBDL3181</t>
  </si>
  <si>
    <t xml:space="preserve">5 Y Brif Heol </t>
  </si>
  <si>
    <t>LL41 3ES</t>
  </si>
  <si>
    <t>CBDL3401</t>
  </si>
  <si>
    <t>Unit 2D Lodge Way</t>
  </si>
  <si>
    <t>CBDL3403</t>
  </si>
  <si>
    <t xml:space="preserve">Bugeildy </t>
  </si>
  <si>
    <t>Tref-y-Clawdd</t>
  </si>
  <si>
    <t>LD7 1YE</t>
  </si>
  <si>
    <t>CBDL3406</t>
  </si>
  <si>
    <t>2 Ruggles Terrace Clase</t>
  </si>
  <si>
    <t>SA6 7JB</t>
  </si>
  <si>
    <t>CBDL3408</t>
  </si>
  <si>
    <t>Unit 14 Ponthenri Industrial Estate</t>
  </si>
  <si>
    <t>Ponthenri</t>
  </si>
  <si>
    <t>SA155RA</t>
  </si>
  <si>
    <t>CBDL3460</t>
  </si>
  <si>
    <t xml:space="preserve">26 Market Street </t>
  </si>
  <si>
    <t>SY16 2PD</t>
  </si>
  <si>
    <t>CBDL3461</t>
  </si>
  <si>
    <t xml:space="preserve">263 Gelli </t>
  </si>
  <si>
    <t>SY16 1NP</t>
  </si>
  <si>
    <t>CBDL3471</t>
  </si>
  <si>
    <t xml:space="preserve">11 Swallowhurst Close </t>
  </si>
  <si>
    <t>CF11 8BG</t>
  </si>
  <si>
    <t>CBDL3474</t>
  </si>
  <si>
    <t>Unit 1-3 Geith Works Crown Business Park</t>
  </si>
  <si>
    <t>NP22 4EE</t>
  </si>
  <si>
    <t>CBDL3674</t>
  </si>
  <si>
    <t>Unit 4 Celtic Way</t>
  </si>
  <si>
    <t>Celtic Lakes</t>
  </si>
  <si>
    <t>NP10 8BE</t>
  </si>
  <si>
    <t>CBDL3681</t>
  </si>
  <si>
    <t>The Old Smithy Waunfawr</t>
  </si>
  <si>
    <t>LL55 4YS</t>
  </si>
  <si>
    <t>CBDL3683</t>
  </si>
  <si>
    <t xml:space="preserve">15-16 Station Road </t>
  </si>
  <si>
    <t>CF64 3EP</t>
  </si>
  <si>
    <t>CBDL3685</t>
  </si>
  <si>
    <t>57 Ilan Road Abertridwr</t>
  </si>
  <si>
    <t>CF83 4DZ</t>
  </si>
  <si>
    <t>CBDL3914</t>
  </si>
  <si>
    <t>3 Elaine Close Thornhill</t>
  </si>
  <si>
    <t>CF14 9AT</t>
  </si>
  <si>
    <t>CBDL4166</t>
  </si>
  <si>
    <t>Avondale Way Avondale Industrial Estate</t>
  </si>
  <si>
    <t>Pontrhydyrun</t>
  </si>
  <si>
    <t>NP44 1TS</t>
  </si>
  <si>
    <t>CBDL4168</t>
  </si>
  <si>
    <t>Nant Lane Morda</t>
  </si>
  <si>
    <t>SY10 9BX</t>
  </si>
  <si>
    <t>CBDL4173</t>
  </si>
  <si>
    <t>Llwynhelig Lodge Llwynhelig</t>
  </si>
  <si>
    <t>CBDL4421</t>
  </si>
  <si>
    <t>Tudor House Tudor Square</t>
  </si>
  <si>
    <t>SA70 7AJ</t>
  </si>
  <si>
    <t>CBDL4427</t>
  </si>
  <si>
    <t>Pant Glas Farm Tyn Y Morfa</t>
  </si>
  <si>
    <t>Gwespyr</t>
  </si>
  <si>
    <t>CH8 9JN</t>
  </si>
  <si>
    <t>CBDL4645</t>
  </si>
  <si>
    <t>Bryn Hafod Llanbadarn Fynydd</t>
  </si>
  <si>
    <t>LD1 6YA</t>
  </si>
  <si>
    <t>CBDL4851</t>
  </si>
  <si>
    <t>Unit 1 Kingsway</t>
  </si>
  <si>
    <t>SA5 4DN</t>
  </si>
  <si>
    <t>CBDL4852</t>
  </si>
  <si>
    <t>David Street Bridgend Industrial Estate</t>
  </si>
  <si>
    <t>CF31 3SA</t>
  </si>
  <si>
    <t>CBDL4853</t>
  </si>
  <si>
    <t xml:space="preserve">Redstone Road </t>
  </si>
  <si>
    <t>SA67 7ES</t>
  </si>
  <si>
    <t>CBDL4854</t>
  </si>
  <si>
    <t xml:space="preserve">14 Museum Street </t>
  </si>
  <si>
    <t>IP1 1HT</t>
  </si>
  <si>
    <t>CBDL4855</t>
  </si>
  <si>
    <t xml:space="preserve">Cynwyl Road </t>
  </si>
  <si>
    <t>CBDL4859</t>
  </si>
  <si>
    <t>Unit 14 Broad Quay Road</t>
  </si>
  <si>
    <t>NP19 4PN</t>
  </si>
  <si>
    <t>CBDL5335</t>
  </si>
  <si>
    <t xml:space="preserve">3 Ger Y Mor </t>
  </si>
  <si>
    <t>SA15 2NX</t>
  </si>
  <si>
    <t>CBDL5340</t>
  </si>
  <si>
    <t>Unit 2 Heol Ffaldau</t>
  </si>
  <si>
    <t>Ystad Ddiw Brackla</t>
  </si>
  <si>
    <t>CF31 2AJ</t>
  </si>
  <si>
    <t>CBDU5604</t>
  </si>
  <si>
    <t>BATHAFARN FARM LLANRHYDD</t>
  </si>
  <si>
    <t>RUTHIN</t>
  </si>
  <si>
    <t>LL152YA</t>
  </si>
  <si>
    <t>CBDL5605</t>
  </si>
  <si>
    <t xml:space="preserve">Trelech </t>
  </si>
  <si>
    <t>SA33 6RU</t>
  </si>
  <si>
    <t>CBDL5616</t>
  </si>
  <si>
    <t>Primrose Hill House Primrose Hill</t>
  </si>
  <si>
    <t>CF71 7DU</t>
  </si>
  <si>
    <t>CBDL6111</t>
  </si>
  <si>
    <t>35 Heol Bryn Lloi Glanamman</t>
  </si>
  <si>
    <t>SA18 1EQ</t>
  </si>
  <si>
    <t>CBDL6113</t>
  </si>
  <si>
    <t>SA44 6NL</t>
  </si>
  <si>
    <t>CBDU6114</t>
  </si>
  <si>
    <t>8 Haverfordwest Road Treletert</t>
  </si>
  <si>
    <t>SA62 5UA</t>
  </si>
  <si>
    <t>CBDU6115</t>
  </si>
  <si>
    <t xml:space="preserve">49 Templars Way </t>
  </si>
  <si>
    <t>BD8 0LW</t>
  </si>
  <si>
    <t>CBDU6117</t>
  </si>
  <si>
    <t>Unit 1 New York Cottages</t>
  </si>
  <si>
    <t>Ffordd Bangor</t>
  </si>
  <si>
    <t>LL34 6NP</t>
  </si>
  <si>
    <t>CBDU6119</t>
  </si>
  <si>
    <t>Bro Dawel Moor Lane</t>
  </si>
  <si>
    <t>Nottage</t>
  </si>
  <si>
    <t>CF36 3EJ</t>
  </si>
  <si>
    <t>CBDU5841</t>
  </si>
  <si>
    <t>Bryn Glas Cerrigydrudion</t>
  </si>
  <si>
    <t>LL21 9UA</t>
  </si>
  <si>
    <t>CBDU5843</t>
  </si>
  <si>
    <t>Tyddyn Y Fron Betws Yn Rhos</t>
  </si>
  <si>
    <t>LL22 8PL</t>
  </si>
  <si>
    <t>CBDU5846</t>
  </si>
  <si>
    <t>Ty Newydd Glan Y Nant</t>
  </si>
  <si>
    <t>Aberhafesb</t>
  </si>
  <si>
    <t>SY16 3HB</t>
  </si>
  <si>
    <t>CBDL5847</t>
  </si>
  <si>
    <t>Unit 3 Havens Head Business Park</t>
  </si>
  <si>
    <t>The Docks</t>
  </si>
  <si>
    <t>SA73 3LD</t>
  </si>
  <si>
    <t>CBDU5848</t>
  </si>
  <si>
    <t>Park House Church Lane</t>
  </si>
  <si>
    <t>BS5 7AG</t>
  </si>
  <si>
    <t>CBDU5849</t>
  </si>
  <si>
    <t>1 Bridge Villas Station Road</t>
  </si>
  <si>
    <t>Queensferry</t>
  </si>
  <si>
    <t>CH5 2TA</t>
  </si>
  <si>
    <t>CBDU5850</t>
  </si>
  <si>
    <t>23 Gloddaeth View Bae Penrhyn</t>
  </si>
  <si>
    <t>LL30 3FB</t>
  </si>
  <si>
    <t>CBDU5851</t>
  </si>
  <si>
    <t>39A Cefn Lane Glyncoch</t>
  </si>
  <si>
    <t>CF37 3BP</t>
  </si>
  <si>
    <t>CBDU5852</t>
  </si>
  <si>
    <t xml:space="preserve">Ffordd Sackville </t>
  </si>
  <si>
    <t>LL57 1LE</t>
  </si>
  <si>
    <t>CBDL5853</t>
  </si>
  <si>
    <t>Kent Road Bridgend Industrial Estate</t>
  </si>
  <si>
    <t>CF31 3TU</t>
  </si>
  <si>
    <t>CBDU6357</t>
  </si>
  <si>
    <t>St Davids House 6 Queens Lane</t>
  </si>
  <si>
    <t>Bromfield Industrial Estate</t>
  </si>
  <si>
    <t>CH7 1JR</t>
  </si>
  <si>
    <t>CBDU6361</t>
  </si>
  <si>
    <t xml:space="preserve">3 The Gattens </t>
  </si>
  <si>
    <t>SS6 8BJ</t>
  </si>
  <si>
    <t>CBDU6362</t>
  </si>
  <si>
    <t>5 Clos Nathaniel Sancler</t>
  </si>
  <si>
    <t>SA33 4AW</t>
  </si>
  <si>
    <t>CBDL6365</t>
  </si>
  <si>
    <t xml:space="preserve">Rainbow Business Centre  Phoenix Way </t>
  </si>
  <si>
    <t xml:space="preserve">Swansea Enterprise Park </t>
  </si>
  <si>
    <t>SA7 9EH</t>
  </si>
  <si>
    <t>CBDU6366</t>
  </si>
  <si>
    <t xml:space="preserve">Rankine Road </t>
  </si>
  <si>
    <t>Basingstoke</t>
  </si>
  <si>
    <t>RG24 8PP</t>
  </si>
  <si>
    <t>CBDL6668</t>
  </si>
  <si>
    <t>Penrheol Farm Llanynis</t>
  </si>
  <si>
    <t>LD2 3HH</t>
  </si>
  <si>
    <t>CBDU6670</t>
  </si>
  <si>
    <t>Mill House Llanyravon Way</t>
  </si>
  <si>
    <t>Llanyravon</t>
  </si>
  <si>
    <t>NP44 8HP</t>
  </si>
  <si>
    <t>CBDL6673</t>
  </si>
  <si>
    <t>Rear of 2 Partridge Road</t>
  </si>
  <si>
    <t>CF24 3QX</t>
  </si>
  <si>
    <t>CBDU6675</t>
  </si>
  <si>
    <t>2 Quarry Road  Treboeth</t>
  </si>
  <si>
    <t xml:space="preserve">Swansea </t>
  </si>
  <si>
    <t>SA5 9DJ</t>
  </si>
  <si>
    <t>CBDU6676</t>
  </si>
  <si>
    <t xml:space="preserve">Milland Road Industrial Estate </t>
  </si>
  <si>
    <t>SA11 1NJ</t>
  </si>
  <si>
    <t>CBDU6677</t>
  </si>
  <si>
    <t>Old Wernddu Brickworks Wernddu</t>
  </si>
  <si>
    <t>CF83 3DA</t>
  </si>
  <si>
    <t>CBDU6901</t>
  </si>
  <si>
    <t xml:space="preserve">29 Cedar Way </t>
  </si>
  <si>
    <t>CF64 3NL</t>
  </si>
  <si>
    <t>CBDU6902</t>
  </si>
  <si>
    <t>De Winton Fields Tonypandy</t>
  </si>
  <si>
    <t>CF40 2LE</t>
  </si>
  <si>
    <t>CBDL6903</t>
  </si>
  <si>
    <t>28 South View Mynydd Cynffig</t>
  </si>
  <si>
    <t>CF33 6DG</t>
  </si>
  <si>
    <t>CBDU6905</t>
  </si>
  <si>
    <t xml:space="preserve">Penstrowed </t>
  </si>
  <si>
    <t>SY17 5SG</t>
  </si>
  <si>
    <t>CBDL6909</t>
  </si>
  <si>
    <t xml:space="preserve">6 The Beeches </t>
  </si>
  <si>
    <t>LL12 7BH</t>
  </si>
  <si>
    <t>CBDU6910</t>
  </si>
  <si>
    <t xml:space="preserve">691 London Road </t>
  </si>
  <si>
    <t>Isleworth</t>
  </si>
  <si>
    <t>TW7 4ES</t>
  </si>
  <si>
    <t>CBDU6912</t>
  </si>
  <si>
    <t>9c  Stanley Road.</t>
  </si>
  <si>
    <t>Ponciau</t>
  </si>
  <si>
    <t xml:space="preserve"> LL14 1HH</t>
  </si>
  <si>
    <t>CBDU6914</t>
  </si>
  <si>
    <t xml:space="preserve">141 Victoria Road </t>
  </si>
  <si>
    <t>LL19 7SS</t>
  </si>
  <si>
    <t>CBDL7256</t>
  </si>
  <si>
    <t>Unit 6 Westfield Industrial Park</t>
  </si>
  <si>
    <t>Waunarlwydd</t>
  </si>
  <si>
    <t>SA5 4SF</t>
  </si>
  <si>
    <t>CBDU7258</t>
  </si>
  <si>
    <t>Gilchrist Thomas Industrial Estate Blaenavon</t>
  </si>
  <si>
    <t>CBDL7259</t>
  </si>
  <si>
    <t>New Dairy Farm St Brides</t>
  </si>
  <si>
    <t>NP10 8SE</t>
  </si>
  <si>
    <t>CBDL7260</t>
  </si>
  <si>
    <t>New Road Tir-y-Berth</t>
  </si>
  <si>
    <t>CF82 8AU</t>
  </si>
  <si>
    <t>CBDL7261</t>
  </si>
  <si>
    <t>Premier House Station Road</t>
  </si>
  <si>
    <t>Harold Wood</t>
  </si>
  <si>
    <t>Romford</t>
  </si>
  <si>
    <t>RM3 0BS</t>
  </si>
  <si>
    <t>CBDU7262</t>
  </si>
  <si>
    <t>Unit 6 Pentraeth Industrial Estate</t>
  </si>
  <si>
    <t>LL75 8LJ</t>
  </si>
  <si>
    <t>CBDU7265</t>
  </si>
  <si>
    <t>Engineers House Tir Llwyd Industrial Estate</t>
  </si>
  <si>
    <t>Bae Cinmel</t>
  </si>
  <si>
    <t>CBDL7488</t>
  </si>
  <si>
    <t>3-5 musson road</t>
  </si>
  <si>
    <t>leicester</t>
  </si>
  <si>
    <t>le3 6lw</t>
  </si>
  <si>
    <t>CBDL7491</t>
  </si>
  <si>
    <t>82-84 station road dyfed</t>
  </si>
  <si>
    <t>SA15 1AN</t>
  </si>
  <si>
    <t>CBDL7492</t>
  </si>
  <si>
    <t>50 Pencaerfenni Lane Crofty</t>
  </si>
  <si>
    <t>CBDL7493</t>
  </si>
  <si>
    <t xml:space="preserve">9 Heol Windsor </t>
  </si>
  <si>
    <t>SA11 1LS</t>
  </si>
  <si>
    <t>CBDU7495</t>
  </si>
  <si>
    <t>Ffrwd Vale Garage Pontyates</t>
  </si>
  <si>
    <t>SA15 5TU</t>
  </si>
  <si>
    <t>CBDU7497</t>
  </si>
  <si>
    <t xml:space="preserve">88 ladysmith rd </t>
  </si>
  <si>
    <t xml:space="preserve">Grimsby </t>
  </si>
  <si>
    <t>dn329eq</t>
  </si>
  <si>
    <t>CBDL7499</t>
  </si>
  <si>
    <t>UNIT 20 TYN Y LLIDIART INDUSTRIAL ESTATE</t>
  </si>
  <si>
    <t>CORWEN</t>
  </si>
  <si>
    <t>LL21 9RR</t>
  </si>
  <si>
    <t>CBDL7909</t>
  </si>
  <si>
    <t>Streamline House Carmarthen Road</t>
  </si>
  <si>
    <t>SA68 0UF</t>
  </si>
  <si>
    <t>CBDU7913</t>
  </si>
  <si>
    <t xml:space="preserve">84 Haven Road </t>
  </si>
  <si>
    <t>SA61 1DP</t>
  </si>
  <si>
    <t>CBDU7914</t>
  </si>
  <si>
    <t>26 ASHGROVE PONTAMAN</t>
  </si>
  <si>
    <t>AMMANFORD</t>
  </si>
  <si>
    <t>SA18 2JU</t>
  </si>
  <si>
    <t>CBDU7916</t>
  </si>
  <si>
    <t>68 St. Cadocs Road Trevethin</t>
  </si>
  <si>
    <t>NP4 8JW</t>
  </si>
  <si>
    <t>CBDL7919</t>
  </si>
  <si>
    <t>160 Brecon Road Ystradgynlais</t>
  </si>
  <si>
    <t>SA9 1QN</t>
  </si>
  <si>
    <t>CBDU7921</t>
  </si>
  <si>
    <t xml:space="preserve">141 Oaklands Road </t>
  </si>
  <si>
    <t>CF31 4SX</t>
  </si>
  <si>
    <t>CBDU8145</t>
  </si>
  <si>
    <t>Duffryn Business Park Ystrad Mynach</t>
  </si>
  <si>
    <t>CBDU8146</t>
  </si>
  <si>
    <t>Bwlchydomen Isaf Pantybwlch</t>
  </si>
  <si>
    <t>Castell Newydd Emlyn</t>
  </si>
  <si>
    <t>SA38 9JF</t>
  </si>
  <si>
    <t>CBDU8147</t>
  </si>
  <si>
    <t>unit 7m curran units</t>
  </si>
  <si>
    <t>curran rd</t>
  </si>
  <si>
    <t>cardiff</t>
  </si>
  <si>
    <t>cf10 5df</t>
  </si>
  <si>
    <t>CBDU8148</t>
  </si>
  <si>
    <t>Unit 21 Parc Busnes Morfa Conwy</t>
  </si>
  <si>
    <t>Ffordd Sam Pari</t>
  </si>
  <si>
    <t>LL32 8HH</t>
  </si>
  <si>
    <t>CBDU8150</t>
  </si>
  <si>
    <t>CBDU8152</t>
  </si>
  <si>
    <t xml:space="preserve">Llandarcy </t>
  </si>
  <si>
    <t>SA10 6JY</t>
  </si>
  <si>
    <t>CBDU8153</t>
  </si>
  <si>
    <t>Canal Side Canal Side</t>
  </si>
  <si>
    <t>SY21 7AH</t>
  </si>
  <si>
    <t>CBDU8155</t>
  </si>
  <si>
    <t>Lulworth House 30 Monk Street</t>
  </si>
  <si>
    <t>NP7 5NP</t>
  </si>
  <si>
    <t>CBDU8156</t>
  </si>
  <si>
    <t>10 The Arches Ffordd Y Brenin</t>
  </si>
  <si>
    <t>LL42 1AD</t>
  </si>
  <si>
    <t>CBDL8157</t>
  </si>
  <si>
    <t>Series 2000 Ltd Springvale Industrial Estate</t>
  </si>
  <si>
    <t>CBDU8159</t>
  </si>
  <si>
    <t>ISCA WORKS  MILL PARADE</t>
  </si>
  <si>
    <t>NP20 2JQ</t>
  </si>
  <si>
    <t>CBDU8160</t>
  </si>
  <si>
    <t>Unit 1-8 Wernddu Court</t>
  </si>
  <si>
    <t>CF83 3SG</t>
  </si>
  <si>
    <t>CBDL8162</t>
  </si>
  <si>
    <t xml:space="preserve">24 Lon Sowter </t>
  </si>
  <si>
    <t>LL16 3TF</t>
  </si>
  <si>
    <t>CBDU7661</t>
  </si>
  <si>
    <t>CBDL7663</t>
  </si>
  <si>
    <t xml:space="preserve">Stone Lodge Lane West </t>
  </si>
  <si>
    <t>IP2 9HW</t>
  </si>
  <si>
    <t>CBDL7666</t>
  </si>
  <si>
    <t>15 Chapel Street</t>
  </si>
  <si>
    <t>Aberegele</t>
  </si>
  <si>
    <t>LL22 7AW</t>
  </si>
  <si>
    <t>CBDL7668</t>
  </si>
  <si>
    <t xml:space="preserve">16 Crymlyn Parc </t>
  </si>
  <si>
    <t>SA10 6DG</t>
  </si>
  <si>
    <t>CBDL7669</t>
  </si>
  <si>
    <t xml:space="preserve">5 Elm Tree Grove </t>
  </si>
  <si>
    <t>CF47 0LR</t>
  </si>
  <si>
    <t>CBDU7670</t>
  </si>
  <si>
    <t>Unit F Caerphilly Business Park</t>
  </si>
  <si>
    <t>CBDL7673</t>
  </si>
  <si>
    <t xml:space="preserve">19 Ffordd Las </t>
  </si>
  <si>
    <t>LL30 1ER</t>
  </si>
  <si>
    <t>CBDU7675</t>
  </si>
  <si>
    <t xml:space="preserve">39 Manor Industrial Estate </t>
  </si>
  <si>
    <t>CH6 5UY</t>
  </si>
  <si>
    <t>CBDU7676</t>
  </si>
  <si>
    <t>25a Southgate Road</t>
  </si>
  <si>
    <t>Southgate</t>
  </si>
  <si>
    <t xml:space="preserve"> SA3 2BY</t>
  </si>
  <si>
    <t>CBDL8312</t>
  </si>
  <si>
    <t>Caes Troggy Farm Llantrisant</t>
  </si>
  <si>
    <t>NP15 1ND</t>
  </si>
  <si>
    <t>CBDL8313</t>
  </si>
  <si>
    <t>Valetta Sandy Lane</t>
  </si>
  <si>
    <t>Parkmill</t>
  </si>
  <si>
    <t>SA3 2EW</t>
  </si>
  <si>
    <t>CBDU8315</t>
  </si>
  <si>
    <t>26 Brynglas Penyrheol</t>
  </si>
  <si>
    <t>CF83 2PH</t>
  </si>
  <si>
    <t>CBDU8316</t>
  </si>
  <si>
    <t>Unit 4a Woodville Buildings Heron Road</t>
  </si>
  <si>
    <t>CF33JE</t>
  </si>
  <si>
    <t>CBDU8317</t>
  </si>
  <si>
    <t xml:space="preserve">54 Hollybush Road </t>
  </si>
  <si>
    <t>CF23 6TA</t>
  </si>
  <si>
    <t>CBDU8558</t>
  </si>
  <si>
    <t>Turner House 9-10 Mill Lane</t>
  </si>
  <si>
    <t>Alton</t>
  </si>
  <si>
    <t>GU34 2QG</t>
  </si>
  <si>
    <t>CBDL8559</t>
  </si>
  <si>
    <t>Five Crosses Industrial Estate Minera</t>
  </si>
  <si>
    <t>LL11 3RD</t>
  </si>
  <si>
    <t>CBDU8562</t>
  </si>
  <si>
    <t>Primrose Bungalow Primrose Terrace</t>
  </si>
  <si>
    <t>CF39 9TF</t>
  </si>
  <si>
    <t>CBDU8563</t>
  </si>
  <si>
    <t>4 Stirling Avenue Garden Village</t>
  </si>
  <si>
    <t>LL112RA</t>
  </si>
  <si>
    <t>CBDU8564</t>
  </si>
  <si>
    <t>Rookery Drive Westcott</t>
  </si>
  <si>
    <t>RH4 3LQ</t>
  </si>
  <si>
    <t>CBDL8565</t>
  </si>
  <si>
    <t>Loughor Foundry Gwydr Place</t>
  </si>
  <si>
    <t>Casllwchwr</t>
  </si>
  <si>
    <t>SA4 6TW</t>
  </si>
  <si>
    <t>CBDL8566</t>
  </si>
  <si>
    <t>Unit 8-9 Hendy Industrial Estate</t>
  </si>
  <si>
    <t>SA4 0XP</t>
  </si>
  <si>
    <t>CBDU8567</t>
  </si>
  <si>
    <t>Chapel Bridge Yard Chapel Farm Industrial Estate</t>
  </si>
  <si>
    <t>NP11 7NL</t>
  </si>
  <si>
    <t>CBDL8568</t>
  </si>
  <si>
    <t>Penbwch Isaf Farm Penycoedcae Road</t>
  </si>
  <si>
    <t>Pen-y-Coed-Cae</t>
  </si>
  <si>
    <t>CF37 1PU</t>
  </si>
  <si>
    <t>CBDU8569</t>
  </si>
  <si>
    <t>Fron Haul Farm Pantybuarth</t>
  </si>
  <si>
    <t>Gwernaffield</t>
  </si>
  <si>
    <t>CH7 5ER</t>
  </si>
  <si>
    <t>CBDU8570</t>
  </si>
  <si>
    <t>Meadows View Rhosddu Industrial Estate</t>
  </si>
  <si>
    <t>Old Rhosrobin</t>
  </si>
  <si>
    <t>Rhosrobin</t>
  </si>
  <si>
    <t>LL11 4YL</t>
  </si>
  <si>
    <t>CBDU8573</t>
  </si>
  <si>
    <t>Unit 3 Penygroes Industrial Estate</t>
  </si>
  <si>
    <t>Penygroes</t>
  </si>
  <si>
    <t>LL54 6DB</t>
  </si>
  <si>
    <t>CBDU8575</t>
  </si>
  <si>
    <t>Rear of 97 Conway Road</t>
  </si>
  <si>
    <t>Cyffordd Llandudno</t>
  </si>
  <si>
    <t>LL31 9NE</t>
  </si>
  <si>
    <t>CBDU8802</t>
  </si>
  <si>
    <t>Unit 16 Gaerwen Industrial Estate</t>
  </si>
  <si>
    <t>Anglesey</t>
  </si>
  <si>
    <t>CBDU8803</t>
  </si>
  <si>
    <t>Mill Farm St. Mellons Road</t>
  </si>
  <si>
    <t>Llys-Faen</t>
  </si>
  <si>
    <t>CF14 0SH</t>
  </si>
  <si>
    <t>CBDL8807</t>
  </si>
  <si>
    <t>Unit B 93 High Street</t>
  </si>
  <si>
    <t>Rhymni</t>
  </si>
  <si>
    <t>NP22 5NB</t>
  </si>
  <si>
    <t>CBDU8808</t>
  </si>
  <si>
    <t xml:space="preserve">Nuttaberry Works </t>
  </si>
  <si>
    <t>Bideford</t>
  </si>
  <si>
    <t>EX39 4DU</t>
  </si>
  <si>
    <t>CBDU8810</t>
  </si>
  <si>
    <t>22A Beacon Business Park Norman Way</t>
  </si>
  <si>
    <t>NP26 5PY</t>
  </si>
  <si>
    <t>CBDL8811</t>
  </si>
  <si>
    <t>St. Julians House St. Julian Street</t>
  </si>
  <si>
    <t>SA70 7AY</t>
  </si>
  <si>
    <t>CBDU8812</t>
  </si>
  <si>
    <t>Office K Redwither Business Centre</t>
  </si>
  <si>
    <t>Redwither Business Park</t>
  </si>
  <si>
    <t>LL13 9XR</t>
  </si>
  <si>
    <t>CBDL8813</t>
  </si>
  <si>
    <t>23-25 Bridge Street Troedyrhiw</t>
  </si>
  <si>
    <t>CBDU8940</t>
  </si>
  <si>
    <t>Unit 1-4 Ty Mawr Lane</t>
  </si>
  <si>
    <t>Llandaff North</t>
  </si>
  <si>
    <t>CF14 2AZ</t>
  </si>
  <si>
    <t>CBDU8942</t>
  </si>
  <si>
    <t>UNITS 6 AND 7 GORSEINON BUSINESS PARK</t>
  </si>
  <si>
    <t>GORSEINON ROAD</t>
  </si>
  <si>
    <t>GORSEINON</t>
  </si>
  <si>
    <t>SA4 4DQ</t>
  </si>
  <si>
    <t>CBDU8943</t>
  </si>
  <si>
    <t>Ty Newydd Uxilla Terrace</t>
  </si>
  <si>
    <t>CF31 3BB</t>
  </si>
  <si>
    <t>CBDU8944</t>
  </si>
  <si>
    <t>Unit B1 Capel Hendre Industrial Estate</t>
  </si>
  <si>
    <t>CBDL8945</t>
  </si>
  <si>
    <t>CURRAN HOUSE CURRAN ROAD</t>
  </si>
  <si>
    <t>CBDU8946</t>
  </si>
  <si>
    <t>Unit 11-16 Bay Trading Estate</t>
  </si>
  <si>
    <t>St. Asaph Avenue</t>
  </si>
  <si>
    <t>LL18 5LG</t>
  </si>
  <si>
    <t>CBDU8951</t>
  </si>
  <si>
    <t>Waen Farm Whitford Road</t>
  </si>
  <si>
    <t>Chwitffordd</t>
  </si>
  <si>
    <t>CH8 9AE</t>
  </si>
  <si>
    <t>CBDL8952</t>
  </si>
  <si>
    <t>68-70 High Street</t>
  </si>
  <si>
    <t>Newbridge</t>
  </si>
  <si>
    <t>NP11 4HN</t>
  </si>
  <si>
    <t>CBDL8953</t>
  </si>
  <si>
    <t>Unit 4-5 The Green</t>
  </si>
  <si>
    <t>Trefechan</t>
  </si>
  <si>
    <t>CF48 2EU</t>
  </si>
  <si>
    <t>CBDL9198</t>
  </si>
  <si>
    <t>Unit 11-12 Penllwyngwent Industrial Estate</t>
  </si>
  <si>
    <t>Saville Road</t>
  </si>
  <si>
    <t>Ogmore Vale</t>
  </si>
  <si>
    <t>CF32 7AX</t>
  </si>
  <si>
    <t>CBDU9200</t>
  </si>
  <si>
    <t>Unit 9 Field Way</t>
  </si>
  <si>
    <t>CF14 4HY</t>
  </si>
  <si>
    <t>CBDU9201</t>
  </si>
  <si>
    <t>Unit 18- 18A Crosby Yard</t>
  </si>
  <si>
    <t>CF31 1JZ</t>
  </si>
  <si>
    <t>CBDU9202</t>
  </si>
  <si>
    <t>44 Kingrosia Park Clydach</t>
  </si>
  <si>
    <t>SA6 5PL</t>
  </si>
  <si>
    <t>CBDL9204</t>
  </si>
  <si>
    <t>Unit 1 Spencer Industrial Estate</t>
  </si>
  <si>
    <t>CBDU9205</t>
  </si>
  <si>
    <t xml:space="preserve">unit 12  Snowdrop Lane </t>
  </si>
  <si>
    <t xml:space="preserve">Haverfordwest </t>
  </si>
  <si>
    <t>SA61 1JD</t>
  </si>
  <si>
    <t>CBDL9207</t>
  </si>
  <si>
    <t>41 Lion Street Y Gelli Gandryll</t>
  </si>
  <si>
    <t>HR3 5AA</t>
  </si>
  <si>
    <t>CBDL9210</t>
  </si>
  <si>
    <t xml:space="preserve">Singleton Park </t>
  </si>
  <si>
    <t>CBDU9215</t>
  </si>
  <si>
    <t>Drevern  Cae'r Gog Pantymwyn</t>
  </si>
  <si>
    <t>CH7 5EX</t>
  </si>
  <si>
    <t>CBDL9216</t>
  </si>
  <si>
    <t xml:space="preserve">Tylacelyn Road </t>
  </si>
  <si>
    <t>CF40 1JS</t>
  </si>
  <si>
    <t>CBDL9431</t>
  </si>
  <si>
    <t>The Old Stables Cefn Cribwr</t>
  </si>
  <si>
    <t>CF32 0BP</t>
  </si>
  <si>
    <t>CBDU9434</t>
  </si>
  <si>
    <t>Hendre Lon Gerddi</t>
  </si>
  <si>
    <t>Edern</t>
  </si>
  <si>
    <t>LL53 8YS</t>
  </si>
  <si>
    <t>CBDL9436</t>
  </si>
  <si>
    <t>67 Windmill Terrace St. Thomas</t>
  </si>
  <si>
    <t>SA1 8DN</t>
  </si>
  <si>
    <t>CBDL9437</t>
  </si>
  <si>
    <t xml:space="preserve">Haygarth Park </t>
  </si>
  <si>
    <t>LL41 3PF</t>
  </si>
  <si>
    <t>CBDU9438</t>
  </si>
  <si>
    <t>Unit 13 Green Park</t>
  </si>
  <si>
    <t>Coedcae Lane Industrial Estate</t>
  </si>
  <si>
    <t>CF72 9GP</t>
  </si>
  <si>
    <t>CBDU9441</t>
  </si>
  <si>
    <t>Unit 7- 7A Players Industrial Estate</t>
  </si>
  <si>
    <t>Clydach</t>
  </si>
  <si>
    <t>SA6 5BQ</t>
  </si>
  <si>
    <t>CBDL9442</t>
  </si>
  <si>
    <t>Birchfield Farm Nant Glas</t>
  </si>
  <si>
    <t>LD1 6PD</t>
  </si>
  <si>
    <t>CBDU9443</t>
  </si>
  <si>
    <t>INTERNATIONAL HOUSE PANT INDUSTRIAL ESTATE</t>
  </si>
  <si>
    <t>CBDU9444</t>
  </si>
  <si>
    <t>9 Rees Terrace Llanbradach</t>
  </si>
  <si>
    <t>CF83 3NQ</t>
  </si>
  <si>
    <t>CBDU9636</t>
  </si>
  <si>
    <t>Princes Way Bridgend Industrial Estate</t>
  </si>
  <si>
    <t>CF31 3TT</t>
  </si>
  <si>
    <t>CBDU9638</t>
  </si>
  <si>
    <t>1 Brynedda Llansaint</t>
  </si>
  <si>
    <t>SA17 5JL</t>
  </si>
  <si>
    <t>CBDU9641</t>
  </si>
  <si>
    <t>67 Glantwrch Ystalyfera</t>
  </si>
  <si>
    <t>SA9 2JN</t>
  </si>
  <si>
    <t>CBDU9645</t>
  </si>
  <si>
    <t>Joyner PA Cymru 1 Commercial Court</t>
  </si>
  <si>
    <t>8 Commercial Lane</t>
  </si>
  <si>
    <t>NP11 6AN</t>
  </si>
  <si>
    <t>CBDU9646</t>
  </si>
  <si>
    <t>5 Park Avenue Mumbles</t>
  </si>
  <si>
    <t>SA3 4DU</t>
  </si>
  <si>
    <t>CBDU9648</t>
  </si>
  <si>
    <t>Bynea Business Park Heol Y Bwlch</t>
  </si>
  <si>
    <t>Y Bynie</t>
  </si>
  <si>
    <t>SA14 9SU</t>
  </si>
  <si>
    <t>CBDL9649</t>
  </si>
  <si>
    <t>New House Pentrosfa</t>
  </si>
  <si>
    <t>LD1 5AL</t>
  </si>
  <si>
    <t>CBDU9650</t>
  </si>
  <si>
    <t>Tynrhos Llangadfan</t>
  </si>
  <si>
    <t>CBDU9651</t>
  </si>
  <si>
    <t>Maes Meredydd Newydd Rhosybol</t>
  </si>
  <si>
    <t>LL68 9RD</t>
  </si>
  <si>
    <t>CBDU9653</t>
  </si>
  <si>
    <t>Rear of 1 Springfield Place</t>
  </si>
  <si>
    <t>CF11 9NY</t>
  </si>
  <si>
    <t>CBDU9655</t>
  </si>
  <si>
    <t>Camnant House Camnant Road</t>
  </si>
  <si>
    <t>Banwen</t>
  </si>
  <si>
    <t>SA10 9LT</t>
  </si>
  <si>
    <t>CBDU9657</t>
  </si>
  <si>
    <t>74 Heol Las North Cornelly</t>
  </si>
  <si>
    <t>CF33 4BD</t>
  </si>
  <si>
    <t>CBDL9873</t>
  </si>
  <si>
    <t>The Lodge Lwynhelig</t>
  </si>
  <si>
    <t>CBDU9874</t>
  </si>
  <si>
    <t xml:space="preserve">Cynwyd </t>
  </si>
  <si>
    <t>LL21 0ET</t>
  </si>
  <si>
    <t>CBDL9875</t>
  </si>
  <si>
    <t xml:space="preserve">106 Cwrt Coed Parc </t>
  </si>
  <si>
    <t>CF34 9DR</t>
  </si>
  <si>
    <t>CBDL9881</t>
  </si>
  <si>
    <t>15 Maun Crescent New Ollerton</t>
  </si>
  <si>
    <t>Newark</t>
  </si>
  <si>
    <t>NG22 9SW</t>
  </si>
  <si>
    <t>CBDU9882</t>
  </si>
  <si>
    <t>Pentywyn Road Deganwy</t>
  </si>
  <si>
    <t>LL31 9YT</t>
  </si>
  <si>
    <t>CBDU9884</t>
  </si>
  <si>
    <t xml:space="preserve">134 Western Avenue North </t>
  </si>
  <si>
    <t>CF14 2SD</t>
  </si>
  <si>
    <t>CBDL9885</t>
  </si>
  <si>
    <t>113 High Street Blackwood</t>
  </si>
  <si>
    <t>NP12 1AD</t>
  </si>
  <si>
    <t>CBDL9886</t>
  </si>
  <si>
    <t xml:space="preserve">42 White Hart Lane </t>
  </si>
  <si>
    <t>SW13 0PZ</t>
  </si>
  <si>
    <t>CBDU10190</t>
  </si>
  <si>
    <t xml:space="preserve">12 Barlow Park Avenue </t>
  </si>
  <si>
    <t>Bolton</t>
  </si>
  <si>
    <t>BL1 6QX</t>
  </si>
  <si>
    <t>CBDU10195</t>
  </si>
  <si>
    <t>Unit 30 Woodfieldside Business Park</t>
  </si>
  <si>
    <t>Penmaen Road</t>
  </si>
  <si>
    <t>NP12 2DG</t>
  </si>
  <si>
    <t>CBDU10196</t>
  </si>
  <si>
    <t>32 Brynteg Avenue Pyle</t>
  </si>
  <si>
    <t>CF33 6BD</t>
  </si>
  <si>
    <t>CBDL10197</t>
  </si>
  <si>
    <t>The Mews Upper Frog Street</t>
  </si>
  <si>
    <t>SA70 7JD</t>
  </si>
  <si>
    <t>CBDU10198</t>
  </si>
  <si>
    <t>Unit 21 Freemans Parc</t>
  </si>
  <si>
    <t>CF11 8EQ</t>
  </si>
  <si>
    <t>CBDU10200</t>
  </si>
  <si>
    <t>2 Deepglade Close St. Thomas</t>
  </si>
  <si>
    <t>SA1 8EJ</t>
  </si>
  <si>
    <t>CBDU10203</t>
  </si>
  <si>
    <t>20 Longfellow Avenue Hawarden</t>
  </si>
  <si>
    <t>CH5 3LY</t>
  </si>
  <si>
    <t>CBDU10205</t>
  </si>
  <si>
    <t xml:space="preserve">15 Grove Park Road </t>
  </si>
  <si>
    <t>W4 3RS</t>
  </si>
  <si>
    <t>CBDU10208</t>
  </si>
  <si>
    <t>32 Riversdale Road West Cross</t>
  </si>
  <si>
    <t>SA3 5PX</t>
  </si>
  <si>
    <t>CBDU10210</t>
  </si>
  <si>
    <t>272  CORPORATION ROAD</t>
  </si>
  <si>
    <t>NP19 0DZ</t>
  </si>
  <si>
    <t>CBDU10441</t>
  </si>
  <si>
    <t>Unit 3 Torfaen Business Centre</t>
  </si>
  <si>
    <t>CBDU10443</t>
  </si>
  <si>
    <t>Tirgwaidd Llanedi</t>
  </si>
  <si>
    <t>SA4 0YX</t>
  </si>
  <si>
    <t>CBDL10447</t>
  </si>
  <si>
    <t xml:space="preserve">Bulwark </t>
  </si>
  <si>
    <t>CBDL10449</t>
  </si>
  <si>
    <t>1 Chapel Street Melbourne</t>
  </si>
  <si>
    <t>Derby</t>
  </si>
  <si>
    <t>DE73 8EH</t>
  </si>
  <si>
    <t>CBDU10450</t>
  </si>
  <si>
    <t>Blaendyffryn Creuddyn Bridge</t>
  </si>
  <si>
    <t>SA48 8BA</t>
  </si>
  <si>
    <t>CBDU10661</t>
  </si>
  <si>
    <t xml:space="preserve">12 Chapel Road </t>
  </si>
  <si>
    <t>LL19 7TH</t>
  </si>
  <si>
    <t>CBDL10664</t>
  </si>
  <si>
    <t>Grove Cottage Llangewydd</t>
  </si>
  <si>
    <t>CF32 0EU</t>
  </si>
  <si>
    <t>CBDL10665</t>
  </si>
  <si>
    <t>Highbridge Farm Highbridge Road</t>
  </si>
  <si>
    <t>Highbridge</t>
  </si>
  <si>
    <t>Eastleigh</t>
  </si>
  <si>
    <t>SO50 6HN</t>
  </si>
  <si>
    <t>CBDU10791</t>
  </si>
  <si>
    <t>Pendre House 7-8 Pendre Industrial Estate</t>
  </si>
  <si>
    <t>LL36 9LW</t>
  </si>
  <si>
    <t>CBDU10792</t>
  </si>
  <si>
    <t>Unit A11 Capel Hendre Industrial Estate</t>
  </si>
  <si>
    <t>CBDL10794</t>
  </si>
  <si>
    <t>Spar Unit 2</t>
  </si>
  <si>
    <t>Paget Road</t>
  </si>
  <si>
    <t>CF62 5TQ</t>
  </si>
  <si>
    <t>CBDL10795</t>
  </si>
  <si>
    <t xml:space="preserve">60 Brockhill Way </t>
  </si>
  <si>
    <t>CF64 5QD</t>
  </si>
  <si>
    <t>CBDU10796</t>
  </si>
  <si>
    <t>Unit 8b Castelon Court</t>
  </si>
  <si>
    <t>St Mellons</t>
  </si>
  <si>
    <t>CF3 0LT</t>
  </si>
  <si>
    <t>CBDL10797</t>
  </si>
  <si>
    <t>Unit 1 Prospect Park</t>
  </si>
  <si>
    <t>Queensway</t>
  </si>
  <si>
    <t>SA5 4ED</t>
  </si>
  <si>
    <t>CBDU10798</t>
  </si>
  <si>
    <t xml:space="preserve">5 High Street </t>
  </si>
  <si>
    <t>SA43 1HJ</t>
  </si>
  <si>
    <t>CBDU10800</t>
  </si>
  <si>
    <t>Quarry House Caerwent</t>
  </si>
  <si>
    <t>CBDU10801</t>
  </si>
  <si>
    <t>Radnor Range Harley Dingle</t>
  </si>
  <si>
    <t>New Radnor</t>
  </si>
  <si>
    <t>LD8 2TN</t>
  </si>
  <si>
    <t>CBDL10802</t>
  </si>
  <si>
    <t>Unit A4 Severn Road</t>
  </si>
  <si>
    <t>CBDU10803</t>
  </si>
  <si>
    <t>Unit 1 The Knollbury Business Park</t>
  </si>
  <si>
    <t>Magor</t>
  </si>
  <si>
    <t>np26 3bx</t>
  </si>
  <si>
    <t>CBDU10804</t>
  </si>
  <si>
    <t>27 Rhedyw Road Llanllyfni</t>
  </si>
  <si>
    <t>LL54 6SN</t>
  </si>
  <si>
    <t>CBDL10805</t>
  </si>
  <si>
    <t>Enterprise House Aber Park</t>
  </si>
  <si>
    <t>CBDL10806</t>
  </si>
  <si>
    <t xml:space="preserve">140 Walter Nash Road West </t>
  </si>
  <si>
    <t>Kidderminster</t>
  </si>
  <si>
    <t>DY11 7BZ</t>
  </si>
  <si>
    <t>CBDL11037</t>
  </si>
  <si>
    <t>Penfedy Isaf Felindre</t>
  </si>
  <si>
    <t>SA5 7NL</t>
  </si>
  <si>
    <t>CBDU11038</t>
  </si>
  <si>
    <t>Staffordshire Warehouse Canal Road</t>
  </si>
  <si>
    <t>CBDU11039</t>
  </si>
  <si>
    <t>102 Glen Road</t>
  </si>
  <si>
    <t>Maghera</t>
  </si>
  <si>
    <t>BT46 5AP</t>
  </si>
  <si>
    <t>NI024282</t>
  </si>
  <si>
    <t>CBDU11044</t>
  </si>
  <si>
    <t>38 Camnant Ystrad Mynach</t>
  </si>
  <si>
    <t>CF82 7FF</t>
  </si>
  <si>
    <t>CBDU11045</t>
  </si>
  <si>
    <t>68 New Road Hook</t>
  </si>
  <si>
    <t>SA62 4LH</t>
  </si>
  <si>
    <t>CBDL11046</t>
  </si>
  <si>
    <t>Cambria House 29 Newport Road</t>
  </si>
  <si>
    <t>CF24 0TP</t>
  </si>
  <si>
    <t>CBDL11047</t>
  </si>
  <si>
    <t>Folly Lane Trevethin</t>
  </si>
  <si>
    <t>NP4 8JB</t>
  </si>
  <si>
    <t>CBDU11049</t>
  </si>
  <si>
    <t xml:space="preserve">18 Heol Sirhowy </t>
  </si>
  <si>
    <t>NP26 4RD</t>
  </si>
  <si>
    <t>CBDU11050</t>
  </si>
  <si>
    <t>Duffryn Uchaf Farm Goytre</t>
  </si>
  <si>
    <t>SA13 2YA</t>
  </si>
  <si>
    <t>CBDU11051</t>
  </si>
  <si>
    <t xml:space="preserve">4 Maes Alaw </t>
  </si>
  <si>
    <t>CH6 5UE</t>
  </si>
  <si>
    <t>CBDU11055</t>
  </si>
  <si>
    <t xml:space="preserve">14 Market Street </t>
  </si>
  <si>
    <t>LD2 3AG</t>
  </si>
  <si>
    <t>CBDU11058</t>
  </si>
  <si>
    <t>Unit E-F Bowen Industrial Estate</t>
  </si>
  <si>
    <t>Bargoed</t>
  </si>
  <si>
    <t>CBDU12097</t>
  </si>
  <si>
    <t xml:space="preserve">93 Long Knowle Lane </t>
  </si>
  <si>
    <t>WV11 1JG</t>
  </si>
  <si>
    <t>CBDU12098</t>
  </si>
  <si>
    <t xml:space="preserve">40 Primrose Hill </t>
  </si>
  <si>
    <t>CF47 0TF</t>
  </si>
  <si>
    <t>CBDU12100</t>
  </si>
  <si>
    <t>The Portacabin Riverside Yard</t>
  </si>
  <si>
    <t>Np23 5NT</t>
  </si>
  <si>
    <t>CBDL12102</t>
  </si>
  <si>
    <t xml:space="preserve">21 Terrace Road </t>
  </si>
  <si>
    <t>SY23 1NP</t>
  </si>
  <si>
    <t>CBDU12103</t>
  </si>
  <si>
    <t>Unit M  Bowen Industrial Estate</t>
  </si>
  <si>
    <t xml:space="preserve">Aberbargoed </t>
  </si>
  <si>
    <t xml:space="preserve">Mid Glam </t>
  </si>
  <si>
    <t>CF819EP</t>
  </si>
  <si>
    <t>CBDL12104</t>
  </si>
  <si>
    <t>Abbey Farm Caravan Park Llantysilio</t>
  </si>
  <si>
    <t>LL20 8DD</t>
  </si>
  <si>
    <t>CBDL12105</t>
  </si>
  <si>
    <t>25 Heol Will George Waunarlwydd</t>
  </si>
  <si>
    <t>SA5 4RS</t>
  </si>
  <si>
    <t>CBDU12106</t>
  </si>
  <si>
    <t xml:space="preserve">163 Park Street </t>
  </si>
  <si>
    <t>CF31 4BB</t>
  </si>
  <si>
    <t>CBDU12108</t>
  </si>
  <si>
    <t xml:space="preserve">65A Hanover Street </t>
  </si>
  <si>
    <t>SA1 6BE</t>
  </si>
  <si>
    <t>CBDU12109</t>
  </si>
  <si>
    <t>45 Fern Street Cwmbwrla</t>
  </si>
  <si>
    <t>SA5 8BG</t>
  </si>
  <si>
    <t>CBDU12110</t>
  </si>
  <si>
    <t>4 high st pontardawe</t>
  </si>
  <si>
    <t>sa84hu</t>
  </si>
  <si>
    <t>CBDU11327</t>
  </si>
  <si>
    <t>15 Waun Bant Road Kenfig Hill</t>
  </si>
  <si>
    <t>CF33 6DE</t>
  </si>
  <si>
    <t>CBDU11328</t>
  </si>
  <si>
    <t>Ye Olde Forge Pingle Nook</t>
  </si>
  <si>
    <t>Denby Dale</t>
  </si>
  <si>
    <t>Huddersfield</t>
  </si>
  <si>
    <t>HD8 8YW</t>
  </si>
  <si>
    <t>CBDL11329</t>
  </si>
  <si>
    <t xml:space="preserve">47 Heol Gruffydd </t>
  </si>
  <si>
    <t>CF37 5PJ</t>
  </si>
  <si>
    <t>CBDU11334</t>
  </si>
  <si>
    <t>9 Lon Cae Del Ewloe</t>
  </si>
  <si>
    <t>CH5 3GD</t>
  </si>
  <si>
    <t>CBDU11335</t>
  </si>
  <si>
    <t xml:space="preserve">4 Rhiw Road </t>
  </si>
  <si>
    <t>LL29 7TE</t>
  </si>
  <si>
    <t>CBDU11337</t>
  </si>
  <si>
    <t>The Electric Shop 41 Penrhyn Avenue</t>
  </si>
  <si>
    <t>LL28 4PS</t>
  </si>
  <si>
    <t>CBDL11339</t>
  </si>
  <si>
    <t>45 Collwyn Road Pyle</t>
  </si>
  <si>
    <t>CF33 6AL</t>
  </si>
  <si>
    <t>CBDU11340</t>
  </si>
  <si>
    <t>Nantgaredig</t>
  </si>
  <si>
    <t>SA32 7LQ</t>
  </si>
  <si>
    <t>CBDU11341</t>
  </si>
  <si>
    <t>Bryn Warehouse Griffiths Crossing</t>
  </si>
  <si>
    <t>LL55 1TU</t>
  </si>
  <si>
    <t>CBDU11344</t>
  </si>
  <si>
    <t>Unit 2 Knighton Enterprise Park</t>
  </si>
  <si>
    <t>Ludlow Road</t>
  </si>
  <si>
    <t>LD7 1HJ</t>
  </si>
  <si>
    <t>CBDU11346</t>
  </si>
  <si>
    <t>Tegfan Cilrhedyn</t>
  </si>
  <si>
    <t>Llanfyrnach</t>
  </si>
  <si>
    <t>SA35 0AB</t>
  </si>
  <si>
    <t>CBDU11348</t>
  </si>
  <si>
    <t xml:space="preserve">20 Pentwyn Isaf </t>
  </si>
  <si>
    <t>CF83 2NR</t>
  </si>
  <si>
    <t>CBDU11349</t>
  </si>
  <si>
    <t>ServiceBase Ltd 5 Albert Street</t>
  </si>
  <si>
    <t>LL18 2DA</t>
  </si>
  <si>
    <t>CBDL11564</t>
  </si>
  <si>
    <t>Unit 3 Neptune Court</t>
  </si>
  <si>
    <t>Vanguard Way</t>
  </si>
  <si>
    <t>CF24 5PJ</t>
  </si>
  <si>
    <t>CBDL11567</t>
  </si>
  <si>
    <t>150 Frampton Road Gorseinon</t>
  </si>
  <si>
    <t>SA4 4YG</t>
  </si>
  <si>
    <t>CBDU11568</t>
  </si>
  <si>
    <t>REAR OF UNIT 28 HAWARDEN INDUSTRIAL ESTATE</t>
  </si>
  <si>
    <t>CLWYD CLOSE</t>
  </si>
  <si>
    <t>HAWARDEN</t>
  </si>
  <si>
    <t>CH5 3PZ</t>
  </si>
  <si>
    <t>CBDL11569</t>
  </si>
  <si>
    <t>1 Ynysgorrwg Park Glyncorrwg</t>
  </si>
  <si>
    <t>SA13 3EA</t>
  </si>
  <si>
    <t>CBDU11574</t>
  </si>
  <si>
    <t>Unit 3 Capel Hendre Industrial Estate</t>
  </si>
  <si>
    <t>CBDU11576</t>
  </si>
  <si>
    <t xml:space="preserve">1 Stradey Road </t>
  </si>
  <si>
    <t>SA15 4ET</t>
  </si>
  <si>
    <t>CBDL11577</t>
  </si>
  <si>
    <t>The Old Station Three Cocks</t>
  </si>
  <si>
    <t>LD3 0SD</t>
  </si>
  <si>
    <t>CBDL11799</t>
  </si>
  <si>
    <t xml:space="preserve">2 St. Georges Drive </t>
  </si>
  <si>
    <t>LL19 8EH</t>
  </si>
  <si>
    <t>CBDU11802</t>
  </si>
  <si>
    <t xml:space="preserve">88 Cowbridge Road West </t>
  </si>
  <si>
    <t>CF5 5BT</t>
  </si>
  <si>
    <t>CBDU11803</t>
  </si>
  <si>
    <t>Unit 2E Invest House</t>
  </si>
  <si>
    <t>Bruce Road</t>
  </si>
  <si>
    <t>SA5 4HS</t>
  </si>
  <si>
    <t>CBDU11807</t>
  </si>
  <si>
    <t>Leckwith Quay Leckwith Road</t>
  </si>
  <si>
    <t>Leckwith</t>
  </si>
  <si>
    <t>CF11 8AU</t>
  </si>
  <si>
    <t>CBDU11808</t>
  </si>
  <si>
    <t>Unit A Abergarw Industrial Estate</t>
  </si>
  <si>
    <t>Brynmenyn</t>
  </si>
  <si>
    <t>cf32 9lw</t>
  </si>
  <si>
    <t>CBDU11809</t>
  </si>
  <si>
    <t>Holly View Field Farm Lane</t>
  </si>
  <si>
    <t>Alltami Road</t>
  </si>
  <si>
    <t>BUCKLEY</t>
  </si>
  <si>
    <t>CH7 3PD</t>
  </si>
  <si>
    <t>CBDL11810</t>
  </si>
  <si>
    <t xml:space="preserve">8 Holloway </t>
  </si>
  <si>
    <t>SA61 2JL</t>
  </si>
  <si>
    <t>CBDU11812</t>
  </si>
  <si>
    <t>Heol Y Twyn Talbot Green</t>
  </si>
  <si>
    <t>CF72 9FG</t>
  </si>
  <si>
    <t>CBDU12307</t>
  </si>
  <si>
    <t>Cardiff House Priority Business Park</t>
  </si>
  <si>
    <t>CF63 2AW</t>
  </si>
  <si>
    <t>CBDU12308</t>
  </si>
  <si>
    <t>31 Station Road Port Talbot</t>
  </si>
  <si>
    <t>West Glamorgan</t>
  </si>
  <si>
    <t>SA13 1NN</t>
  </si>
  <si>
    <t>CBDU12311</t>
  </si>
  <si>
    <t>The Post House Adelaide Street</t>
  </si>
  <si>
    <t>SA1 1SB</t>
  </si>
  <si>
    <t>CBDL12657</t>
  </si>
  <si>
    <t>CBDU12659</t>
  </si>
  <si>
    <t>Meifod Saron</t>
  </si>
  <si>
    <t>LL16 4SW</t>
  </si>
  <si>
    <t>CBDL12662</t>
  </si>
  <si>
    <t>CBDL12663</t>
  </si>
  <si>
    <t>Gwarcwm Capel Bangor</t>
  </si>
  <si>
    <t>CBDU12665</t>
  </si>
  <si>
    <t>16 Clos Ebol Cwmrhydyceirw</t>
  </si>
  <si>
    <t>SA6 6TP</t>
  </si>
  <si>
    <t>CBDU12667</t>
  </si>
  <si>
    <t>Unit 10B Cefn Llan Science Park</t>
  </si>
  <si>
    <t>SY23 3AH</t>
  </si>
  <si>
    <t>CBDU12668</t>
  </si>
  <si>
    <t>Tolven Court Dowlais Road</t>
  </si>
  <si>
    <t>CF24 5LQ</t>
  </si>
  <si>
    <t>CBDL12867</t>
  </si>
  <si>
    <t>West Quay Medical Centre Hood Road</t>
  </si>
  <si>
    <t>Docks</t>
  </si>
  <si>
    <t>CF62 5QN</t>
  </si>
  <si>
    <t>CBDU12868</t>
  </si>
  <si>
    <t>Ffridd Nantlle</t>
  </si>
  <si>
    <t>LL54 6BB</t>
  </si>
  <si>
    <t>CBDL12869</t>
  </si>
  <si>
    <t>Clwyd Garage The Roe</t>
  </si>
  <si>
    <t>LL170NA</t>
  </si>
  <si>
    <t>CBDU12870</t>
  </si>
  <si>
    <t>21 Upper Road Denham</t>
  </si>
  <si>
    <t>Uxbridge</t>
  </si>
  <si>
    <t>UB9 5EJ</t>
  </si>
  <si>
    <t>CBDU12872</t>
  </si>
  <si>
    <t>14 Blaenavon Terrace Tonmawr</t>
  </si>
  <si>
    <t>SA12 9US</t>
  </si>
  <si>
    <t>CBDL12873</t>
  </si>
  <si>
    <t xml:space="preserve">Llwynyrheol </t>
  </si>
  <si>
    <t>SA47 0SB</t>
  </si>
  <si>
    <t>CBDU12874</t>
  </si>
  <si>
    <t>26 Sturmi Way Village Farm Industrial Estate</t>
  </si>
  <si>
    <t>CF33 6BZ</t>
  </si>
  <si>
    <t>CBDL12876</t>
  </si>
  <si>
    <t xml:space="preserve">71 Topsham Road </t>
  </si>
  <si>
    <t>B67 7LY</t>
  </si>
  <si>
    <t>CBDU12877</t>
  </si>
  <si>
    <t>Suite 7- 8  Moy Road Business Centre</t>
  </si>
  <si>
    <t xml:space="preserve">Taffs Well  </t>
  </si>
  <si>
    <t>CBDU12878</t>
  </si>
  <si>
    <t>CBDL13087</t>
  </si>
  <si>
    <t>CBDU13088</t>
  </si>
  <si>
    <t>The Poplars Four Crosses</t>
  </si>
  <si>
    <t>SY22 6PR</t>
  </si>
  <si>
    <t>CBDL13092</t>
  </si>
  <si>
    <t>Unit 9 Turnham Green Terrace Mews</t>
  </si>
  <si>
    <t>W4 1QU</t>
  </si>
  <si>
    <t>CBDU13093</t>
  </si>
  <si>
    <t>Pentrefield Cottage Coed Eva</t>
  </si>
  <si>
    <t>NP44 7AF</t>
  </si>
  <si>
    <t>CBDU13094</t>
  </si>
  <si>
    <t>18 Clewer Court</t>
  </si>
  <si>
    <t>NP20 4LQ</t>
  </si>
  <si>
    <t>CBDL13096</t>
  </si>
  <si>
    <t>57 Thomas Street Abertridwr</t>
  </si>
  <si>
    <t>CF83 4AX</t>
  </si>
  <si>
    <t>CBDU13098</t>
  </si>
  <si>
    <t xml:space="preserve">66 Reading Road </t>
  </si>
  <si>
    <t>Yateley</t>
  </si>
  <si>
    <t>GU46 7UH</t>
  </si>
  <si>
    <t>CBDU13099</t>
  </si>
  <si>
    <t>1B Llan Road Cwmfelin</t>
  </si>
  <si>
    <t>CF34 9HN</t>
  </si>
  <si>
    <t>CBDU13100</t>
  </si>
  <si>
    <t>Warwick House 91A Warwick Road</t>
  </si>
  <si>
    <t>N11 2SP</t>
  </si>
  <si>
    <t>CBDL13101</t>
  </si>
  <si>
    <t>27 Bridge Street Troedyrhiw</t>
  </si>
  <si>
    <t>CBDU13102</t>
  </si>
  <si>
    <t>Unit A5 Compass Business Park Pacific Rd</t>
  </si>
  <si>
    <t>cf24 5hl</t>
  </si>
  <si>
    <t>CBDU13103</t>
  </si>
  <si>
    <t>Unit 4 Ffrwdgrech Industrial Estate</t>
  </si>
  <si>
    <t>CBDU13104</t>
  </si>
  <si>
    <t>19 Parracombe Crescent Llanrumney</t>
  </si>
  <si>
    <t>CBDU13105</t>
  </si>
  <si>
    <t>1 Craignant Nantmel</t>
  </si>
  <si>
    <t>LD1 6EW</t>
  </si>
  <si>
    <t>CBDU13106</t>
  </si>
  <si>
    <t>Birch House Hen Lon Parcwr</t>
  </si>
  <si>
    <t>CBDL13257</t>
  </si>
  <si>
    <t>CBDL13259</t>
  </si>
  <si>
    <t>178 Mansel Road Bonymaen</t>
  </si>
  <si>
    <t>SA1 7JS</t>
  </si>
  <si>
    <t>CBDL13261</t>
  </si>
  <si>
    <t>HOME FARM HOUSE LAWRENNY</t>
  </si>
  <si>
    <t>KILGETTY</t>
  </si>
  <si>
    <t>SA680PN</t>
  </si>
  <si>
    <t>CBDU13264</t>
  </si>
  <si>
    <t xml:space="preserve">28 The Triangle </t>
  </si>
  <si>
    <t>Bournemouth</t>
  </si>
  <si>
    <t>BH2 5SE</t>
  </si>
  <si>
    <t>CBDU13265</t>
  </si>
  <si>
    <t xml:space="preserve">40 Green Lane </t>
  </si>
  <si>
    <t>NP26 4HD</t>
  </si>
  <si>
    <t>CBDU13266</t>
  </si>
  <si>
    <t xml:space="preserve">344 St. Helens Road </t>
  </si>
  <si>
    <t>BL3 3RP</t>
  </si>
  <si>
    <t>CBDL13267</t>
  </si>
  <si>
    <t>Grange Road Netley Abbey</t>
  </si>
  <si>
    <t>Southampton</t>
  </si>
  <si>
    <t>SO31 5FF</t>
  </si>
  <si>
    <t>CBDU13268</t>
  </si>
  <si>
    <t>31 Gwerneinon Road Sketty</t>
  </si>
  <si>
    <t>SA2 8EN</t>
  </si>
  <si>
    <t>CBDU13270</t>
  </si>
  <si>
    <t>34 Bryn Street Brynhyfryd</t>
  </si>
  <si>
    <t>CBDU13426</t>
  </si>
  <si>
    <t>4-5 Charmwood Court</t>
  </si>
  <si>
    <t>Heol Billingsley</t>
  </si>
  <si>
    <t>CF15 7QZ</t>
  </si>
  <si>
    <t>CBDL13431</t>
  </si>
  <si>
    <t>Head Office 2a Victoria Buildings</t>
  </si>
  <si>
    <t>NP11 5GT</t>
  </si>
  <si>
    <t>CBDL13432</t>
  </si>
  <si>
    <t xml:space="preserve">2 Bishop Hannon Drive </t>
  </si>
  <si>
    <t>CF5 3QQ</t>
  </si>
  <si>
    <t>CBDL225</t>
  </si>
  <si>
    <t>19 Galahad Close</t>
  </si>
  <si>
    <t>CF14 9AL</t>
  </si>
  <si>
    <t>CBDL231</t>
  </si>
  <si>
    <t>WELSH MOUNTAIN ZOO OLD HIGHWAY</t>
  </si>
  <si>
    <t>CONWY</t>
  </si>
  <si>
    <t>LL28 5UY</t>
  </si>
  <si>
    <t>CBDL232</t>
  </si>
  <si>
    <t>CBDL233</t>
  </si>
  <si>
    <t>CBDL234</t>
  </si>
  <si>
    <t>CBDL235</t>
  </si>
  <si>
    <t>CBDL236</t>
  </si>
  <si>
    <t>CBDL237</t>
  </si>
  <si>
    <t>CBDL472</t>
  </si>
  <si>
    <t>16-18 Bangor Road</t>
  </si>
  <si>
    <t>LL32 8NH</t>
  </si>
  <si>
    <t>CBDL475</t>
  </si>
  <si>
    <t>PREMIER STORES AND POST OFFICE CYNWYL ELFED</t>
  </si>
  <si>
    <t>CARMARTHEN</t>
  </si>
  <si>
    <t>SA33 6TL</t>
  </si>
  <si>
    <t>CBDL476</t>
  </si>
  <si>
    <t>29 queens road</t>
  </si>
  <si>
    <t>ll301te</t>
  </si>
  <si>
    <t>CBDL477</t>
  </si>
  <si>
    <t>CBDL479</t>
  </si>
  <si>
    <t>51  Cayley Promenade</t>
  </si>
  <si>
    <t>LL284EP</t>
  </si>
  <si>
    <t>CBDL722</t>
  </si>
  <si>
    <t>Bridgend College Cowbridge Road</t>
  </si>
  <si>
    <t>CF31 3DF</t>
  </si>
  <si>
    <t>CBDL726</t>
  </si>
  <si>
    <t>61 Ascot Drive</t>
  </si>
  <si>
    <t>sa128yl</t>
  </si>
  <si>
    <t>CBDL728</t>
  </si>
  <si>
    <t>6 mansel terrace</t>
  </si>
  <si>
    <t>cwmbwrla</t>
  </si>
  <si>
    <t>sa5 8nn</t>
  </si>
  <si>
    <t>CBDL729</t>
  </si>
  <si>
    <t>6a mansel terrace</t>
  </si>
  <si>
    <t>SA5 8NN</t>
  </si>
  <si>
    <t>CBDL730</t>
  </si>
  <si>
    <t>18 Chalybeate Street</t>
  </si>
  <si>
    <t>SY23 1HX</t>
  </si>
  <si>
    <t>CBDL731</t>
  </si>
  <si>
    <t>CBDL733</t>
  </si>
  <si>
    <t>Gwynfa Hayscastle</t>
  </si>
  <si>
    <t>SA625HR</t>
  </si>
  <si>
    <t>CBDL736</t>
  </si>
  <si>
    <t>BLUEBELL BANK SARNAU</t>
  </si>
  <si>
    <t>LLANYMYNECH</t>
  </si>
  <si>
    <t>SY22 6QW</t>
  </si>
  <si>
    <t>CBDL737</t>
  </si>
  <si>
    <t>11 prince charles road</t>
  </si>
  <si>
    <t>raglan</t>
  </si>
  <si>
    <t>NP152FB</t>
  </si>
  <si>
    <t>CBDL917</t>
  </si>
  <si>
    <t>Pryce Jones Ground Floor Station Road</t>
  </si>
  <si>
    <t>SY16 1BJ</t>
  </si>
  <si>
    <t>CBDL920</t>
  </si>
  <si>
    <t>Unit 28 Sycamore Close</t>
  </si>
  <si>
    <t>Dyffryn Business Park</t>
  </si>
  <si>
    <t>CF827RJ</t>
  </si>
  <si>
    <t>CBDL921</t>
  </si>
  <si>
    <t>Urban Village Floor 3 220 High St</t>
  </si>
  <si>
    <t>SA1 1NW</t>
  </si>
  <si>
    <t>CBDL924</t>
  </si>
  <si>
    <t>Aughton House Aughton Way</t>
  </si>
  <si>
    <t>CH4 0QE</t>
  </si>
  <si>
    <t>CBDL925</t>
  </si>
  <si>
    <t>Resource Recovery Centre Criggion Lane</t>
  </si>
  <si>
    <t>Trewern</t>
  </si>
  <si>
    <t>SY21 8EE</t>
  </si>
  <si>
    <t>CBDL926</t>
  </si>
  <si>
    <t>YMCA The Walk</t>
  </si>
  <si>
    <t>CBDL928</t>
  </si>
  <si>
    <t>PENWERNDDU BONCATH</t>
  </si>
  <si>
    <t>PEMBROKESHIRE</t>
  </si>
  <si>
    <t>SA37 0HE</t>
  </si>
  <si>
    <t>CBDL929</t>
  </si>
  <si>
    <t>Garth Heulog Cwmrheidol</t>
  </si>
  <si>
    <t>SY23 3NA</t>
  </si>
  <si>
    <t>CBDL931</t>
  </si>
  <si>
    <t>7 Bryn Derwen</t>
  </si>
  <si>
    <t>Radyr</t>
  </si>
  <si>
    <t>CF15 8RP</t>
  </si>
  <si>
    <t>CBDL932</t>
  </si>
  <si>
    <t>Whitwell farm Whitwell</t>
  </si>
  <si>
    <t>Richmond</t>
  </si>
  <si>
    <t>Dl106az</t>
  </si>
  <si>
    <t>CBDL1161</t>
  </si>
  <si>
    <t>1 Bungalow Waycock Road</t>
  </si>
  <si>
    <t>CF62 3AA</t>
  </si>
  <si>
    <t>CBDL1164</t>
  </si>
  <si>
    <t>Paradise Farmhouse Slough Road</t>
  </si>
  <si>
    <t>LD8 2NH</t>
  </si>
  <si>
    <t>CBDL1165</t>
  </si>
  <si>
    <t>CBDL1168</t>
  </si>
  <si>
    <t>4 Herbert Street</t>
  </si>
  <si>
    <t>SA8 4EB</t>
  </si>
  <si>
    <t>CBDL1175</t>
  </si>
  <si>
    <t>8 lawton street</t>
  </si>
  <si>
    <t>crewe</t>
  </si>
  <si>
    <t>cw2 7hz</t>
  </si>
  <si>
    <t>CBDL1404</t>
  </si>
  <si>
    <t>1 MELYN MAIR BUISNESS CENTRE</t>
  </si>
  <si>
    <t>CBDL1405</t>
  </si>
  <si>
    <t>Unit B5 New Road</t>
  </si>
  <si>
    <t>Tiryberth</t>
  </si>
  <si>
    <t>CBDL1406</t>
  </si>
  <si>
    <t>unit t6 capital business park</t>
  </si>
  <si>
    <t>cf3 2pz</t>
  </si>
  <si>
    <t>CBDL1407</t>
  </si>
  <si>
    <t>22 Fanny Street</t>
  </si>
  <si>
    <t>Cathays</t>
  </si>
  <si>
    <t>cf24 4eh</t>
  </si>
  <si>
    <t>CBDL1408</t>
  </si>
  <si>
    <t>CRiC Beaufort Street</t>
  </si>
  <si>
    <t>NP8 1BN</t>
  </si>
  <si>
    <t>CBDL1410</t>
  </si>
  <si>
    <t>The Studio Mount Road</t>
  </si>
  <si>
    <t>LL17 0DE</t>
  </si>
  <si>
    <t>CBDL1411</t>
  </si>
  <si>
    <t>BROADOAK DEAN ROAD</t>
  </si>
  <si>
    <t>LL13 9EL</t>
  </si>
  <si>
    <t>CBDL1412</t>
  </si>
  <si>
    <t>86 Springval Ind. Estate</t>
  </si>
  <si>
    <t>NP44 5BH</t>
  </si>
  <si>
    <t>CBDL1415</t>
  </si>
  <si>
    <t>Unit 10 The Old Creamery Four Crosses</t>
  </si>
  <si>
    <t>SY22 6RH</t>
  </si>
  <si>
    <t>CBDL1417</t>
  </si>
  <si>
    <t>Oakwood Cwm Belan</t>
  </si>
  <si>
    <t>SY18 6QT</t>
  </si>
  <si>
    <t>CBDL1418</t>
  </si>
  <si>
    <t>Kinmel Park Depot Engine Hill</t>
  </si>
  <si>
    <t>Bodelwyddan</t>
  </si>
  <si>
    <t>LL18 5UX</t>
  </si>
  <si>
    <t>CBDL1419</t>
  </si>
  <si>
    <t>The Old Rectory Tallarn Green</t>
  </si>
  <si>
    <t>Malpas</t>
  </si>
  <si>
    <t>SY14 7LJ</t>
  </si>
  <si>
    <t>CBDL1633</t>
  </si>
  <si>
    <t>Florence Works Brindley Road</t>
  </si>
  <si>
    <t>CF11 8TX</t>
  </si>
  <si>
    <t>CBDL1639</t>
  </si>
  <si>
    <t>Unit 18 Greenway</t>
  </si>
  <si>
    <t>CBDL1640</t>
  </si>
  <si>
    <t>1 Robin Hill</t>
  </si>
  <si>
    <t>CF64 4TF</t>
  </si>
  <si>
    <t>CBDL1641</t>
  </si>
  <si>
    <t>21 Castle avenue</t>
  </si>
  <si>
    <t>Cf643qy</t>
  </si>
  <si>
    <t>CBDL1642</t>
  </si>
  <si>
    <t>Unit 1  Pwllheli Marine Centre</t>
  </si>
  <si>
    <t>Glan Don</t>
  </si>
  <si>
    <t>LL53 5YQ</t>
  </si>
  <si>
    <t>CBDL1645</t>
  </si>
  <si>
    <t>Felin Newydd House Llandefalle</t>
  </si>
  <si>
    <t>LD30NE</t>
  </si>
  <si>
    <t>CBDL1647</t>
  </si>
  <si>
    <t>Ysgol House  Pantyffynnon Road</t>
  </si>
  <si>
    <t>Ystradgynlais</t>
  </si>
  <si>
    <t>SA9 1EU</t>
  </si>
  <si>
    <t>CBDL1648</t>
  </si>
  <si>
    <t>CBDL1649</t>
  </si>
  <si>
    <t>Office 1 Victoria House</t>
  </si>
  <si>
    <t>Victoria Terrace</t>
  </si>
  <si>
    <t>SY23 2DQ</t>
  </si>
  <si>
    <t>CBDL2115</t>
  </si>
  <si>
    <t>Unit 4 Buzzard Court</t>
  </si>
  <si>
    <t>Mullacott Cross Industrial Estate</t>
  </si>
  <si>
    <t>Ilfracombe</t>
  </si>
  <si>
    <t>EX34 8PX</t>
  </si>
  <si>
    <t>CBDL2287</t>
  </si>
  <si>
    <t xml:space="preserve">23 Splott Road </t>
  </si>
  <si>
    <t>CF24 2BU</t>
  </si>
  <si>
    <t>CBDL2289</t>
  </si>
  <si>
    <t xml:space="preserve">Lancaster Square </t>
  </si>
  <si>
    <t>LL32 8DA</t>
  </si>
  <si>
    <t>CBDL2292</t>
  </si>
  <si>
    <t>CBDL2521</t>
  </si>
  <si>
    <t>36 WINDSOR ROAD</t>
  </si>
  <si>
    <t>PENARTH</t>
  </si>
  <si>
    <t>VALE OF GLAMORGAN</t>
  </si>
  <si>
    <t>CF64 1YD</t>
  </si>
  <si>
    <t>CBDL2522</t>
  </si>
  <si>
    <t>1 Cefn Cantref Cantref</t>
  </si>
  <si>
    <t>LD3 8LT</t>
  </si>
  <si>
    <t>CBDL2758</t>
  </si>
  <si>
    <t xml:space="preserve">29 Linkfield Lane </t>
  </si>
  <si>
    <t>Redhill</t>
  </si>
  <si>
    <t>RH1 1SS</t>
  </si>
  <si>
    <t>CBDL2973</t>
  </si>
  <si>
    <t xml:space="preserve">28 Hawthorn Grove </t>
  </si>
  <si>
    <t>Exmouth</t>
  </si>
  <si>
    <t>EX8 4HD</t>
  </si>
  <si>
    <t>CBDL3197</t>
  </si>
  <si>
    <t>53 Charles Street</t>
  </si>
  <si>
    <t>CF10 2GD</t>
  </si>
  <si>
    <t>CBDL3413</t>
  </si>
  <si>
    <t>Fairwood House Rhyd Lane</t>
  </si>
  <si>
    <t>CF32 9PW</t>
  </si>
  <si>
    <t>CBDL3414</t>
  </si>
  <si>
    <t>Unit 19 Redbrook Business Park</t>
  </si>
  <si>
    <t>Wilthorpe Road</t>
  </si>
  <si>
    <t>S75 1JN</t>
  </si>
  <si>
    <t>CBDL3418</t>
  </si>
  <si>
    <t>1 Bryn Dreinog Capel Hendre</t>
  </si>
  <si>
    <t>SA18 3RJ</t>
  </si>
  <si>
    <t>CBDL3492</t>
  </si>
  <si>
    <t xml:space="preserve">153 Habershon Street </t>
  </si>
  <si>
    <t>CF24 2LA</t>
  </si>
  <si>
    <t>CBDL3695</t>
  </si>
  <si>
    <t xml:space="preserve">Lower Frog Street </t>
  </si>
  <si>
    <t>SA70 7HZ</t>
  </si>
  <si>
    <t>CBDL3701</t>
  </si>
  <si>
    <t>Unit 1 Tywi Valley Food Park</t>
  </si>
  <si>
    <t>Llangadog</t>
  </si>
  <si>
    <t>SA19 9LN</t>
  </si>
  <si>
    <t>CBDL3703</t>
  </si>
  <si>
    <t>Rear of 45 High Street</t>
  </si>
  <si>
    <t>Measham</t>
  </si>
  <si>
    <t>Swadlincote</t>
  </si>
  <si>
    <t>DE12 7HR</t>
  </si>
  <si>
    <t>CBDL3923</t>
  </si>
  <si>
    <t>Penylan Farm Ynyshir</t>
  </si>
  <si>
    <t>CF39 0AH</t>
  </si>
  <si>
    <t>CBDL3929</t>
  </si>
  <si>
    <t>Caerbont Enterprise Park Abercraf</t>
  </si>
  <si>
    <t>SA9 1SQ</t>
  </si>
  <si>
    <t>CBDL3933</t>
  </si>
  <si>
    <t>Jacks 29a Cornishway East</t>
  </si>
  <si>
    <t>Galmington Trading Estate</t>
  </si>
  <si>
    <t>TA1 5LZ</t>
  </si>
  <si>
    <t>CBDL4187</t>
  </si>
  <si>
    <t>LL48 6LS</t>
  </si>
  <si>
    <t>CBDL4433</t>
  </si>
  <si>
    <t>Newgale House Niwgwl</t>
  </si>
  <si>
    <t>SA62 6AS</t>
  </si>
  <si>
    <t>CBDL4436</t>
  </si>
  <si>
    <t xml:space="preserve">3-5 Banc Pendre </t>
  </si>
  <si>
    <t>SA17 4TA</t>
  </si>
  <si>
    <t>CBDL4862</t>
  </si>
  <si>
    <t xml:space="preserve">2 Marine Road </t>
  </si>
  <si>
    <t>LL29 8PH</t>
  </si>
  <si>
    <t>CBDL4863</t>
  </si>
  <si>
    <t xml:space="preserve">33A Greenhayes </t>
  </si>
  <si>
    <t>Broadstone</t>
  </si>
  <si>
    <t>BH18 8LZ</t>
  </si>
  <si>
    <t>CBDL4866</t>
  </si>
  <si>
    <t>CBDL5092</t>
  </si>
  <si>
    <t>11-14 Dyffryn Enterprise Park</t>
  </si>
  <si>
    <t>SY163BD</t>
  </si>
  <si>
    <t>CBDL5095</t>
  </si>
  <si>
    <t>Unit 2 The Long Barn Pistyll Farm</t>
  </si>
  <si>
    <t>CH7 4EW</t>
  </si>
  <si>
    <t>CBDL5347</t>
  </si>
  <si>
    <t>Alltycnap Road Johnstown</t>
  </si>
  <si>
    <t>SA31 3RY</t>
  </si>
  <si>
    <t>CBDL5352</t>
  </si>
  <si>
    <t xml:space="preserve">12 Beaufort Road </t>
  </si>
  <si>
    <t>TA1 1BN</t>
  </si>
  <si>
    <t>CBDU5355</t>
  </si>
  <si>
    <t>The Quarry Pentrebach Road</t>
  </si>
  <si>
    <t>CF37 4BW</t>
  </si>
  <si>
    <t>CBDL5365</t>
  </si>
  <si>
    <t xml:space="preserve">1 Grange Road </t>
  </si>
  <si>
    <t>RM3 7DU</t>
  </si>
  <si>
    <t>CBDU5618</t>
  </si>
  <si>
    <t>CBDU5620</t>
  </si>
  <si>
    <t xml:space="preserve">Powis Castle Estate Office </t>
  </si>
  <si>
    <t>SY21 8RG</t>
  </si>
  <si>
    <t>CBDU5627</t>
  </si>
  <si>
    <t>Orchard Cottage Pyle Road</t>
  </si>
  <si>
    <t>CF33 6PL</t>
  </si>
  <si>
    <t>CBDU5629</t>
  </si>
  <si>
    <t>1 West Uplands Lodge Uplands</t>
  </si>
  <si>
    <t>SA32 8DZ</t>
  </si>
  <si>
    <t>CBDU5632</t>
  </si>
  <si>
    <t xml:space="preserve">Llechwedd Slate Quarry  Blaenau Ffestiniog </t>
  </si>
  <si>
    <t xml:space="preserve">Gwynedd </t>
  </si>
  <si>
    <t>LL41 3NB</t>
  </si>
  <si>
    <t>CBDL6124</t>
  </si>
  <si>
    <t>Unit 2 Glan Yr Afon Industrial Estate</t>
  </si>
  <si>
    <t>CBDU6126</t>
  </si>
  <si>
    <t>MAMHILAD HOUSE MAMHILAD PARK ESTATE</t>
  </si>
  <si>
    <t>PONTYPOOL</t>
  </si>
  <si>
    <t>NP4 0HZ</t>
  </si>
  <si>
    <t>CBDU6128</t>
  </si>
  <si>
    <t>Reception Penglais</t>
  </si>
  <si>
    <t>SY23 3FL</t>
  </si>
  <si>
    <t>CBDU6130</t>
  </si>
  <si>
    <t xml:space="preserve">Penygarnddu Industrial Estate </t>
  </si>
  <si>
    <t>CF48 2TA</t>
  </si>
  <si>
    <t>CBDL6131</t>
  </si>
  <si>
    <t xml:space="preserve">Gwbert </t>
  </si>
  <si>
    <t>SA43 1PP</t>
  </si>
  <si>
    <t>CBDU6132</t>
  </si>
  <si>
    <t>Gardden Industrial Estate Rhiwabon</t>
  </si>
  <si>
    <t>LL14 6RG</t>
  </si>
  <si>
    <t>CBDU6136</t>
  </si>
  <si>
    <t xml:space="preserve">Maes Bulkley </t>
  </si>
  <si>
    <t>LL77 7LR</t>
  </si>
  <si>
    <t>CBDU6137</t>
  </si>
  <si>
    <t>SA14 8QE</t>
  </si>
  <si>
    <t>CBDU6138</t>
  </si>
  <si>
    <t>13 Nant Morlais Pant</t>
  </si>
  <si>
    <t>CF48 2AW</t>
  </si>
  <si>
    <t>CBDU5855</t>
  </si>
  <si>
    <t>ATLANTIC ECO PARK NEWTON ROAD</t>
  </si>
  <si>
    <t>RUMNEY</t>
  </si>
  <si>
    <t>CBDU5856</t>
  </si>
  <si>
    <t xml:space="preserve">11 Clos Kern </t>
  </si>
  <si>
    <t>SA12 7SS</t>
  </si>
  <si>
    <t>CBDL5858</t>
  </si>
  <si>
    <t xml:space="preserve">116 Heol Casnewydd </t>
  </si>
  <si>
    <t>CF24 1YT</t>
  </si>
  <si>
    <t>CBDU5859</t>
  </si>
  <si>
    <t>Unit A15 Treforest Industrial Estate</t>
  </si>
  <si>
    <t>CF37 5TA</t>
  </si>
  <si>
    <t>CBDL5863</t>
  </si>
  <si>
    <t xml:space="preserve">61 Parsonage Barn Lane </t>
  </si>
  <si>
    <t>Ringwood</t>
  </si>
  <si>
    <t>BH24 1PT</t>
  </si>
  <si>
    <t>CBDL5866</t>
  </si>
  <si>
    <t>Unit 2 Parc Busnes Trem-y-Goedwig</t>
  </si>
  <si>
    <t>CF72 8LX</t>
  </si>
  <si>
    <t>CBDU5867</t>
  </si>
  <si>
    <t>Brooke House Llandogo</t>
  </si>
  <si>
    <t>NP25 4TA</t>
  </si>
  <si>
    <t>CBDU5868</t>
  </si>
  <si>
    <t>14 Marshfield Road Castleton</t>
  </si>
  <si>
    <t>CF3 2UU</t>
  </si>
  <si>
    <t>CBDU5869</t>
  </si>
  <si>
    <t xml:space="preserve">2 Afan Street </t>
  </si>
  <si>
    <t>SA13 1AX</t>
  </si>
  <si>
    <t>CBDU5871</t>
  </si>
  <si>
    <t>Unit K7 Foreshore Road</t>
  </si>
  <si>
    <t>CF10 4SP</t>
  </si>
  <si>
    <t>CBDU5872</t>
  </si>
  <si>
    <t>Plas Eifion Ffordd Caernarfon</t>
  </si>
  <si>
    <t>LL56 4RZ</t>
  </si>
  <si>
    <t>CBDU5873</t>
  </si>
  <si>
    <t>CBDU6368</t>
  </si>
  <si>
    <t>Mount Stuart Scrap Yard Church Street</t>
  </si>
  <si>
    <t>NP20 2BY</t>
  </si>
  <si>
    <t>CBDU6369</t>
  </si>
  <si>
    <t>Graig Bungalow Llantrisant Road</t>
  </si>
  <si>
    <t>Capel Llanilltern</t>
  </si>
  <si>
    <t>CF5 6JR</t>
  </si>
  <si>
    <t>CBDU6374</t>
  </si>
  <si>
    <t>13 Beaconsfield Gilwern</t>
  </si>
  <si>
    <t>NP23 8XA</t>
  </si>
  <si>
    <t>CBDU6377</t>
  </si>
  <si>
    <t>Station Road Talacre</t>
  </si>
  <si>
    <t>CH8 9RD</t>
  </si>
  <si>
    <t>CBDU6378</t>
  </si>
  <si>
    <t>Unit 7-8 Catheralls Industrial Estate</t>
  </si>
  <si>
    <t>Brookhill Way</t>
  </si>
  <si>
    <t>CBDU6682</t>
  </si>
  <si>
    <t>CCP Old Wernddu Works</t>
  </si>
  <si>
    <t>Van Road</t>
  </si>
  <si>
    <t>cf83 1ug</t>
  </si>
  <si>
    <t>CBDL6683</t>
  </si>
  <si>
    <t>22 Albert Road St. Philips</t>
  </si>
  <si>
    <t>BS2 0XA</t>
  </si>
  <si>
    <t>CBDU6686</t>
  </si>
  <si>
    <t>Kenmore Ffordd Corwen</t>
  </si>
  <si>
    <t>Treuddyn</t>
  </si>
  <si>
    <t>CH7 4LE</t>
  </si>
  <si>
    <t>CBDU6688</t>
  </si>
  <si>
    <t>The Avenue Industrial Estate Croescadarn Close</t>
  </si>
  <si>
    <t>CF23 8HE</t>
  </si>
  <si>
    <t>CBDU6691</t>
  </si>
  <si>
    <t>92 Pontardawe Road Clydach</t>
  </si>
  <si>
    <t>SA6 5PA</t>
  </si>
  <si>
    <t>CBDU6694</t>
  </si>
  <si>
    <t xml:space="preserve">1 Graig Avenue </t>
  </si>
  <si>
    <t>CF37 1LU</t>
  </si>
  <si>
    <t>CBDU6916</t>
  </si>
  <si>
    <t xml:space="preserve">55 Prendergast </t>
  </si>
  <si>
    <t>SA61 2PF</t>
  </si>
  <si>
    <t>CBDU6919</t>
  </si>
  <si>
    <t>Windsor House 26 Mostyn Avenue</t>
  </si>
  <si>
    <t>LL30 1YY</t>
  </si>
  <si>
    <t>CBDU6920</t>
  </si>
  <si>
    <t>Unit 22 Delta Lakes Enterprise Centre</t>
  </si>
  <si>
    <t>The Avenue</t>
  </si>
  <si>
    <t>CBDL6921</t>
  </si>
  <si>
    <t>Fron Heulog Bwlch-y-Cibau</t>
  </si>
  <si>
    <t>SY22 5LW</t>
  </si>
  <si>
    <t>CBDU6923</t>
  </si>
  <si>
    <t>Suite 2047 6-8 Revenge road</t>
  </si>
  <si>
    <t>Lordswood</t>
  </si>
  <si>
    <t>ME5 8UD</t>
  </si>
  <si>
    <t>CBDU6925</t>
  </si>
  <si>
    <t>Treetops Heol Y Foel</t>
  </si>
  <si>
    <t>Foelgastell</t>
  </si>
  <si>
    <t>SA14 7EG</t>
  </si>
  <si>
    <t>CBDU7270</t>
  </si>
  <si>
    <t>Penybanc Cellan</t>
  </si>
  <si>
    <t>SA48 8JF</t>
  </si>
  <si>
    <t>CBDU7271</t>
  </si>
  <si>
    <t>Bryn Rodyn Dolwen Road</t>
  </si>
  <si>
    <t>Hen Golwyn</t>
  </si>
  <si>
    <t>LL29 8UU</t>
  </si>
  <si>
    <t>CBDL7273</t>
  </si>
  <si>
    <t>Farm View Vicarage Road</t>
  </si>
  <si>
    <t>Great Hockham</t>
  </si>
  <si>
    <t>Thetford</t>
  </si>
  <si>
    <t>IP24 1PE</t>
  </si>
  <si>
    <t>CBDU7274</t>
  </si>
  <si>
    <t>Unit 3 Goodwick Industrial Estate</t>
  </si>
  <si>
    <t>Main Street</t>
  </si>
  <si>
    <t>SA64 0BD</t>
  </si>
  <si>
    <t>CBDU7282</t>
  </si>
  <si>
    <t>Bryn Hafod Llanrug</t>
  </si>
  <si>
    <t>LL55 4AE</t>
  </si>
  <si>
    <t>CBDL7284</t>
  </si>
  <si>
    <t xml:space="preserve"> RIMSKA CESTA 19C</t>
  </si>
  <si>
    <t>TREBNJE</t>
  </si>
  <si>
    <t>SLOVENIA</t>
  </si>
  <si>
    <t>CBDL7504</t>
  </si>
  <si>
    <t xml:space="preserve">182 Hamlet Court Road </t>
  </si>
  <si>
    <t>Westcliff-on-Sea</t>
  </si>
  <si>
    <t>SS0 7LJ</t>
  </si>
  <si>
    <t>CBDU7505</t>
  </si>
  <si>
    <t>bankmill wharf bankmill lane</t>
  </si>
  <si>
    <t>Berkhamsted</t>
  </si>
  <si>
    <t>HP4 2nt</t>
  </si>
  <si>
    <t>CBDL7508</t>
  </si>
  <si>
    <t>12 Hunters Ridge Brackla</t>
  </si>
  <si>
    <t>CF31 2LH</t>
  </si>
  <si>
    <t>CBDL7509</t>
  </si>
  <si>
    <t>23 Ammanford Road Llandebie</t>
  </si>
  <si>
    <t>SA18 3UW</t>
  </si>
  <si>
    <t>CBDU7511</t>
  </si>
  <si>
    <t>Kenfig Industrial Estate Margam</t>
  </si>
  <si>
    <t>CBDU7923</t>
  </si>
  <si>
    <t xml:space="preserve">18 Caerleon Road </t>
  </si>
  <si>
    <t>NP19 7BW</t>
  </si>
  <si>
    <t>CBDU7925</t>
  </si>
  <si>
    <t>CBDU7926</t>
  </si>
  <si>
    <t>St Marys Hylas Lane</t>
  </si>
  <si>
    <t>LL18 5AG</t>
  </si>
  <si>
    <t>CBDL7929</t>
  </si>
  <si>
    <t>Unit 10- 10C Cillefwr Road East</t>
  </si>
  <si>
    <t>Cillefwr Industrial Estate</t>
  </si>
  <si>
    <t>SA31 3RU</t>
  </si>
  <si>
    <t>CBDU7934</t>
  </si>
  <si>
    <t>3 Neyland Path Fairwater</t>
  </si>
  <si>
    <t>NP44 4PX</t>
  </si>
  <si>
    <t>CBDL7935</t>
  </si>
  <si>
    <t>Coppice View Thaxted Road</t>
  </si>
  <si>
    <t>Debden</t>
  </si>
  <si>
    <t>CB11 3LW</t>
  </si>
  <si>
    <t>CBDU7936</t>
  </si>
  <si>
    <t>16 Heol Eglwys  Ystradgynlais</t>
  </si>
  <si>
    <t>SA9  1EU</t>
  </si>
  <si>
    <t>CBDU8168</t>
  </si>
  <si>
    <t>5 High Street Ivinghoe Aston</t>
  </si>
  <si>
    <t>Leighton Buzzard</t>
  </si>
  <si>
    <t>LU7 9DQ</t>
  </si>
  <si>
    <t>CBDU8170</t>
  </si>
  <si>
    <t xml:space="preserve">36 St. Matthews Road </t>
  </si>
  <si>
    <t>BD5 9AB</t>
  </si>
  <si>
    <t>CBDL8171</t>
  </si>
  <si>
    <t xml:space="preserve">9 Kerrycroy Street </t>
  </si>
  <si>
    <t>CF24 2AQ</t>
  </si>
  <si>
    <t>CBDU8172</t>
  </si>
  <si>
    <t>CBDU8174</t>
  </si>
  <si>
    <t xml:space="preserve">Cerrigydrudion </t>
  </si>
  <si>
    <t>LL21 9ST</t>
  </si>
  <si>
    <t>CBDU8175</t>
  </si>
  <si>
    <t>Unit 2 Guest Road</t>
  </si>
  <si>
    <t>CF24 5JS</t>
  </si>
  <si>
    <t>CBDU7681</t>
  </si>
  <si>
    <t>New Road New Inn</t>
  </si>
  <si>
    <t>CBDU7682</t>
  </si>
  <si>
    <t>5 Hawthorn Drive South Cornelly</t>
  </si>
  <si>
    <t>CF33 4RF</t>
  </si>
  <si>
    <t>CBDU7683</t>
  </si>
  <si>
    <t>Penmyarth Glanusk</t>
  </si>
  <si>
    <t>Crughywel</t>
  </si>
  <si>
    <t>NP8 1LP</t>
  </si>
  <si>
    <t>CBDL7686</t>
  </si>
  <si>
    <t xml:space="preserve">3 The Gardens </t>
  </si>
  <si>
    <t>CF46 5AL</t>
  </si>
  <si>
    <t>CBDL7688</t>
  </si>
  <si>
    <t xml:space="preserve">Eastbury Road </t>
  </si>
  <si>
    <t>Northwood</t>
  </si>
  <si>
    <t>HA6 3AS</t>
  </si>
  <si>
    <t>CBDL7690</t>
  </si>
  <si>
    <t>57 New Road Ynysmeudwy</t>
  </si>
  <si>
    <t>SA8 4PP</t>
  </si>
  <si>
    <t>CBDU7691</t>
  </si>
  <si>
    <t>Unit 3 Delta Lakes Enterprise Centre</t>
  </si>
  <si>
    <t>CBDL7694</t>
  </si>
  <si>
    <t xml:space="preserve">124 Cyfarthfa Street </t>
  </si>
  <si>
    <t>CF24 3HH</t>
  </si>
  <si>
    <t>CBDU8321</t>
  </si>
  <si>
    <t>5 Brynheulog Terrace Machen</t>
  </si>
  <si>
    <t>CF83 8QB</t>
  </si>
  <si>
    <t>CBDL8323</t>
  </si>
  <si>
    <t xml:space="preserve">Mulgrave Street </t>
  </si>
  <si>
    <t>BD3 9SE</t>
  </si>
  <si>
    <t>CBDU8325</t>
  </si>
  <si>
    <t>Raglan House Malthouse Avenue</t>
  </si>
  <si>
    <t>CF23 8BA</t>
  </si>
  <si>
    <t>CBDL8326</t>
  </si>
  <si>
    <t xml:space="preserve">7 William Street </t>
  </si>
  <si>
    <t>CF40 2NE</t>
  </si>
  <si>
    <t>CBDL8327</t>
  </si>
  <si>
    <t>10 Llawr Y Nant Bethesda</t>
  </si>
  <si>
    <t>LL57 3GB</t>
  </si>
  <si>
    <t>CBDU8328</t>
  </si>
  <si>
    <t>Gelli Wastad Farm Mynydd Gelliwastad Road</t>
  </si>
  <si>
    <t>Pantlasau</t>
  </si>
  <si>
    <t>SA6 6PX</t>
  </si>
  <si>
    <t>CBDU8332</t>
  </si>
  <si>
    <t xml:space="preserve">16 Churchtown Road </t>
  </si>
  <si>
    <t>Cookstown</t>
  </si>
  <si>
    <t>BT80 9XD</t>
  </si>
  <si>
    <t>NI031142</t>
  </si>
  <si>
    <t>CBDU8334</t>
  </si>
  <si>
    <t>Unit C4 Evans Business Park</t>
  </si>
  <si>
    <t>Deeside Industrial Estate</t>
  </si>
  <si>
    <t>CH52JZ</t>
  </si>
  <si>
    <t>CBDU8335</t>
  </si>
  <si>
    <t>Unit 119 - 120 Dyfatty Park Industrial Estate</t>
  </si>
  <si>
    <t>SA160FB</t>
  </si>
  <si>
    <t>CBDU8578</t>
  </si>
  <si>
    <t>375 Carmarthen Road Cwmbwrla</t>
  </si>
  <si>
    <t>SA5 8LW</t>
  </si>
  <si>
    <t>CBDL8582</t>
  </si>
  <si>
    <t xml:space="preserve">17 Wescott Road </t>
  </si>
  <si>
    <t>Wokingham</t>
  </si>
  <si>
    <t>RG40 2ER</t>
  </si>
  <si>
    <t>CBDU8587</t>
  </si>
  <si>
    <t>13 Conway Road Calcot</t>
  </si>
  <si>
    <t>RG31 4XP</t>
  </si>
  <si>
    <t>Sc532636</t>
  </si>
  <si>
    <t>CBDU8815</t>
  </si>
  <si>
    <t>Bryn Eithin 4 Ffordd Isa'r Foel</t>
  </si>
  <si>
    <t>LL18 6AT</t>
  </si>
  <si>
    <t>CBDL8818</t>
  </si>
  <si>
    <t xml:space="preserve">48 Garden Avenue </t>
  </si>
  <si>
    <t>Mitcham</t>
  </si>
  <si>
    <t>CR4 2EA</t>
  </si>
  <si>
    <t>CBDU8819</t>
  </si>
  <si>
    <t>Celtic House Langland Way</t>
  </si>
  <si>
    <t>Reevesland Industrial Estate</t>
  </si>
  <si>
    <t>CBDU8821</t>
  </si>
  <si>
    <t xml:space="preserve">77B Queens Road </t>
  </si>
  <si>
    <t>Cheltenham</t>
  </si>
  <si>
    <t>GL50 2NH</t>
  </si>
  <si>
    <t>CBDU8824</t>
  </si>
  <si>
    <t>3 Bryn Estyn House Llwyn Estyn</t>
  </si>
  <si>
    <t>Deganwy</t>
  </si>
  <si>
    <t>LL31 9RA</t>
  </si>
  <si>
    <t>CBDU8826</t>
  </si>
  <si>
    <t>Unit 1 Ffrwd Amos Industrial Estate</t>
  </si>
  <si>
    <t>CF40 1HZ</t>
  </si>
  <si>
    <t>CBDL8957</t>
  </si>
  <si>
    <t>22 Pen Y Pentre Sychdyn</t>
  </si>
  <si>
    <t>CH7 6EZ</t>
  </si>
  <si>
    <t>CBDU8960</t>
  </si>
  <si>
    <t>Rugog Corris Uchaf</t>
  </si>
  <si>
    <t>SY20 9RH</t>
  </si>
  <si>
    <t>CBDU8962</t>
  </si>
  <si>
    <t>Unit 1 Ty Coch Industrial Park</t>
  </si>
  <si>
    <t>CBDL8963</t>
  </si>
  <si>
    <t>Unit 9 Atlantic Trading Estate</t>
  </si>
  <si>
    <t>CBDU8966</t>
  </si>
  <si>
    <t>83 Picton Road Abersychan</t>
  </si>
  <si>
    <t>NP4 7HB</t>
  </si>
  <si>
    <t>CBDL8968</t>
  </si>
  <si>
    <t>Ponthir Village Hall Caerleon Road</t>
  </si>
  <si>
    <t>Ponthir</t>
  </si>
  <si>
    <t>NP18 1GQ</t>
  </si>
  <si>
    <t>CBDU8969</t>
  </si>
  <si>
    <t xml:space="preserve">Dinas Road </t>
  </si>
  <si>
    <t>CF40 1JQ</t>
  </si>
  <si>
    <t>CBDU9220</t>
  </si>
  <si>
    <t>Glan Y Mor Road Bae Penrhyn</t>
  </si>
  <si>
    <t>LL30 3NL</t>
  </si>
  <si>
    <t>CBDU9221</t>
  </si>
  <si>
    <t>Unit 4 Priory Wharf Priory Street</t>
  </si>
  <si>
    <t>Hertford</t>
  </si>
  <si>
    <t>SG14 1RJ</t>
  </si>
  <si>
    <t>CBDU9225</t>
  </si>
  <si>
    <t>Kenworth Building Llewellyns Quay</t>
  </si>
  <si>
    <t>SA13 1RF</t>
  </si>
  <si>
    <t>CBDU9226</t>
  </si>
  <si>
    <t>CBDL9227</t>
  </si>
  <si>
    <t>131B Cottrell Road</t>
  </si>
  <si>
    <t>Roath</t>
  </si>
  <si>
    <t>CF24 3EX</t>
  </si>
  <si>
    <t>CBDL9229</t>
  </si>
  <si>
    <t>Unit 12 Ash Road North</t>
  </si>
  <si>
    <t>LL13 9JT</t>
  </si>
  <si>
    <t>CBDL9230</t>
  </si>
  <si>
    <t xml:space="preserve">91-93 Ruislip Road East </t>
  </si>
  <si>
    <t>W13 0AL</t>
  </si>
  <si>
    <t>CBDL9231</t>
  </si>
  <si>
    <t xml:space="preserve">35 Blaen Y Pant Crescent </t>
  </si>
  <si>
    <t>NP20 5QA</t>
  </si>
  <si>
    <t>CBDU9448</t>
  </si>
  <si>
    <t>Ffatri Isaf Talgarreg</t>
  </si>
  <si>
    <t>CBDU9449</t>
  </si>
  <si>
    <t>Pen Ysgubor Llanbedr Dyffryn Clwyd</t>
  </si>
  <si>
    <t>LL15 1YF</t>
  </si>
  <si>
    <t>CBDU9451</t>
  </si>
  <si>
    <t>Gwenllan Llanfihangel-ar-Arth</t>
  </si>
  <si>
    <t>SA39 9HU</t>
  </si>
  <si>
    <t>CBDL9454</t>
  </si>
  <si>
    <t>Archway House 77 Parc Ty Glas</t>
  </si>
  <si>
    <t>CF14 5DU</t>
  </si>
  <si>
    <t>CBDL9455</t>
  </si>
  <si>
    <t xml:space="preserve">Kelvedon Street </t>
  </si>
  <si>
    <t>NP19 0DW</t>
  </si>
  <si>
    <t>CBDU9459</t>
  </si>
  <si>
    <t>The Mount Ffordd Pen-y-Maes</t>
  </si>
  <si>
    <t>CH8 7HL</t>
  </si>
  <si>
    <t>CBDU9663</t>
  </si>
  <si>
    <t>Station Road Maes-Glas</t>
  </si>
  <si>
    <t>CH8 7EL</t>
  </si>
  <si>
    <t>CBDU9665</t>
  </si>
  <si>
    <t xml:space="preserve">Fron Haf </t>
  </si>
  <si>
    <t>LL40 2PR</t>
  </si>
  <si>
    <t>CBDU9671</t>
  </si>
  <si>
    <t xml:space="preserve">33 Llygad Yr Haul </t>
  </si>
  <si>
    <t>SA10 7SR</t>
  </si>
  <si>
    <t>CBDU9672</t>
  </si>
  <si>
    <t xml:space="preserve">110 Whitchurch Road </t>
  </si>
  <si>
    <t>CBDL9888</t>
  </si>
  <si>
    <t>Usk House Langstone Business Village</t>
  </si>
  <si>
    <t>Langstone Park</t>
  </si>
  <si>
    <t>NP18 2LH</t>
  </si>
  <si>
    <t>CBDU9889</t>
  </si>
  <si>
    <t>CBDU9890</t>
  </si>
  <si>
    <t>1 Stanley Bridge Studios Wandon Road</t>
  </si>
  <si>
    <t>SW6 2JG</t>
  </si>
  <si>
    <t>CBDL9891</t>
  </si>
  <si>
    <t>Building H4 Milton Road</t>
  </si>
  <si>
    <t>Didcot</t>
  </si>
  <si>
    <t>OX11 7HH</t>
  </si>
  <si>
    <t>CBDL9892</t>
  </si>
  <si>
    <t>Club House Sports Ground</t>
  </si>
  <si>
    <t>Hay on  Wye</t>
  </si>
  <si>
    <t>HR3 5PJ</t>
  </si>
  <si>
    <t>CBDU9893</t>
  </si>
  <si>
    <t>Nightingale Grove Goytre</t>
  </si>
  <si>
    <t>NP15 1QD</t>
  </si>
  <si>
    <t>CBDU9895</t>
  </si>
  <si>
    <t xml:space="preserve">54 Lewis Road </t>
  </si>
  <si>
    <t>SA11 1DX</t>
  </si>
  <si>
    <t>CBDU9900</t>
  </si>
  <si>
    <t>Bryn Lane Ystad Ddiwydiannol Wrecsam</t>
  </si>
  <si>
    <t>CBDU9903</t>
  </si>
  <si>
    <t xml:space="preserve">105 Goodrich Crescent </t>
  </si>
  <si>
    <t>NP20 5PF</t>
  </si>
  <si>
    <t>CBDU10217</t>
  </si>
  <si>
    <t>Unit 5-8 Phoenix Industrial Estate</t>
  </si>
  <si>
    <t>Goat Mill Road</t>
  </si>
  <si>
    <t>CF48 3TD</t>
  </si>
  <si>
    <t>CBDU10218</t>
  </si>
  <si>
    <t>Old Bulwark Road Bulwark</t>
  </si>
  <si>
    <t>NP16 5JL</t>
  </si>
  <si>
    <t>CBDU10222</t>
  </si>
  <si>
    <t xml:space="preserve">27 Agincourt Street </t>
  </si>
  <si>
    <t>NP20 5JN</t>
  </si>
  <si>
    <t>CBDU10223</t>
  </si>
  <si>
    <t xml:space="preserve">19 Heol Towy </t>
  </si>
  <si>
    <t>NP26 4PH</t>
  </si>
  <si>
    <t>CBDU10224</t>
  </si>
  <si>
    <t>6 Castell Close</t>
  </si>
  <si>
    <t>Enterprise Park</t>
  </si>
  <si>
    <t>SA7 9FH</t>
  </si>
  <si>
    <t>CBDU10225</t>
  </si>
  <si>
    <t>Unit 4B Cwm Road</t>
  </si>
  <si>
    <t>CBDU10226</t>
  </si>
  <si>
    <t xml:space="preserve">11 Oakwood Avenue </t>
  </si>
  <si>
    <t>CR4 3DQ</t>
  </si>
  <si>
    <t>CBDU10228</t>
  </si>
  <si>
    <t>2 Adwy'r Nant Bethesda</t>
  </si>
  <si>
    <t>LL57 3NY</t>
  </si>
  <si>
    <t>CBDU10231</t>
  </si>
  <si>
    <t>SA One Two Business Centre Seaway Parade</t>
  </si>
  <si>
    <t>Baglan Energy Park</t>
  </si>
  <si>
    <t>CBDL10454</t>
  </si>
  <si>
    <t>Buttington Cross Buttington</t>
  </si>
  <si>
    <t>SY21 8SR</t>
  </si>
  <si>
    <t>CBDU10457</t>
  </si>
  <si>
    <t>Unit 9 Waterloo Industrial Estate</t>
  </si>
  <si>
    <t>Waterloo</t>
  </si>
  <si>
    <t>SA72 4RR</t>
  </si>
  <si>
    <t>CBDU10459</t>
  </si>
  <si>
    <t>Typicca Bronwydd Arms</t>
  </si>
  <si>
    <t>SA33 6BE</t>
  </si>
  <si>
    <t>CBDL10460</t>
  </si>
  <si>
    <t>The Beeches Greenfield Road</t>
  </si>
  <si>
    <t>LD8 2AY</t>
  </si>
  <si>
    <t>CBDL10461</t>
  </si>
  <si>
    <t xml:space="preserve">138 Bute Street </t>
  </si>
  <si>
    <t>CF42 6BB</t>
  </si>
  <si>
    <t>CBDU10462</t>
  </si>
  <si>
    <t>Longbarn Argoed</t>
  </si>
  <si>
    <t>NP12 0JA</t>
  </si>
  <si>
    <t>CBDL10464</t>
  </si>
  <si>
    <t xml:space="preserve">443 Porters Avenue </t>
  </si>
  <si>
    <t>Dagenham</t>
  </si>
  <si>
    <t>RM9 4ND</t>
  </si>
  <si>
    <t>CBDU10670</t>
  </si>
  <si>
    <t>Cae Mawr Rhostrehwfa</t>
  </si>
  <si>
    <t>LL77 7YR</t>
  </si>
  <si>
    <t>CBDU10671</t>
  </si>
  <si>
    <t>Vastre Depot Office Unit 39</t>
  </si>
  <si>
    <t>Vastre Industrial Estate</t>
  </si>
  <si>
    <t>SY16 1DZ</t>
  </si>
  <si>
    <t>CBDU10672</t>
  </si>
  <si>
    <t>22a Mochdre Industrial Estate</t>
  </si>
  <si>
    <t>SY164LE</t>
  </si>
  <si>
    <t>CBDU10674</t>
  </si>
  <si>
    <t>Trelydan Farm Trelydan</t>
  </si>
  <si>
    <t>SY21 9HT</t>
  </si>
  <si>
    <t>CBDL10676</t>
  </si>
  <si>
    <t xml:space="preserve">Dolafon Road </t>
  </si>
  <si>
    <t>SY16 2JB</t>
  </si>
  <si>
    <t>CBDU10677</t>
  </si>
  <si>
    <t>Stepside Gwbert Road</t>
  </si>
  <si>
    <t>SA43 1PH</t>
  </si>
  <si>
    <t>CBDU10678</t>
  </si>
  <si>
    <t>Woodbank Farm Brisco</t>
  </si>
  <si>
    <t>Carlisle</t>
  </si>
  <si>
    <t>CA4 0QP</t>
  </si>
  <si>
    <t>CBDL10808</t>
  </si>
  <si>
    <t xml:space="preserve">56 Briarigg </t>
  </si>
  <si>
    <t>Kendal</t>
  </si>
  <si>
    <t>LA9 6FA</t>
  </si>
  <si>
    <t>CBDU10813</t>
  </si>
  <si>
    <t>Wales &amp; West House Spooner Close</t>
  </si>
  <si>
    <t>Coedkernew</t>
  </si>
  <si>
    <t>NP10 8FZ</t>
  </si>
  <si>
    <t>CBDU10814</t>
  </si>
  <si>
    <t>Blaen Y Gors Transport Yard Neath Road</t>
  </si>
  <si>
    <t xml:space="preserve"> Swansea</t>
  </si>
  <si>
    <t>SA91PY</t>
  </si>
  <si>
    <t>CBDU10815</t>
  </si>
  <si>
    <t>The Old Mill Talgarreg</t>
  </si>
  <si>
    <t>CBDU10816</t>
  </si>
  <si>
    <t xml:space="preserve">4 Cromie Avenue </t>
  </si>
  <si>
    <t>SA61 1BP</t>
  </si>
  <si>
    <t>CBDU10818</t>
  </si>
  <si>
    <t xml:space="preserve">14 Corbett Grove </t>
  </si>
  <si>
    <t>CF83 1SZ</t>
  </si>
  <si>
    <t>CBDL10821</t>
  </si>
  <si>
    <t>Unit 17 Lamby Workshops</t>
  </si>
  <si>
    <t>CBDU10822</t>
  </si>
  <si>
    <t xml:space="preserve">102 Fidlas Road </t>
  </si>
  <si>
    <t>CF14 0NE</t>
  </si>
  <si>
    <t>CBDU10823</t>
  </si>
  <si>
    <t>1 Glannant Road Evanstown</t>
  </si>
  <si>
    <t>Gilfach Goch</t>
  </si>
  <si>
    <t>CF39 8RL</t>
  </si>
  <si>
    <t>CBDU10825</t>
  </si>
  <si>
    <t>Graig Goch Farm Sennybridge</t>
  </si>
  <si>
    <t>LD3 8RB</t>
  </si>
  <si>
    <t>CBDL10827</t>
  </si>
  <si>
    <t xml:space="preserve">67 Queens Road </t>
  </si>
  <si>
    <t>Watford</t>
  </si>
  <si>
    <t>WD17 2QN</t>
  </si>
  <si>
    <t>CBDL11064</t>
  </si>
  <si>
    <t>137 Manor Road Manselton</t>
  </si>
  <si>
    <t>SA5 9PW</t>
  </si>
  <si>
    <t>CBDL11892</t>
  </si>
  <si>
    <t xml:space="preserve">6 Hill Village Road </t>
  </si>
  <si>
    <t>Sutton Coldfield</t>
  </si>
  <si>
    <t>B75 5BA</t>
  </si>
  <si>
    <t>CBDL11894</t>
  </si>
  <si>
    <t xml:space="preserve">Penparc </t>
  </si>
  <si>
    <t>CBDU11896</t>
  </si>
  <si>
    <t>Plas Newydd Nantycaws</t>
  </si>
  <si>
    <t>SA32 8ES</t>
  </si>
  <si>
    <t>CBDL11897</t>
  </si>
  <si>
    <t xml:space="preserve">24 St. Gowan Avenue </t>
  </si>
  <si>
    <t>CF14 4JX</t>
  </si>
  <si>
    <t>CBDL11899</t>
  </si>
  <si>
    <t xml:space="preserve">5A Stanwell Road </t>
  </si>
  <si>
    <t>CF64 2AB</t>
  </si>
  <si>
    <t>CBDU11900</t>
  </si>
  <si>
    <t xml:space="preserve">Canal Road </t>
  </si>
  <si>
    <t>CBDL12111</t>
  </si>
  <si>
    <t>Unit 5 Evolution</t>
  </si>
  <si>
    <t>Lakeside Business Village</t>
  </si>
  <si>
    <t>St. Davids Park</t>
  </si>
  <si>
    <t>CH5 3XP</t>
  </si>
  <si>
    <t>CBDU12115</t>
  </si>
  <si>
    <t>Columbus House Village Way</t>
  </si>
  <si>
    <t>CF15 7NE</t>
  </si>
  <si>
    <t>CBDU12116</t>
  </si>
  <si>
    <t>gripoly house gripoly mills</t>
  </si>
  <si>
    <t>sloper road</t>
  </si>
  <si>
    <t>cf118aa</t>
  </si>
  <si>
    <t>CBDU12117</t>
  </si>
  <si>
    <t>11 MOOR STREET</t>
  </si>
  <si>
    <t>CBDU12118</t>
  </si>
  <si>
    <t xml:space="preserve">8 Llandaff Road </t>
  </si>
  <si>
    <t>CF11 9NJ</t>
  </si>
  <si>
    <t>CBDL12120</t>
  </si>
  <si>
    <t>Oak Road Wrexham Industrial Estate</t>
  </si>
  <si>
    <t>LL13 9RG</t>
  </si>
  <si>
    <t>CBDU12121</t>
  </si>
  <si>
    <t>Village Farm Road Village Farm Industrial Estate</t>
  </si>
  <si>
    <t>CF33 6BN</t>
  </si>
  <si>
    <t>CBDU12122</t>
  </si>
  <si>
    <t>Llwyn-y-Brain Farm Pontsticill</t>
  </si>
  <si>
    <t>CF48 2TU</t>
  </si>
  <si>
    <t>CBDL11350</t>
  </si>
  <si>
    <t>Pentrelloegr Pontfaen</t>
  </si>
  <si>
    <t>LD3 9ND</t>
  </si>
  <si>
    <t>CBDL11351</t>
  </si>
  <si>
    <t>Park Street Lower Brynamman</t>
  </si>
  <si>
    <t>SA18 1TF</t>
  </si>
  <si>
    <t>CBDL11352</t>
  </si>
  <si>
    <t>16 Dudley Road East Tividale</t>
  </si>
  <si>
    <t>Oldbury</t>
  </si>
  <si>
    <t>B69 3HJ</t>
  </si>
  <si>
    <t>CBDU11353</t>
  </si>
  <si>
    <t>Morfa Farm Station Road</t>
  </si>
  <si>
    <t>Talacre</t>
  </si>
  <si>
    <t>CBDU11355</t>
  </si>
  <si>
    <t xml:space="preserve">Bryn Bela </t>
  </si>
  <si>
    <t>LL59 5RT</t>
  </si>
  <si>
    <t>CBDU11358</t>
  </si>
  <si>
    <t>Brynawelon Llanfynydd</t>
  </si>
  <si>
    <t>SA32 7TG</t>
  </si>
  <si>
    <t>CBDL11359</t>
  </si>
  <si>
    <t xml:space="preserve">Hillside </t>
  </si>
  <si>
    <t>NP23 5YA</t>
  </si>
  <si>
    <t>CBDU11360</t>
  </si>
  <si>
    <t xml:space="preserve">Newborough </t>
  </si>
  <si>
    <t>LL61 6RS</t>
  </si>
  <si>
    <t>CBDU11361</t>
  </si>
  <si>
    <t>B K House Ash Road South</t>
  </si>
  <si>
    <t>Wrexham Industrial Estate</t>
  </si>
  <si>
    <t>CBDL11362</t>
  </si>
  <si>
    <t>Hendre Fawr Gwytherin</t>
  </si>
  <si>
    <t>LL22 8YB</t>
  </si>
  <si>
    <t>CBDL11363</t>
  </si>
  <si>
    <t>Multi House Towyn Road</t>
  </si>
  <si>
    <t>LL22 9HD</t>
  </si>
  <si>
    <t>CBDU11578</t>
  </si>
  <si>
    <t xml:space="preserve">58 Mariners Quay </t>
  </si>
  <si>
    <t>SA12 6AN</t>
  </si>
  <si>
    <t>CBDU11579</t>
  </si>
  <si>
    <t>Unicorn House Heol Morfa</t>
  </si>
  <si>
    <t>Village Farm Industrial Estate</t>
  </si>
  <si>
    <t>CF33 6BP</t>
  </si>
  <si>
    <t>CBDU11580</t>
  </si>
  <si>
    <t>CBDU11581</t>
  </si>
  <si>
    <t xml:space="preserve">32-34 Victoria Gardens </t>
  </si>
  <si>
    <t>SA11 3BH</t>
  </si>
  <si>
    <t>CBDL11582</t>
  </si>
  <si>
    <t>Unit B12 Kestrel Court</t>
  </si>
  <si>
    <t>Harbour Road</t>
  </si>
  <si>
    <t>Portishead</t>
  </si>
  <si>
    <t>BS20 7AN</t>
  </si>
  <si>
    <t>CBDL11584</t>
  </si>
  <si>
    <t>Bryn Carnafon Bynea</t>
  </si>
  <si>
    <t>SA14 9SN</t>
  </si>
  <si>
    <t>CBDU11585</t>
  </si>
  <si>
    <t>Unit 6 Damery Works</t>
  </si>
  <si>
    <t>Damery Lane</t>
  </si>
  <si>
    <t>Woodford</t>
  </si>
  <si>
    <t>Berkeley</t>
  </si>
  <si>
    <t>GL13 9JR</t>
  </si>
  <si>
    <t>CBDU11587</t>
  </si>
  <si>
    <t>Penbryn Caled Maenan</t>
  </si>
  <si>
    <t>Llanrwst</t>
  </si>
  <si>
    <t>LL26 0UR</t>
  </si>
  <si>
    <t>CBDU11588</t>
  </si>
  <si>
    <t xml:space="preserve">93 Caerau Lane </t>
  </si>
  <si>
    <t>CF5 5HL</t>
  </si>
  <si>
    <t>CBDU11589</t>
  </si>
  <si>
    <t xml:space="preserve">104 Graig Park Circle </t>
  </si>
  <si>
    <t>NP20 6HF</t>
  </si>
  <si>
    <t>CBDU11590</t>
  </si>
  <si>
    <t xml:space="preserve">Glascoed Road </t>
  </si>
  <si>
    <t>LL17 0LH</t>
  </si>
  <si>
    <t>CBDL11592</t>
  </si>
  <si>
    <t>3 Alexandra Road Sebastopol</t>
  </si>
  <si>
    <t>NP4 5BJ</t>
  </si>
  <si>
    <t>CBDL11593</t>
  </si>
  <si>
    <t xml:space="preserve">Unit 3  29 bankside </t>
  </si>
  <si>
    <t>Hull</t>
  </si>
  <si>
    <t>HU5 1SY</t>
  </si>
  <si>
    <t>CBDU11594</t>
  </si>
  <si>
    <t xml:space="preserve">7 River Walk </t>
  </si>
  <si>
    <t>CF61 1SY</t>
  </si>
  <si>
    <t>CBDU11595</t>
  </si>
  <si>
    <t xml:space="preserve">Ocean Way </t>
  </si>
  <si>
    <t>CF24 5HH</t>
  </si>
  <si>
    <t>CBDU11597</t>
  </si>
  <si>
    <t>1 New Street Glynneath</t>
  </si>
  <si>
    <t>SA11 5AA</t>
  </si>
  <si>
    <t>CBDU11598</t>
  </si>
  <si>
    <t>Unit 9 Greenway Workshops</t>
  </si>
  <si>
    <t>CF83 8HW</t>
  </si>
  <si>
    <t>CBDU11600</t>
  </si>
  <si>
    <t>Pantafon Penisarwaun</t>
  </si>
  <si>
    <t>LL55 3DB</t>
  </si>
  <si>
    <t>CBDU11813</t>
  </si>
  <si>
    <t>65 Townstal Road</t>
  </si>
  <si>
    <t xml:space="preserve">Dartmouth </t>
  </si>
  <si>
    <t>TQ6 9HS</t>
  </si>
  <si>
    <t>CBDU12319</t>
  </si>
  <si>
    <t>Unit 2 Glan Aber Trading Estate</t>
  </si>
  <si>
    <t>Vale Road</t>
  </si>
  <si>
    <t>LL18 2PL</t>
  </si>
  <si>
    <t>CBDU12321</t>
  </si>
  <si>
    <t>UNIT 104 PORTMANMOOR ROAD INDUSTRIAL ESTATE</t>
  </si>
  <si>
    <t>ROATH</t>
  </si>
  <si>
    <t>CF24 5HB</t>
  </si>
  <si>
    <t>CBDU12324</t>
  </si>
  <si>
    <t xml:space="preserve">6 Washington Court </t>
  </si>
  <si>
    <t>LL18 4NJ</t>
  </si>
  <si>
    <t>CBDU12326</t>
  </si>
  <si>
    <t xml:space="preserve">10 East Avenue </t>
  </si>
  <si>
    <t>LL49 9EN</t>
  </si>
  <si>
    <t>CBDL12328</t>
  </si>
  <si>
    <t>Tir Powell Ddu Nantyglyn Road</t>
  </si>
  <si>
    <t>SA18 2YT</t>
  </si>
  <si>
    <t>CBDU12330</t>
  </si>
  <si>
    <t>Unit 5B Cambrian Industrial Estate East Side</t>
  </si>
  <si>
    <t>CF72 9EW</t>
  </si>
  <si>
    <t>CBDL12332</t>
  </si>
  <si>
    <t>Parcau Penrhiwllan</t>
  </si>
  <si>
    <t>SA44 5NW</t>
  </si>
  <si>
    <t>CBDU12670</t>
  </si>
  <si>
    <t>CBDL12673</t>
  </si>
  <si>
    <t xml:space="preserve">Penesgynfa Cottage </t>
  </si>
  <si>
    <t>LL40 2LU</t>
  </si>
  <si>
    <t>CBDU12674</t>
  </si>
  <si>
    <t>bynea house heol y bwlch</t>
  </si>
  <si>
    <t>llanelli</t>
  </si>
  <si>
    <t>SA14 9su</t>
  </si>
  <si>
    <t>CBDL12675</t>
  </si>
  <si>
    <t>Carreghofa Halt Glandwr</t>
  </si>
  <si>
    <t>Wern</t>
  </si>
  <si>
    <t>SY22 6PB</t>
  </si>
  <si>
    <t>CBDU12677</t>
  </si>
  <si>
    <t>Unit 7 Block C</t>
  </si>
  <si>
    <t>CF83 1BQ</t>
  </si>
  <si>
    <t>CBDL12678</t>
  </si>
  <si>
    <t>Grumbly Bush Farm Yerbeston</t>
  </si>
  <si>
    <t>SA68 0NS</t>
  </si>
  <si>
    <t>CBDL12680</t>
  </si>
  <si>
    <t>40 St. Davids Close Brackla</t>
  </si>
  <si>
    <t>CF31 2BN</t>
  </si>
  <si>
    <t>CBDL12681</t>
  </si>
  <si>
    <t xml:space="preserve">8 Heol Cleddau </t>
  </si>
  <si>
    <t>SA65 9JP</t>
  </si>
  <si>
    <t>CBDL12682</t>
  </si>
  <si>
    <t>Penrhiw Quarry Brynithel Terrace</t>
  </si>
  <si>
    <t>Brynithel</t>
  </si>
  <si>
    <t>NP13 2HF</t>
  </si>
  <si>
    <t>CBDU12683</t>
  </si>
  <si>
    <t xml:space="preserve">197 Winskell Road </t>
  </si>
  <si>
    <t>South Shields</t>
  </si>
  <si>
    <t>NE34 9RY</t>
  </si>
  <si>
    <t>CBDU12884</t>
  </si>
  <si>
    <t>7 Y Graig Pant</t>
  </si>
  <si>
    <t>CF48 3SS</t>
  </si>
  <si>
    <t>CBDL12885</t>
  </si>
  <si>
    <t xml:space="preserve">4 King Street </t>
  </si>
  <si>
    <t>NP22 4PA</t>
  </si>
  <si>
    <t>CBDU12886</t>
  </si>
  <si>
    <t>Unit F2 South Point</t>
  </si>
  <si>
    <t>Foreshore Road</t>
  </si>
  <si>
    <t>CBDU12889</t>
  </si>
  <si>
    <t>Unit 9 Vauxhall Industrial Estate</t>
  </si>
  <si>
    <t>LL14 6HA</t>
  </si>
  <si>
    <t>CBDU12891</t>
  </si>
  <si>
    <t>7 Iron Way Tondu</t>
  </si>
  <si>
    <t>CF32 9BF</t>
  </si>
  <si>
    <t>CBDL12892</t>
  </si>
  <si>
    <t xml:space="preserve">22 Heol Coed Cae </t>
  </si>
  <si>
    <t>CF14 1HL</t>
  </si>
  <si>
    <t>CBDL12893</t>
  </si>
  <si>
    <t>1-5 Fore Street St. Marychurch</t>
  </si>
  <si>
    <t>Torquay</t>
  </si>
  <si>
    <t>TQ1 4PU</t>
  </si>
  <si>
    <t>CBDL12895</t>
  </si>
  <si>
    <t>The Cross Wool</t>
  </si>
  <si>
    <t>Wareham</t>
  </si>
  <si>
    <t>BH20 6DA</t>
  </si>
  <si>
    <t>CBDU12896</t>
  </si>
  <si>
    <t>Unit 52B Symondscliffe Way</t>
  </si>
  <si>
    <t>CBDU12897</t>
  </si>
  <si>
    <t xml:space="preserve">Unit 2 and 3 Nelsons Walk </t>
  </si>
  <si>
    <t xml:space="preserve">Upper frog street </t>
  </si>
  <si>
    <t xml:space="preserve">Tenby </t>
  </si>
  <si>
    <t xml:space="preserve">SA707JD </t>
  </si>
  <si>
    <t>CBDU12898</t>
  </si>
  <si>
    <t>Glanynant House Llangybi</t>
  </si>
  <si>
    <t>NP15 1NP</t>
  </si>
  <si>
    <t>CBDU12899</t>
  </si>
  <si>
    <t>Osborne Barn Wrexham Road</t>
  </si>
  <si>
    <t>Penyffordd</t>
  </si>
  <si>
    <t>CH4 0HT</t>
  </si>
  <si>
    <t>CBDL13108</t>
  </si>
  <si>
    <t xml:space="preserve">93 Warren Hill Road </t>
  </si>
  <si>
    <t>B44 8EU</t>
  </si>
  <si>
    <t>CBDU13112</t>
  </si>
  <si>
    <t xml:space="preserve">14 Windmill Drive </t>
  </si>
  <si>
    <t>Reigate</t>
  </si>
  <si>
    <t>RH2 0JP</t>
  </si>
  <si>
    <t>CBDU13115</t>
  </si>
  <si>
    <t>Unit 13 Phoenix Business Park</t>
  </si>
  <si>
    <t>CBDU13116</t>
  </si>
  <si>
    <t>Unit 4-5 Village Workshops</t>
  </si>
  <si>
    <t>Llanbrynmair</t>
  </si>
  <si>
    <t>CBDL13117</t>
  </si>
  <si>
    <t>Gilfach Maen Uchaf Farm Trelewis</t>
  </si>
  <si>
    <t>CF46 6TA</t>
  </si>
  <si>
    <t>CBDU13273</t>
  </si>
  <si>
    <t>Unit 7 Hatfield Heath Road</t>
  </si>
  <si>
    <t>Sawbridgeworth</t>
  </si>
  <si>
    <t>CM21 9HX</t>
  </si>
  <si>
    <t>CBDU13276</t>
  </si>
  <si>
    <t>Mendip House Union Street</t>
  </si>
  <si>
    <t>Cheddar</t>
  </si>
  <si>
    <t>BS27 3NA</t>
  </si>
  <si>
    <t>CBDU13278</t>
  </si>
  <si>
    <t xml:space="preserve">Ynys Hir </t>
  </si>
  <si>
    <t>Rhosneigr</t>
  </si>
  <si>
    <t>LL64 5XA</t>
  </si>
  <si>
    <t>CBDU13279</t>
  </si>
  <si>
    <t>Unit 34 Space Business Centre</t>
  </si>
  <si>
    <t>Tewkesbury Road</t>
  </si>
  <si>
    <t>GL51 9FL</t>
  </si>
  <si>
    <t>CBDU13441</t>
  </si>
  <si>
    <t>PLOT 16 ACRE YARD</t>
  </si>
  <si>
    <t>DOCK ROAD</t>
  </si>
  <si>
    <t>CONNISQUAY</t>
  </si>
  <si>
    <t>CH5 4DS</t>
  </si>
  <si>
    <t>CBDL13451</t>
  </si>
  <si>
    <t xml:space="preserve">54 Regent Street East </t>
  </si>
  <si>
    <t>SA11 2RU</t>
  </si>
  <si>
    <t>CBDL238</t>
  </si>
  <si>
    <t>CBDL239</t>
  </si>
  <si>
    <t>CBDL240</t>
  </si>
  <si>
    <t>CBDL241</t>
  </si>
  <si>
    <t>CBDL242</t>
  </si>
  <si>
    <t>CBDL244</t>
  </si>
  <si>
    <t>Waste Transfer Station  Bron y Nant Road</t>
  </si>
  <si>
    <t>LL28 4YL</t>
  </si>
  <si>
    <t>CBDL248</t>
  </si>
  <si>
    <t>Unit 4 Grooms Enterprise Park</t>
  </si>
  <si>
    <t>SY16 1DL</t>
  </si>
  <si>
    <t>CBDL249</t>
  </si>
  <si>
    <t>Aspidistra Resturant Station Crescent</t>
  </si>
  <si>
    <t>LD1 5BD</t>
  </si>
  <si>
    <t>CBDL252</t>
  </si>
  <si>
    <t>22 Ton Tylluan</t>
  </si>
  <si>
    <t>Broadlands</t>
  </si>
  <si>
    <t>CF31 5BE</t>
  </si>
  <si>
    <t>CBDL253</t>
  </si>
  <si>
    <t>Ffordd Gwynedd Bangor</t>
  </si>
  <si>
    <t>LL57 1DT</t>
  </si>
  <si>
    <t>CBDL489</t>
  </si>
  <si>
    <t>Lanfro St Clears</t>
  </si>
  <si>
    <t>Carmarhten</t>
  </si>
  <si>
    <t>CBDL490</t>
  </si>
  <si>
    <t>CBDL491</t>
  </si>
  <si>
    <t>CBDL492</t>
  </si>
  <si>
    <t>CBDL493</t>
  </si>
  <si>
    <t>parrys commercials ltd graig</t>
  </si>
  <si>
    <t>glan conwy</t>
  </si>
  <si>
    <t>colwyn bay</t>
  </si>
  <si>
    <t>ll28 5ra</t>
  </si>
  <si>
    <t>CBDL494</t>
  </si>
  <si>
    <t>CBDL510</t>
  </si>
  <si>
    <t>OLTC Pant Y Rhiw</t>
  </si>
  <si>
    <t>Tal y Bont</t>
  </si>
  <si>
    <t>LD3 7YT</t>
  </si>
  <si>
    <t>CBDL740</t>
  </si>
  <si>
    <t>22a lewis road</t>
  </si>
  <si>
    <t>sa111dx</t>
  </si>
  <si>
    <t>CBDL744</t>
  </si>
  <si>
    <t>No 9 Ffordd y Morfa Crosshands</t>
  </si>
  <si>
    <t>CBDL745</t>
  </si>
  <si>
    <t>6 College Green Port Talbot</t>
  </si>
  <si>
    <t>SA13 2AH</t>
  </si>
  <si>
    <t>CBDL746</t>
  </si>
  <si>
    <t>Cardiff University Estates Division</t>
  </si>
  <si>
    <t>30 . 36 Newport Road</t>
  </si>
  <si>
    <t>CF24 0DE</t>
  </si>
  <si>
    <t>CBDL747</t>
  </si>
  <si>
    <t>Unit 24 Vale Business Park</t>
  </si>
  <si>
    <t>CBDL752</t>
  </si>
  <si>
    <t>43 Cowbridge Road West</t>
  </si>
  <si>
    <t>CF5 5BQ</t>
  </si>
  <si>
    <t>CBDL753</t>
  </si>
  <si>
    <t>Colege Ystrad Mynach Twyn Road</t>
  </si>
  <si>
    <t>CF82 7XR</t>
  </si>
  <si>
    <t>CBDL935</t>
  </si>
  <si>
    <t>8 Marram Close</t>
  </si>
  <si>
    <t>Stanway</t>
  </si>
  <si>
    <t>CO3 0PJ</t>
  </si>
  <si>
    <t>CBDL938</t>
  </si>
  <si>
    <t>Unit 2 The Reuse Centre Phoenix Park</t>
  </si>
  <si>
    <t>CBDL939</t>
  </si>
  <si>
    <t>Wastesavers Resource Centre Esperanto Way</t>
  </si>
  <si>
    <t>Lliswerry</t>
  </si>
  <si>
    <t>CBDL940</t>
  </si>
  <si>
    <t>YSTRAD RECYCLING  OLD REMPLOY WIND ROAD</t>
  </si>
  <si>
    <t>GLANRHYD</t>
  </si>
  <si>
    <t>YSTRADGYNLAIS</t>
  </si>
  <si>
    <t>SA9 1AF</t>
  </si>
  <si>
    <t>CBDL941</t>
  </si>
  <si>
    <t>Fforest Timber Engineering</t>
  </si>
  <si>
    <t>Unit B Kestrel Way</t>
  </si>
  <si>
    <t>Garngoch Industrial Estate Gorseinon</t>
  </si>
  <si>
    <t>SA4 9WN</t>
  </si>
  <si>
    <t>CBDL942</t>
  </si>
  <si>
    <t>The Ex Council Offices Ystradgynlais Workshops</t>
  </si>
  <si>
    <t xml:space="preserve">Ystradgynlais </t>
  </si>
  <si>
    <t>SA9 1BS</t>
  </si>
  <si>
    <t>CBDL943</t>
  </si>
  <si>
    <t>376 - 378  High Street</t>
  </si>
  <si>
    <t>LL57 1YE</t>
  </si>
  <si>
    <t>CBDL944</t>
  </si>
  <si>
    <t>Long Barn Pistyll Farm</t>
  </si>
  <si>
    <t>CBDL948</t>
  </si>
  <si>
    <t>28 mochdre ind estsate</t>
  </si>
  <si>
    <t>newtown</t>
  </si>
  <si>
    <t>sy164le</t>
  </si>
  <si>
    <t>CBDL1184</t>
  </si>
  <si>
    <t>Trewythen Fawr Lodges</t>
  </si>
  <si>
    <t>SY17 5BQ</t>
  </si>
  <si>
    <t>CBDL1185</t>
  </si>
  <si>
    <t>27 North Parade</t>
  </si>
  <si>
    <t>LL30 2LP</t>
  </si>
  <si>
    <t>CBDL1186</t>
  </si>
  <si>
    <t>Golf club Cefn Llan road</t>
  </si>
  <si>
    <t>Sa84sh</t>
  </si>
  <si>
    <t>CBDL1187</t>
  </si>
  <si>
    <t>80 Mochdre Enterprise Park</t>
  </si>
  <si>
    <t>sy16 4le</t>
  </si>
  <si>
    <t>CBDL1190</t>
  </si>
  <si>
    <t>4 - 6  Bryngwyn Road</t>
  </si>
  <si>
    <t>NP20 4JS</t>
  </si>
  <si>
    <t>CBDL1191</t>
  </si>
  <si>
    <t>172 Caerleon Road</t>
  </si>
  <si>
    <t>NP19 7FY</t>
  </si>
  <si>
    <t>CBDL1192</t>
  </si>
  <si>
    <t>NEW HOUSE PENTROSFA</t>
  </si>
  <si>
    <t>LLANDRINDOD WELLS</t>
  </si>
  <si>
    <t>CBDL1420</t>
  </si>
  <si>
    <t>93 Saint Paul's road</t>
  </si>
  <si>
    <t>Port talbot</t>
  </si>
  <si>
    <t>Sa12 6ph</t>
  </si>
  <si>
    <t>CBDL1423</t>
  </si>
  <si>
    <t>THE COACH HOUSE PLASSEY STREET</t>
  </si>
  <si>
    <t>CF64 1EL</t>
  </si>
  <si>
    <t>CBDL1430</t>
  </si>
  <si>
    <t>Abbey Road Depot Abbey Road</t>
  </si>
  <si>
    <t>CBDL1432</t>
  </si>
  <si>
    <t>Greenmeadow Surgery Greenmeadow Way</t>
  </si>
  <si>
    <t>NP44 3XQ</t>
  </si>
  <si>
    <t>CBDL1435</t>
  </si>
  <si>
    <t>6 VICTORIA TERRACE</t>
  </si>
  <si>
    <t>NEWBRIDGE</t>
  </si>
  <si>
    <t>NP11 4ET</t>
  </si>
  <si>
    <t>CBDL1650</t>
  </si>
  <si>
    <t>Ysgol House former School Pantyffynnon Road</t>
  </si>
  <si>
    <t>CBDL1651</t>
  </si>
  <si>
    <t xml:space="preserve">Plynlimon House  Longbridge Street </t>
  </si>
  <si>
    <t>Llanidloes</t>
  </si>
  <si>
    <t>SY18 6EF</t>
  </si>
  <si>
    <t>CBDL1652</t>
  </si>
  <si>
    <t>Ynys Yr Bridge Heol Yr Ynys</t>
  </si>
  <si>
    <t>CBDL1653</t>
  </si>
  <si>
    <t>42 Broad Street</t>
  </si>
  <si>
    <t>CBDL1654</t>
  </si>
  <si>
    <t>CBDL1656</t>
  </si>
  <si>
    <t>Blaen y Cwm Blaen y cwm</t>
  </si>
  <si>
    <t>LLANBRYNMAIR</t>
  </si>
  <si>
    <t>SY19 7EA</t>
  </si>
  <si>
    <t>CBDL1657</t>
  </si>
  <si>
    <t>Lower Cwmcadarn Farm Felindre</t>
  </si>
  <si>
    <t>LD3 0TB</t>
  </si>
  <si>
    <t>CBDL1658</t>
  </si>
  <si>
    <t>11-12 Mostyn Crescent</t>
  </si>
  <si>
    <t>LL30 1AR</t>
  </si>
  <si>
    <t>CBDL1659</t>
  </si>
  <si>
    <t>CBDL1663</t>
  </si>
  <si>
    <t xml:space="preserve">Lewes House  College Street </t>
  </si>
  <si>
    <t>Nuneaton</t>
  </si>
  <si>
    <t>CV107DJ</t>
  </si>
  <si>
    <t>CBDL1664</t>
  </si>
  <si>
    <t>19 Boverton Road</t>
  </si>
  <si>
    <t>CF61 1XZ</t>
  </si>
  <si>
    <t>CBDL1914</t>
  </si>
  <si>
    <t xml:space="preserve">34 Stryd Y Faenol </t>
  </si>
  <si>
    <t>LL55 2RL</t>
  </si>
  <si>
    <t>CBDL2127</t>
  </si>
  <si>
    <t>Unit 2 Morgan Building</t>
  </si>
  <si>
    <t>Presteigne Industrial Estate</t>
  </si>
  <si>
    <t>CBDL2132</t>
  </si>
  <si>
    <t>Unit 5C Parc Derwen Fawr</t>
  </si>
  <si>
    <t>sy18 6fe</t>
  </si>
  <si>
    <t>CBDL2144</t>
  </si>
  <si>
    <t>1 Bridge Street Ogmore Vale</t>
  </si>
  <si>
    <t>CF32 7AL</t>
  </si>
  <si>
    <t>CBDL2529</t>
  </si>
  <si>
    <t>Intex House Avondale Way</t>
  </si>
  <si>
    <t>Avondale Industrial Estate</t>
  </si>
  <si>
    <t>CBDL2537</t>
  </si>
  <si>
    <t>Flat 1-2 118 Commercial Road</t>
  </si>
  <si>
    <t>NP20 2GW</t>
  </si>
  <si>
    <t>CBDL2540</t>
  </si>
  <si>
    <t>Coedllys-Isaf Llangynnin</t>
  </si>
  <si>
    <t>SA33 4JY</t>
  </si>
  <si>
    <t>CBDL2769</t>
  </si>
  <si>
    <t>Sunny Mead Ty Mawr</t>
  </si>
  <si>
    <t>CBDL2772</t>
  </si>
  <si>
    <t xml:space="preserve">269 Robin Hood Lane </t>
  </si>
  <si>
    <t>B28 0DJ</t>
  </si>
  <si>
    <t>CBDL2773</t>
  </si>
  <si>
    <t>Hill Park Caravan Site Pentlepoir</t>
  </si>
  <si>
    <t>SA69 9BH</t>
  </si>
  <si>
    <t>CBDL2988</t>
  </si>
  <si>
    <t>THE GRO  POOL ROAD</t>
  </si>
  <si>
    <t>SY16 3AL</t>
  </si>
  <si>
    <t>CBDL2990</t>
  </si>
  <si>
    <t>Gwaenynog Dolanog</t>
  </si>
  <si>
    <t>SY21 0LJ</t>
  </si>
  <si>
    <t>CBDL3705</t>
  </si>
  <si>
    <t>Unit 3 Warwick Court Saxon Business Park</t>
  </si>
  <si>
    <t>Stoke Prior</t>
  </si>
  <si>
    <t>Bromsgrove</t>
  </si>
  <si>
    <t>B60 4AD</t>
  </si>
  <si>
    <t>CBDL3707</t>
  </si>
  <si>
    <t>57 Church Street</t>
  </si>
  <si>
    <t>NP23 6BG</t>
  </si>
  <si>
    <t>CBDL3710</t>
  </si>
  <si>
    <t>8A Finkle Hill Sherburn in Elmet</t>
  </si>
  <si>
    <t>LS25 6EA</t>
  </si>
  <si>
    <t>CBDL3711</t>
  </si>
  <si>
    <t xml:space="preserve">Aber-Miwl </t>
  </si>
  <si>
    <t>SY15 6ND</t>
  </si>
  <si>
    <t>CBDL3712</t>
  </si>
  <si>
    <t>Tynfron Pentre-Bont</t>
  </si>
  <si>
    <t>SY23 4QG</t>
  </si>
  <si>
    <t>CBDL3717</t>
  </si>
  <si>
    <t>Unit 5 Brannam Crescent</t>
  </si>
  <si>
    <t>Roundswell Business Park</t>
  </si>
  <si>
    <t>Barnstaple</t>
  </si>
  <si>
    <t>EX31 3TD</t>
  </si>
  <si>
    <t>CBDL3718</t>
  </si>
  <si>
    <t>8A Pop in Commercial Centre South Way</t>
  </si>
  <si>
    <t>Wembley</t>
  </si>
  <si>
    <t>HA9 0HF</t>
  </si>
  <si>
    <t>CBDL3722</t>
  </si>
  <si>
    <t xml:space="preserve">Llanwrin </t>
  </si>
  <si>
    <t>SY20 8QJ</t>
  </si>
  <si>
    <t>CBDL3723</t>
  </si>
  <si>
    <t xml:space="preserve">Islawrddordd Caravan Park </t>
  </si>
  <si>
    <t>LL43 2BQ</t>
  </si>
  <si>
    <t>CBDL4204</t>
  </si>
  <si>
    <t>Unit 16  Kemys way</t>
  </si>
  <si>
    <t>Swansea enterprise park</t>
  </si>
  <si>
    <t>sa6 8qf</t>
  </si>
  <si>
    <t>CBDL4205</t>
  </si>
  <si>
    <t>Unit 8 Neath Abbey Business Park</t>
  </si>
  <si>
    <t>SA10 7DR</t>
  </si>
  <si>
    <t>CBDL4206</t>
  </si>
  <si>
    <t>CBDL4215</t>
  </si>
  <si>
    <t>The Rectory 75 St. Peters Crescent</t>
  </si>
  <si>
    <t>Selsey</t>
  </si>
  <si>
    <t>PO20 0NA</t>
  </si>
  <si>
    <t>CBDL4451</t>
  </si>
  <si>
    <t>CBDL4877</t>
  </si>
  <si>
    <t>CBDL4881</t>
  </si>
  <si>
    <t xml:space="preserve">42 Ffordd Newydd </t>
  </si>
  <si>
    <t>SA18 3ES</t>
  </si>
  <si>
    <t>CBDL4883</t>
  </si>
  <si>
    <t>Britannia House Caerphilly Business Park</t>
  </si>
  <si>
    <t>CF83 3GG</t>
  </si>
  <si>
    <t>CBDL4889</t>
  </si>
  <si>
    <t xml:space="preserve">24 Bessborough Drive </t>
  </si>
  <si>
    <t>CF11 8NE</t>
  </si>
  <si>
    <t>CBDL4891</t>
  </si>
  <si>
    <t>Llanwddyn Oswestry</t>
  </si>
  <si>
    <t>Shropshire</t>
  </si>
  <si>
    <t>SY10 0NN</t>
  </si>
  <si>
    <t>CBDL4893</t>
  </si>
  <si>
    <t xml:space="preserve">12 Clos Carnoustie </t>
  </si>
  <si>
    <t>LL13 9FY</t>
  </si>
  <si>
    <t>CBDL5113</t>
  </si>
  <si>
    <t>Amman Centre Stryd Marged</t>
  </si>
  <si>
    <t>SA18 2NP</t>
  </si>
  <si>
    <t>CBDL5367</t>
  </si>
  <si>
    <t>71 High Street Gorseinon</t>
  </si>
  <si>
    <t>SA4 4BP</t>
  </si>
  <si>
    <t>CBDL5369</t>
  </si>
  <si>
    <t>Rhosrhiw Pontrhydygroes</t>
  </si>
  <si>
    <t>Ystrad Meurig</t>
  </si>
  <si>
    <t>SY25 6DX</t>
  </si>
  <si>
    <t>CBDL5370</t>
  </si>
  <si>
    <t>70 St. Teilo Street Pontarddulais</t>
  </si>
  <si>
    <t>SA4 8ST</t>
  </si>
  <si>
    <t>CBDL5371</t>
  </si>
  <si>
    <t>Corneldu Mawr Farm Heol-y-Cyw</t>
  </si>
  <si>
    <t>CF35 6HL</t>
  </si>
  <si>
    <t>CBDU5634</t>
  </si>
  <si>
    <t>Coed Bolyn Mawr Bethel</t>
  </si>
  <si>
    <t>LL55 3AS</t>
  </si>
  <si>
    <t>CBDL5635</t>
  </si>
  <si>
    <t>Units 68 - 69 Leyland Trading Estate</t>
  </si>
  <si>
    <t>Irthlingborough Road</t>
  </si>
  <si>
    <t>Wellingborough</t>
  </si>
  <si>
    <t>NN8 1RT</t>
  </si>
  <si>
    <t>CBDU5637</t>
  </si>
  <si>
    <t xml:space="preserve">48 De Braose Close </t>
  </si>
  <si>
    <t>CF5 2DJ</t>
  </si>
  <si>
    <t>CBDU5639</t>
  </si>
  <si>
    <t>Bruce Road Fforestfach</t>
  </si>
  <si>
    <t>CBDU5640</t>
  </si>
  <si>
    <t>Unit 1 Willow Court</t>
  </si>
  <si>
    <t>Rowleys Park</t>
  </si>
  <si>
    <t>Evans Way</t>
  </si>
  <si>
    <t>CH5 1QJ</t>
  </si>
  <si>
    <t>CBDU5645</t>
  </si>
  <si>
    <t>Maes Garage Bancffosfelen</t>
  </si>
  <si>
    <t>SA15 5DW</t>
  </si>
  <si>
    <t>CBDU5646</t>
  </si>
  <si>
    <t>CBDL5649</t>
  </si>
  <si>
    <t xml:space="preserve">42 Market Street </t>
  </si>
  <si>
    <t>CBDU5650</t>
  </si>
  <si>
    <t>UNIT 4 GRANBY BUSINESS PARK</t>
  </si>
  <si>
    <t>GRANBY AVENUE</t>
  </si>
  <si>
    <t>BIRMINGHAM</t>
  </si>
  <si>
    <t>B33 0TJ</t>
  </si>
  <si>
    <t>CBDL6140</t>
  </si>
  <si>
    <t>Cardiff Road Taffs Well</t>
  </si>
  <si>
    <t>CF15 7YG</t>
  </si>
  <si>
    <t>CBDL6144</t>
  </si>
  <si>
    <t>Tyn Y Coed Starkey Lane</t>
  </si>
  <si>
    <t>Llaneurgain</t>
  </si>
  <si>
    <t>CH7 6DG</t>
  </si>
  <si>
    <t>CBDU6145</t>
  </si>
  <si>
    <t>Unit 5 Severn Link Distribution Centre</t>
  </si>
  <si>
    <t>Newhouse Farm Industrial Estate</t>
  </si>
  <si>
    <t>Mathern</t>
  </si>
  <si>
    <t>NP16 6UN</t>
  </si>
  <si>
    <t>CBDU6146</t>
  </si>
  <si>
    <t>Elluka Glan-Llyn Road</t>
  </si>
  <si>
    <t>Bradle</t>
  </si>
  <si>
    <t>LL11 4BA</t>
  </si>
  <si>
    <t>CBDU6149</t>
  </si>
  <si>
    <t>Unit 10-11 Parc Ffordd Las</t>
  </si>
  <si>
    <t>Ffordd Las</t>
  </si>
  <si>
    <t>LL18 2QD</t>
  </si>
  <si>
    <t>CBDU6152</t>
  </si>
  <si>
    <t xml:space="preserve">Neuaddlas </t>
  </si>
  <si>
    <t>SY25 6LG</t>
  </si>
  <si>
    <t>CBDU5875</t>
  </si>
  <si>
    <t>CBDU5876</t>
  </si>
  <si>
    <t>43 Rhodfa Griffin Penallta</t>
  </si>
  <si>
    <t>CF82 6AB</t>
  </si>
  <si>
    <t>CBDU5877</t>
  </si>
  <si>
    <t>Unit 18 Thornton Industrial Trading Estate</t>
  </si>
  <si>
    <t>SA73 2RR</t>
  </si>
  <si>
    <t>CBDU5878</t>
  </si>
  <si>
    <t>10 Dinas Baglan Road Baglan</t>
  </si>
  <si>
    <t>SA12 8AE</t>
  </si>
  <si>
    <t>CBDU5879</t>
  </si>
  <si>
    <t>The Grove 70 Alltiago Road</t>
  </si>
  <si>
    <t>SA4 8LX</t>
  </si>
  <si>
    <t>CBDL5889</t>
  </si>
  <si>
    <t>Unit 9 Ffordd Richard Davies</t>
  </si>
  <si>
    <t>LL17 0LJ</t>
  </si>
  <si>
    <t>CBDL5890</t>
  </si>
  <si>
    <t xml:space="preserve">1A Constance Street </t>
  </si>
  <si>
    <t>CBDU5891</t>
  </si>
  <si>
    <t xml:space="preserve">Lodge Road </t>
  </si>
  <si>
    <t>Sandbach</t>
  </si>
  <si>
    <t>CW11 3HP</t>
  </si>
  <si>
    <t>CBDU5892</t>
  </si>
  <si>
    <t>Womanby House Jones Court</t>
  </si>
  <si>
    <t>Womanby Street</t>
  </si>
  <si>
    <t>CF10 1BR</t>
  </si>
  <si>
    <t>CBDU5896</t>
  </si>
  <si>
    <t>21 clos nant ddu</t>
  </si>
  <si>
    <t>ynysmeudwy</t>
  </si>
  <si>
    <t>pontardawe</t>
  </si>
  <si>
    <t>sa84bw</t>
  </si>
  <si>
    <t>CBDL6381</t>
  </si>
  <si>
    <t>Unit 28 Heol Stanllyd</t>
  </si>
  <si>
    <t>CBDU6384</t>
  </si>
  <si>
    <t>Unit G1 Croespenmaen Industrial Estate</t>
  </si>
  <si>
    <t>Kendon</t>
  </si>
  <si>
    <t>NP11 3AG</t>
  </si>
  <si>
    <t>CBDL6385</t>
  </si>
  <si>
    <t xml:space="preserve"> STR PADES NR. 4</t>
  </si>
  <si>
    <t>ROMANIA</t>
  </si>
  <si>
    <t>CBDU6386</t>
  </si>
  <si>
    <t>Bod Hyfryd Tan Y Graig Road</t>
  </si>
  <si>
    <t>Llysfaen</t>
  </si>
  <si>
    <t>LL29 8TH</t>
  </si>
  <si>
    <t>CBDU6387</t>
  </si>
  <si>
    <t xml:space="preserve">Dowlais </t>
  </si>
  <si>
    <t>CF48 2YG</t>
  </si>
  <si>
    <t>CBDU6388</t>
  </si>
  <si>
    <t>Tyrafon Pentrefelin</t>
  </si>
  <si>
    <t>Pontsenni</t>
  </si>
  <si>
    <t>LD3 8TU</t>
  </si>
  <si>
    <t>CBDL6390</t>
  </si>
  <si>
    <t xml:space="preserve">22 Melingriffith Drive </t>
  </si>
  <si>
    <t>CF14 2TS</t>
  </si>
  <si>
    <t>CBDU6391</t>
  </si>
  <si>
    <t>Granada Park Motors Llangatwg</t>
  </si>
  <si>
    <t>CBDU6392</t>
  </si>
  <si>
    <t>Oyster House Severalls Lane</t>
  </si>
  <si>
    <t>CO4 9PD</t>
  </si>
  <si>
    <t>CBDU6393</t>
  </si>
  <si>
    <t>felinfawr office coed y parc</t>
  </si>
  <si>
    <t>bangor</t>
  </si>
  <si>
    <t>ll574yy</t>
  </si>
  <si>
    <t>CBDU6397</t>
  </si>
  <si>
    <t>17 Anthony Hill Court Pentrebach</t>
  </si>
  <si>
    <t>CF48 4AZ</t>
  </si>
  <si>
    <t>CBDL6398</t>
  </si>
  <si>
    <t xml:space="preserve">18 Harrison Road </t>
  </si>
  <si>
    <t>Cannock</t>
  </si>
  <si>
    <t>WS11 0AQ</t>
  </si>
  <si>
    <t>CBDL6696</t>
  </si>
  <si>
    <t>85 Stopes Road Little Lever</t>
  </si>
  <si>
    <t>BL3 1NW</t>
  </si>
  <si>
    <t>CBDU6698</t>
  </si>
  <si>
    <t>1 Salisbury Villa Waen</t>
  </si>
  <si>
    <t>LL17 0DY</t>
  </si>
  <si>
    <t>CBDU6700</t>
  </si>
  <si>
    <t>6 Connaught House Riverside Business Park</t>
  </si>
  <si>
    <t>CBDU6703</t>
  </si>
  <si>
    <t>Unit 5A Charnwood Park</t>
  </si>
  <si>
    <t>CBDU6707</t>
  </si>
  <si>
    <t>CBDU6708</t>
  </si>
  <si>
    <t xml:space="preserve">37 Wenallt Road </t>
  </si>
  <si>
    <t>CF14 6SB</t>
  </si>
  <si>
    <t>CBDU6928</t>
  </si>
  <si>
    <t>Unit 17 Sealand Farm</t>
  </si>
  <si>
    <t>Sealand Road</t>
  </si>
  <si>
    <t>CHESTER</t>
  </si>
  <si>
    <t>CH1 6BS</t>
  </si>
  <si>
    <t>CBDL6929</t>
  </si>
  <si>
    <t xml:space="preserve">Jehu Road </t>
  </si>
  <si>
    <t>SY21 7PE</t>
  </si>
  <si>
    <t>CBDU6930</t>
  </si>
  <si>
    <t xml:space="preserve">102 Charles Street </t>
  </si>
  <si>
    <t>NP22 4AE</t>
  </si>
  <si>
    <t>CBDU6931</t>
  </si>
  <si>
    <t>CBDU6935</t>
  </si>
  <si>
    <t xml:space="preserve">1 Tollgate Close </t>
  </si>
  <si>
    <t>CF11 8UE</t>
  </si>
  <si>
    <t>CBDU6936</t>
  </si>
  <si>
    <t>Old Army Camp Mardy Road</t>
  </si>
  <si>
    <t>CF3 2EH</t>
  </si>
  <si>
    <t>CBDL6937</t>
  </si>
  <si>
    <t>Unit 3 Eastgate Business Park</t>
  </si>
  <si>
    <t>Wentloog Avenue</t>
  </si>
  <si>
    <t>CF3 2EY</t>
  </si>
  <si>
    <t>CBDU6939</t>
  </si>
  <si>
    <t>Middle Woodstock Woodstock</t>
  </si>
  <si>
    <t>Clarbeston Road</t>
  </si>
  <si>
    <t>SA63 4TG</t>
  </si>
  <si>
    <t>CBDU6942</t>
  </si>
  <si>
    <t>Greenfield Business Centre Greenfield Road</t>
  </si>
  <si>
    <t>Maes-Glas</t>
  </si>
  <si>
    <t>CH8 7GR</t>
  </si>
  <si>
    <t>CBDU6943</t>
  </si>
  <si>
    <t>62 Thornwell Road Bulwark</t>
  </si>
  <si>
    <t>NP16 5NS</t>
  </si>
  <si>
    <t>CBDU6944</t>
  </si>
  <si>
    <t>Cardiff Container Terminal  Alexandra Dock</t>
  </si>
  <si>
    <t>CF10 4LU</t>
  </si>
  <si>
    <t>CBDU6945</t>
  </si>
  <si>
    <t xml:space="preserve">3 Vista Rise </t>
  </si>
  <si>
    <t>CF5 2SD</t>
  </si>
  <si>
    <t>CBDL6435</t>
  </si>
  <si>
    <t xml:space="preserve">56 Ffordd Llys Nant </t>
  </si>
  <si>
    <t>LL19 9LP</t>
  </si>
  <si>
    <t>CBDL6436</t>
  </si>
  <si>
    <t xml:space="preserve">29 Heol Watling </t>
  </si>
  <si>
    <t>LL26 0LS</t>
  </si>
  <si>
    <t>CBDU6437</t>
  </si>
  <si>
    <t>Kemys Way ENTERPRISE PARK</t>
  </si>
  <si>
    <t>LLANSAMLET</t>
  </si>
  <si>
    <t>CBDU6439</t>
  </si>
  <si>
    <t>Horticultural Works Station Road East</t>
  </si>
  <si>
    <t>Gwenfo</t>
  </si>
  <si>
    <t>CF5 6AH</t>
  </si>
  <si>
    <t>CBDU6440</t>
  </si>
  <si>
    <t>Min Y Clwyd Hen Lon Parcwr</t>
  </si>
  <si>
    <t>CBDU6442</t>
  </si>
  <si>
    <t>57 Pwlldu Lane Bishopston</t>
  </si>
  <si>
    <t>SA3 3HA</t>
  </si>
  <si>
    <t>CBDL6448</t>
  </si>
  <si>
    <t xml:space="preserve">Dingestow </t>
  </si>
  <si>
    <t>NP25 4BP</t>
  </si>
  <si>
    <t>CBDL6449</t>
  </si>
  <si>
    <t>Unit 16-17 Heol Gwaelod-y-Garth</t>
  </si>
  <si>
    <t>Upper Boat</t>
  </si>
  <si>
    <t>CF37 5XF</t>
  </si>
  <si>
    <t>CBDU6452</t>
  </si>
  <si>
    <t>41 Ty Fry Gardens Rumney</t>
  </si>
  <si>
    <t>CF3 3NP</t>
  </si>
  <si>
    <t>CBDU7287</t>
  </si>
  <si>
    <t>Weighbridge Road Deeside Industrial Park</t>
  </si>
  <si>
    <t>CH5 2LL</t>
  </si>
  <si>
    <t>CBDU7297</t>
  </si>
  <si>
    <t>Gors Road Cwmbwrla</t>
  </si>
  <si>
    <t>SA5 8LD</t>
  </si>
  <si>
    <t>CBDL7298</t>
  </si>
  <si>
    <t xml:space="preserve">East Street </t>
  </si>
  <si>
    <t>CF61 1XY</t>
  </si>
  <si>
    <t>CBDU7299</t>
  </si>
  <si>
    <t>CBDU7300</t>
  </si>
  <si>
    <t xml:space="preserve">36 Bryncatwg </t>
  </si>
  <si>
    <t>SA10 8BG</t>
  </si>
  <si>
    <t>CBDU7301</t>
  </si>
  <si>
    <t>2 PARC EITHIN FFORDD DEWI SANT</t>
  </si>
  <si>
    <t>NEFYN</t>
  </si>
  <si>
    <t>PWLLHELI</t>
  </si>
  <si>
    <t>LL53 6EG</t>
  </si>
  <si>
    <t>CBDL7514</t>
  </si>
  <si>
    <t>127 Swansea Road Trebanos</t>
  </si>
  <si>
    <t>SA8 4BS</t>
  </si>
  <si>
    <t>CBDL7515</t>
  </si>
  <si>
    <t xml:space="preserve">11 Heol Spilman </t>
  </si>
  <si>
    <t>SA31 1LG</t>
  </si>
  <si>
    <t>CBDU7516</t>
  </si>
  <si>
    <t>The Baptt Group Kingsway</t>
  </si>
  <si>
    <t>SA5 4DL</t>
  </si>
  <si>
    <t>CBDU7517</t>
  </si>
  <si>
    <t>Bryn Melyn Treflys</t>
  </si>
  <si>
    <t>LL49 9YN</t>
  </si>
  <si>
    <t>CBDL7518</t>
  </si>
  <si>
    <t xml:space="preserve">20-21 Church Road </t>
  </si>
  <si>
    <t>NP19 7EL</t>
  </si>
  <si>
    <t>CBDU7520</t>
  </si>
  <si>
    <t>Bryncrwn Bontnewydd</t>
  </si>
  <si>
    <t>SY23 4JH</t>
  </si>
  <si>
    <t>CBDU7521</t>
  </si>
  <si>
    <t>Daylight Palmers Vale Business Centre</t>
  </si>
  <si>
    <t>CBDU7522</t>
  </si>
  <si>
    <t>The Old Chapel Pentwyn Road</t>
  </si>
  <si>
    <t>CF46 5BS</t>
  </si>
  <si>
    <t>CBDL7523</t>
  </si>
  <si>
    <t>203 Heol Cwmaman Glanamman</t>
  </si>
  <si>
    <t>SA18 1EJ</t>
  </si>
  <si>
    <t>CBDL7524</t>
  </si>
  <si>
    <t>15-16 New Road Sgiwen</t>
  </si>
  <si>
    <t>SA10 6UT</t>
  </si>
  <si>
    <t>CBDU7526</t>
  </si>
  <si>
    <t>Merlin House Langstone Business Village</t>
  </si>
  <si>
    <t>Priory Drive</t>
  </si>
  <si>
    <t>NP18 2HJ</t>
  </si>
  <si>
    <t>CBDU7528</t>
  </si>
  <si>
    <t>Tre Felin Yard Tre Felin</t>
  </si>
  <si>
    <t>LL57 4LH</t>
  </si>
  <si>
    <t>CBDU7530</t>
  </si>
  <si>
    <t>26 Hendre Dunvant</t>
  </si>
  <si>
    <t>SA2 7PP</t>
  </si>
  <si>
    <t>CBDU7533</t>
  </si>
  <si>
    <t>56  Bowen Industrial Estate</t>
  </si>
  <si>
    <t>CBDL7534</t>
  </si>
  <si>
    <t xml:space="preserve">54 Bank Street </t>
  </si>
  <si>
    <t>Newquay</t>
  </si>
  <si>
    <t>TR7 1AX</t>
  </si>
  <si>
    <t>CBDL7034</t>
  </si>
  <si>
    <t>8 Challacombe Place Newton</t>
  </si>
  <si>
    <t>SA3 4TN</t>
  </si>
  <si>
    <t>CBDL7036</t>
  </si>
  <si>
    <t>Unit 4 Llys Aur Llanelli Gate</t>
  </si>
  <si>
    <t>CBDU7037</t>
  </si>
  <si>
    <t>Unit 9 Greenhill Court</t>
  </si>
  <si>
    <t>Springmeadow Business Park</t>
  </si>
  <si>
    <t>CF3 2AG</t>
  </si>
  <si>
    <t>CBDU7039</t>
  </si>
  <si>
    <t>Jubilee House Builder Street</t>
  </si>
  <si>
    <t>CBDU7040</t>
  </si>
  <si>
    <t>Laurel Cottage Crofft Y Genau road</t>
  </si>
  <si>
    <t>CF56DS</t>
  </si>
  <si>
    <t>CBDU7045</t>
  </si>
  <si>
    <t>Charles House Kinmel Park</t>
  </si>
  <si>
    <t>Abergele Road</t>
  </si>
  <si>
    <t>LL18 5TY</t>
  </si>
  <si>
    <t>CBDU7938</t>
  </si>
  <si>
    <t>Lyons Holiday Park coast road</t>
  </si>
  <si>
    <t>LL18 3UU</t>
  </si>
  <si>
    <t>CBDU7939</t>
  </si>
  <si>
    <t>194 Dunvant Road Dunvant</t>
  </si>
  <si>
    <t>SA2 7SL</t>
  </si>
  <si>
    <t>CBDU7940</t>
  </si>
  <si>
    <t>50 Llys Teg Dunvant</t>
  </si>
  <si>
    <t>SA2 7QQ</t>
  </si>
  <si>
    <t>CBDU7941</t>
  </si>
  <si>
    <t>Pentwyn Road Nelson</t>
  </si>
  <si>
    <t>CF46 6LY</t>
  </si>
  <si>
    <t>CBDL7948</t>
  </si>
  <si>
    <t>Unit 1 Ringside Business Park</t>
  </si>
  <si>
    <t>Heol Y Rhosog</t>
  </si>
  <si>
    <t>CF3 2EW</t>
  </si>
  <si>
    <t>CBDL7949</t>
  </si>
  <si>
    <t>Tube Works Industrial Estate</t>
  </si>
  <si>
    <t>SA14 8NS</t>
  </si>
  <si>
    <t>CBDL7950</t>
  </si>
  <si>
    <t xml:space="preserve">28 Shelley Road </t>
  </si>
  <si>
    <t>BH1 4HY</t>
  </si>
  <si>
    <t>CBDL8177</t>
  </si>
  <si>
    <t>Fieldway Denbigh Road</t>
  </si>
  <si>
    <t>CH7 1BP</t>
  </si>
  <si>
    <t>CBDU8179</t>
  </si>
  <si>
    <t>Unit 12 Brecon Enterprise Park</t>
  </si>
  <si>
    <t>LD3 8BT</t>
  </si>
  <si>
    <t>CBDU8184</t>
  </si>
  <si>
    <t>98 Cardiff Road</t>
  </si>
  <si>
    <t>Llandaff</t>
  </si>
  <si>
    <t>CF5 2DT</t>
  </si>
  <si>
    <t>CBDL8185</t>
  </si>
  <si>
    <t xml:space="preserve">Heol Abaty Nedd </t>
  </si>
  <si>
    <t>SA10 7BR</t>
  </si>
  <si>
    <t>CBDU8187</t>
  </si>
  <si>
    <t>Newhaven Herstmonceux</t>
  </si>
  <si>
    <t>Hailsham</t>
  </si>
  <si>
    <t>BN27 4SX</t>
  </si>
  <si>
    <t>CBDU7699</t>
  </si>
  <si>
    <t>7 Elm Rise Bryncethin</t>
  </si>
  <si>
    <t>CF32 9SX</t>
  </si>
  <si>
    <t>CBDU7700</t>
  </si>
  <si>
    <t>20 Briarwood Road Ewloe</t>
  </si>
  <si>
    <t>CH5 3BU</t>
  </si>
  <si>
    <t>CBDU7701</t>
  </si>
  <si>
    <t xml:space="preserve">34 The Philog </t>
  </si>
  <si>
    <t>CF14 1EA</t>
  </si>
  <si>
    <t>CBDU7704</t>
  </si>
  <si>
    <t xml:space="preserve">70 Maes Gwynedd </t>
  </si>
  <si>
    <t>LL55 1DL</t>
  </si>
  <si>
    <t>CBDU7705</t>
  </si>
  <si>
    <t>Unit 37 Rassau Industrial Estate</t>
  </si>
  <si>
    <t>Glynebwy</t>
  </si>
  <si>
    <t>NP23 5SD</t>
  </si>
  <si>
    <t>CBDU7707</t>
  </si>
  <si>
    <t xml:space="preserve">59 Newsham Road </t>
  </si>
  <si>
    <t>Woking</t>
  </si>
  <si>
    <t>GU21 3LA</t>
  </si>
  <si>
    <t>CBDU7708</t>
  </si>
  <si>
    <t>The Look Out St. Dogmaels</t>
  </si>
  <si>
    <t>SA43 3JT</t>
  </si>
  <si>
    <t>CBDL7709</t>
  </si>
  <si>
    <t>Unit 13 Estuary Court</t>
  </si>
  <si>
    <t>Estuary Road</t>
  </si>
  <si>
    <t>Queensway Meadows Industrial Estate</t>
  </si>
  <si>
    <t>NP19 4SX</t>
  </si>
  <si>
    <t>CBDL7712</t>
  </si>
  <si>
    <t xml:space="preserve">171 Hemingford Road </t>
  </si>
  <si>
    <t>N1 1DA</t>
  </si>
  <si>
    <t>CBDU8337</t>
  </si>
  <si>
    <t>Tradebe Corporation Road</t>
  </si>
  <si>
    <t>NP194RD</t>
  </si>
  <si>
    <t>CBDU8338</t>
  </si>
  <si>
    <t xml:space="preserve">21 Stambridge Road </t>
  </si>
  <si>
    <t>Rochford</t>
  </si>
  <si>
    <t>SS4 1DG</t>
  </si>
  <si>
    <t>CBDL8339</t>
  </si>
  <si>
    <t>Unit 25 Heol Stanllyd</t>
  </si>
  <si>
    <t>CBDU8340</t>
  </si>
  <si>
    <t>Unit 20 Pontnewynydd Small Bus Centre</t>
  </si>
  <si>
    <t>NP46AD</t>
  </si>
  <si>
    <t>CBDU8341</t>
  </si>
  <si>
    <t>5 Castle Rise Llanvaches</t>
  </si>
  <si>
    <t>NP26 3BS</t>
  </si>
  <si>
    <t>CBDU8346</t>
  </si>
  <si>
    <t>CBDU8349</t>
  </si>
  <si>
    <t xml:space="preserve">9 Cartwright Lane </t>
  </si>
  <si>
    <t>Beverley</t>
  </si>
  <si>
    <t>HU17 8NB</t>
  </si>
  <si>
    <t>CBDL8350</t>
  </si>
  <si>
    <t>19 milland road industrial estate</t>
  </si>
  <si>
    <t>sa111nj</t>
  </si>
  <si>
    <t>CBDU8351</t>
  </si>
  <si>
    <t>14 Ynys Werdd Penllergaer</t>
  </si>
  <si>
    <t>SA4 9AR</t>
  </si>
  <si>
    <t>CBDU8353</t>
  </si>
  <si>
    <t>Unit 7 Bridgend Business Centre</t>
  </si>
  <si>
    <t>Bennett Street</t>
  </si>
  <si>
    <t>CF31 3SH</t>
  </si>
  <si>
    <t>CBDU8354</t>
  </si>
  <si>
    <t>Transport Yard Aston Hill</t>
  </si>
  <si>
    <t>Ewloe</t>
  </si>
  <si>
    <t>CH5 3AH</t>
  </si>
  <si>
    <t>CBDU8593</t>
  </si>
  <si>
    <t>66 Brynbrain Road Cwmllynfell</t>
  </si>
  <si>
    <t>SA9 2WJ</t>
  </si>
  <si>
    <t>CBDU8596</t>
  </si>
  <si>
    <t xml:space="preserve">35 Cornwall Road </t>
  </si>
  <si>
    <t>NP19 7SS</t>
  </si>
  <si>
    <t>CBDU8597</t>
  </si>
  <si>
    <t>5 Tredelerch Road Rumney</t>
  </si>
  <si>
    <t>CF3 3AH</t>
  </si>
  <si>
    <t>CBDU8604</t>
  </si>
  <si>
    <t>Rose Cottage Maindiff Court Farm</t>
  </si>
  <si>
    <t>Llantilio Pertholey</t>
  </si>
  <si>
    <t>NP7 8AY</t>
  </si>
  <si>
    <t>CBDU8605</t>
  </si>
  <si>
    <t xml:space="preserve">14 Lon Yr Eglwys </t>
  </si>
  <si>
    <t>SA14 8HH</t>
  </si>
  <si>
    <t>CBDU8606</t>
  </si>
  <si>
    <t>Severn Business Centre 15 Severn Farm Ind Estate</t>
  </si>
  <si>
    <t>CBDL8829</t>
  </si>
  <si>
    <t xml:space="preserve">204A Merton Road </t>
  </si>
  <si>
    <t>SW18 5SW</t>
  </si>
  <si>
    <t>CBDU8831</t>
  </si>
  <si>
    <t xml:space="preserve">42 Paget Street </t>
  </si>
  <si>
    <t>CF11 7JY</t>
  </si>
  <si>
    <t>CBDU8832</t>
  </si>
  <si>
    <t>Unit 6 Bulwark Industrial Estate</t>
  </si>
  <si>
    <t>Bulwark</t>
  </si>
  <si>
    <t>NP16 5QZ</t>
  </si>
  <si>
    <t>CBDU8833</t>
  </si>
  <si>
    <t>Unit 5-9 Fern Close</t>
  </si>
  <si>
    <t>CBDU8834</t>
  </si>
  <si>
    <t>Venn Mill Lewdown</t>
  </si>
  <si>
    <t>Okehampton</t>
  </si>
  <si>
    <t>EX20 4EB</t>
  </si>
  <si>
    <t>CBDU8971</t>
  </si>
  <si>
    <t>Unit 19 Talargoch Trading Estate</t>
  </si>
  <si>
    <t>Meliden Road</t>
  </si>
  <si>
    <t>LL18 6DJ</t>
  </si>
  <si>
    <t>CBDU8972</t>
  </si>
  <si>
    <t>Phoenix Way Parc Anturiaeth Abertawe</t>
  </si>
  <si>
    <t>CBDU8975</t>
  </si>
  <si>
    <t xml:space="preserve">5 Colville Street </t>
  </si>
  <si>
    <t>DE22 3AT</t>
  </si>
  <si>
    <t>CBDL8981</t>
  </si>
  <si>
    <t>75 alexandra road</t>
  </si>
  <si>
    <t>np202je</t>
  </si>
  <si>
    <t>CBDU8982</t>
  </si>
  <si>
    <t>Ty Sgomer Gelli Coron</t>
  </si>
  <si>
    <t>CF34 0JY</t>
  </si>
  <si>
    <t>CBDL9235</t>
  </si>
  <si>
    <t xml:space="preserve">The Broadshoard </t>
  </si>
  <si>
    <t>CF71 7DA</t>
  </si>
  <si>
    <t>CBDL9237</t>
  </si>
  <si>
    <t>CH5 2NS</t>
  </si>
  <si>
    <t>CBDU9238</t>
  </si>
  <si>
    <t>Unit 31 Clearwater Road</t>
  </si>
  <si>
    <t>NP19 4ST</t>
  </si>
  <si>
    <t>CBDU9241</t>
  </si>
  <si>
    <t>Penrhiw Dilfa Gwernogle</t>
  </si>
  <si>
    <t>SA32 7SE</t>
  </si>
  <si>
    <t>CBDU9242</t>
  </si>
  <si>
    <t>Irish Square Upper Denbigh Road</t>
  </si>
  <si>
    <t>LL17 0RN</t>
  </si>
  <si>
    <t>CBDU9244</t>
  </si>
  <si>
    <t>CBDU9246</t>
  </si>
  <si>
    <t>5 Plas Teg Llandegla</t>
  </si>
  <si>
    <t>LL11 3AQ</t>
  </si>
  <si>
    <t>CBDL9247</t>
  </si>
  <si>
    <t>Shearway Business Park Shearway Road</t>
  </si>
  <si>
    <t>CT19 4RH</t>
  </si>
  <si>
    <t>CBDU9248</t>
  </si>
  <si>
    <t>2 Ty Sir Rhoscolyn</t>
  </si>
  <si>
    <t>LL65 2DX</t>
  </si>
  <si>
    <t>CBDU9463</t>
  </si>
  <si>
    <t>CBDU9464</t>
  </si>
  <si>
    <t>28 Oaks End Close Gelligaer</t>
  </si>
  <si>
    <t>CF82 8HZ</t>
  </si>
  <si>
    <t>CBDL9465</t>
  </si>
  <si>
    <t>Unit 2B C Hendy Industrial Estate</t>
  </si>
  <si>
    <t>CBDU9467</t>
  </si>
  <si>
    <t>2 The Shielings Dyffryn Road</t>
  </si>
  <si>
    <t>LD1 6AN</t>
  </si>
  <si>
    <t>CBDU9468</t>
  </si>
  <si>
    <t>2 Sea View Heol Spencer</t>
  </si>
  <si>
    <t>Coety</t>
  </si>
  <si>
    <t>CF35 6AS</t>
  </si>
  <si>
    <t>CBDU9681</t>
  </si>
  <si>
    <t>Unit 107  Coed Aben Road</t>
  </si>
  <si>
    <t>Wrexham industrial estate</t>
  </si>
  <si>
    <t>LL13 9UH</t>
  </si>
  <si>
    <t>CBDU9685</t>
  </si>
  <si>
    <t>Tyddyn Coch Clynnogfawr</t>
  </si>
  <si>
    <t>LL54 5PT</t>
  </si>
  <si>
    <t>CBDU9911</t>
  </si>
  <si>
    <t>Viaduct Works Leckwith Road</t>
  </si>
  <si>
    <t>Lecwydd</t>
  </si>
  <si>
    <t>CBDU9913</t>
  </si>
  <si>
    <t>94 Elgar Crescent Llanrumney</t>
  </si>
  <si>
    <t>CF3 5RW</t>
  </si>
  <si>
    <t>CBDL9914</t>
  </si>
  <si>
    <t>Hendom Llowes</t>
  </si>
  <si>
    <t>HR3 5JX</t>
  </si>
  <si>
    <t>CBDU9915</t>
  </si>
  <si>
    <t xml:space="preserve">2 Kimberley Road </t>
  </si>
  <si>
    <t>CF23 5DH</t>
  </si>
  <si>
    <t>CBDU9916</t>
  </si>
  <si>
    <t>Ratford Bridge Dale Road</t>
  </si>
  <si>
    <t>SA62 3SA</t>
  </si>
  <si>
    <t>CBDL9922</t>
  </si>
  <si>
    <t xml:space="preserve">13 Cwrt Neville </t>
  </si>
  <si>
    <t>CBDL9925</t>
  </si>
  <si>
    <t xml:space="preserve">214 North Road </t>
  </si>
  <si>
    <t>SW19 1TR</t>
  </si>
  <si>
    <t>CBDU9928</t>
  </si>
  <si>
    <t>1 Cottrell Road Eglwys Newydd</t>
  </si>
  <si>
    <t>CF14 1PZ</t>
  </si>
  <si>
    <t>CBDL10237</t>
  </si>
  <si>
    <t xml:space="preserve">46-47 Hood Road </t>
  </si>
  <si>
    <t>Daventry</t>
  </si>
  <si>
    <t>NN11 4JT</t>
  </si>
  <si>
    <t>CBDU10238</t>
  </si>
  <si>
    <t>Gwaun Llyn Llanharry</t>
  </si>
  <si>
    <t>CF72 9JX</t>
  </si>
  <si>
    <t>CBDU10241</t>
  </si>
  <si>
    <t xml:space="preserve">20A Glebe Street </t>
  </si>
  <si>
    <t>CF64 1EE</t>
  </si>
  <si>
    <t>CBDU10242</t>
  </si>
  <si>
    <t>Glandinorwic Farm Clwt-y-Bont</t>
  </si>
  <si>
    <t>LL55 3DE</t>
  </si>
  <si>
    <t>CBDU10246</t>
  </si>
  <si>
    <t xml:space="preserve">Bont Bren </t>
  </si>
  <si>
    <t>LL21 0EP</t>
  </si>
  <si>
    <t>CBDU10247</t>
  </si>
  <si>
    <t>Pen Yr Argae Llanfachraeth</t>
  </si>
  <si>
    <t>LL65 4NF</t>
  </si>
  <si>
    <t>CBDL10249</t>
  </si>
  <si>
    <t>PeakGen East Road</t>
  </si>
  <si>
    <t>CBDU10250</t>
  </si>
  <si>
    <t>104 Oakfield Terrace Nantymoel</t>
  </si>
  <si>
    <t>CF32 7SR</t>
  </si>
  <si>
    <t>CBDU10468</t>
  </si>
  <si>
    <t>Unit 31 Pentood Industrial Estate</t>
  </si>
  <si>
    <t>SA43 3AG</t>
  </si>
  <si>
    <t>CBDU10469</t>
  </si>
  <si>
    <t>SEVERN HOUSE HAZELL DRIVE</t>
  </si>
  <si>
    <t>NP10 8FY</t>
  </si>
  <si>
    <t>CBDL10470</t>
  </si>
  <si>
    <t>Unit 12A Greenway</t>
  </si>
  <si>
    <t>CBDL10471</t>
  </si>
  <si>
    <t>18 Miners Park</t>
  </si>
  <si>
    <t>Llay Industrial Estate</t>
  </si>
  <si>
    <t>CBDU10472</t>
  </si>
  <si>
    <t xml:space="preserve">Severn Farm Industrial Estate </t>
  </si>
  <si>
    <t>SY21 7DF</t>
  </si>
  <si>
    <t>CBDU10474</t>
  </si>
  <si>
    <t>Railway Terrace Sebastopol</t>
  </si>
  <si>
    <t>NP4 5EJ</t>
  </si>
  <si>
    <t>CBDU10475</t>
  </si>
  <si>
    <t>Unit A2 The Old Winding House Block A</t>
  </si>
  <si>
    <t>CBDU10477</t>
  </si>
  <si>
    <t>Design House Lamby Industrial Park</t>
  </si>
  <si>
    <t>CBDU10478</t>
  </si>
  <si>
    <t>430 Corporation Road</t>
  </si>
  <si>
    <t>Newport Gwent</t>
  </si>
  <si>
    <t>NP19 0GA</t>
  </si>
  <si>
    <t>CBDU10480</t>
  </si>
  <si>
    <t>Plas Rhosdican Pant Road</t>
  </si>
  <si>
    <t>LL54 5RL</t>
  </si>
  <si>
    <t>CBDU10484</t>
  </si>
  <si>
    <t>Collstar Yard Malthouse Lane</t>
  </si>
  <si>
    <t>Llantarnam</t>
  </si>
  <si>
    <t>NP44 3EE</t>
  </si>
  <si>
    <t>CBDU10485</t>
  </si>
  <si>
    <t>Britannia House Pentraeth Road</t>
  </si>
  <si>
    <t>CBDU10682</t>
  </si>
  <si>
    <t>Unit 20 Mardon Park</t>
  </si>
  <si>
    <t>Central Avenue Baglan Energy Park</t>
  </si>
  <si>
    <t>CBDL10683</t>
  </si>
  <si>
    <t>Briarcot Isfryn Road</t>
  </si>
  <si>
    <t>LL19 8LN</t>
  </si>
  <si>
    <t>CBDL10830</t>
  </si>
  <si>
    <t>695 Sidcup road</t>
  </si>
  <si>
    <t xml:space="preserve">Eltham </t>
  </si>
  <si>
    <t>Se9 3aq</t>
  </si>
  <si>
    <t>CBDU10833</t>
  </si>
  <si>
    <t>Unit 4 Falcon Way</t>
  </si>
  <si>
    <t>Shire Park</t>
  </si>
  <si>
    <t>Welwyn Garden City</t>
  </si>
  <si>
    <t>AL7 1TW</t>
  </si>
  <si>
    <t>CBDU10834</t>
  </si>
  <si>
    <t>Unit 19 Arcade Workshops</t>
  </si>
  <si>
    <t>CBDL10835</t>
  </si>
  <si>
    <t xml:space="preserve">The Grawen </t>
  </si>
  <si>
    <t>CF47 8NR</t>
  </si>
  <si>
    <t>CBDU10837</t>
  </si>
  <si>
    <t>LL45 2LP</t>
  </si>
  <si>
    <t>CBDU10838</t>
  </si>
  <si>
    <t>9 Heol-y-Parc Evanstown</t>
  </si>
  <si>
    <t>CF39 8RH</t>
  </si>
  <si>
    <t>CBDU10840</t>
  </si>
  <si>
    <t>Sluxton Farm Llangennith</t>
  </si>
  <si>
    <t>SA3 1JR</t>
  </si>
  <si>
    <t>CBDU10842</t>
  </si>
  <si>
    <t>Tir Llwyd Enterprise Park Kinmel Bay</t>
  </si>
  <si>
    <t>LL18 5JZ</t>
  </si>
  <si>
    <t>CBDU10843</t>
  </si>
  <si>
    <t>61 Plymouth Street Shotton</t>
  </si>
  <si>
    <t>CH5 1HZ</t>
  </si>
  <si>
    <t>CBDU10844</t>
  </si>
  <si>
    <t>Bryn Myfyr Penybryn Road</t>
  </si>
  <si>
    <t>LL57 3BD</t>
  </si>
  <si>
    <t>CBDU10852</t>
  </si>
  <si>
    <t>4A Dock Road Connah's Quay</t>
  </si>
  <si>
    <t>CBDU11074</t>
  </si>
  <si>
    <t>3 Oaktree Close Brynna</t>
  </si>
  <si>
    <t>CF72 9GT</t>
  </si>
  <si>
    <t>CBDL11076</t>
  </si>
  <si>
    <t xml:space="preserve">31 Wembley </t>
  </si>
  <si>
    <t>SA11 2AT</t>
  </si>
  <si>
    <t>CBDU11077</t>
  </si>
  <si>
    <t>Rathlands Crundale</t>
  </si>
  <si>
    <t>SA62 4EG</t>
  </si>
  <si>
    <t>CBDU11079</t>
  </si>
  <si>
    <t xml:space="preserve">77 Abergele Road </t>
  </si>
  <si>
    <t>LL29 7RU</t>
  </si>
  <si>
    <t>CBDU11080</t>
  </si>
  <si>
    <t>Mount Ballan Manor Portskewett</t>
  </si>
  <si>
    <t>NP26 5XP</t>
  </si>
  <si>
    <t>CBDU11081</t>
  </si>
  <si>
    <t>1 Llanharry Road Llanharan</t>
  </si>
  <si>
    <t>CF72 9RN</t>
  </si>
  <si>
    <t>CBDU11082</t>
  </si>
  <si>
    <t>6 Clos Heulwen Taffs Well</t>
  </si>
  <si>
    <t>CF14 1AB</t>
  </si>
  <si>
    <t>CBDU11086</t>
  </si>
  <si>
    <t>Merrils Bungalow Carrow Hill</t>
  </si>
  <si>
    <t>St. Brides Netherwent</t>
  </si>
  <si>
    <t>NP26 3AU</t>
  </si>
  <si>
    <t>CBDL11087</t>
  </si>
  <si>
    <t xml:space="preserve">5 Avis Terrace </t>
  </si>
  <si>
    <t>SA15 1LB</t>
  </si>
  <si>
    <t>CBDL11089</t>
  </si>
  <si>
    <t>hay on wye dental centre oxford road</t>
  </si>
  <si>
    <t>hay-on-wye</t>
  </si>
  <si>
    <t>hr3 5al</t>
  </si>
  <si>
    <t>CBDU11090</t>
  </si>
  <si>
    <t>Unit 26 Rassau Industrial Estate</t>
  </si>
  <si>
    <t>CBDU11091</t>
  </si>
  <si>
    <t>35 Players Close Hambrook</t>
  </si>
  <si>
    <t>BS16 1SX</t>
  </si>
  <si>
    <t>CBDU11092</t>
  </si>
  <si>
    <t xml:space="preserve">40 Wyncliffe Gardens </t>
  </si>
  <si>
    <t>CF23 7FA</t>
  </si>
  <si>
    <t>CBDU11905</t>
  </si>
  <si>
    <t>Unit 12 Clwyd Close</t>
  </si>
  <si>
    <t>Manor Lane</t>
  </si>
  <si>
    <t>Hawarden Industrial Park</t>
  </si>
  <si>
    <t>CBDU11906</t>
  </si>
  <si>
    <t>xray building and yard cefn gwrgan road</t>
  </si>
  <si>
    <t>margam</t>
  </si>
  <si>
    <t>SA13 2BZ</t>
  </si>
  <si>
    <t>CBDU11907</t>
  </si>
  <si>
    <t>Unit 3 Merthyr Tydfil Industrial Park</t>
  </si>
  <si>
    <t>CBDU11908</t>
  </si>
  <si>
    <t>Ger Y Teifi New Road</t>
  </si>
  <si>
    <t>SA44 4QJ</t>
  </si>
  <si>
    <t>CBDU11909</t>
  </si>
  <si>
    <t>Unit 6 Ynys Bridge Court</t>
  </si>
  <si>
    <t>CF15 9SS</t>
  </si>
  <si>
    <t>CBDU11912</t>
  </si>
  <si>
    <t>17 South Green Sealand</t>
  </si>
  <si>
    <t>CH5 2SF</t>
  </si>
  <si>
    <t>CBDU11915</t>
  </si>
  <si>
    <t>Unit 15 Bridge Street Industrial Estate</t>
  </si>
  <si>
    <t>NP22 4LA</t>
  </si>
  <si>
    <t>CBDU11916</t>
  </si>
  <si>
    <t>38 Caergynydd Road Waunarlwydd</t>
  </si>
  <si>
    <t>SA5 4RQ</t>
  </si>
  <si>
    <t>CBDU11918</t>
  </si>
  <si>
    <t>Cabna Court Parc Pensarn</t>
  </si>
  <si>
    <t>SA31 2NF</t>
  </si>
  <si>
    <t>CBDU11919</t>
  </si>
  <si>
    <t>31 Frampton Road Gorseinon</t>
  </si>
  <si>
    <t>SA4 4XY</t>
  </si>
  <si>
    <t>CBDL11922</t>
  </si>
  <si>
    <t>Unit 27 Phoenix Business Park</t>
  </si>
  <si>
    <t>CBDU11925</t>
  </si>
  <si>
    <t>CBDU11372</t>
  </si>
  <si>
    <t>JR House Treforest Industrial Estate</t>
  </si>
  <si>
    <t>Treforest</t>
  </si>
  <si>
    <t>CBDU11373</t>
  </si>
  <si>
    <t xml:space="preserve">Bryn Gwallen Farm </t>
  </si>
  <si>
    <t>LL77 7SL</t>
  </si>
  <si>
    <t>CBDU11375</t>
  </si>
  <si>
    <t>5 Millfield Castleton Way</t>
  </si>
  <si>
    <t>Eye</t>
  </si>
  <si>
    <t>IP23 7DE</t>
  </si>
  <si>
    <t>CBDU11377</t>
  </si>
  <si>
    <t xml:space="preserve">7 Kier Hardie Drive </t>
  </si>
  <si>
    <t>NP19 9DP</t>
  </si>
  <si>
    <t>CBDU11380</t>
  </si>
  <si>
    <t>28 Dol Y Pandy Bedwas</t>
  </si>
  <si>
    <t>CF83 8HP</t>
  </si>
  <si>
    <t>CBDU11603</t>
  </si>
  <si>
    <t>Plot 2 Gaerwen Ind Est</t>
  </si>
  <si>
    <t>CBDU11605</t>
  </si>
  <si>
    <t xml:space="preserve">118 Meadow Road </t>
  </si>
  <si>
    <t>SA11 2AF</t>
  </si>
  <si>
    <t>CBDL11606</t>
  </si>
  <si>
    <t>Glanaeron Bontnewydd</t>
  </si>
  <si>
    <t>CBDU11608</t>
  </si>
  <si>
    <t>CBDL11611</t>
  </si>
  <si>
    <t>17 Maesgwern Tumble</t>
  </si>
  <si>
    <t>SA14 6LF</t>
  </si>
  <si>
    <t>CBDL11825</t>
  </si>
  <si>
    <t>28 Castle Street Hay-on-Wye</t>
  </si>
  <si>
    <t>CBDU11826</t>
  </si>
  <si>
    <t>Tan Y Castell Pentir</t>
  </si>
  <si>
    <t>LL57 4EE</t>
  </si>
  <si>
    <t>CBDU11827</t>
  </si>
  <si>
    <t>The Slaughter House Penybont Road</t>
  </si>
  <si>
    <t>LD7 1SD</t>
  </si>
  <si>
    <t>CBDU11828</t>
  </si>
  <si>
    <t xml:space="preserve">Abercanaid Industrial Estate </t>
  </si>
  <si>
    <t>CBDU12124</t>
  </si>
  <si>
    <t>Hirwaun House Hirwaun Industrial Estate</t>
  </si>
  <si>
    <t>CF44 9UL</t>
  </si>
  <si>
    <t>CBDU12125</t>
  </si>
  <si>
    <t>86B Wentloog Road Rumney</t>
  </si>
  <si>
    <t>CF3 3EA</t>
  </si>
  <si>
    <t>CBDU12130</t>
  </si>
  <si>
    <t>Corvus Security Ltd 21C High Street</t>
  </si>
  <si>
    <t>LL57 3AF</t>
  </si>
  <si>
    <t>CBDL12131</t>
  </si>
  <si>
    <t>Clos Fferws Capel Hendre</t>
  </si>
  <si>
    <t>SA18 3BL</t>
  </si>
  <si>
    <t>CBDU12132</t>
  </si>
  <si>
    <t>Spindlewood House Belchers Lane</t>
  </si>
  <si>
    <t>Nazeing</t>
  </si>
  <si>
    <t>Waltham Abbey</t>
  </si>
  <si>
    <t>EN9 2SA</t>
  </si>
  <si>
    <t>CBDU12134</t>
  </si>
  <si>
    <t>Unit G Trecenydd Business Park</t>
  </si>
  <si>
    <t>CF83 2RZ</t>
  </si>
  <si>
    <t>CBDU12135</t>
  </si>
  <si>
    <t>Unit 5 New Road</t>
  </si>
  <si>
    <t>CBDU12136</t>
  </si>
  <si>
    <t>11c St Ann's crescent</t>
  </si>
  <si>
    <t>sw18 2nd</t>
  </si>
  <si>
    <t>CBDU12137</t>
  </si>
  <si>
    <t xml:space="preserve">unit 18 leeway court </t>
  </si>
  <si>
    <t>NP19 4SJ</t>
  </si>
  <si>
    <t>CBDU12333</t>
  </si>
  <si>
    <t>CBDU12337</t>
  </si>
  <si>
    <t xml:space="preserve">17 Gnoll Park Road </t>
  </si>
  <si>
    <t>CBDL12338</t>
  </si>
  <si>
    <t>UNIT 6E HEPWORTH BUSINESS PARK</t>
  </si>
  <si>
    <t xml:space="preserve">COEDCAE LANE </t>
  </si>
  <si>
    <t>PONTYCLUN</t>
  </si>
  <si>
    <t>CF729DX</t>
  </si>
  <si>
    <t>CBDU12339</t>
  </si>
  <si>
    <t>Unit 1 Merthyr Tydfil Industrial Park</t>
  </si>
  <si>
    <t>CBDL12341</t>
  </si>
  <si>
    <t>712-714 London Road Cheam</t>
  </si>
  <si>
    <t>Sutton</t>
  </si>
  <si>
    <t>SM3 9BY</t>
  </si>
  <si>
    <t>CBDU12343</t>
  </si>
  <si>
    <t xml:space="preserve">Ynys </t>
  </si>
  <si>
    <t>Talsarnau</t>
  </si>
  <si>
    <t>LL47 6TS</t>
  </si>
  <si>
    <t>CBDL12346</t>
  </si>
  <si>
    <t>6 Llanyravon Square Llanyravon</t>
  </si>
  <si>
    <t>NP44 8HS</t>
  </si>
  <si>
    <t>CBDU12347</t>
  </si>
  <si>
    <t>48A Victoria Road Brynteg</t>
  </si>
  <si>
    <t>LL11 6NH</t>
  </si>
  <si>
    <t>CBDU12350</t>
  </si>
  <si>
    <t>27 Drome Road Deeside Industrial Park</t>
  </si>
  <si>
    <t>CH5 2NY</t>
  </si>
  <si>
    <t>CBDU12351</t>
  </si>
  <si>
    <t>Old Bears Farm Hay-on-Wye</t>
  </si>
  <si>
    <t>HR3 5PS</t>
  </si>
  <si>
    <t>CBDU12352</t>
  </si>
  <si>
    <t xml:space="preserve">27 Graham Court </t>
  </si>
  <si>
    <t>CF83 1RE</t>
  </si>
  <si>
    <t>CBDL12353</t>
  </si>
  <si>
    <t>Unit A Cefndy Road</t>
  </si>
  <si>
    <t>CBDU12354</t>
  </si>
  <si>
    <t xml:space="preserve">122 Wyncliffe Gardens </t>
  </si>
  <si>
    <t>CF23 7FB</t>
  </si>
  <si>
    <t>CBDU12690</t>
  </si>
  <si>
    <t>13 Rhos Rug Llanrug</t>
  </si>
  <si>
    <t>LL55 4BG</t>
  </si>
  <si>
    <t>CBDL12691</t>
  </si>
  <si>
    <t>77 High Street Rhymney</t>
  </si>
  <si>
    <t>CBDU12692</t>
  </si>
  <si>
    <t>16 Twyn Place Abercarn</t>
  </si>
  <si>
    <t>NP11 5JX</t>
  </si>
  <si>
    <t>CBDU12694</t>
  </si>
  <si>
    <t>149 Fairfield Road Heysham</t>
  </si>
  <si>
    <t>Morecambe</t>
  </si>
  <si>
    <t>LA3 1LR</t>
  </si>
  <si>
    <t>CBDU12697</t>
  </si>
  <si>
    <t>Tyddyn Pandy Llanbeblig Road</t>
  </si>
  <si>
    <t>CBDU12698</t>
  </si>
  <si>
    <t>Enterprise House Tir Llwyd Enterprise Park</t>
  </si>
  <si>
    <t>CBDU12699</t>
  </si>
  <si>
    <t>Brynford House 21 Brynford Street</t>
  </si>
  <si>
    <t>CH8 7RD</t>
  </si>
  <si>
    <t>CBDU12700</t>
  </si>
  <si>
    <t>11 Invicta Business Park London Road</t>
  </si>
  <si>
    <t>Wrotham</t>
  </si>
  <si>
    <t>Sevenoaks</t>
  </si>
  <si>
    <t>TN15 7RJ</t>
  </si>
  <si>
    <t>CBDU12900</t>
  </si>
  <si>
    <t>Flat 1 Rosegreen Cottages</t>
  </si>
  <si>
    <t>Cwmtillery</t>
  </si>
  <si>
    <t>NP13 1JS</t>
  </si>
  <si>
    <t>CBDL12901</t>
  </si>
  <si>
    <t>Monmouthshire Upcycle Station Yard Industrial Estate</t>
  </si>
  <si>
    <t>NP16 5PF</t>
  </si>
  <si>
    <t>CBDU12902</t>
  </si>
  <si>
    <t xml:space="preserve">11 Y Llwyn </t>
  </si>
  <si>
    <t>SA15 1JT</t>
  </si>
  <si>
    <t>CBDU12903</t>
  </si>
  <si>
    <t>Bryn Glas Llanrhyddlad</t>
  </si>
  <si>
    <t>LL65 4HP</t>
  </si>
  <si>
    <t>CBDU12905</t>
  </si>
  <si>
    <t>12 Collenna Road Tonyrefail</t>
  </si>
  <si>
    <t>CF39 8EL</t>
  </si>
  <si>
    <t>CBDU12906</t>
  </si>
  <si>
    <t>15a Hunts Rise</t>
  </si>
  <si>
    <t>South Marston Ind Park</t>
  </si>
  <si>
    <t>Swindon</t>
  </si>
  <si>
    <t>SN3 4TE</t>
  </si>
  <si>
    <t>CBDU12910</t>
  </si>
  <si>
    <t>CBDL12911</t>
  </si>
  <si>
    <t>Marian Trelawnyd</t>
  </si>
  <si>
    <t>LL18 6EB</t>
  </si>
  <si>
    <t>CBDU12912</t>
  </si>
  <si>
    <t>Unit 15-16 Swansea Valley Business Park</t>
  </si>
  <si>
    <t>Glanyrafon</t>
  </si>
  <si>
    <t>Ystalyfera</t>
  </si>
  <si>
    <t>SA9 2EB</t>
  </si>
  <si>
    <t>CBDU13285</t>
  </si>
  <si>
    <t>Beechwood House Bryntywod</t>
  </si>
  <si>
    <t>SA5 7LP</t>
  </si>
  <si>
    <t>CBDU13288</t>
  </si>
  <si>
    <t>Melrose Close Swansea Enterprise Park</t>
  </si>
  <si>
    <t>SA6 8QE</t>
  </si>
  <si>
    <t>CBDL13290</t>
  </si>
  <si>
    <t>Phoenix House Kinmel Park</t>
  </si>
  <si>
    <t>CBDL13292</t>
  </si>
  <si>
    <t>3 Margam Avenue Morriston</t>
  </si>
  <si>
    <t>SA6 8DG</t>
  </si>
  <si>
    <t>CBDL13294</t>
  </si>
  <si>
    <t xml:space="preserve">20 Eastcotes </t>
  </si>
  <si>
    <t>CV4 9AU</t>
  </si>
  <si>
    <t>CBDL13296</t>
  </si>
  <si>
    <t>5 St Matthews Road</t>
  </si>
  <si>
    <t>Cwmfields</t>
  </si>
  <si>
    <t>np4 5jy</t>
  </si>
  <si>
    <t>CBDU13454</t>
  </si>
  <si>
    <t xml:space="preserve">178  Cowbridge Road East </t>
  </si>
  <si>
    <t>Canton</t>
  </si>
  <si>
    <t>CF11 9NE</t>
  </si>
  <si>
    <t>CBDL13456</t>
  </si>
  <si>
    <t>22 Medway Road Bettws</t>
  </si>
  <si>
    <t>NP20 7XA</t>
  </si>
  <si>
    <t>CBDU13457</t>
  </si>
  <si>
    <t>4A Wesley Drive Benton Square Industrial Estate</t>
  </si>
  <si>
    <t>Newcastle upon Tyne</t>
  </si>
  <si>
    <t>NE12 9UP</t>
  </si>
  <si>
    <t>CBDL13458</t>
  </si>
  <si>
    <t>Parc Howard Industrial Estate Cwmgors</t>
  </si>
  <si>
    <t>SA18 1PA</t>
  </si>
  <si>
    <t>CBDL13459</t>
  </si>
  <si>
    <t>Unit C3 Tenth Avenue</t>
  </si>
  <si>
    <t>Deeside Industrial Park</t>
  </si>
  <si>
    <t>CH5 2UA</t>
  </si>
  <si>
    <t>CBDU13465</t>
  </si>
  <si>
    <t>Allgate House Clydesmuir Industrial Estate</t>
  </si>
  <si>
    <t>Clydesmuir Road</t>
  </si>
  <si>
    <t>CF24 2QS</t>
  </si>
  <si>
    <t>CBDU13466</t>
  </si>
  <si>
    <t>Unit 12C Darren Drive</t>
  </si>
  <si>
    <t>Prince of Wales Industrial Estate</t>
  </si>
  <si>
    <t>NP11 5AR</t>
  </si>
  <si>
    <t>CBDU13468</t>
  </si>
  <si>
    <t>Unit 4 Avondale Industrial Estate</t>
  </si>
  <si>
    <t>NP44 1UG</t>
  </si>
  <si>
    <t>CBDU13469</t>
  </si>
  <si>
    <t>144 Walter Road</t>
  </si>
  <si>
    <t>SA1 5RW</t>
  </si>
  <si>
    <t>CBDL3</t>
  </si>
  <si>
    <t>UNIT 3 FFORDD SAM PARI</t>
  </si>
  <si>
    <t>CONWY MORFA</t>
  </si>
  <si>
    <t>CBDL4</t>
  </si>
  <si>
    <t>27 Pen y Bryn</t>
  </si>
  <si>
    <t>Old Colwyn</t>
  </si>
  <si>
    <t>LL29 9UU</t>
  </si>
  <si>
    <t>CBDL5</t>
  </si>
  <si>
    <t>CBDL6</t>
  </si>
  <si>
    <t>CBDL7</t>
  </si>
  <si>
    <t>CBDL8</t>
  </si>
  <si>
    <t>CBDL9</t>
  </si>
  <si>
    <t>CBDL10</t>
  </si>
  <si>
    <t>NORTHERN POTTERY MAESDU ROAD</t>
  </si>
  <si>
    <t>LLANDUDNO</t>
  </si>
  <si>
    <t>ll30 1hp</t>
  </si>
  <si>
    <t>CBDL11</t>
  </si>
  <si>
    <t>Marine House 2 Marine Road</t>
  </si>
  <si>
    <t>CBDL12</t>
  </si>
  <si>
    <t>139  Upper Mostyn Street</t>
  </si>
  <si>
    <t>LL30 2PE</t>
  </si>
  <si>
    <t>CBDL13</t>
  </si>
  <si>
    <t>CBDL14</t>
  </si>
  <si>
    <t>The Stratford House 8 Craig Y Don Parade</t>
  </si>
  <si>
    <t>LL30 1BG</t>
  </si>
  <si>
    <t>CBDL16</t>
  </si>
  <si>
    <t>1 Bron Y Nant Road</t>
  </si>
  <si>
    <t>CBDL254</t>
  </si>
  <si>
    <t>Unit 15 Lion Works</t>
  </si>
  <si>
    <t>CBDL255</t>
  </si>
  <si>
    <t>Builth Wells Bowling Club North Road</t>
  </si>
  <si>
    <t>LD2 3BU</t>
  </si>
  <si>
    <t>CBDL256</t>
  </si>
  <si>
    <t>114 Lammas street</t>
  </si>
  <si>
    <t>SA31 3AE</t>
  </si>
  <si>
    <t>CBDL257</t>
  </si>
  <si>
    <t>38 Llanstephan Road</t>
  </si>
  <si>
    <t>SA31 3NQ</t>
  </si>
  <si>
    <t>CBDL258</t>
  </si>
  <si>
    <t>Jupiter Care Ltd The Street</t>
  </si>
  <si>
    <t>Stroud</t>
  </si>
  <si>
    <t>Glouchetser</t>
  </si>
  <si>
    <t>GL5 5DW</t>
  </si>
  <si>
    <t>CBDL259</t>
  </si>
  <si>
    <t>Glouchester</t>
  </si>
  <si>
    <t>CBDL512</t>
  </si>
  <si>
    <t>Unit 2 St Giles Business Park</t>
  </si>
  <si>
    <t>SY16 3AJ</t>
  </si>
  <si>
    <t>CBDL513</t>
  </si>
  <si>
    <t>Rock Wharf Mil Parade</t>
  </si>
  <si>
    <t>NP20 2JR</t>
  </si>
  <si>
    <t>CBDL518</t>
  </si>
  <si>
    <t>High Pastures Nursing Home Pentywyn Road</t>
  </si>
  <si>
    <t>CBDL519</t>
  </si>
  <si>
    <t>Tiratana Loka Aber</t>
  </si>
  <si>
    <t>LD3 7YS</t>
  </si>
  <si>
    <t>CBDL522</t>
  </si>
  <si>
    <t>Triumph Works The Willows</t>
  </si>
  <si>
    <t>CF48 1YH</t>
  </si>
  <si>
    <t>CBDL523</t>
  </si>
  <si>
    <t>Forge Lane Milworth</t>
  </si>
  <si>
    <t>B76 1AP</t>
  </si>
  <si>
    <t>CBDL524</t>
  </si>
  <si>
    <t>Cwm Crawnon Cottage Llangynidr</t>
  </si>
  <si>
    <t>NP8 1ND</t>
  </si>
  <si>
    <t>CBDL526</t>
  </si>
  <si>
    <t>13-15 Newton Road</t>
  </si>
  <si>
    <t>Mumbles</t>
  </si>
  <si>
    <t>SA3 4AR</t>
  </si>
  <si>
    <t>CBDL528</t>
  </si>
  <si>
    <t>Bushfield Farm Bronydd</t>
  </si>
  <si>
    <t>HR3 5RX</t>
  </si>
  <si>
    <t>CBDL529</t>
  </si>
  <si>
    <t>Truck Centre Graig</t>
  </si>
  <si>
    <t>LL28 5RA</t>
  </si>
  <si>
    <t>CBDL758</t>
  </si>
  <si>
    <t>Bro Myrddin Housing Association Cillefwr Industrial Estate</t>
  </si>
  <si>
    <t>CBDL759</t>
  </si>
  <si>
    <t>Cylch Meithrin Mount Road</t>
  </si>
  <si>
    <t>Llanfair Caereinion</t>
  </si>
  <si>
    <t>SY21 0HT</t>
  </si>
  <si>
    <t>CBDL763</t>
  </si>
  <si>
    <t>8 high street</t>
  </si>
  <si>
    <t>pembroke dock</t>
  </si>
  <si>
    <t>sa726pa</t>
  </si>
  <si>
    <t>CBDL766</t>
  </si>
  <si>
    <t>Mill Cottage St Fagans</t>
  </si>
  <si>
    <t>CF5 6DU</t>
  </si>
  <si>
    <t>CBDL767</t>
  </si>
  <si>
    <t>Foundry House Community Centre Orange Way</t>
  </si>
  <si>
    <t>The Commons</t>
  </si>
  <si>
    <t>SA71 4DR</t>
  </si>
  <si>
    <t>CBDL949</t>
  </si>
  <si>
    <t>paddling pool paddling pool</t>
  </si>
  <si>
    <t>graig y don</t>
  </si>
  <si>
    <t>llandudno</t>
  </si>
  <si>
    <t>ll30 1bg</t>
  </si>
  <si>
    <t>CBDL950</t>
  </si>
  <si>
    <t>Neuadd Dyfi Penrhos</t>
  </si>
  <si>
    <t>Aberdyfi</t>
  </si>
  <si>
    <t>LL35 0NR</t>
  </si>
  <si>
    <t>CBDL951</t>
  </si>
  <si>
    <t>CBDL953</t>
  </si>
  <si>
    <t>Bruton House High Street</t>
  </si>
  <si>
    <t>LD3 0PF</t>
  </si>
  <si>
    <t>CBDL960</t>
  </si>
  <si>
    <t>14 The dairy</t>
  </si>
  <si>
    <t xml:space="preserve">Pontyclun </t>
  </si>
  <si>
    <t>Cf72 8tt</t>
  </si>
  <si>
    <t>CBDL963</t>
  </si>
  <si>
    <t>The Market Pentre Road</t>
  </si>
  <si>
    <t>St. Clears</t>
  </si>
  <si>
    <t>SA33 4LR</t>
  </si>
  <si>
    <t>CBDL964</t>
  </si>
  <si>
    <t>4 BUILDER STREET</t>
  </si>
  <si>
    <t>CBDL1197</t>
  </si>
  <si>
    <t>Bron Yr Ysgol Montpellier Park</t>
  </si>
  <si>
    <t xml:space="preserve">Llandrindod </t>
  </si>
  <si>
    <t>LD1 5LW</t>
  </si>
  <si>
    <t>CBDL1198</t>
  </si>
  <si>
    <t>Units 4 and 5 Village Workshops Pandy Road</t>
  </si>
  <si>
    <t>CBDL1199</t>
  </si>
  <si>
    <t>Tyddyn Uchaf Carmel</t>
  </si>
  <si>
    <t>LL26 0PD</t>
  </si>
  <si>
    <t>CBDL1200</t>
  </si>
  <si>
    <t>CBDL1201</t>
  </si>
  <si>
    <t>Rear of 62 Coity road</t>
  </si>
  <si>
    <t>Cf311ls</t>
  </si>
  <si>
    <t>CBDL1203</t>
  </si>
  <si>
    <t>bishops meadow ltd hay road</t>
  </si>
  <si>
    <t>powys</t>
  </si>
  <si>
    <t>ld3 8da</t>
  </si>
  <si>
    <t>CBDL1204</t>
  </si>
  <si>
    <t>CBDL1206</t>
  </si>
  <si>
    <t>CBDL1205</t>
  </si>
  <si>
    <t>CBDL1207</t>
  </si>
  <si>
    <t>wembley services ltd cleifion mill</t>
  </si>
  <si>
    <t>st clears</t>
  </si>
  <si>
    <t>carmarthen</t>
  </si>
  <si>
    <t>sa33 4lx</t>
  </si>
  <si>
    <t>CBDL1208</t>
  </si>
  <si>
    <t>Middle Sop Ltd High Street</t>
  </si>
  <si>
    <t>Bangor on Dee</t>
  </si>
  <si>
    <t>LL13 0AF</t>
  </si>
  <si>
    <t>CBDL1436</t>
  </si>
  <si>
    <t>TORQ House Bryn Mawr</t>
  </si>
  <si>
    <t>SY22 6SY</t>
  </si>
  <si>
    <t>CBDL1437</t>
  </si>
  <si>
    <t>The Old Town Hall Broad Street</t>
  </si>
  <si>
    <t>LD8 2SS</t>
  </si>
  <si>
    <t>CBDL1441</t>
  </si>
  <si>
    <t>Blue Rock Kennels Plas Rd</t>
  </si>
  <si>
    <t xml:space="preserve"> Pontardawe</t>
  </si>
  <si>
    <t>SA8 3JN</t>
  </si>
  <si>
    <t>CBDL1442</t>
  </si>
  <si>
    <t>3 penrhos</t>
  </si>
  <si>
    <t>radyr</t>
  </si>
  <si>
    <t>cf15 8rj</t>
  </si>
  <si>
    <t>CBDL1443</t>
  </si>
  <si>
    <t>Unit G Hepworth Park</t>
  </si>
  <si>
    <t>CF72 9DX</t>
  </si>
  <si>
    <t>CBDL1444</t>
  </si>
  <si>
    <t>3-4 Heol Rhosyn</t>
  </si>
  <si>
    <t>Darn Park</t>
  </si>
  <si>
    <t>SA14 8QG</t>
  </si>
  <si>
    <t>CBDL1445</t>
  </si>
  <si>
    <t>322 Woodside Way Springvale Industrial Estate</t>
  </si>
  <si>
    <t>CBDL1446</t>
  </si>
  <si>
    <t>Unit 12 Crawford Street</t>
  </si>
  <si>
    <t>CBDL1448</t>
  </si>
  <si>
    <t>106 Radford Road</t>
  </si>
  <si>
    <t>Hyson Green</t>
  </si>
  <si>
    <t>NG7 5FU</t>
  </si>
  <si>
    <t>CBDL1450</t>
  </si>
  <si>
    <t>203 Belgrave Gate</t>
  </si>
  <si>
    <t>Leicester</t>
  </si>
  <si>
    <t>LE1 3HT</t>
  </si>
  <si>
    <t>CBDL1451</t>
  </si>
  <si>
    <t>870  Stratford Road</t>
  </si>
  <si>
    <t>B11 4BS</t>
  </si>
  <si>
    <t>CBDL1666</t>
  </si>
  <si>
    <t>22 Mill Gardens</t>
  </si>
  <si>
    <t>SE26 6JX</t>
  </si>
  <si>
    <t>CBDL1671</t>
  </si>
  <si>
    <t>543 Wellingborough Road</t>
  </si>
  <si>
    <t>Northampton</t>
  </si>
  <si>
    <t>NN3 3HU</t>
  </si>
  <si>
    <t>CBDL1672</t>
  </si>
  <si>
    <t>CBDL1673</t>
  </si>
  <si>
    <t>Unit 28 Tafarnaubach Industrial Estate</t>
  </si>
  <si>
    <t>CBDL1674</t>
  </si>
  <si>
    <t>The Guildhall St. Helens Avenue</t>
  </si>
  <si>
    <t>SA1 4PE</t>
  </si>
  <si>
    <t>CBDL1676</t>
  </si>
  <si>
    <t>Unit 6 Aneurin Bevan Avenue</t>
  </si>
  <si>
    <t>Brynmenyn Industrial Estate</t>
  </si>
  <si>
    <t>CF329SZ</t>
  </si>
  <si>
    <t>CBDL1678</t>
  </si>
  <si>
    <t>Arfryn Waunfawr</t>
  </si>
  <si>
    <t>LL55 4SB</t>
  </si>
  <si>
    <t>CBDL1680</t>
  </si>
  <si>
    <t>28 south avenue</t>
  </si>
  <si>
    <t>pontefract</t>
  </si>
  <si>
    <t>wf84ew</t>
  </si>
  <si>
    <t>CBDL1681</t>
  </si>
  <si>
    <t>CBDU1921</t>
  </si>
  <si>
    <t>Fron Lodge Llangynog</t>
  </si>
  <si>
    <t>SA33 5DA</t>
  </si>
  <si>
    <t>CBDL2149</t>
  </si>
  <si>
    <t xml:space="preserve">23 Park Grove </t>
  </si>
  <si>
    <t>Bexleyheath</t>
  </si>
  <si>
    <t>DA7 6AA</t>
  </si>
  <si>
    <t>CBDL2154</t>
  </si>
  <si>
    <t>UNIT 11 NEW MERTON BUILDINGS</t>
  </si>
  <si>
    <t>GLANDWR IND ESTATE ESTATE</t>
  </si>
  <si>
    <t>ABERTILLERY GWENT</t>
  </si>
  <si>
    <t>NP13 2LN</t>
  </si>
  <si>
    <t>CBDL2305</t>
  </si>
  <si>
    <t>CBDL2307</t>
  </si>
  <si>
    <t xml:space="preserve">1 Parc Glyn </t>
  </si>
  <si>
    <t>CF31 5EA</t>
  </si>
  <si>
    <t>CBDL2312</t>
  </si>
  <si>
    <t>10 Bedwlwyn Road Ystrad Mynach</t>
  </si>
  <si>
    <t>CF82 7AD</t>
  </si>
  <si>
    <t>CBDL2316</t>
  </si>
  <si>
    <t xml:space="preserve">87 Llanrwst Road </t>
  </si>
  <si>
    <t>LL28 5YL</t>
  </si>
  <si>
    <t>CBDL2544</t>
  </si>
  <si>
    <t>Cefn Uchaf Saron</t>
  </si>
  <si>
    <t>SA44 5DT</t>
  </si>
  <si>
    <t>CBDL2545</t>
  </si>
  <si>
    <t>unit 23 capital valley ind estate</t>
  </si>
  <si>
    <t>rhymney</t>
  </si>
  <si>
    <t>np22 5pt</t>
  </si>
  <si>
    <t>CBDL2549</t>
  </si>
  <si>
    <t>Zac's Place The Gospel Hall</t>
  </si>
  <si>
    <t>George Street</t>
  </si>
  <si>
    <t>SA1 4HH</t>
  </si>
  <si>
    <t>CBDL2559</t>
  </si>
  <si>
    <t xml:space="preserve"> SCHOORSTRAAT 40</t>
  </si>
  <si>
    <t>2220 HEIST OP DEN BERG</t>
  </si>
  <si>
    <t>BELGIUM</t>
  </si>
  <si>
    <t>CBDL2783</t>
  </si>
  <si>
    <t xml:space="preserve">18-20 Thomas Street </t>
  </si>
  <si>
    <t>SA15 3JA</t>
  </si>
  <si>
    <t>CBDL2784</t>
  </si>
  <si>
    <t>Unit C Mochdre Industrial Estate</t>
  </si>
  <si>
    <t>CBDL2795</t>
  </si>
  <si>
    <t>Guidfa House Guest House Crossgates</t>
  </si>
  <si>
    <t>LD1 6RF</t>
  </si>
  <si>
    <t>CBDL2996</t>
  </si>
  <si>
    <t>2 Lion Street Y Gelli Gandryll</t>
  </si>
  <si>
    <t>CBDL2998</t>
  </si>
  <si>
    <t>1A Europa way</t>
  </si>
  <si>
    <t>sa5 4aj</t>
  </si>
  <si>
    <t>CBDL3216</t>
  </si>
  <si>
    <t>Strawberry Hill Lamphey</t>
  </si>
  <si>
    <t>SA71 5PG</t>
  </si>
  <si>
    <t>CBDL3217</t>
  </si>
  <si>
    <t>The Meads Manorbier</t>
  </si>
  <si>
    <t>SA70 8QA</t>
  </si>
  <si>
    <t>CBDL3220</t>
  </si>
  <si>
    <t xml:space="preserve">5 Stryd Y Farchnad </t>
  </si>
  <si>
    <t>LL55 1RT</t>
  </si>
  <si>
    <t>CBDL3223</t>
  </si>
  <si>
    <t>Bellevue Cefn Coch</t>
  </si>
  <si>
    <t>SY10 0BJ</t>
  </si>
  <si>
    <t>CBDL3226</t>
  </si>
  <si>
    <t>Wentloog Corporate Park Wentloog Road</t>
  </si>
  <si>
    <t>CF3 2ER</t>
  </si>
  <si>
    <t>CBDL3510</t>
  </si>
  <si>
    <t>Radyr Medical Centre Rctory Close</t>
  </si>
  <si>
    <t>CF15 8DZ</t>
  </si>
  <si>
    <t>CBDL3515</t>
  </si>
  <si>
    <t xml:space="preserve">Upper Denbigh Road </t>
  </si>
  <si>
    <t>LL17 0RS</t>
  </si>
  <si>
    <t>CBDL3734</t>
  </si>
  <si>
    <t>CBDL3956</t>
  </si>
  <si>
    <t>Cilibion Llanrhidian</t>
  </si>
  <si>
    <t>SA3 1EB</t>
  </si>
  <si>
    <t>CBDL3959</t>
  </si>
  <si>
    <t xml:space="preserve">136 Windsor Avenue </t>
  </si>
  <si>
    <t>WV4 4BN</t>
  </si>
  <si>
    <t>CBDL4226</t>
  </si>
  <si>
    <t>unit 1 abertawe houseunit 1</t>
  </si>
  <si>
    <t>ystrad road fforestfach</t>
  </si>
  <si>
    <t>sa54jb</t>
  </si>
  <si>
    <t>CBDL4460</t>
  </si>
  <si>
    <t>Cornstore Glanmeheli</t>
  </si>
  <si>
    <t>Ceri</t>
  </si>
  <si>
    <t>SY16 4LN</t>
  </si>
  <si>
    <t>CBDL4463</t>
  </si>
  <si>
    <t xml:space="preserve">Upper Frog Street </t>
  </si>
  <si>
    <t>CBDL4895</t>
  </si>
  <si>
    <t xml:space="preserve">93 Stoke Road </t>
  </si>
  <si>
    <t>Slough</t>
  </si>
  <si>
    <t>SL2 5BJ</t>
  </si>
  <si>
    <t>CBDL5134</t>
  </si>
  <si>
    <t xml:space="preserve">Nantgarw Road </t>
  </si>
  <si>
    <t>CF83 1BW</t>
  </si>
  <si>
    <t>CBDL5138</t>
  </si>
  <si>
    <t xml:space="preserve">17 Burch Gardens </t>
  </si>
  <si>
    <t>Dawlish</t>
  </si>
  <si>
    <t>EX7 0RE</t>
  </si>
  <si>
    <t>CBDU5395</t>
  </si>
  <si>
    <t>Unit 16 Oxwich Court</t>
  </si>
  <si>
    <t>SA6 8RA</t>
  </si>
  <si>
    <t>CBDU5396</t>
  </si>
  <si>
    <t>22 Rhoshendre Waunfawr</t>
  </si>
  <si>
    <t>SY23 3PT</t>
  </si>
  <si>
    <t>CBDL5397</t>
  </si>
  <si>
    <t>Tyn Y Coed Llangaffo</t>
  </si>
  <si>
    <t>LL60 6NE</t>
  </si>
  <si>
    <t>CBDU5402</t>
  </si>
  <si>
    <t>Glannant Glandwr</t>
  </si>
  <si>
    <t>Hendy-Gwyn</t>
  </si>
  <si>
    <t>SA34 0YA</t>
  </si>
  <si>
    <t>CBDU5652</t>
  </si>
  <si>
    <t>Wick Road Ewenny</t>
  </si>
  <si>
    <t>CF35 5AD</t>
  </si>
  <si>
    <t>CBDU5654</t>
  </si>
  <si>
    <t>Ddol Farm Bethel</t>
  </si>
  <si>
    <t>LL55 1UN</t>
  </si>
  <si>
    <t>CBDL5657</t>
  </si>
  <si>
    <t>2 Station Terrace Dwyrain Abberddawan</t>
  </si>
  <si>
    <t>CF62 3DH</t>
  </si>
  <si>
    <t>CBDU5658</t>
  </si>
  <si>
    <t>Lon Cae Darbi Cibyn Industrial Estate</t>
  </si>
  <si>
    <t>LL55 2BD</t>
  </si>
  <si>
    <t>CBDU5659</t>
  </si>
  <si>
    <t>772 Newport Road Rumney</t>
  </si>
  <si>
    <t>CF3 4FG</t>
  </si>
  <si>
    <t>CBDU5660</t>
  </si>
  <si>
    <t>Unit 2 Del Guerra Court</t>
  </si>
  <si>
    <t>Gelligron Industrial Estate</t>
  </si>
  <si>
    <t>Tonyrefail</t>
  </si>
  <si>
    <t>CF39 8ES</t>
  </si>
  <si>
    <t>CBDU5661</t>
  </si>
  <si>
    <t>Park View Llanerchydol</t>
  </si>
  <si>
    <t>SY21 9PQ</t>
  </si>
  <si>
    <t>CBDL5662</t>
  </si>
  <si>
    <t>The Bakery Pednandrea</t>
  </si>
  <si>
    <t>Redruth</t>
  </si>
  <si>
    <t>TR15 2EE</t>
  </si>
  <si>
    <t>CBDU5664</t>
  </si>
  <si>
    <t xml:space="preserve">59 Pontamman Road </t>
  </si>
  <si>
    <t>SA18 2HX</t>
  </si>
  <si>
    <t>CBDU5667</t>
  </si>
  <si>
    <t>Moriah House Moriah Place</t>
  </si>
  <si>
    <t>Llwydcoed</t>
  </si>
  <si>
    <t>CF44 0TS</t>
  </si>
  <si>
    <t>CBDL6153</t>
  </si>
  <si>
    <t>5 Chapel Field Llangattock</t>
  </si>
  <si>
    <t>NP8 1LJ</t>
  </si>
  <si>
    <t>CBDU6154</t>
  </si>
  <si>
    <t>Unit 5 Wimbourne Buildings</t>
  </si>
  <si>
    <t>Atlantic Way</t>
  </si>
  <si>
    <t>CBDU6155</t>
  </si>
  <si>
    <t>Unit 17 Moy Road Industrial Estate</t>
  </si>
  <si>
    <t>CBDU6157</t>
  </si>
  <si>
    <t>Lodge Farm Ffordd Pen-y-Maes</t>
  </si>
  <si>
    <t>CBDL6158</t>
  </si>
  <si>
    <t>47 Gloucester Buildings Pantygog</t>
  </si>
  <si>
    <t>CF32 8DW</t>
  </si>
  <si>
    <t>CBDL6160</t>
  </si>
  <si>
    <t>130 West Cross Lane West Cross</t>
  </si>
  <si>
    <t>SA3 5NG</t>
  </si>
  <si>
    <t>CBDU5897</t>
  </si>
  <si>
    <t>28-30 Cricklewood Broadway</t>
  </si>
  <si>
    <t>TM Design &amp; Build Ltd</t>
  </si>
  <si>
    <t>NW2 3HD</t>
  </si>
  <si>
    <t>CBDL5904</t>
  </si>
  <si>
    <t xml:space="preserve">The Innovation Centre Unit 104 Festival Drive </t>
  </si>
  <si>
    <t>Victoria Business Park</t>
  </si>
  <si>
    <t>CBDL5906</t>
  </si>
  <si>
    <t>Unit 8 Gilsea Park</t>
  </si>
  <si>
    <t>Mona Close</t>
  </si>
  <si>
    <t>SA6 8RJ</t>
  </si>
  <si>
    <t>CBDU5907</t>
  </si>
  <si>
    <t>23 Sycamore Close Dyffryn Business Park</t>
  </si>
  <si>
    <t>CBDU5908</t>
  </si>
  <si>
    <t>The Storage Group Building Usk Side Business Park</t>
  </si>
  <si>
    <t>Ofice 9 Church Street</t>
  </si>
  <si>
    <t>CBDU5910</t>
  </si>
  <si>
    <t>The Ashes Llandysilio</t>
  </si>
  <si>
    <t>SA66 7TT</t>
  </si>
  <si>
    <t>CBDU5913</t>
  </si>
  <si>
    <t>Treffgarne Greenhill Road</t>
  </si>
  <si>
    <t>SA70 7LJ</t>
  </si>
  <si>
    <t>CBDU5915</t>
  </si>
  <si>
    <t>Blue Barn Farm Churchstoke</t>
  </si>
  <si>
    <t>SY15 6EN</t>
  </si>
  <si>
    <t>CBDU5917</t>
  </si>
  <si>
    <t>49 Chapel Street Penycae</t>
  </si>
  <si>
    <t>LL14 2RF</t>
  </si>
  <si>
    <t>CBDU6407</t>
  </si>
  <si>
    <t>Brewery Field Cilgant Fictoria</t>
  </si>
  <si>
    <t>Llanymddyfri</t>
  </si>
  <si>
    <t>SA20 0YE</t>
  </si>
  <si>
    <t>CBDL6409</t>
  </si>
  <si>
    <t>14  Cathedral Road</t>
  </si>
  <si>
    <t>CF11 9LJ</t>
  </si>
  <si>
    <t>CBDU6410</t>
  </si>
  <si>
    <t>Aberclwyd Farm Pentreclwyda</t>
  </si>
  <si>
    <t>SA11 4DU</t>
  </si>
  <si>
    <t>CBDU6411</t>
  </si>
  <si>
    <t xml:space="preserve">Castle Street </t>
  </si>
  <si>
    <t>SA43 3AB</t>
  </si>
  <si>
    <t>CBDL6714</t>
  </si>
  <si>
    <t>Unit 4 The Village Workshops</t>
  </si>
  <si>
    <t>Four Crosses Business Park</t>
  </si>
  <si>
    <t>SY22 6ST</t>
  </si>
  <si>
    <t>CBDU6717</t>
  </si>
  <si>
    <t>Units 7-8 Curran Buildings</t>
  </si>
  <si>
    <t>Curran Road</t>
  </si>
  <si>
    <t>CF10 5NE</t>
  </si>
  <si>
    <t>CBDL6718</t>
  </si>
  <si>
    <t>Gelligoediog Farm Manmoel</t>
  </si>
  <si>
    <t>NP12 0RH</t>
  </si>
  <si>
    <t>CBDU6719</t>
  </si>
  <si>
    <t>Ewenny Industrial Estate Waterton</t>
  </si>
  <si>
    <t>CF31 3EZ</t>
  </si>
  <si>
    <t>CBDL6721</t>
  </si>
  <si>
    <t>St. Ives Estate Harden</t>
  </si>
  <si>
    <t>Bingley</t>
  </si>
  <si>
    <t>BD16 1AU</t>
  </si>
  <si>
    <t>CBDL6723</t>
  </si>
  <si>
    <t xml:space="preserve">18 Parc Howard Avenue </t>
  </si>
  <si>
    <t>SA15 3JY</t>
  </si>
  <si>
    <t>CBDL6948</t>
  </si>
  <si>
    <t>High Street Measham</t>
  </si>
  <si>
    <t>CBDU6949</t>
  </si>
  <si>
    <t>Twyn Nantgaredig</t>
  </si>
  <si>
    <t>SA32 7NN</t>
  </si>
  <si>
    <t>CBDU6950</t>
  </si>
  <si>
    <t>Fferm Bryn Isa Llannefydd</t>
  </si>
  <si>
    <t>LL16 5EU</t>
  </si>
  <si>
    <t>CBDU6955</t>
  </si>
  <si>
    <t>25 Pant Y Felin Road Pontarddulais</t>
  </si>
  <si>
    <t>CBDU6956</t>
  </si>
  <si>
    <t>Water Street Margam</t>
  </si>
  <si>
    <t>SA13 2PA</t>
  </si>
  <si>
    <t>CBDL6957</t>
  </si>
  <si>
    <t xml:space="preserve">414 Western Avenue </t>
  </si>
  <si>
    <t>CF5 2BL</t>
  </si>
  <si>
    <t>CBDU6958</t>
  </si>
  <si>
    <t>Unit 57 272 Kensington High Street</t>
  </si>
  <si>
    <t>W8 6ND</t>
  </si>
  <si>
    <t>CBDU6455</t>
  </si>
  <si>
    <t>Office E Western House Block H Withey Court</t>
  </si>
  <si>
    <t>CF83 1BF</t>
  </si>
  <si>
    <t>CBDU6456</t>
  </si>
  <si>
    <t>Cysgod Y Coed Heol Y Wern</t>
  </si>
  <si>
    <t>Garnant</t>
  </si>
  <si>
    <t>SA18 1LN</t>
  </si>
  <si>
    <t>CBDU6458</t>
  </si>
  <si>
    <t>Pensarn Farm Cwm-Twrch Isaf</t>
  </si>
  <si>
    <t>SA9 2QL</t>
  </si>
  <si>
    <t>CBDU6460</t>
  </si>
  <si>
    <t>Gydrhos Y Ffor</t>
  </si>
  <si>
    <t>LL53 6RN</t>
  </si>
  <si>
    <t>CBDU6462</t>
  </si>
  <si>
    <t xml:space="preserve">269 Verity Crescent </t>
  </si>
  <si>
    <t>BH17 8UB</t>
  </si>
  <si>
    <t>CBDU6463</t>
  </si>
  <si>
    <t>Dominion House A16 Admiralty Park</t>
  </si>
  <si>
    <t>Holton Heath</t>
  </si>
  <si>
    <t>BH16 6HX</t>
  </si>
  <si>
    <t>CBDU6464</t>
  </si>
  <si>
    <t>Building 1 First Avenue</t>
  </si>
  <si>
    <t>Parc Busness Redwither</t>
  </si>
  <si>
    <t>LL13 9XP</t>
  </si>
  <si>
    <t>CBDL6465</t>
  </si>
  <si>
    <t>The Wallich Centre Cathedral Road</t>
  </si>
  <si>
    <t>CF11 9JF</t>
  </si>
  <si>
    <t>CBDL6466</t>
  </si>
  <si>
    <t>36 Lords Fold</t>
  </si>
  <si>
    <t>Rainford</t>
  </si>
  <si>
    <t>WA11 8HP</t>
  </si>
  <si>
    <t>CBDU6469</t>
  </si>
  <si>
    <t>6 Aberaman Gardens Farm Road</t>
  </si>
  <si>
    <t>CF44 6LJ</t>
  </si>
  <si>
    <t>CBDL6470</t>
  </si>
  <si>
    <t>Llantwit Chase Upper Church Village</t>
  </si>
  <si>
    <t>CF38 1EE</t>
  </si>
  <si>
    <t>CBDU6472</t>
  </si>
  <si>
    <t>Rocklands Glasllwch Lane</t>
  </si>
  <si>
    <t>NP20 3PR</t>
  </si>
  <si>
    <t>CBDU6473</t>
  </si>
  <si>
    <t>St. Davids House Rhoose Road</t>
  </si>
  <si>
    <t>Y Rhws</t>
  </si>
  <si>
    <t>CF62 3EP</t>
  </si>
  <si>
    <t>CBDU7302</t>
  </si>
  <si>
    <t>Hillside 6 Commin Road</t>
  </si>
  <si>
    <t>CF81 9BL</t>
  </si>
  <si>
    <t>CBDL7303</t>
  </si>
  <si>
    <t xml:space="preserve">Pentlepoir </t>
  </si>
  <si>
    <t>SA69 9BN</t>
  </si>
  <si>
    <t>CBDU7310</t>
  </si>
  <si>
    <t>Unit A1D Avondale Business Park</t>
  </si>
  <si>
    <t>Avondale Way</t>
  </si>
  <si>
    <t>Cwmbran  Torfaen</t>
  </si>
  <si>
    <t>NP441XE</t>
  </si>
  <si>
    <t>CBDU7312</t>
  </si>
  <si>
    <t>Unit G2  Chapel Farm Industrial Estate</t>
  </si>
  <si>
    <t>NP11 7BH</t>
  </si>
  <si>
    <t>CBDU7313</t>
  </si>
  <si>
    <t>CBDU7315</t>
  </si>
  <si>
    <t>421 Chester Road Oakenholt</t>
  </si>
  <si>
    <t>CBDU7316</t>
  </si>
  <si>
    <t xml:space="preserve">26-28 Ruabon Road </t>
  </si>
  <si>
    <t>LL13 7PB</t>
  </si>
  <si>
    <t>CBDU7317</t>
  </si>
  <si>
    <t>Unit 1 Heol Y Bwlch</t>
  </si>
  <si>
    <t>SA14 9ST</t>
  </si>
  <si>
    <t>CBDU7537</t>
  </si>
  <si>
    <t>17 Curwen Terrace North Cornelly</t>
  </si>
  <si>
    <t>CF33 4AW</t>
  </si>
  <si>
    <t>CBDU7538</t>
  </si>
  <si>
    <t>7 New Road Dobshill</t>
  </si>
  <si>
    <t>CH5 3LU</t>
  </si>
  <si>
    <t>CBDL7539</t>
  </si>
  <si>
    <t>Leake Road Gotham</t>
  </si>
  <si>
    <t>NG11 0JL</t>
  </si>
  <si>
    <t>CBDU7543</t>
  </si>
  <si>
    <t>Bwlchbychan Brynteg</t>
  </si>
  <si>
    <t>SA40 9UY</t>
  </si>
  <si>
    <t>CBDL7544</t>
  </si>
  <si>
    <t>90 Sandyke Road Hafan Lydan</t>
  </si>
  <si>
    <t>SA62 3JF</t>
  </si>
  <si>
    <t>CBDU7545</t>
  </si>
  <si>
    <t>Unit 1A Darren Drive</t>
  </si>
  <si>
    <t>CBDU7547</t>
  </si>
  <si>
    <t>Unit 7-8 Estuary Road</t>
  </si>
  <si>
    <t>NP19 4SP</t>
  </si>
  <si>
    <t>CBDU7548</t>
  </si>
  <si>
    <t>16 Windsor Place Abertridwr</t>
  </si>
  <si>
    <t>CF83 4DR</t>
  </si>
  <si>
    <t>CBDU7549</t>
  </si>
  <si>
    <t>Bryn Gwynt Garnfadryn</t>
  </si>
  <si>
    <t>LL53 8TG</t>
  </si>
  <si>
    <t>CBDL7550</t>
  </si>
  <si>
    <t xml:space="preserve">Shipmans Lane </t>
  </si>
  <si>
    <t>SA61 1NS</t>
  </si>
  <si>
    <t>CBDL7552</t>
  </si>
  <si>
    <t>CBDU7553</t>
  </si>
  <si>
    <t>Bryn Criafol Ruthin Road</t>
  </si>
  <si>
    <t>LL11 3UT</t>
  </si>
  <si>
    <t>CBDL7554</t>
  </si>
  <si>
    <t xml:space="preserve">9 Chatsworth Road </t>
  </si>
  <si>
    <t>Chesterfield</t>
  </si>
  <si>
    <t>S40 2AH</t>
  </si>
  <si>
    <t>CBDL7555</t>
  </si>
  <si>
    <t xml:space="preserve">34 Lansdowne Street </t>
  </si>
  <si>
    <t>Leamington Spa</t>
  </si>
  <si>
    <t>CV32 4SP</t>
  </si>
  <si>
    <t>CBDU7047</t>
  </si>
  <si>
    <t>Unit 21 Ely Distribution Centre</t>
  </si>
  <si>
    <t>Argyle Way</t>
  </si>
  <si>
    <t>CF5 5NJ</t>
  </si>
  <si>
    <t>CBDU7048</t>
  </si>
  <si>
    <t>Quinton Hazell Enterprise Parc Glan-y-Wern Road</t>
  </si>
  <si>
    <t>CBDL7050</t>
  </si>
  <si>
    <t>Pitwood House Abercanaid</t>
  </si>
  <si>
    <t>CF48 1YL</t>
  </si>
  <si>
    <t>CBDU7051</t>
  </si>
  <si>
    <t xml:space="preserve">74 Chester Street </t>
  </si>
  <si>
    <t>CH6 5DH</t>
  </si>
  <si>
    <t>CBDL7053</t>
  </si>
  <si>
    <t>4 Bro Aber Abersoch</t>
  </si>
  <si>
    <t>LL53 7UQ</t>
  </si>
  <si>
    <t>CBDU7054</t>
  </si>
  <si>
    <t>Unit 11-12 Min-y-Llyn Glanyrafon Industrial Estate</t>
  </si>
  <si>
    <t>SY23 3NG</t>
  </si>
  <si>
    <t>CBDU7060</t>
  </si>
  <si>
    <t>Brickfield Lane Denbigh Road</t>
  </si>
  <si>
    <t>LL15 2TN</t>
  </si>
  <si>
    <t>CBDU7061</t>
  </si>
  <si>
    <t>Unit 3-5 Pytchley Lodge Industrial Estate</t>
  </si>
  <si>
    <t>Pytchley Lodge Road</t>
  </si>
  <si>
    <t>NN15 6JQ</t>
  </si>
  <si>
    <t>CBDL7953</t>
  </si>
  <si>
    <t>Unit 16 Martin Road</t>
  </si>
  <si>
    <t>Tremorfa Industrial Estate</t>
  </si>
  <si>
    <t>Tremorfa</t>
  </si>
  <si>
    <t>CF24 5SD</t>
  </si>
  <si>
    <t>CBDU7956</t>
  </si>
  <si>
    <t>CBDL7958</t>
  </si>
  <si>
    <t>St Kentigern Hospice Upper Denbigh Road</t>
  </si>
  <si>
    <t>CBDU7959</t>
  </si>
  <si>
    <t>Carreg Yr Alltwen Llangristiolus</t>
  </si>
  <si>
    <t>LL62 5PT</t>
  </si>
  <si>
    <t>CBDL7960</t>
  </si>
  <si>
    <t>Merthyr Road Govilon</t>
  </si>
  <si>
    <t>NP7 9PT</t>
  </si>
  <si>
    <t>CBDL7961</t>
  </si>
  <si>
    <t>173 Neath Road Llansawel</t>
  </si>
  <si>
    <t>SA11 2BX</t>
  </si>
  <si>
    <t>CBDU7962</t>
  </si>
  <si>
    <t>THE SPINNEY 22 HENDON WOOD LANE</t>
  </si>
  <si>
    <t>LONDON</t>
  </si>
  <si>
    <t>NW7 4HR</t>
  </si>
  <si>
    <t>CBDU7968</t>
  </si>
  <si>
    <t>Ty Elusen Llanelli Gate</t>
  </si>
  <si>
    <t>CBDU8192</t>
  </si>
  <si>
    <t>3 The Well Trelales</t>
  </si>
  <si>
    <t>CF32 0LE</t>
  </si>
  <si>
    <t>CBDU8193</t>
  </si>
  <si>
    <t>Richmond House Tholthorpe</t>
  </si>
  <si>
    <t>York</t>
  </si>
  <si>
    <t>YO61 1SN</t>
  </si>
  <si>
    <t>CBDU8194</t>
  </si>
  <si>
    <t xml:space="preserve">14 Powell Close </t>
  </si>
  <si>
    <t>SA71 4QQ</t>
  </si>
  <si>
    <t>CBDU8195</t>
  </si>
  <si>
    <t xml:space="preserve">9 St. Davids Crescent </t>
  </si>
  <si>
    <t>CF5 4GN</t>
  </si>
  <si>
    <t>CBDU8197</t>
  </si>
  <si>
    <t>Bron Derw Ffordd Garth</t>
  </si>
  <si>
    <t>LL57 2RT</t>
  </si>
  <si>
    <t>CBDU8199</t>
  </si>
  <si>
    <t xml:space="preserve">93 Victoria Drive </t>
  </si>
  <si>
    <t>LL31 9PG</t>
  </si>
  <si>
    <t>CBDU8200</t>
  </si>
  <si>
    <t xml:space="preserve">Dinas </t>
  </si>
  <si>
    <t>LL54 7YN</t>
  </si>
  <si>
    <t>CBDU7716</t>
  </si>
  <si>
    <t>Unit 2-4 Northgate Business Centre</t>
  </si>
  <si>
    <t>Kingsway</t>
  </si>
  <si>
    <t>CBDU7719</t>
  </si>
  <si>
    <t>CBDU7722</t>
  </si>
  <si>
    <t>Windyridge Liddeston</t>
  </si>
  <si>
    <t>SA73 3PZ</t>
  </si>
  <si>
    <t>CBDU7723</t>
  </si>
  <si>
    <t xml:space="preserve">Pentre Cottage </t>
  </si>
  <si>
    <t>SY22 6DH</t>
  </si>
  <si>
    <t>CBDL7726</t>
  </si>
  <si>
    <t>CBDU7730</t>
  </si>
  <si>
    <t>Unit 10 Cambrian Industrial Estate East Side</t>
  </si>
  <si>
    <t>CBDU8356</t>
  </si>
  <si>
    <t xml:space="preserve">25 Limoges Court </t>
  </si>
  <si>
    <t>NN5 6YQ</t>
  </si>
  <si>
    <t>CBDL8357</t>
  </si>
  <si>
    <t xml:space="preserve">3 Gogarth Road </t>
  </si>
  <si>
    <t>LL30 2AP</t>
  </si>
  <si>
    <t>CBDL8358</t>
  </si>
  <si>
    <t xml:space="preserve">26 Charles Street </t>
  </si>
  <si>
    <t>NP20 1JT</t>
  </si>
  <si>
    <t>CBDU8360</t>
  </si>
  <si>
    <t>Gwynfa High Street</t>
  </si>
  <si>
    <t>LL47 6TY</t>
  </si>
  <si>
    <t>CBDU8361</t>
  </si>
  <si>
    <t xml:space="preserve">Ty Mari </t>
  </si>
  <si>
    <t>SA44 4JN</t>
  </si>
  <si>
    <t>CBDU8363</t>
  </si>
  <si>
    <t>1 Brynderi Terrace Newbridge</t>
  </si>
  <si>
    <t>NP11 3DJ</t>
  </si>
  <si>
    <t>CBDU8365</t>
  </si>
  <si>
    <t>Unit 12 Cillefwr Industrial Estate</t>
  </si>
  <si>
    <t>CBDL8367</t>
  </si>
  <si>
    <t>Triangle House Union Street</t>
  </si>
  <si>
    <t>SY21 7PG</t>
  </si>
  <si>
    <t>CBDL8372</t>
  </si>
  <si>
    <t>4 Brodorion Drive Cwmrhydyceirw</t>
  </si>
  <si>
    <t>SA6 6LP</t>
  </si>
  <si>
    <t>CBDL8373</t>
  </si>
  <si>
    <t>97 Heol Cae Gurwen</t>
  </si>
  <si>
    <t>Gwaun Cae Gurwen</t>
  </si>
  <si>
    <t>sa18 1PB</t>
  </si>
  <si>
    <t>CBDL8608</t>
  </si>
  <si>
    <t>11 Church Street Bodedern</t>
  </si>
  <si>
    <t>LL65 3TU</t>
  </si>
  <si>
    <t>CBDU8610</t>
  </si>
  <si>
    <t>Llusern House Nantgarw</t>
  </si>
  <si>
    <t>CF15 7UN</t>
  </si>
  <si>
    <t>CBDL8611</t>
  </si>
  <si>
    <t>Brook Cottage Walton Cardiff</t>
  </si>
  <si>
    <t>Tewkesbury</t>
  </si>
  <si>
    <t>GL20 7BL</t>
  </si>
  <si>
    <t>CBDU8612</t>
  </si>
  <si>
    <t>37 Cheriton Drive Thornhill</t>
  </si>
  <si>
    <t>CF14 9DF</t>
  </si>
  <si>
    <t>CBDU8614</t>
  </si>
  <si>
    <t>Foryd Bank Green Avenue</t>
  </si>
  <si>
    <t>LL18 5ET</t>
  </si>
  <si>
    <t>CBDU8615</t>
  </si>
  <si>
    <t>Tanrallt Braichmelyn</t>
  </si>
  <si>
    <t>LL57 3RD</t>
  </si>
  <si>
    <t>CBDU8616</t>
  </si>
  <si>
    <t>Facilities House Unit 6</t>
  </si>
  <si>
    <t>Tir Llwyd Enterprise Park</t>
  </si>
  <si>
    <t>CBDU8617</t>
  </si>
  <si>
    <t>Riverside Bungalow Kingsbridge</t>
  </si>
  <si>
    <t>Swansea Road</t>
  </si>
  <si>
    <t>SA4 4AS</t>
  </si>
  <si>
    <t>CBDU8618</t>
  </si>
  <si>
    <t>58 High Street Caergwrle</t>
  </si>
  <si>
    <t>LL12 9LL</t>
  </si>
  <si>
    <t>CBDL8619</t>
  </si>
  <si>
    <t>339 Llangyfelach Road Brynhyfryd</t>
  </si>
  <si>
    <t>SA5 9LQ</t>
  </si>
  <si>
    <t>CBDU8620</t>
  </si>
  <si>
    <t>Crownhawk properties ltd</t>
  </si>
  <si>
    <t>Siding Terrace</t>
  </si>
  <si>
    <t>SA10 6RF</t>
  </si>
  <si>
    <t>CBDU8844</t>
  </si>
  <si>
    <t>48 Lan Coed Winch Wen</t>
  </si>
  <si>
    <t>SA1 7LL</t>
  </si>
  <si>
    <t>CBDU8846</t>
  </si>
  <si>
    <t>146 Emlyn Road Mayhill</t>
  </si>
  <si>
    <t>SA1 6TJ</t>
  </si>
  <si>
    <t>CBDU8848</t>
  </si>
  <si>
    <t>Unit 6-7 Cyfarthfa Industrial Estate</t>
  </si>
  <si>
    <t>CF47 8PE</t>
  </si>
  <si>
    <t>CBDU8849</t>
  </si>
  <si>
    <t>5 Penygroes Road Caerbryn</t>
  </si>
  <si>
    <t>SA18 3EQ</t>
  </si>
  <si>
    <t>CBDL8850</t>
  </si>
  <si>
    <t>CBDL8851</t>
  </si>
  <si>
    <t>40 Merchant Street Pontlottyn</t>
  </si>
  <si>
    <t>CF81 9PD</t>
  </si>
  <si>
    <t>CBDL8852</t>
  </si>
  <si>
    <t>Harlech Court Bute Terrace</t>
  </si>
  <si>
    <t>CF10 2FE</t>
  </si>
  <si>
    <t>CBDL8855</t>
  </si>
  <si>
    <t>8 Commercial Street Aberbargoed</t>
  </si>
  <si>
    <t>CF81 9BW</t>
  </si>
  <si>
    <t>CBDU8986</t>
  </si>
  <si>
    <t>Unit 3 Rizla House  Severn Road</t>
  </si>
  <si>
    <t>CF375SP</t>
  </si>
  <si>
    <t>CBDL8987</t>
  </si>
  <si>
    <t>Fronhyfryd Vicarage Road</t>
  </si>
  <si>
    <t>LL20 8HF</t>
  </si>
  <si>
    <t>CBDU8988</t>
  </si>
  <si>
    <t>Unit 4A Capel Hendre Industrial Estate</t>
  </si>
  <si>
    <t>CBDU8990</t>
  </si>
  <si>
    <t>Gelli Wern Ganol Felindre</t>
  </si>
  <si>
    <t>SA5 7PJ</t>
  </si>
  <si>
    <t>CBDU8992</t>
  </si>
  <si>
    <t>Tower Close Bridgend Industrial Estate</t>
  </si>
  <si>
    <t>CF31 3TH</t>
  </si>
  <si>
    <t>CBDL8993</t>
  </si>
  <si>
    <t>Ty Mawr Farm Ty Mawr Lane</t>
  </si>
  <si>
    <t>CBDU8994</t>
  </si>
  <si>
    <t>Unit 6 Gurnos Industrial Estate</t>
  </si>
  <si>
    <t>Bethel Road</t>
  </si>
  <si>
    <t>SA9 2HW</t>
  </si>
  <si>
    <t>CBDU8995</t>
  </si>
  <si>
    <t>CBDU8997</t>
  </si>
  <si>
    <t>A2  Kingfisher Boulevard</t>
  </si>
  <si>
    <t>Newburn Riverside</t>
  </si>
  <si>
    <t>NE15 8NZ</t>
  </si>
  <si>
    <t>CBDL9000</t>
  </si>
  <si>
    <t>Unit 3 The Queensway</t>
  </si>
  <si>
    <t>SA5 4DJ</t>
  </si>
  <si>
    <t>CBDL9001</t>
  </si>
  <si>
    <t>17 Pen Y Morfa Penclawdd</t>
  </si>
  <si>
    <t>SA4 3RF</t>
  </si>
  <si>
    <t>CBDU9250</t>
  </si>
  <si>
    <t>Unit D 7 Swanbridge Court</t>
  </si>
  <si>
    <t>CF83 8FW</t>
  </si>
  <si>
    <t>CBDU9252</t>
  </si>
  <si>
    <t>Old Barn Gellifor</t>
  </si>
  <si>
    <t>LL15 1SF</t>
  </si>
  <si>
    <t>CBDL9253</t>
  </si>
  <si>
    <t>Ivy House Farm Toft Tunnel</t>
  </si>
  <si>
    <t>Brothertoft</t>
  </si>
  <si>
    <t>Boston</t>
  </si>
  <si>
    <t>PE20 3SH</t>
  </si>
  <si>
    <t>CBDL9256</t>
  </si>
  <si>
    <t>10 Clos Y Gwyddfid Treforgan</t>
  </si>
  <si>
    <t>CF15 8EX</t>
  </si>
  <si>
    <t>CBDU9690</t>
  </si>
  <si>
    <t>12 Second Avenue Llandrillo-yn-Rhos</t>
  </si>
  <si>
    <t>LL28 4LZ</t>
  </si>
  <si>
    <t>CBDU9693</t>
  </si>
  <si>
    <t>25 Brynhyfryd Glynneath</t>
  </si>
  <si>
    <t>SA11 5BA</t>
  </si>
  <si>
    <t>CBDU9694</t>
  </si>
  <si>
    <t>Lockhead Alexandra Dock</t>
  </si>
  <si>
    <t>NP20 2WZ</t>
  </si>
  <si>
    <t>CBDL9695</t>
  </si>
  <si>
    <t>Bodlondeb Bangor Road</t>
  </si>
  <si>
    <t>LL32 8DU</t>
  </si>
  <si>
    <t>CBDU9696</t>
  </si>
  <si>
    <t>Pwll Mawr Trelogan</t>
  </si>
  <si>
    <t>CH8 9BZ</t>
  </si>
  <si>
    <t>CBDL9698</t>
  </si>
  <si>
    <t>Temperature House Hazelwood row</t>
  </si>
  <si>
    <t>Sa12 9DP</t>
  </si>
  <si>
    <t>CBDL9703</t>
  </si>
  <si>
    <t>Unit 3-4 Bryn Brithdir</t>
  </si>
  <si>
    <t>NP12 4AA</t>
  </si>
  <si>
    <t>CBDL9474</t>
  </si>
  <si>
    <t>The Warren Mold Road</t>
  </si>
  <si>
    <t>Bodfari</t>
  </si>
  <si>
    <t>LL16 4DT</t>
  </si>
  <si>
    <t>CBDU9475</t>
  </si>
  <si>
    <t>Unit 11  Oxwich Court</t>
  </si>
  <si>
    <t xml:space="preserve">Llansamlet </t>
  </si>
  <si>
    <t>Sa68ra</t>
  </si>
  <si>
    <t>CBDL9482</t>
  </si>
  <si>
    <t>CBDL9484</t>
  </si>
  <si>
    <t>CBDU9485</t>
  </si>
  <si>
    <t>C L C House C L C House</t>
  </si>
  <si>
    <t>29 Dyfrig Road</t>
  </si>
  <si>
    <t>CF5 5AD</t>
  </si>
  <si>
    <t>CBDL9486</t>
  </si>
  <si>
    <t>Latcham Farm Marshway</t>
  </si>
  <si>
    <t>Curry Mallet</t>
  </si>
  <si>
    <t>TA3 6SZ</t>
  </si>
  <si>
    <t>CBDU9489</t>
  </si>
  <si>
    <t>7 Brynffynon Road Gorseinon</t>
  </si>
  <si>
    <t>SA4 4XJ</t>
  </si>
  <si>
    <t>CBDL9490</t>
  </si>
  <si>
    <t>The Royal Welsh Warehouse Old Kerry Road</t>
  </si>
  <si>
    <t>SY16 1BH</t>
  </si>
  <si>
    <t>CBDU9935</t>
  </si>
  <si>
    <t>35A VALE BUSINESS PARK</t>
  </si>
  <si>
    <t>LLANDOW</t>
  </si>
  <si>
    <t>COWBRIDGE</t>
  </si>
  <si>
    <t>CBDU9940</t>
  </si>
  <si>
    <t>Glannant Llanfihangel-ar-Arth</t>
  </si>
  <si>
    <t>SA39 9HY</t>
  </si>
  <si>
    <t>CBDU10254</t>
  </si>
  <si>
    <t>CBDU10255</t>
  </si>
  <si>
    <t>Ty Hir St. Brides Wentlooge</t>
  </si>
  <si>
    <t>NP10 8SF</t>
  </si>
  <si>
    <t>CBDU10256</t>
  </si>
  <si>
    <t xml:space="preserve">23 Lynton Walk </t>
  </si>
  <si>
    <t>LL18 3RW</t>
  </si>
  <si>
    <t>CBDU10259</t>
  </si>
  <si>
    <t>R P Traffic Management Ltd New Inn</t>
  </si>
  <si>
    <t>NP4 0SW</t>
  </si>
  <si>
    <t>CBDU10260</t>
  </si>
  <si>
    <t>Geryllan Fforestfach</t>
  </si>
  <si>
    <t>SA5 4NN</t>
  </si>
  <si>
    <t>CBDU10268</t>
  </si>
  <si>
    <t>Turkey Oak House Llanmaes</t>
  </si>
  <si>
    <t>CF61 2XR</t>
  </si>
  <si>
    <t>CBDU10269</t>
  </si>
  <si>
    <t>Tyddyn Waen Llanfaethlu</t>
  </si>
  <si>
    <t>CBDU10270</t>
  </si>
  <si>
    <t>74 South Street Sebastopol</t>
  </si>
  <si>
    <t>NP4 5DZ</t>
  </si>
  <si>
    <t>CBDU10487</t>
  </si>
  <si>
    <t xml:space="preserve">Wentloog Road </t>
  </si>
  <si>
    <t>CBDL10488</t>
  </si>
  <si>
    <t>Bryngwyn Mawr Rhuallt</t>
  </si>
  <si>
    <t>LL17 0TH</t>
  </si>
  <si>
    <t>CBDU10489</t>
  </si>
  <si>
    <t>Room 102 Harbour House Y Lanfa</t>
  </si>
  <si>
    <t>SY23 1AS</t>
  </si>
  <si>
    <t>CBDL10491</t>
  </si>
  <si>
    <t>101-101a Charles Street</t>
  </si>
  <si>
    <t>SA73 2HL</t>
  </si>
  <si>
    <t>CBDU10492</t>
  </si>
  <si>
    <t xml:space="preserve">1 Bro Gwgan </t>
  </si>
  <si>
    <t>Garndolbenmaen</t>
  </si>
  <si>
    <t>LL51 9AL</t>
  </si>
  <si>
    <t>CBDU10493</t>
  </si>
  <si>
    <t>Unit 24 Stradey Business Park</t>
  </si>
  <si>
    <t>Mwrwg Road</t>
  </si>
  <si>
    <t>CBDU10495</t>
  </si>
  <si>
    <t>Caebardd Pentrebeirdd</t>
  </si>
  <si>
    <t>Guilsfield</t>
  </si>
  <si>
    <t>SY21 9DJ</t>
  </si>
  <si>
    <t>CBDU10496</t>
  </si>
  <si>
    <t xml:space="preserve">Lower Race </t>
  </si>
  <si>
    <t>NP4 5UH</t>
  </si>
  <si>
    <t>CBDU10498</t>
  </si>
  <si>
    <t xml:space="preserve">8A Kingston Road </t>
  </si>
  <si>
    <t>CF11 6HU</t>
  </si>
  <si>
    <t>CBDU10499</t>
  </si>
  <si>
    <t>1 Vicarage Lane Helpringham</t>
  </si>
  <si>
    <t>Sleaford</t>
  </si>
  <si>
    <t>NG34 0RP</t>
  </si>
  <si>
    <t>CBDU10501</t>
  </si>
  <si>
    <t>27 Garden City Industrial Estate Sealand Avenue</t>
  </si>
  <si>
    <t>CBDU10503</t>
  </si>
  <si>
    <t>Three Cocks</t>
  </si>
  <si>
    <t>CBDL10505</t>
  </si>
  <si>
    <t>CBDU10853</t>
  </si>
  <si>
    <t xml:space="preserve"> Dyffryn Business Park Llantwit Major Road</t>
  </si>
  <si>
    <t xml:space="preserve">Llandow </t>
  </si>
  <si>
    <t>CF71 7pY</t>
  </si>
  <si>
    <t>CBDU10855</t>
  </si>
  <si>
    <t>Unit 1 Tram Road Industrial Estate</t>
  </si>
  <si>
    <t>NP12 2LA</t>
  </si>
  <si>
    <t>CBDU10856</t>
  </si>
  <si>
    <t>Eastbrook House Eastview Terrace</t>
  </si>
  <si>
    <t>CF81 8LT</t>
  </si>
  <si>
    <t>CBDU10857</t>
  </si>
  <si>
    <t>70 Cwmamman Road Glanamman</t>
  </si>
  <si>
    <t>SA18 1DJ</t>
  </si>
  <si>
    <t>CBDU10860</t>
  </si>
  <si>
    <t>Drummau Farm Drummau Road</t>
  </si>
  <si>
    <t>SA10 6NW</t>
  </si>
  <si>
    <t>CBDL10864</t>
  </si>
  <si>
    <t>St. Davids House Castellau Road</t>
  </si>
  <si>
    <t>CF38 2RA</t>
  </si>
  <si>
    <t>CBDU10865</t>
  </si>
  <si>
    <t xml:space="preserve">The Old Council Yard Penial Terrace </t>
  </si>
  <si>
    <t>Llan Ffestiniog</t>
  </si>
  <si>
    <t>LL41 4LP</t>
  </si>
  <si>
    <t>CBDU10866</t>
  </si>
  <si>
    <t>21 Albion Industrial Estate Cilfynydd Road</t>
  </si>
  <si>
    <t>CF37 4NX</t>
  </si>
  <si>
    <t>CBDU10867</t>
  </si>
  <si>
    <t xml:space="preserve">3 Broad Street </t>
  </si>
  <si>
    <t>NP20 2DQ</t>
  </si>
  <si>
    <t>CBDL10868</t>
  </si>
  <si>
    <t>Unit 1 Tonypandy Enterprise Park</t>
  </si>
  <si>
    <t>Llwynypia Road</t>
  </si>
  <si>
    <t>CF40 2ET</t>
  </si>
  <si>
    <t>CBDU10869</t>
  </si>
  <si>
    <t>Unit 15 Ridley Wood Industrial Complex</t>
  </si>
  <si>
    <t>Bryn Lane</t>
  </si>
  <si>
    <t>CBDU11094</t>
  </si>
  <si>
    <t>45 Thomas Avenue Ponthenry</t>
  </si>
  <si>
    <t>SA15 5PR</t>
  </si>
  <si>
    <t>CBDU11096</t>
  </si>
  <si>
    <t xml:space="preserve">11 Harkness Drive </t>
  </si>
  <si>
    <t>Waterlooville</t>
  </si>
  <si>
    <t>PO7 8QR</t>
  </si>
  <si>
    <t>CBDU11099</t>
  </si>
  <si>
    <t>Unit 6 Scorton Events Centre</t>
  </si>
  <si>
    <t>Scorton</t>
  </si>
  <si>
    <t>DL10 6EJ</t>
  </si>
  <si>
    <t>CBDU11100</t>
  </si>
  <si>
    <t xml:space="preserve">11 Chapel Road </t>
  </si>
  <si>
    <t>NP7 7DN</t>
  </si>
  <si>
    <t>CBDL11101</t>
  </si>
  <si>
    <t>Unit 8A-8B Block H Withey Court</t>
  </si>
  <si>
    <t>CBDU11102</t>
  </si>
  <si>
    <t>CBDL11105</t>
  </si>
  <si>
    <t>Gelli Uchaf Golfa</t>
  </si>
  <si>
    <t>SY21 9BB</t>
  </si>
  <si>
    <t>CBDU11106</t>
  </si>
  <si>
    <t>5 Cae Bach Penybanc</t>
  </si>
  <si>
    <t>SA19 7SU</t>
  </si>
  <si>
    <t>CBDU11108</t>
  </si>
  <si>
    <t>Pwllyfroga Farm Marsh Road</t>
  </si>
  <si>
    <t>Llanmorlais</t>
  </si>
  <si>
    <t>SA4 3TP</t>
  </si>
  <si>
    <t>CBDU11114</t>
  </si>
  <si>
    <t>Unit 19 BSC Centre Innovation Quarter</t>
  </si>
  <si>
    <t>Hood Road</t>
  </si>
  <si>
    <t>CBDU11115</t>
  </si>
  <si>
    <t>Riverside Works Penybanc Road</t>
  </si>
  <si>
    <t>SA18 3RB</t>
  </si>
  <si>
    <t>CBDU11927</t>
  </si>
  <si>
    <t>Whitelye Farm Botany Bay</t>
  </si>
  <si>
    <t>Tintern</t>
  </si>
  <si>
    <t>NP16 6NJ</t>
  </si>
  <si>
    <t>CBDU11931</t>
  </si>
  <si>
    <t>12 Rectory Close Loughor</t>
  </si>
  <si>
    <t>SA4 6JU</t>
  </si>
  <si>
    <t>CBDU11933</t>
  </si>
  <si>
    <t>Unit 113 Springvale Industrial Estate</t>
  </si>
  <si>
    <t>NP44 5BG</t>
  </si>
  <si>
    <t>CBDU11934</t>
  </si>
  <si>
    <t>Sealand Farm Sealand Road</t>
  </si>
  <si>
    <t>CBDU11938</t>
  </si>
  <si>
    <t>Rose Cottage Redwick</t>
  </si>
  <si>
    <t>NP26 3DE</t>
  </si>
  <si>
    <t>CBDU11939</t>
  </si>
  <si>
    <t>The Nurseries Llanbadoc</t>
  </si>
  <si>
    <t>NP15 1TG</t>
  </si>
  <si>
    <t>CBDL11941</t>
  </si>
  <si>
    <t xml:space="preserve">10 Chapel Street </t>
  </si>
  <si>
    <t>CF40 2RB</t>
  </si>
  <si>
    <t>CBDL11390</t>
  </si>
  <si>
    <t>Garth-y-Don Landshipping</t>
  </si>
  <si>
    <t>Narberth</t>
  </si>
  <si>
    <t>SA67 8BE</t>
  </si>
  <si>
    <t>CBDU11391</t>
  </si>
  <si>
    <t>Unit 15 Venture Wales</t>
  </si>
  <si>
    <t>CF83 8GF</t>
  </si>
  <si>
    <t>CBDU11392</t>
  </si>
  <si>
    <t>Kidwelly Industrial Estate Pembrey Road</t>
  </si>
  <si>
    <t>SA17 4TF</t>
  </si>
  <si>
    <t>CBDU11396</t>
  </si>
  <si>
    <t>Llys Y Ceiniog Tremain</t>
  </si>
  <si>
    <t>SA43 1SH</t>
  </si>
  <si>
    <t>CBDU11613</t>
  </si>
  <si>
    <t>Tai Hirion Llwybr Hir</t>
  </si>
  <si>
    <t>Caerwys</t>
  </si>
  <si>
    <t>CH75BL</t>
  </si>
  <si>
    <t>CBDU11614</t>
  </si>
  <si>
    <t>Gwynfryn Llanfwrog</t>
  </si>
  <si>
    <t>LL15 2AB</t>
  </si>
  <si>
    <t>CBDU11615</t>
  </si>
  <si>
    <t>Felinfach Fforestfach</t>
  </si>
  <si>
    <t>SA5 4HF</t>
  </si>
  <si>
    <t>CBDU11616</t>
  </si>
  <si>
    <t>Unit E4 Main Avenue</t>
  </si>
  <si>
    <t>CBDU11617</t>
  </si>
  <si>
    <t xml:space="preserve">1 Technology Drive </t>
  </si>
  <si>
    <t>CF31 3LU</t>
  </si>
  <si>
    <t>CBDU11620</t>
  </si>
  <si>
    <t>Minffordd Crane Street</t>
  </si>
  <si>
    <t>Cefn Mawr</t>
  </si>
  <si>
    <t>LL14 3AB</t>
  </si>
  <si>
    <t>CBDU11622</t>
  </si>
  <si>
    <t>Maes Y Fforch Babel</t>
  </si>
  <si>
    <t>SA20 0AJ</t>
  </si>
  <si>
    <t>CBDL11624</t>
  </si>
  <si>
    <t xml:space="preserve">Appletree Road </t>
  </si>
  <si>
    <t>CF40 1JJ</t>
  </si>
  <si>
    <t>CBDU11627</t>
  </si>
  <si>
    <t>CBDL11629</t>
  </si>
  <si>
    <t>4 Old Field Road Pencoed</t>
  </si>
  <si>
    <t>CF35 5LJ</t>
  </si>
  <si>
    <t>CBDL11837</t>
  </si>
  <si>
    <t>Unit 11 Pacific Business Park</t>
  </si>
  <si>
    <t>Pacific Road</t>
  </si>
  <si>
    <t>CF24 5HJ</t>
  </si>
  <si>
    <t>CBDL11839</t>
  </si>
  <si>
    <t xml:space="preserve">Mamhilad </t>
  </si>
  <si>
    <t>NP4 8QZ</t>
  </si>
  <si>
    <t>CBDU11840</t>
  </si>
  <si>
    <t>Unit 5 Llewellyns Quay</t>
  </si>
  <si>
    <t>CBDU11841</t>
  </si>
  <si>
    <t>27 Kensington Grove Box Lane</t>
  </si>
  <si>
    <t>LL12 8AJ</t>
  </si>
  <si>
    <t>CBDU11842</t>
  </si>
  <si>
    <t>5 Woodfield Avenue Radyr</t>
  </si>
  <si>
    <t>CF15 8EF</t>
  </si>
  <si>
    <t>CBDU11843</t>
  </si>
  <si>
    <t>Felin Wen Farm Rhydypandy Road</t>
  </si>
  <si>
    <t>SA6 6NX</t>
  </si>
  <si>
    <t>CBDU11844</t>
  </si>
  <si>
    <t>Bangor Road</t>
  </si>
  <si>
    <t>CBDU11845</t>
  </si>
  <si>
    <t>Unit 12 Llanelli Gate</t>
  </si>
  <si>
    <t>CBDU12144</t>
  </si>
  <si>
    <t xml:space="preserve">8 Coggins Close </t>
  </si>
  <si>
    <t>CF83 1ST</t>
  </si>
  <si>
    <t>CBDU12147</t>
  </si>
  <si>
    <t>Celtic Rendering Systems Ltd</t>
  </si>
  <si>
    <t>Bannerbrook Stores</t>
  </si>
  <si>
    <t>Copperworks Road</t>
  </si>
  <si>
    <t>CBDU12149</t>
  </si>
  <si>
    <t>51 Apollo Business Village</t>
  </si>
  <si>
    <t>Apollo Business Village Heol Persondy</t>
  </si>
  <si>
    <t>CBDU12355</t>
  </si>
  <si>
    <t>9 Bevan Avenue Mochdre</t>
  </si>
  <si>
    <t>LL28 5AD</t>
  </si>
  <si>
    <t>CBDU12360</t>
  </si>
  <si>
    <t>Fernybank Quarry Road</t>
  </si>
  <si>
    <t>NP7 0RR</t>
  </si>
  <si>
    <t>CBDU12361</t>
  </si>
  <si>
    <t>Plateau 1-2 Rassau Industrial Estate</t>
  </si>
  <si>
    <t>CBDL12369</t>
  </si>
  <si>
    <t>Unit 33 Poundfield shopping centre</t>
  </si>
  <si>
    <t>Boverton Road</t>
  </si>
  <si>
    <t>CF61 1DL</t>
  </si>
  <si>
    <t>CBDU12703</t>
  </si>
  <si>
    <t>Unit 8 Cambrian Court</t>
  </si>
  <si>
    <t>Ferryboat Close</t>
  </si>
  <si>
    <t>SA6 8PZ</t>
  </si>
  <si>
    <t>CBDL12704</t>
  </si>
  <si>
    <t>Unit 25 Crofty Industrial Estate</t>
  </si>
  <si>
    <t>SA4 3RS</t>
  </si>
  <si>
    <t>CBDU12708</t>
  </si>
  <si>
    <t xml:space="preserve">35 High Street </t>
  </si>
  <si>
    <t>LL16 3HY</t>
  </si>
  <si>
    <t>CBDU12710</t>
  </si>
  <si>
    <t>K P L House Pontshonnorton Road</t>
  </si>
  <si>
    <t>CF37 4NA</t>
  </si>
  <si>
    <t>CBDU12915</t>
  </si>
  <si>
    <t xml:space="preserve">17D Hall Street </t>
  </si>
  <si>
    <t>SA15 3BB</t>
  </si>
  <si>
    <t>CBDU12918</t>
  </si>
  <si>
    <t>Unit 1 Jaeger House</t>
  </si>
  <si>
    <t>141 Holt Road</t>
  </si>
  <si>
    <t>LL13 9DY</t>
  </si>
  <si>
    <t>CBDL12921</t>
  </si>
  <si>
    <t>18 Offway Coed Eva</t>
  </si>
  <si>
    <t>NP44 7DR</t>
  </si>
  <si>
    <t>CBDU12922</t>
  </si>
  <si>
    <t>Unit 14E Atlantic Trading Estate</t>
  </si>
  <si>
    <t>CBDL12923</t>
  </si>
  <si>
    <t>Tyn Lon Ceirchiog</t>
  </si>
  <si>
    <t>Ty Croes</t>
  </si>
  <si>
    <t>LL63 5UL</t>
  </si>
  <si>
    <t>CBDU12925</t>
  </si>
  <si>
    <t>Unit 4B Gaerwen Industrial Estate</t>
  </si>
  <si>
    <t>CBDU12926</t>
  </si>
  <si>
    <t>Bryneithyn Aberarad</t>
  </si>
  <si>
    <t>SA38 9DQ</t>
  </si>
  <si>
    <t>CBDU12928</t>
  </si>
  <si>
    <t>4 Heol Celynnen Llanharry</t>
  </si>
  <si>
    <t>CF72 9GF</t>
  </si>
  <si>
    <t>CBDL13300</t>
  </si>
  <si>
    <t>35  Marsh Street</t>
  </si>
  <si>
    <t>SA12 6UD</t>
  </si>
  <si>
    <t>CBDU13302</t>
  </si>
  <si>
    <t>Unit 8 Ferryboat close</t>
  </si>
  <si>
    <t>SA6 8QN</t>
  </si>
  <si>
    <t>CBDL13304</t>
  </si>
  <si>
    <t>Unit 30 Morelands Industrial Estate</t>
  </si>
  <si>
    <t>CBDU13305</t>
  </si>
  <si>
    <t xml:space="preserve">56 The Beeches </t>
  </si>
  <si>
    <t>SA44 4HT</t>
  </si>
  <si>
    <t>CBDL13307</t>
  </si>
  <si>
    <t xml:space="preserve">46 Wellington New Road </t>
  </si>
  <si>
    <t>TA1 5NF</t>
  </si>
  <si>
    <t>CBDU13308</t>
  </si>
  <si>
    <t>3 Fieldside Hawarden</t>
  </si>
  <si>
    <t>CH5 3JB</t>
  </si>
  <si>
    <t>CBDL13309</t>
  </si>
  <si>
    <t xml:space="preserve">Draethen </t>
  </si>
  <si>
    <t>NP10 8GB</t>
  </si>
  <si>
    <t>CBDL13472</t>
  </si>
  <si>
    <t>Llys Garth Garth Road</t>
  </si>
  <si>
    <t>CBDU13474</t>
  </si>
  <si>
    <t>Thames Valley House Albany Street</t>
  </si>
  <si>
    <t>NP20 5NJ</t>
  </si>
  <si>
    <t>CBDU13476</t>
  </si>
  <si>
    <t>Uwchlaw Rhos Groeslon</t>
  </si>
  <si>
    <t>LL54 7UE</t>
  </si>
  <si>
    <t>CBDU13477</t>
  </si>
  <si>
    <t>Y Goedlan Brithdir</t>
  </si>
  <si>
    <t>LL40 2RN</t>
  </si>
  <si>
    <t>CBDU13478</t>
  </si>
  <si>
    <t xml:space="preserve">185 High Street </t>
  </si>
  <si>
    <t>CF39 9AW</t>
  </si>
  <si>
    <t>CBDU13479</t>
  </si>
  <si>
    <t>Douglas House 11 Sir Alfred Owen Way</t>
  </si>
  <si>
    <t>CBDU13480</t>
  </si>
  <si>
    <t>CBDU13481</t>
  </si>
  <si>
    <t>Cartref Station Road</t>
  </si>
  <si>
    <t>SA41 3RL</t>
  </si>
  <si>
    <t>CBDU13483</t>
  </si>
  <si>
    <t>Woodland Farm Tir Syr Walter</t>
  </si>
  <si>
    <t>SA18 1JW</t>
  </si>
  <si>
    <t>CBDU13484</t>
  </si>
  <si>
    <t xml:space="preserve">81 Lammas Street </t>
  </si>
  <si>
    <t>SA31 3AY</t>
  </si>
  <si>
    <t>CBDU13485</t>
  </si>
  <si>
    <t>10 Katie Street Blaengarw</t>
  </si>
  <si>
    <t>CF32 8AB</t>
  </si>
  <si>
    <t>CBDU13486</t>
  </si>
  <si>
    <t>Hafod Ind Est Hafod Road</t>
  </si>
  <si>
    <t>LL14 6HF</t>
  </si>
  <si>
    <t>CBDU13488</t>
  </si>
  <si>
    <t>Briton Ferry Ind Est Briton Ferry</t>
  </si>
  <si>
    <t>SA11 2HZ</t>
  </si>
  <si>
    <t>CBDU13490</t>
  </si>
  <si>
    <t>14 Cefn Road Old Colwyn</t>
  </si>
  <si>
    <t>LL29 9PN</t>
  </si>
  <si>
    <t>CBDU13492</t>
  </si>
  <si>
    <t>140 Manselton Road Manselton</t>
  </si>
  <si>
    <t>SA5 8PW</t>
  </si>
  <si>
    <t>CBDU13494</t>
  </si>
  <si>
    <t xml:space="preserve">Llwyn Llidiart </t>
  </si>
  <si>
    <t>LL75 8YF</t>
  </si>
  <si>
    <t>CBDL13496</t>
  </si>
  <si>
    <t>Po Box 99 Llangunnor</t>
  </si>
  <si>
    <t>SA31 2PF</t>
  </si>
  <si>
    <t>CBDL13497</t>
  </si>
  <si>
    <t>Cefn Coed New Park Terrace</t>
  </si>
  <si>
    <t>CF37 1TH</t>
  </si>
  <si>
    <t>CBDL31</t>
  </si>
  <si>
    <t>St Davids House Mochdre Business Park</t>
  </si>
  <si>
    <t>CBDL34</t>
  </si>
  <si>
    <t>Unit 11 Tremarl Industrial Estate Ffordd Maelgwyn</t>
  </si>
  <si>
    <t>LL31 9PW</t>
  </si>
  <si>
    <t>CBDL36</t>
  </si>
  <si>
    <t>CBDL277</t>
  </si>
  <si>
    <t>LLanrhos Post Office and Store Maes y Castell</t>
  </si>
  <si>
    <t>LLanrhos</t>
  </si>
  <si>
    <t>LL30 1NG</t>
  </si>
  <si>
    <t>CBDL530</t>
  </si>
  <si>
    <t>CBDL531</t>
  </si>
  <si>
    <t>CBDL532</t>
  </si>
  <si>
    <t>36 John Baker Close Llantarnam Park</t>
  </si>
  <si>
    <t>NP44 3AX</t>
  </si>
  <si>
    <t>CBDL534</t>
  </si>
  <si>
    <t>Jamesons Hall Foundry Road</t>
  </si>
  <si>
    <t>SA6 8DU</t>
  </si>
  <si>
    <t>CBDL537</t>
  </si>
  <si>
    <t>62 Ael y Bryn</t>
  </si>
  <si>
    <t>CF23 9LH</t>
  </si>
  <si>
    <t>CBDL538</t>
  </si>
  <si>
    <t>Greenearth Hydro Ltd</t>
  </si>
  <si>
    <t>Po Box 68</t>
  </si>
  <si>
    <t>Aberdovey</t>
  </si>
  <si>
    <t>LL36 6AJ</t>
  </si>
  <si>
    <t>CBDL539</t>
  </si>
  <si>
    <t>CF24 0HB</t>
  </si>
  <si>
    <t>CBDL540</t>
  </si>
  <si>
    <t>Strand House Station Crescent</t>
  </si>
  <si>
    <t>LD1 5BB</t>
  </si>
  <si>
    <t>CBDL541</t>
  </si>
  <si>
    <t>Severn Farm Industrial Estate Welshpool</t>
  </si>
  <si>
    <t>CBDL543</t>
  </si>
  <si>
    <t>B4 Heol Y Twyn</t>
  </si>
  <si>
    <t>Talbot Green Business Park</t>
  </si>
  <si>
    <t>Talbot Green</t>
  </si>
  <si>
    <t>CBDL544</t>
  </si>
  <si>
    <t>CBDL545</t>
  </si>
  <si>
    <t>CBDL771</t>
  </si>
  <si>
    <t>141 Walter Road</t>
  </si>
  <si>
    <t>CBDL772</t>
  </si>
  <si>
    <t>27 Lord Street</t>
  </si>
  <si>
    <t>Liverpool</t>
  </si>
  <si>
    <t>L2 9SA</t>
  </si>
  <si>
    <t>CBDL773</t>
  </si>
  <si>
    <t>Unit 6C1 Hepworth Business Park</t>
  </si>
  <si>
    <t xml:space="preserve">Coed Cae Lane </t>
  </si>
  <si>
    <t>CBDL777</t>
  </si>
  <si>
    <t>48 Alexandra Road</t>
  </si>
  <si>
    <t>LL30 2DQ</t>
  </si>
  <si>
    <t>CBDL778</t>
  </si>
  <si>
    <t>Fox Complex Severn Road</t>
  </si>
  <si>
    <t>CBDL780</t>
  </si>
  <si>
    <t>1 Vale Park Colomendy Ind Est</t>
  </si>
  <si>
    <t>CBDL781</t>
  </si>
  <si>
    <t>Glendale Industrial Park Glendale Avenue</t>
  </si>
  <si>
    <t>CBDL782</t>
  </si>
  <si>
    <t>Units 25 - 26 Mochdre Industrial Estate</t>
  </si>
  <si>
    <t>CBDL783</t>
  </si>
  <si>
    <t>White Lea Farm Friezland Lane</t>
  </si>
  <si>
    <t>Greenfield</t>
  </si>
  <si>
    <t>Oldham</t>
  </si>
  <si>
    <t>OL37EY</t>
  </si>
  <si>
    <t>CBDL784</t>
  </si>
  <si>
    <t>Teify Forge Cwmann</t>
  </si>
  <si>
    <t>SA48 8JN</t>
  </si>
  <si>
    <t>CBDL966</t>
  </si>
  <si>
    <t>Welsh Mountain Zoo  Old Highway</t>
  </si>
  <si>
    <t>CBDL969</t>
  </si>
  <si>
    <t>MORFA FARM MATHRY</t>
  </si>
  <si>
    <t>HAVERFORDWEST</t>
  </si>
  <si>
    <t>SA62 5HL</t>
  </si>
  <si>
    <t>CBDL972</t>
  </si>
  <si>
    <t>44 mathew street</t>
  </si>
  <si>
    <t>sa11pz</t>
  </si>
  <si>
    <t>CBDL973</t>
  </si>
  <si>
    <t>6  GLANHOWY ROAD</t>
  </si>
  <si>
    <t>WYLLIE</t>
  </si>
  <si>
    <t>BLACKWOOD</t>
  </si>
  <si>
    <t>np122hn</t>
  </si>
  <si>
    <t>CBDL974</t>
  </si>
  <si>
    <t>Martin Evans House Riverside Court</t>
  </si>
  <si>
    <t>Avenue de Clichy</t>
  </si>
  <si>
    <t>CF47 8LD</t>
  </si>
  <si>
    <t>CBDL975</t>
  </si>
  <si>
    <t>Gelli Capel Garmon</t>
  </si>
  <si>
    <t>LL260RG</t>
  </si>
  <si>
    <t>CBDL976</t>
  </si>
  <si>
    <t>Park Road Surgery Park Road</t>
  </si>
  <si>
    <t>CF14 7EZ</t>
  </si>
  <si>
    <t>CBDL977</t>
  </si>
  <si>
    <t>Unit 7 Roseheyworth Business Park</t>
  </si>
  <si>
    <t>Abertillery</t>
  </si>
  <si>
    <t>NP13 1SP</t>
  </si>
  <si>
    <t>CBDL978</t>
  </si>
  <si>
    <t>CBDL979</t>
  </si>
  <si>
    <t>36  Castle Street</t>
  </si>
  <si>
    <t>LL20 8RT</t>
  </si>
  <si>
    <t>CBDL1210</t>
  </si>
  <si>
    <t>39 bryn twr</t>
  </si>
  <si>
    <t>ll228dd</t>
  </si>
  <si>
    <t>CBDL1211</t>
  </si>
  <si>
    <t>the Old Brickworks Hull Road</t>
  </si>
  <si>
    <t>Hemingbrough</t>
  </si>
  <si>
    <t>Selby</t>
  </si>
  <si>
    <t>YO8 6QG</t>
  </si>
  <si>
    <t>CBDL1216</t>
  </si>
  <si>
    <t>5 Mellington Workshops Churchstoke</t>
  </si>
  <si>
    <t>CBDL1217</t>
  </si>
  <si>
    <t>CBDL1220</t>
  </si>
  <si>
    <t>12 conway road</t>
  </si>
  <si>
    <t>penlan</t>
  </si>
  <si>
    <t>sa57bd</t>
  </si>
  <si>
    <t>CBDL1452</t>
  </si>
  <si>
    <t>377 - 385 Fore Street</t>
  </si>
  <si>
    <t>Edmonton Green</t>
  </si>
  <si>
    <t>N9 0NR</t>
  </si>
  <si>
    <t>CBDL1453</t>
  </si>
  <si>
    <t>46 - 60 Peartree road</t>
  </si>
  <si>
    <t>Normanton</t>
  </si>
  <si>
    <t>DE23 6PY</t>
  </si>
  <si>
    <t>CBDL1457</t>
  </si>
  <si>
    <t>Central Depot Waste Office Brynmawr</t>
  </si>
  <si>
    <t>NP23 4YF</t>
  </si>
  <si>
    <t>CBDL1461</t>
  </si>
  <si>
    <t>The Quays Brunel Way</t>
  </si>
  <si>
    <t>SA11 2GG</t>
  </si>
  <si>
    <t>CBDL1462</t>
  </si>
  <si>
    <t>The Alps Depot Quarry Road</t>
  </si>
  <si>
    <t>Wenvoe</t>
  </si>
  <si>
    <t>CBDL1463</t>
  </si>
  <si>
    <t>bailey hill bailey hill</t>
  </si>
  <si>
    <t>YORKLEY.LYDNEY</t>
  </si>
  <si>
    <t>gl15 4rs</t>
  </si>
  <si>
    <t>CBDL1464</t>
  </si>
  <si>
    <t>42  Lawson Rd</t>
  </si>
  <si>
    <t>LL29 8HE</t>
  </si>
  <si>
    <t>CBDL1466</t>
  </si>
  <si>
    <t>6 Station Road</t>
  </si>
  <si>
    <t>SA9 1NT</t>
  </si>
  <si>
    <t>CBDL1467</t>
  </si>
  <si>
    <t>Steeple House Steeple Lane</t>
  </si>
  <si>
    <t>LD3 7DJ</t>
  </si>
  <si>
    <t>CBDL1683</t>
  </si>
  <si>
    <t>Stadium House 182 Neath Road</t>
  </si>
  <si>
    <t>SA1 2JT</t>
  </si>
  <si>
    <t>CBDL1684</t>
  </si>
  <si>
    <t>101 Westgate</t>
  </si>
  <si>
    <t>Guisborough</t>
  </si>
  <si>
    <t>TS146AF</t>
  </si>
  <si>
    <t>CBDL1685</t>
  </si>
  <si>
    <t>Groundwork Bryn Road</t>
  </si>
  <si>
    <t>NP122BH</t>
  </si>
  <si>
    <t>CBDL1689</t>
  </si>
  <si>
    <t>Cowlishaw Farm Oldham</t>
  </si>
  <si>
    <t>Lancashire</t>
  </si>
  <si>
    <t>OL2 7BX</t>
  </si>
  <si>
    <t>CBDL1692</t>
  </si>
  <si>
    <t>15 Wern fawr road</t>
  </si>
  <si>
    <t>SA1 8LQ</t>
  </si>
  <si>
    <t>CBDL1695</t>
  </si>
  <si>
    <t>Shaw trust  North walk</t>
  </si>
  <si>
    <t>Np441pr</t>
  </si>
  <si>
    <t>CBDL1696</t>
  </si>
  <si>
    <t>Edgware Primary School Heming Road</t>
  </si>
  <si>
    <t>Edgware</t>
  </si>
  <si>
    <t>HA8 9AB</t>
  </si>
  <si>
    <t>CBDL1697</t>
  </si>
  <si>
    <t>CBDL2165</t>
  </si>
  <si>
    <t>Unit 1 Mochdre Industrial Estate</t>
  </si>
  <si>
    <t>CBDL2177</t>
  </si>
  <si>
    <t>Aelfryn Llanhari</t>
  </si>
  <si>
    <t>CF72 9LQ</t>
  </si>
  <si>
    <t>CBDL2328</t>
  </si>
  <si>
    <t xml:space="preserve">81 Rhydhelig Avenue </t>
  </si>
  <si>
    <t>CF14 4DB</t>
  </si>
  <si>
    <t>CBDL2329</t>
  </si>
  <si>
    <t>Unit 10 Castle Farm</t>
  </si>
  <si>
    <t>NP15 2BT</t>
  </si>
  <si>
    <t>CBDL2564</t>
  </si>
  <si>
    <t>Maes Onn Llanrhaeadr</t>
  </si>
  <si>
    <t>LL16 4PW</t>
  </si>
  <si>
    <t>CBDL2573</t>
  </si>
  <si>
    <t>Second Avenue Deeside Industrial Park</t>
  </si>
  <si>
    <t>CH5 2NX</t>
  </si>
  <si>
    <t>CBDL2805</t>
  </si>
  <si>
    <t>Ashfield Hawy</t>
  </si>
  <si>
    <t>LD1 5PL</t>
  </si>
  <si>
    <t>CBDL2806</t>
  </si>
  <si>
    <t>2  SOUTHGATE HOUSE</t>
  </si>
  <si>
    <t>ALEXANDRA STREET</t>
  </si>
  <si>
    <t>HALIFAX</t>
  </si>
  <si>
    <t>HX1 1DE</t>
  </si>
  <si>
    <t>CBDL3011</t>
  </si>
  <si>
    <t xml:space="preserve">Redlands Road </t>
  </si>
  <si>
    <t>CF64 2WD</t>
  </si>
  <si>
    <t>CBDL3012</t>
  </si>
  <si>
    <t xml:space="preserve">Blackett Avenue </t>
  </si>
  <si>
    <t>NP20 6NH</t>
  </si>
  <si>
    <t>CBDL3017</t>
  </si>
  <si>
    <t>5 Mona Buildings Station Road</t>
  </si>
  <si>
    <t>LL33 0AP</t>
  </si>
  <si>
    <t>CBDL3019</t>
  </si>
  <si>
    <t>UNIT 5 KNIGHTON LANE</t>
  </si>
  <si>
    <t>WIMBORNE</t>
  </si>
  <si>
    <t>BH21 3AS</t>
  </si>
  <si>
    <t>CBDL3228</t>
  </si>
  <si>
    <t xml:space="preserve">9 Broad Street </t>
  </si>
  <si>
    <t>SY16 2LU</t>
  </si>
  <si>
    <t>CBDL3229</t>
  </si>
  <si>
    <t xml:space="preserve">Bailey Neuadd </t>
  </si>
  <si>
    <t>Rhaedr Gwy</t>
  </si>
  <si>
    <t>LD6 5NS</t>
  </si>
  <si>
    <t>CBDL3232</t>
  </si>
  <si>
    <t>4 Minyffordd Pant-y-Dwr</t>
  </si>
  <si>
    <t>LD6 5LW</t>
  </si>
  <si>
    <t>CBDL3234</t>
  </si>
  <si>
    <t>Old Crosville Garage Doll Street</t>
  </si>
  <si>
    <t>SY20 8BH</t>
  </si>
  <si>
    <t>CBDL3243</t>
  </si>
  <si>
    <t xml:space="preserve">23 Y Ffynnon Haearn </t>
  </si>
  <si>
    <t>CBDL3521</t>
  </si>
  <si>
    <t xml:space="preserve">375 Chepstow Road </t>
  </si>
  <si>
    <t>NP19 8XR</t>
  </si>
  <si>
    <t>CBDL3534</t>
  </si>
  <si>
    <t>40 Llantrisant rd</t>
  </si>
  <si>
    <t>Cf72 9dq</t>
  </si>
  <si>
    <t>CBDL3743</t>
  </si>
  <si>
    <t>5 Maes Yr Hafod Llangatwg</t>
  </si>
  <si>
    <t>SA10 8AZ</t>
  </si>
  <si>
    <t>CBDL3745</t>
  </si>
  <si>
    <t xml:space="preserve">158 Malpas Road </t>
  </si>
  <si>
    <t>NP20 5PN</t>
  </si>
  <si>
    <t>CBDL3747</t>
  </si>
  <si>
    <t xml:space="preserve">9 Brynteg </t>
  </si>
  <si>
    <t>CF14 6TS</t>
  </si>
  <si>
    <t>CBDL3977</t>
  </si>
  <si>
    <t>11 Prince Charles Road Rhaglan</t>
  </si>
  <si>
    <t>NP15 2FB</t>
  </si>
  <si>
    <t>CBDL4236</t>
  </si>
  <si>
    <t>Unit 34-36 Mochdre Industrial Estate</t>
  </si>
  <si>
    <t>CBDL4242</t>
  </si>
  <si>
    <t>62-64 Commercial Street Ystalyfera</t>
  </si>
  <si>
    <t>SA9 2HS</t>
  </si>
  <si>
    <t>CBDL4246</t>
  </si>
  <si>
    <t xml:space="preserve">12 Cherry Vale </t>
  </si>
  <si>
    <t>L25 5PX</t>
  </si>
  <si>
    <t>CBDL4248</t>
  </si>
  <si>
    <t xml:space="preserve">40 Market Place </t>
  </si>
  <si>
    <t>Devizes</t>
  </si>
  <si>
    <t>SN10 1JG</t>
  </si>
  <si>
    <t>CBDL4475</t>
  </si>
  <si>
    <t>Cwmbargoed Disposal Point Fochriw Road</t>
  </si>
  <si>
    <t>Cwmbargoed</t>
  </si>
  <si>
    <t>CF48 4AE</t>
  </si>
  <si>
    <t>CBDL4483</t>
  </si>
  <si>
    <t>Cherry Tree House Carmarthen Road</t>
  </si>
  <si>
    <t>SA1 1HE</t>
  </si>
  <si>
    <t>CBDL4917</t>
  </si>
  <si>
    <t>Unit E Kef business park Coppi Industrial Estate</t>
  </si>
  <si>
    <t>Rhos</t>
  </si>
  <si>
    <t>LL141TG</t>
  </si>
  <si>
    <t>CBDL4652</t>
  </si>
  <si>
    <t>Old Forest Farm Cleirwy</t>
  </si>
  <si>
    <t>HR3 5JT</t>
  </si>
  <si>
    <t>CBDL4654</t>
  </si>
  <si>
    <t>Unit 33 Alvis Road</t>
  </si>
  <si>
    <t>Engineer Park</t>
  </si>
  <si>
    <t>CH5 2QB</t>
  </si>
  <si>
    <t>CBDL4661</t>
  </si>
  <si>
    <t>Ayjay House Unit B</t>
  </si>
  <si>
    <t>23 Greenway</t>
  </si>
  <si>
    <t>CBDU5405</t>
  </si>
  <si>
    <t>Flat 14 Albany Reach</t>
  </si>
  <si>
    <t>Queens Road</t>
  </si>
  <si>
    <t>Thames Ditton</t>
  </si>
  <si>
    <t>KT7 0QH</t>
  </si>
  <si>
    <t>CBDL5412</t>
  </si>
  <si>
    <t>Alyn Bungalow Denbigh Road</t>
  </si>
  <si>
    <t>CBDU5419</t>
  </si>
  <si>
    <t>CBDU5673</t>
  </si>
  <si>
    <t xml:space="preserve">133 Berw Road </t>
  </si>
  <si>
    <t>CF37 2AB</t>
  </si>
  <si>
    <t>CBDU5679</t>
  </si>
  <si>
    <t>12 Penbryn Road Sgiwen</t>
  </si>
  <si>
    <t>SA10 6US</t>
  </si>
  <si>
    <t>CBDU5681</t>
  </si>
  <si>
    <t>5 Ffordd Arley Pandy</t>
  </si>
  <si>
    <t>LL12 8PQ</t>
  </si>
  <si>
    <t>CBDU6169</t>
  </si>
  <si>
    <t>5 Clos-Glanlliw Pontlliw</t>
  </si>
  <si>
    <t>SA4 9DW</t>
  </si>
  <si>
    <t>CBDU6171</t>
  </si>
  <si>
    <t>Unit 1A Coppi Industrial Estate</t>
  </si>
  <si>
    <t>Rhosllanerchrugog</t>
  </si>
  <si>
    <t>LL14 1TG</t>
  </si>
  <si>
    <t>CBDU6172</t>
  </si>
  <si>
    <t>Unit B  Upper Boat Business Center</t>
  </si>
  <si>
    <t xml:space="preserve">Mid Glamorgan </t>
  </si>
  <si>
    <t>CBDU6173</t>
  </si>
  <si>
    <t>Suite B1  Britannic House</t>
  </si>
  <si>
    <t>Llandarcy</t>
  </si>
  <si>
    <t>sa10 6jq</t>
  </si>
  <si>
    <t>CBDU6174</t>
  </si>
  <si>
    <t>Unit 12 Metropolitan Business Park Preston New Road</t>
  </si>
  <si>
    <t>Blackpool</t>
  </si>
  <si>
    <t>FY3 9LT</t>
  </si>
  <si>
    <t>CBDU6175</t>
  </si>
  <si>
    <t>Hugmore House Hugmore Lane</t>
  </si>
  <si>
    <t>Llan-y-Pwll</t>
  </si>
  <si>
    <t>LL13 9YE</t>
  </si>
  <si>
    <t>CBDU6176</t>
  </si>
  <si>
    <t>CBDL6177</t>
  </si>
  <si>
    <t>UNIT A17 GARTH WORKS</t>
  </si>
  <si>
    <t>TAFFS WELL</t>
  </si>
  <si>
    <t>CF157YF</t>
  </si>
  <si>
    <t>CBDU6178</t>
  </si>
  <si>
    <t xml:space="preserve">Llewellyns Quay </t>
  </si>
  <si>
    <t>CBDU5919</t>
  </si>
  <si>
    <t>100 High Street</t>
  </si>
  <si>
    <t>CH7 1BH</t>
  </si>
  <si>
    <t>CBDU5921</t>
  </si>
  <si>
    <t>Bromfield House Queens Lane</t>
  </si>
  <si>
    <t>CH7 1XB</t>
  </si>
  <si>
    <t>CBDU5923</t>
  </si>
  <si>
    <t xml:space="preserve">112 Cardigan Road </t>
  </si>
  <si>
    <t>SA61 2QS</t>
  </si>
  <si>
    <t>CBDL5928</t>
  </si>
  <si>
    <t>Biotec House Western Avenue</t>
  </si>
  <si>
    <t>CBDU5930</t>
  </si>
  <si>
    <t>2 Tai North Pennorth</t>
  </si>
  <si>
    <t>LD3 7EJ</t>
  </si>
  <si>
    <t>CBDU5931</t>
  </si>
  <si>
    <t xml:space="preserve">21 Thornes Lane </t>
  </si>
  <si>
    <t>Wakefield</t>
  </si>
  <si>
    <t>WF1 5QJ</t>
  </si>
  <si>
    <t>CBDL5933</t>
  </si>
  <si>
    <t>Bridge Farm North Tamerton</t>
  </si>
  <si>
    <t>Holsworthy</t>
  </si>
  <si>
    <t>EX22 6RJ</t>
  </si>
  <si>
    <t>CBDU6413</t>
  </si>
  <si>
    <t>Summers House Pascal Close</t>
  </si>
  <si>
    <t>Llaneirwg</t>
  </si>
  <si>
    <t>CF3 0LW</t>
  </si>
  <si>
    <t>CBDL6416</t>
  </si>
  <si>
    <t>unit 10 d vale business park</t>
  </si>
  <si>
    <t>v o g</t>
  </si>
  <si>
    <t>llandow</t>
  </si>
  <si>
    <t>cf717pf</t>
  </si>
  <si>
    <t>CBDU6418</t>
  </si>
  <si>
    <t>Bryn Eirian Bryniau Hendre</t>
  </si>
  <si>
    <t>LL48 6BA</t>
  </si>
  <si>
    <t>CBDU6419</t>
  </si>
  <si>
    <t>3Sixty Waste Management Ltd Chapel Farm Ind Est</t>
  </si>
  <si>
    <t>CBDL6420</t>
  </si>
  <si>
    <t>Field Farm House Hill Furze Road</t>
  </si>
  <si>
    <t>Bishampton</t>
  </si>
  <si>
    <t>Pershore</t>
  </si>
  <si>
    <t>WR10 2LZ</t>
  </si>
  <si>
    <t>CBDU6422</t>
  </si>
  <si>
    <t>Unit 1 Islwyn Workshops</t>
  </si>
  <si>
    <t>Pontymister Industrial Estate</t>
  </si>
  <si>
    <t>CBDU6423</t>
  </si>
  <si>
    <t>CBDU6426</t>
  </si>
  <si>
    <t>8 Beachley Road Tutshill</t>
  </si>
  <si>
    <t>NP16 7EQ</t>
  </si>
  <si>
    <t>CBDU6427</t>
  </si>
  <si>
    <t>Wenarth Ffosyffin</t>
  </si>
  <si>
    <t>SA46 0HB</t>
  </si>
  <si>
    <t>CBDU6727</t>
  </si>
  <si>
    <t>224 London Road Aston Clinton</t>
  </si>
  <si>
    <t>Aylesbury</t>
  </si>
  <si>
    <t>HP22 5LE</t>
  </si>
  <si>
    <t>CBDU6729</t>
  </si>
  <si>
    <t xml:space="preserve">25 Smithy Lane </t>
  </si>
  <si>
    <t>LL12 8AW</t>
  </si>
  <si>
    <t>CBDU6731</t>
  </si>
  <si>
    <t xml:space="preserve">43A Brunswick Street </t>
  </si>
  <si>
    <t>CF5 1LJ</t>
  </si>
  <si>
    <t>CBDL6733</t>
  </si>
  <si>
    <t xml:space="preserve">9 St. Mary Street </t>
  </si>
  <si>
    <t>NP25 3DB</t>
  </si>
  <si>
    <t>CBDU6735</t>
  </si>
  <si>
    <t>Fforest Farm Brechfa</t>
  </si>
  <si>
    <t>SA32 7BL</t>
  </si>
  <si>
    <t>CBDU6736</t>
  </si>
  <si>
    <t>CBDU6737</t>
  </si>
  <si>
    <t>Rear of 306 Western Avenue</t>
  </si>
  <si>
    <t>CF5 2BG</t>
  </si>
  <si>
    <t>CBDU6739</t>
  </si>
  <si>
    <t>Waterloo House Cross Hands Business Park</t>
  </si>
  <si>
    <t>CBDL6476</t>
  </si>
  <si>
    <t>IQA Operations Group St Helens Road</t>
  </si>
  <si>
    <t>LL55 2YB</t>
  </si>
  <si>
    <t>CBDL6477</t>
  </si>
  <si>
    <t>Penpalment Mold Road</t>
  </si>
  <si>
    <t>LL16 4BN</t>
  </si>
  <si>
    <t>CBDU6478</t>
  </si>
  <si>
    <t>Unit 17 Brynmenyn Business Centre</t>
  </si>
  <si>
    <t>St. Theodores Way</t>
  </si>
  <si>
    <t>CF32 9TZ</t>
  </si>
  <si>
    <t>CBDU6479</t>
  </si>
  <si>
    <t>Pencoedcae Farm Bryn Teg</t>
  </si>
  <si>
    <t>Heolgerrig</t>
  </si>
  <si>
    <t>CF48 1RY</t>
  </si>
  <si>
    <t>CBDL6480</t>
  </si>
  <si>
    <t xml:space="preserve">Heol Y Llongau </t>
  </si>
  <si>
    <t>CF63 4AR</t>
  </si>
  <si>
    <t>CBDU6481</t>
  </si>
  <si>
    <t>Albion Tile Yard Cilfynydd Road</t>
  </si>
  <si>
    <t>CF37 4NN</t>
  </si>
  <si>
    <t>CBDL6482</t>
  </si>
  <si>
    <t>CBDU6486</t>
  </si>
  <si>
    <t>21 Cromwell Street  Merthyr Tydfil</t>
  </si>
  <si>
    <t>Mid Glam</t>
  </si>
  <si>
    <t>CF47 8RY</t>
  </si>
  <si>
    <t>CBDU6487</t>
  </si>
  <si>
    <t>From Cottage Gwalchmie</t>
  </si>
  <si>
    <t>Hollyhead</t>
  </si>
  <si>
    <t>Anglesea</t>
  </si>
  <si>
    <t>LL65 4RW</t>
  </si>
  <si>
    <t>CBDU6961</t>
  </si>
  <si>
    <t xml:space="preserve">5 Stryd Iago </t>
  </si>
  <si>
    <t>CBDL6963</t>
  </si>
  <si>
    <t>Communications House 9 Llewelyn Avenue</t>
  </si>
  <si>
    <t>LL30 2ER</t>
  </si>
  <si>
    <t>CBDL6966</t>
  </si>
  <si>
    <t>2 Woodberry Grve London</t>
  </si>
  <si>
    <t>England</t>
  </si>
  <si>
    <t>N120DR</t>
  </si>
  <si>
    <t>CBDU6967</t>
  </si>
  <si>
    <t>Block F Parc Busnes Penrhos</t>
  </si>
  <si>
    <t>CBDU7319</t>
  </si>
  <si>
    <t>Unit 17 Marian Mawr Industrial Estate</t>
  </si>
  <si>
    <t>LL40 1UU</t>
  </si>
  <si>
    <t>CBDU7325</t>
  </si>
  <si>
    <t xml:space="preserve">29 Stryt Caer </t>
  </si>
  <si>
    <t>LL13 8BG</t>
  </si>
  <si>
    <t>CBDU7326</t>
  </si>
  <si>
    <t>The Dingle Stringers Lane</t>
  </si>
  <si>
    <t>Higher Kinnerton</t>
  </si>
  <si>
    <t>CH4 9BR</t>
  </si>
  <si>
    <t>CBDU7327</t>
  </si>
  <si>
    <t xml:space="preserve">11-12 Lower High Street </t>
  </si>
  <si>
    <t>CF47 8EB</t>
  </si>
  <si>
    <t>IP21919R</t>
  </si>
  <si>
    <t>CBDL7328</t>
  </si>
  <si>
    <t>CBDL7329</t>
  </si>
  <si>
    <t xml:space="preserve">74 Burrage Road </t>
  </si>
  <si>
    <t>SE18 7LL</t>
  </si>
  <si>
    <t>CBDU7330</t>
  </si>
  <si>
    <t>Unit 3 Crwst Business Park</t>
  </si>
  <si>
    <t>LL328HH</t>
  </si>
  <si>
    <t>CBDU7333</t>
  </si>
  <si>
    <t xml:space="preserve">6 Poynings Close </t>
  </si>
  <si>
    <t>NE3 2FW</t>
  </si>
  <si>
    <t>CBDL7334</t>
  </si>
  <si>
    <t xml:space="preserve">10 Belladonna Road </t>
  </si>
  <si>
    <t>L11 2AH</t>
  </si>
  <si>
    <t>CBDL7335</t>
  </si>
  <si>
    <t>CBDU7556</t>
  </si>
  <si>
    <t xml:space="preserve">Green Hall Farm </t>
  </si>
  <si>
    <t>SY22 5LG</t>
  </si>
  <si>
    <t>CBDU7557</t>
  </si>
  <si>
    <t>Volante Felindre</t>
  </si>
  <si>
    <t>LD3 0ST</t>
  </si>
  <si>
    <t>CBDU7558</t>
  </si>
  <si>
    <t>Grange Estate Grange Road</t>
  </si>
  <si>
    <t>LL18 4BY</t>
  </si>
  <si>
    <t>CBDL7559</t>
  </si>
  <si>
    <t>Trident Court East Moors Road</t>
  </si>
  <si>
    <t>CF24 5TD</t>
  </si>
  <si>
    <t>CBDL7560</t>
  </si>
  <si>
    <t>28  VICTORIA AVENUE</t>
  </si>
  <si>
    <t>PRESTATYN</t>
  </si>
  <si>
    <t>LL19 9DF</t>
  </si>
  <si>
    <t>CBDU7561</t>
  </si>
  <si>
    <t xml:space="preserve">69 Greenbrow Road </t>
  </si>
  <si>
    <t>M23 2FT</t>
  </si>
  <si>
    <t>CBDU7562</t>
  </si>
  <si>
    <t>28 VICTORIA AVENUE</t>
  </si>
  <si>
    <t>CBDU7564</t>
  </si>
  <si>
    <t>2 The Laurels Cardiff Road</t>
  </si>
  <si>
    <t>Sain Ffagan</t>
  </si>
  <si>
    <t>CF5 6EB</t>
  </si>
  <si>
    <t>CBDL7565</t>
  </si>
  <si>
    <t>28 Dunraven Street Glyncorrwg</t>
  </si>
  <si>
    <t>SA13 3AD</t>
  </si>
  <si>
    <t>CBDL7568</t>
  </si>
  <si>
    <t>The Pebbles Newgale</t>
  </si>
  <si>
    <t>SA62 6BD</t>
  </si>
  <si>
    <t>CBDL7569</t>
  </si>
  <si>
    <t>80-81 New Road Sgiwen</t>
  </si>
  <si>
    <t>SA10 6HE</t>
  </si>
  <si>
    <t>CBDU7063</t>
  </si>
  <si>
    <t>The Twyn Fleur De Lis</t>
  </si>
  <si>
    <t>NP12 3UL</t>
  </si>
  <si>
    <t>CBDU7070</t>
  </si>
  <si>
    <t>Bron Meillion Dolwyd</t>
  </si>
  <si>
    <t>LL28 5HR</t>
  </si>
  <si>
    <t>CBDU7072</t>
  </si>
  <si>
    <t>Smithy Prior Street</t>
  </si>
  <si>
    <t>LL15 1LT</t>
  </si>
  <si>
    <t>CBDU7073</t>
  </si>
  <si>
    <t>Factory Road Sandycroft</t>
  </si>
  <si>
    <t>CBDL7075</t>
  </si>
  <si>
    <t>Unit 11 Talargoch Trading Estate</t>
  </si>
  <si>
    <t>CBDL7076</t>
  </si>
  <si>
    <t>CBDU7077</t>
  </si>
  <si>
    <t>Francis House Tank Farm Road</t>
  </si>
  <si>
    <t>SA10 6EN</t>
  </si>
  <si>
    <t>CBDL7079</t>
  </si>
  <si>
    <t>Treforest Campus Llantwit Road</t>
  </si>
  <si>
    <t>CF37 1DL</t>
  </si>
  <si>
    <t>CBDU7080</t>
  </si>
  <si>
    <t>Unit 3 Severn Link Distribution Centre</t>
  </si>
  <si>
    <t>CBDL7969</t>
  </si>
  <si>
    <t>Pinacl House Unit 57</t>
  </si>
  <si>
    <t>Ffordd William Morgan</t>
  </si>
  <si>
    <t>LL17 0JG</t>
  </si>
  <si>
    <t>CBDU7973</t>
  </si>
  <si>
    <t>14 Ruperra Close Old St. Mellons</t>
  </si>
  <si>
    <t>CF3 6HX</t>
  </si>
  <si>
    <t>CBDU7979</t>
  </si>
  <si>
    <t xml:space="preserve">205 Poverest Road </t>
  </si>
  <si>
    <t>Orpington</t>
  </si>
  <si>
    <t>BR5 1RD</t>
  </si>
  <si>
    <t>CBDU7981</t>
  </si>
  <si>
    <t>Coed Farm Llanwern</t>
  </si>
  <si>
    <t>LD3 0TL</t>
  </si>
  <si>
    <t>CBDU7982</t>
  </si>
  <si>
    <t>The Old Council Yard Gilchrist Thomas Ind Est</t>
  </si>
  <si>
    <t>NP49RL</t>
  </si>
  <si>
    <t>CBDU8207</t>
  </si>
  <si>
    <t xml:space="preserve">8 Hollybush Close </t>
  </si>
  <si>
    <t>NP20 6EU</t>
  </si>
  <si>
    <t>CBDL8212</t>
  </si>
  <si>
    <t>The Moorings East Langdon Road</t>
  </si>
  <si>
    <t>Guston</t>
  </si>
  <si>
    <t>Dover</t>
  </si>
  <si>
    <t>CT15 5EX</t>
  </si>
  <si>
    <t>CBDU8213</t>
  </si>
  <si>
    <t>2 Hilliards Court Chester Business Park</t>
  </si>
  <si>
    <t>CBDU8214</t>
  </si>
  <si>
    <t>Unit 4 The Bridge Business Centre</t>
  </si>
  <si>
    <t>CBDL8215</t>
  </si>
  <si>
    <t>1 Industrial Estate</t>
  </si>
  <si>
    <t>CBDL8216</t>
  </si>
  <si>
    <t>Rhosddu Industrial Estate Old Rhosrobin</t>
  </si>
  <si>
    <t>CBDU8217</t>
  </si>
  <si>
    <t>60 Woodfield Street Morriston</t>
  </si>
  <si>
    <t>SA6 8BW</t>
  </si>
  <si>
    <t>CBDU8218</t>
  </si>
  <si>
    <t>CBDU8220</t>
  </si>
  <si>
    <t>Unit 2-4 Kingsway</t>
  </si>
  <si>
    <t>Swansea West Industrial Park</t>
  </si>
  <si>
    <t>CBDU7732</t>
  </si>
  <si>
    <t>SUB UNIT 5   UNIT 19 ATLANTIC CRESCENT</t>
  </si>
  <si>
    <t>DOCKS ESTATE</t>
  </si>
  <si>
    <t>BARRY</t>
  </si>
  <si>
    <t>CBDU7738</t>
  </si>
  <si>
    <t>Unit 2 Avondale Industrial Estate</t>
  </si>
  <si>
    <t>CBDU7740</t>
  </si>
  <si>
    <t>10 Parc Aelas Llangernyw</t>
  </si>
  <si>
    <t>LL22 8PJ</t>
  </si>
  <si>
    <t>CBDU8375</t>
  </si>
  <si>
    <t>Coastal House Narberth Road</t>
  </si>
  <si>
    <t>SA61 2XG</t>
  </si>
  <si>
    <t>CBDU8376</t>
  </si>
  <si>
    <t>CBDL8379</t>
  </si>
  <si>
    <t xml:space="preserve">21 Adeline Street </t>
  </si>
  <si>
    <t>NP20 2HD</t>
  </si>
  <si>
    <t>CBDL8380</t>
  </si>
  <si>
    <t>CBDU8381</t>
  </si>
  <si>
    <t>Meadows Yard Meadows Bridge</t>
  </si>
  <si>
    <t>Crosshands</t>
  </si>
  <si>
    <t>SA14 6RA</t>
  </si>
  <si>
    <t>CBDU8382</t>
  </si>
  <si>
    <t>Unit 3 Clydesmuir Industrial Estate</t>
  </si>
  <si>
    <t>CBDU8383</t>
  </si>
  <si>
    <t>CBDU8384</t>
  </si>
  <si>
    <t>Ayjay House Greenway</t>
  </si>
  <si>
    <t>Bedwas House Ind.Est</t>
  </si>
  <si>
    <t>CBDU8385</t>
  </si>
  <si>
    <t>Dynevor House 5-6 DeLaBeche Street</t>
  </si>
  <si>
    <t>SA1 3HA</t>
  </si>
  <si>
    <t>CBDU8387</t>
  </si>
  <si>
    <t>CBDU8390</t>
  </si>
  <si>
    <t>Unit 11 Prospect Park Queensway</t>
  </si>
  <si>
    <t>CBDU8392</t>
  </si>
  <si>
    <t>22 Zealand Park Caergeiliog</t>
  </si>
  <si>
    <t>CBDL8626</t>
  </si>
  <si>
    <t xml:space="preserve">Plasyndre Street </t>
  </si>
  <si>
    <t>LL40 1AD</t>
  </si>
  <si>
    <t>CBDL8627</t>
  </si>
  <si>
    <t>Unit 9a Horizon Industrial Estate</t>
  </si>
  <si>
    <t>Sutton Road</t>
  </si>
  <si>
    <t>Catfield</t>
  </si>
  <si>
    <t>NR295BG</t>
  </si>
  <si>
    <t>CBDU8630</t>
  </si>
  <si>
    <t xml:space="preserve">45 Edington Avenue </t>
  </si>
  <si>
    <t>CF14 3QF</t>
  </si>
  <si>
    <t>CBDL9005</t>
  </si>
  <si>
    <t xml:space="preserve">50 High Street </t>
  </si>
  <si>
    <t>Hastings</t>
  </si>
  <si>
    <t>TN34 3EN</t>
  </si>
  <si>
    <t>CBDU9012</t>
  </si>
  <si>
    <t>Flat 16 Carmarthen House</t>
  </si>
  <si>
    <t>Salisbury Close</t>
  </si>
  <si>
    <t>CF64 3JN</t>
  </si>
  <si>
    <t>CBDL9013</t>
  </si>
  <si>
    <t>12A Highfields Chirk</t>
  </si>
  <si>
    <t>LL14 5NU</t>
  </si>
  <si>
    <t>CBDU9015</t>
  </si>
  <si>
    <t>CBDU9016</t>
  </si>
  <si>
    <t>Alan's Skip Hire Wales Redwither Road</t>
  </si>
  <si>
    <t>CBDU9017</t>
  </si>
  <si>
    <t>Ash Waste Services Ltd</t>
  </si>
  <si>
    <t>Redwither Road</t>
  </si>
  <si>
    <t>CBDU9018</t>
  </si>
  <si>
    <t>NATIONWIDE WASTE SERVICES LIMITED Redwither Road</t>
  </si>
  <si>
    <t>CBDU9019</t>
  </si>
  <si>
    <t>Manmoel Road Manmoel</t>
  </si>
  <si>
    <t>NP12 0HY</t>
  </si>
  <si>
    <t>CBDU9020</t>
  </si>
  <si>
    <t xml:space="preserve">71 Beauchamp Avenue </t>
  </si>
  <si>
    <t>Gosport</t>
  </si>
  <si>
    <t>PO13 0LQ</t>
  </si>
  <si>
    <t>CBDL9022</t>
  </si>
  <si>
    <t>Unit 3 Rear of Cliffe House</t>
  </si>
  <si>
    <t>Anthonys way Medway City Estate</t>
  </si>
  <si>
    <t>Rochester</t>
  </si>
  <si>
    <t>ME2 4DY</t>
  </si>
  <si>
    <t>CBDL9263</t>
  </si>
  <si>
    <t>46 Alwen Acrefair</t>
  </si>
  <si>
    <t>LL14 3EU</t>
  </si>
  <si>
    <t>CBDU9264</t>
  </si>
  <si>
    <t>Unit B Quarry Court</t>
  </si>
  <si>
    <t>North Road</t>
  </si>
  <si>
    <t>NP11 4AB</t>
  </si>
  <si>
    <t>CBDU9268</t>
  </si>
  <si>
    <t xml:space="preserve">Little Redford Farm </t>
  </si>
  <si>
    <t>SA67 8TD</t>
  </si>
  <si>
    <t>CBDL9271</t>
  </si>
  <si>
    <t xml:space="preserve">Trout </t>
  </si>
  <si>
    <t>SY22 5LZ</t>
  </si>
  <si>
    <t>CBDU9274</t>
  </si>
  <si>
    <t>The Old Saw Mill Mill Lane</t>
  </si>
  <si>
    <t>LL28 5RP</t>
  </si>
  <si>
    <t>CBDL9276</t>
  </si>
  <si>
    <t xml:space="preserve">1 Maryport Street </t>
  </si>
  <si>
    <t>NP15 1AB</t>
  </si>
  <si>
    <t>CBDU9277</t>
  </si>
  <si>
    <t xml:space="preserve">30 Pen Tywyn </t>
  </si>
  <si>
    <t>LL19 7RH</t>
  </si>
  <si>
    <t>CBDU9705</t>
  </si>
  <si>
    <t>CBDU9708</t>
  </si>
  <si>
    <t>J Reid Trading Estate Factory Road</t>
  </si>
  <si>
    <t>CBDU9710</t>
  </si>
  <si>
    <t xml:space="preserve">7 Y Ddol </t>
  </si>
  <si>
    <t>LL49 9HU</t>
  </si>
  <si>
    <t>CBDU9712</t>
  </si>
  <si>
    <t xml:space="preserve">12 Ellis Avenue </t>
  </si>
  <si>
    <t>SA61 1NT</t>
  </si>
  <si>
    <t>CBDL9714</t>
  </si>
  <si>
    <t>The Oakley Kidderminster Road</t>
  </si>
  <si>
    <t>Droitwich</t>
  </si>
  <si>
    <t>WR9 9AY</t>
  </si>
  <si>
    <t>CBDU9715</t>
  </si>
  <si>
    <t xml:space="preserve">20 Gilfach Road </t>
  </si>
  <si>
    <t>SA10 8EH</t>
  </si>
  <si>
    <t>CBDU9716</t>
  </si>
  <si>
    <t>10 Union Street Abersychan</t>
  </si>
  <si>
    <t>NP4 7EW</t>
  </si>
  <si>
    <t>CBDU9717</t>
  </si>
  <si>
    <t>Mwyndy Cross Industries Mwyndy</t>
  </si>
  <si>
    <t>CF72 8PN</t>
  </si>
  <si>
    <t>CBDU9492</t>
  </si>
  <si>
    <t>Sierra Highdown Lane</t>
  </si>
  <si>
    <t>Totland Bay</t>
  </si>
  <si>
    <t>PO39 0HY</t>
  </si>
  <si>
    <t>CBDL9494</t>
  </si>
  <si>
    <t xml:space="preserve">12 Old School Close </t>
  </si>
  <si>
    <t>Leiston</t>
  </si>
  <si>
    <t>IP16 4JB</t>
  </si>
  <si>
    <t>CBDU9496</t>
  </si>
  <si>
    <t>Hazelwood House Tondu Road</t>
  </si>
  <si>
    <t>CF31 4LJ</t>
  </si>
  <si>
    <t>CBDL9497</t>
  </si>
  <si>
    <t>95 Chester Road East Shotton</t>
  </si>
  <si>
    <t>CH5 1QB</t>
  </si>
  <si>
    <t>CBDL9499</t>
  </si>
  <si>
    <t>Choller Farm Barnham Lane</t>
  </si>
  <si>
    <t>Walberton</t>
  </si>
  <si>
    <t>Arundel</t>
  </si>
  <si>
    <t>BN18 0AX</t>
  </si>
  <si>
    <t>CBDL9502</t>
  </si>
  <si>
    <t>Ty Elwyn Town Hall Square</t>
  </si>
  <si>
    <t>SA15 3AP</t>
  </si>
  <si>
    <t>CBDU9503</t>
  </si>
  <si>
    <t>Unit 3 North Blackvein Industrial Estate</t>
  </si>
  <si>
    <t>NP11 7PX</t>
  </si>
  <si>
    <t>CBDU9943</t>
  </si>
  <si>
    <t>Llwyn Tew Llanddeusant</t>
  </si>
  <si>
    <t>SA19 9AQ</t>
  </si>
  <si>
    <t>CBDU9944</t>
  </si>
  <si>
    <t>Earthmover's House Unit 16 Parc Busnes Llantrisant</t>
  </si>
  <si>
    <t>CBDU9949</t>
  </si>
  <si>
    <t>Brynglas Llysonnen Road</t>
  </si>
  <si>
    <t>SA33 5EE</t>
  </si>
  <si>
    <t>CBDU9952</t>
  </si>
  <si>
    <t>NP236BG</t>
  </si>
  <si>
    <t>CBDU9954</t>
  </si>
  <si>
    <t>Hendir Uchaf Farm Rhiwceiliog Pencoed</t>
  </si>
  <si>
    <t>CF35 6NS</t>
  </si>
  <si>
    <t>CBDU9955</t>
  </si>
  <si>
    <t>Isca Yard Milman Street</t>
  </si>
  <si>
    <t>NP20 2JL</t>
  </si>
  <si>
    <t>CBDU10272</t>
  </si>
  <si>
    <t>Unit 8 Oldbury Road</t>
  </si>
  <si>
    <t>CBDU10274</t>
  </si>
  <si>
    <t>Trewsfield Tondu Road</t>
  </si>
  <si>
    <t>CF31 4LH</t>
  </si>
  <si>
    <t>CBDU10275</t>
  </si>
  <si>
    <t>114 Dinas Street Plasmarl</t>
  </si>
  <si>
    <t>SA6 8LL</t>
  </si>
  <si>
    <t>CBDU10277</t>
  </si>
  <si>
    <t>Stavel Dene Llanrhidian</t>
  </si>
  <si>
    <t>SA3 1EE</t>
  </si>
  <si>
    <t>CBDU10280</t>
  </si>
  <si>
    <t>The Yard Morfa Farm</t>
  </si>
  <si>
    <t>CBDU10281</t>
  </si>
  <si>
    <t>Unit 43 Portmanmoor Road Industrial Estate</t>
  </si>
  <si>
    <t>CBDL10508</t>
  </si>
  <si>
    <t xml:space="preserve">Ty Ceiliog </t>
  </si>
  <si>
    <t>LL58 8YU</t>
  </si>
  <si>
    <t>CBDU10520</t>
  </si>
  <si>
    <t xml:space="preserve">66 Chester Street </t>
  </si>
  <si>
    <t>CBDU10522</t>
  </si>
  <si>
    <t>Unit 8 Players Industrial Estate</t>
  </si>
  <si>
    <t>CBDU10524</t>
  </si>
  <si>
    <t>Brynolwg Bontgoch</t>
  </si>
  <si>
    <t>SY24 5DP</t>
  </si>
  <si>
    <t>CBDU10526</t>
  </si>
  <si>
    <t>Rhan Hir Bylchau</t>
  </si>
  <si>
    <t>LL16 5SN</t>
  </si>
  <si>
    <t>CBDU10528</t>
  </si>
  <si>
    <t xml:space="preserve">4-5 Glanhwfa Road </t>
  </si>
  <si>
    <t>LL77 7EN</t>
  </si>
  <si>
    <t>CBDU10870</t>
  </si>
  <si>
    <t xml:space="preserve">27 Tanat Way </t>
  </si>
  <si>
    <t>LL13 9LN</t>
  </si>
  <si>
    <t>CBDU10873</t>
  </si>
  <si>
    <t>Maindy Barracks Whitchurch Road</t>
  </si>
  <si>
    <t>CF14 3YE</t>
  </si>
  <si>
    <t>CBDL10879</t>
  </si>
  <si>
    <t xml:space="preserve">91 Parc Gellifaelog </t>
  </si>
  <si>
    <t>CF40 1DU</t>
  </si>
  <si>
    <t>CBDU10880</t>
  </si>
  <si>
    <t>Unit 1-7 Dyffryn Court</t>
  </si>
  <si>
    <t>Moorhen Close</t>
  </si>
  <si>
    <t>SA7 0AP</t>
  </si>
  <si>
    <t>CBDL10881</t>
  </si>
  <si>
    <t xml:space="preserve">74 Church Lane </t>
  </si>
  <si>
    <t>E17 9RW</t>
  </si>
  <si>
    <t>CBDU10882</t>
  </si>
  <si>
    <t>Graig Lelo Works Bryn Saith Marchog</t>
  </si>
  <si>
    <t>LL21 9RY</t>
  </si>
  <si>
    <t>CBDU10884</t>
  </si>
  <si>
    <t xml:space="preserve">Water Street </t>
  </si>
  <si>
    <t>SA38 9BH</t>
  </si>
  <si>
    <t>CBDU11121</t>
  </si>
  <si>
    <t>6 Parc Ffynnon Llysfaen</t>
  </si>
  <si>
    <t>LL29 8SA</t>
  </si>
  <si>
    <t>CBDU11122</t>
  </si>
  <si>
    <t>10 The Close Hatherden</t>
  </si>
  <si>
    <t>Andover</t>
  </si>
  <si>
    <t>SP11 0HW</t>
  </si>
  <si>
    <t>CBDL11124</t>
  </si>
  <si>
    <t xml:space="preserve">Ludlow Road </t>
  </si>
  <si>
    <t>LD7 1LP</t>
  </si>
  <si>
    <t>CBDU11125</t>
  </si>
  <si>
    <t>Unit 34 Vale Business Park</t>
  </si>
  <si>
    <t>CBDU11126</t>
  </si>
  <si>
    <t>Rhosesmor Road Halkyn</t>
  </si>
  <si>
    <t>CH8 8DL</t>
  </si>
  <si>
    <t>CBDL11127</t>
  </si>
  <si>
    <t>Glanwern Valley Road</t>
  </si>
  <si>
    <t>LL33 0ET</t>
  </si>
  <si>
    <t>CBDU11131</t>
  </si>
  <si>
    <t>Portakabin Nant Y Dall Avenue</t>
  </si>
  <si>
    <t>CF37 5LE</t>
  </si>
  <si>
    <t>CBDL11943</t>
  </si>
  <si>
    <t>Evesham House Llanfoist</t>
  </si>
  <si>
    <t>NP7 9LF</t>
  </si>
  <si>
    <t>CBDU11944</t>
  </si>
  <si>
    <t>Caelloi Yard Dinas</t>
  </si>
  <si>
    <t>LL53 8ST</t>
  </si>
  <si>
    <t>CBDL11945</t>
  </si>
  <si>
    <t xml:space="preserve">4A Morgan Street </t>
  </si>
  <si>
    <t>SA31 1RR</t>
  </si>
  <si>
    <t>CBDU11946</t>
  </si>
  <si>
    <t>Bryn Pica Landfill Site Llwydcoed</t>
  </si>
  <si>
    <t>CF44 0BX</t>
  </si>
  <si>
    <t>CBDU11948</t>
  </si>
  <si>
    <t>86 Garden Suburbs Pontywaun</t>
  </si>
  <si>
    <t>NP11 7GD</t>
  </si>
  <si>
    <t>CBDU11949</t>
  </si>
  <si>
    <t>Flat 5 Britway Court</t>
  </si>
  <si>
    <t>Britway Road</t>
  </si>
  <si>
    <t>CF64 4AL</t>
  </si>
  <si>
    <t>CBDU11950</t>
  </si>
  <si>
    <t>21 Cambrian Grove Marshfield</t>
  </si>
  <si>
    <t>CF3 2US</t>
  </si>
  <si>
    <t>CBDU11951</t>
  </si>
  <si>
    <t>Tyn Y Coed Llanystumdwy</t>
  </si>
  <si>
    <t>LL52 0LS</t>
  </si>
  <si>
    <t>CBDL11952</t>
  </si>
  <si>
    <t>Y Nant Farm Llanegryn</t>
  </si>
  <si>
    <t>LL36 9SU</t>
  </si>
  <si>
    <t>CBDL11960</t>
  </si>
  <si>
    <t xml:space="preserve">Glynne Road </t>
  </si>
  <si>
    <t>LL57 1AH</t>
  </si>
  <si>
    <t>CBDU11398</t>
  </si>
  <si>
    <t>Unit 13 Seaway Parade Industrial Estate</t>
  </si>
  <si>
    <t>CBDL11400</t>
  </si>
  <si>
    <t>Y Bwythyn St. Dogmaels</t>
  </si>
  <si>
    <t>SA43 3JZ</t>
  </si>
  <si>
    <t>CBDU11407</t>
  </si>
  <si>
    <t>Unit 4 Blaenwern</t>
  </si>
  <si>
    <t>NP44 1TY</t>
  </si>
  <si>
    <t>CBDU11408</t>
  </si>
  <si>
    <t>Unit 3 Biglis House</t>
  </si>
  <si>
    <t>Ty Verlon Industrial Estate</t>
  </si>
  <si>
    <t>CF63 2BE</t>
  </si>
  <si>
    <t>CBDU11409</t>
  </si>
  <si>
    <t xml:space="preserve">5 Laburnum Walk </t>
  </si>
  <si>
    <t>NP7 5JX</t>
  </si>
  <si>
    <t>CBDU11410</t>
  </si>
  <si>
    <t>Unit 1 Parc Stormy</t>
  </si>
  <si>
    <t>Stormy Down</t>
  </si>
  <si>
    <t>CF33 4RS</t>
  </si>
  <si>
    <t>CBDL11631</t>
  </si>
  <si>
    <t xml:space="preserve">Twin Peaks aerospace buisness park </t>
  </si>
  <si>
    <t>St Athen</t>
  </si>
  <si>
    <t>cf62 4LZ</t>
  </si>
  <si>
    <t>CBDL11636</t>
  </si>
  <si>
    <t xml:space="preserve">25A Hereford Street </t>
  </si>
  <si>
    <t>NP19 8DU</t>
  </si>
  <si>
    <t>CBDU11639</t>
  </si>
  <si>
    <t>1 Heol Y Deri Cwmgwili</t>
  </si>
  <si>
    <t>SA14 6PH</t>
  </si>
  <si>
    <t>CBDL11640</t>
  </si>
  <si>
    <t>Ferguson House Bethel Street</t>
  </si>
  <si>
    <t>SA11 2HQ</t>
  </si>
  <si>
    <t>CBDU11641</t>
  </si>
  <si>
    <t>10 Oakfield Gardens Machen</t>
  </si>
  <si>
    <t>CF83 8RS</t>
  </si>
  <si>
    <t>CBDU11642</t>
  </si>
  <si>
    <t>7  Bell Street</t>
  </si>
  <si>
    <t>CF62 6JU</t>
  </si>
  <si>
    <t>CBDU11643</t>
  </si>
  <si>
    <t>Unit 1 A Cwmdraw Industrial Estate</t>
  </si>
  <si>
    <t>NP23 5AE</t>
  </si>
  <si>
    <t>CBDL11644</t>
  </si>
  <si>
    <t>Ashvale Industrial Estate Fair View</t>
  </si>
  <si>
    <t>NP22 3HA</t>
  </si>
  <si>
    <t>CBDU11848</t>
  </si>
  <si>
    <t>6 Gwalia Road Pencoed</t>
  </si>
  <si>
    <t>CF35 5PP</t>
  </si>
  <si>
    <t>CBDU11850</t>
  </si>
  <si>
    <t xml:space="preserve">20 Heol Y Graig </t>
  </si>
  <si>
    <t>SA14 9NY</t>
  </si>
  <si>
    <t>CBDU11859</t>
  </si>
  <si>
    <t>Woodview Bryn Celyn</t>
  </si>
  <si>
    <t>CH8 7QF</t>
  </si>
  <si>
    <t>CBDU11860</t>
  </si>
  <si>
    <t>Mona Industrial Park Gwalchmai</t>
  </si>
  <si>
    <t>LL65 4RJ</t>
  </si>
  <si>
    <t>CBDU12155</t>
  </si>
  <si>
    <t xml:space="preserve">10 Lynval Road </t>
  </si>
  <si>
    <t>Brierley Hill</t>
  </si>
  <si>
    <t>DY5 2HF</t>
  </si>
  <si>
    <t>CBDU12158</t>
  </si>
  <si>
    <t>Unit 70 Vale Business Park</t>
  </si>
  <si>
    <t>CBDL12159</t>
  </si>
  <si>
    <t>Lovington Farm Lovington Lane</t>
  </si>
  <si>
    <t>Lower Broadheath</t>
  </si>
  <si>
    <t>Worcester</t>
  </si>
  <si>
    <t>WR2 6QQ</t>
  </si>
  <si>
    <t>CBDL12164</t>
  </si>
  <si>
    <t xml:space="preserve">Llanfynydd </t>
  </si>
  <si>
    <t>LL11 5HH</t>
  </si>
  <si>
    <t>CBDL12166</t>
  </si>
  <si>
    <t xml:space="preserve">27 Guilder Lane </t>
  </si>
  <si>
    <t>Salisbury</t>
  </si>
  <si>
    <t>SP1 1HW</t>
  </si>
  <si>
    <t>CBDL12167</t>
  </si>
  <si>
    <t xml:space="preserve">Penglais Road </t>
  </si>
  <si>
    <t>SY23 3DU</t>
  </si>
  <si>
    <t>CBDL12168</t>
  </si>
  <si>
    <t>Lloyds Terrace Adpar</t>
  </si>
  <si>
    <t>SA38 9NS</t>
  </si>
  <si>
    <t>CBDL12171</t>
  </si>
  <si>
    <t xml:space="preserve">16 Castle Oak </t>
  </si>
  <si>
    <t>CBDU12372</t>
  </si>
  <si>
    <t>Unit 28 Crofty Industrial Estate</t>
  </si>
  <si>
    <t>CBDU12374</t>
  </si>
  <si>
    <t>49 Bethel Road Llansamlet</t>
  </si>
  <si>
    <t>SA7 9QL</t>
  </si>
  <si>
    <t>CBDL12375</t>
  </si>
  <si>
    <t xml:space="preserve">40 St. Georges Crescent </t>
  </si>
  <si>
    <t>LL13 8DB</t>
  </si>
  <si>
    <t>CBDL12376</t>
  </si>
  <si>
    <t>8 Ty Llwyd Terrace Trawsfynydd</t>
  </si>
  <si>
    <t>LL41 4TH</t>
  </si>
  <si>
    <t>CBDU12378</t>
  </si>
  <si>
    <t>112 Victoria Street Pontycymer</t>
  </si>
  <si>
    <t>CF32 8NB</t>
  </si>
  <si>
    <t>CBDU12379</t>
  </si>
  <si>
    <t>CBDU12381</t>
  </si>
  <si>
    <t>Unit 6 Ynyscedwyn Industrial Estate</t>
  </si>
  <si>
    <t>Trawsffordd Road</t>
  </si>
  <si>
    <t>SA9 1DT</t>
  </si>
  <si>
    <t>CBDU12383</t>
  </si>
  <si>
    <t>Tynyfron Farm Llanfarian</t>
  </si>
  <si>
    <t>CBDL12384</t>
  </si>
  <si>
    <t>Unit 10-11 Pontcynon Industrial Estate</t>
  </si>
  <si>
    <t>Abercynon</t>
  </si>
  <si>
    <t>CF45 4EP</t>
  </si>
  <si>
    <t>CBDU12385</t>
  </si>
  <si>
    <t>28A Intermediate Road Brynmawr</t>
  </si>
  <si>
    <t>NP23 4SF</t>
  </si>
  <si>
    <t>CBDU12714</t>
  </si>
  <si>
    <t>143A HIGH STREET</t>
  </si>
  <si>
    <t>LL19 9AS</t>
  </si>
  <si>
    <t>CBDU12719</t>
  </si>
  <si>
    <t>Unit 14 Darren Drive</t>
  </si>
  <si>
    <t>CBDU12720</t>
  </si>
  <si>
    <t>Britannia House High Street</t>
  </si>
  <si>
    <t>Bagillt</t>
  </si>
  <si>
    <t>CH6 6HE</t>
  </si>
  <si>
    <t>CBDU12721</t>
  </si>
  <si>
    <t>27 Richmond Road Pontnewydd</t>
  </si>
  <si>
    <t>NP44 1EQ</t>
  </si>
  <si>
    <t>CBDL12722</t>
  </si>
  <si>
    <t>Unit 11-14 Aberdare Business Park</t>
  </si>
  <si>
    <t>CF44 8ER</t>
  </si>
  <si>
    <t>CBDL12723</t>
  </si>
  <si>
    <t>CBDL12501</t>
  </si>
  <si>
    <t>CBDL12504</t>
  </si>
  <si>
    <t>Tyn Y Cae Cottage Peterston-super-Ely</t>
  </si>
  <si>
    <t>CF5 6NE</t>
  </si>
  <si>
    <t>CBDL12505</t>
  </si>
  <si>
    <t>2 Pen Y Dyffryn Swansea Road</t>
  </si>
  <si>
    <t>CF48 1PL</t>
  </si>
  <si>
    <t>CBDU12506</t>
  </si>
  <si>
    <t xml:space="preserve">1 Ffordd Eithinog </t>
  </si>
  <si>
    <t>LL57 2GZ</t>
  </si>
  <si>
    <t>CBDL12509</t>
  </si>
  <si>
    <t>Mynyddislwyn Offices Bryn Road</t>
  </si>
  <si>
    <t>CBDU12510</t>
  </si>
  <si>
    <t>18 Cross Blanche Street Dowlais</t>
  </si>
  <si>
    <t>CF48 3PD</t>
  </si>
  <si>
    <t>CBDU12513</t>
  </si>
  <si>
    <t xml:space="preserve">30 Heol Aradur </t>
  </si>
  <si>
    <t>CF5 2RE</t>
  </si>
  <si>
    <t>CBDU12514</t>
  </si>
  <si>
    <t xml:space="preserve">28 Ash Grove </t>
  </si>
  <si>
    <t>NP26 4NG</t>
  </si>
  <si>
    <t>CBDL12937</t>
  </si>
  <si>
    <t>16 George Street Chirk</t>
  </si>
  <si>
    <t>LL14 5HS</t>
  </si>
  <si>
    <t>CBDL12938</t>
  </si>
  <si>
    <t>the plaza cafe limited market street</t>
  </si>
  <si>
    <t>blackwood bus station</t>
  </si>
  <si>
    <t>blackwood</t>
  </si>
  <si>
    <t>np11 1au</t>
  </si>
  <si>
    <t>CBDU12939</t>
  </si>
  <si>
    <t xml:space="preserve">27 Victoria Gardens </t>
  </si>
  <si>
    <t>SA11 3AY</t>
  </si>
  <si>
    <t>CBDL12941</t>
  </si>
  <si>
    <t>CBDU12942</t>
  </si>
  <si>
    <t>CBDU12943</t>
  </si>
  <si>
    <t>The Old Quarry Stormy Down</t>
  </si>
  <si>
    <t>CBDU12944</t>
  </si>
  <si>
    <t>6 Ffordd Kinderley Connah's Quay</t>
  </si>
  <si>
    <t>CH5 4HE</t>
  </si>
  <si>
    <t>CBDU12947</t>
  </si>
  <si>
    <t>Sears House 3 Alamein Road</t>
  </si>
  <si>
    <t>Morfa Industrial Estate</t>
  </si>
  <si>
    <t>SA1 2HY</t>
  </si>
  <si>
    <t>CBDU13314</t>
  </si>
  <si>
    <t xml:space="preserve">52 Moorland Road </t>
  </si>
  <si>
    <t>CF81 8UJ</t>
  </si>
  <si>
    <t>CBDL13317</t>
  </si>
  <si>
    <t>Unit 48C Greendale Business Park</t>
  </si>
  <si>
    <t>Woodbury Salterton</t>
  </si>
  <si>
    <t>Exeter</t>
  </si>
  <si>
    <t>EX5 1EW</t>
  </si>
  <si>
    <t>CBDU13318</t>
  </si>
  <si>
    <t>Beechfield House Llyswen</t>
  </si>
  <si>
    <t>LD3 0UR</t>
  </si>
  <si>
    <t>CBDU13319</t>
  </si>
  <si>
    <t>42 Ffynnon Dawel Aberdulais</t>
  </si>
  <si>
    <t>SA10 8EQ</t>
  </si>
  <si>
    <t>CBDU13320</t>
  </si>
  <si>
    <t>Capel Farm Gorslas</t>
  </si>
  <si>
    <t>SA14 7NH</t>
  </si>
  <si>
    <t>CBDL13321</t>
  </si>
  <si>
    <t>Facey Cobb Valley Road</t>
  </si>
  <si>
    <t>Mevagissey</t>
  </si>
  <si>
    <t>St. Austell</t>
  </si>
  <si>
    <t>PL26 6SB</t>
  </si>
  <si>
    <t>CBDL13322</t>
  </si>
  <si>
    <t>13 Sycamore Road Blaenavon</t>
  </si>
  <si>
    <t>NP4 9EB</t>
  </si>
  <si>
    <t>CBDU13324</t>
  </si>
  <si>
    <t xml:space="preserve">19 Hamilton Street </t>
  </si>
  <si>
    <t>CF11 9BP</t>
  </si>
  <si>
    <t>CBDU13325</t>
  </si>
  <si>
    <t xml:space="preserve">1 Coronation Street </t>
  </si>
  <si>
    <t>WF6 1RG</t>
  </si>
  <si>
    <t>CBDL13498</t>
  </si>
  <si>
    <t>SPC Europe Ltd Maerdy Road</t>
  </si>
  <si>
    <t>Ferndale</t>
  </si>
  <si>
    <t>CF43 4FP</t>
  </si>
  <si>
    <t>CBDU13502</t>
  </si>
  <si>
    <t>Unit 5-6 Maritime Court</t>
  </si>
  <si>
    <t>CF83 8HU</t>
  </si>
  <si>
    <t>CBDU13503</t>
  </si>
  <si>
    <t xml:space="preserve">71 Mansel Street </t>
  </si>
  <si>
    <t>SA1 5TN</t>
  </si>
  <si>
    <t>CBDU13504</t>
  </si>
  <si>
    <t>Plas Penycae Pen-y-Cae</t>
  </si>
  <si>
    <t>CF32 9SN</t>
  </si>
  <si>
    <t>CBDU13506</t>
  </si>
  <si>
    <t xml:space="preserve">63 Llantwit Road </t>
  </si>
  <si>
    <t>SA11 3LD</t>
  </si>
  <si>
    <t>CBDU13508</t>
  </si>
  <si>
    <t>Morfa House 126 Neath Road</t>
  </si>
  <si>
    <t>SA1 2JW</t>
  </si>
  <si>
    <t>CBDU13509</t>
  </si>
  <si>
    <t>Unit 107 Portmanmoor Road Industrial Estate</t>
  </si>
  <si>
    <t>CBDU13510</t>
  </si>
  <si>
    <t>Deytheur Yard Penrhos</t>
  </si>
  <si>
    <t>SY22 6QG</t>
  </si>
  <si>
    <t>CBDL39</t>
  </si>
  <si>
    <t>CBDL41</t>
  </si>
  <si>
    <t>Red Cross House North Wales Business Park</t>
  </si>
  <si>
    <t>Cae Eithin</t>
  </si>
  <si>
    <t>LL22 8LJ</t>
  </si>
  <si>
    <t>CBDL42</t>
  </si>
  <si>
    <t>69 Bryn Road</t>
  </si>
  <si>
    <t>Loughnor</t>
  </si>
  <si>
    <t>SA4 6PR</t>
  </si>
  <si>
    <t>CBDL43</t>
  </si>
  <si>
    <t>Rhiw Farm Rosebush</t>
  </si>
  <si>
    <t>SA66 7RH</t>
  </si>
  <si>
    <t>CBDL48</t>
  </si>
  <si>
    <t>7 Gwaun Afan</t>
  </si>
  <si>
    <t>Cwmhavon</t>
  </si>
  <si>
    <t>SA12 9EJ</t>
  </si>
  <si>
    <t>CBDL50</t>
  </si>
  <si>
    <t>1 Penylan Road</t>
  </si>
  <si>
    <t>Argoed</t>
  </si>
  <si>
    <t>NP12 0AU</t>
  </si>
  <si>
    <t>CBDL51</t>
  </si>
  <si>
    <t>Wentloog Corporate Park Wentloog</t>
  </si>
  <si>
    <t>CF3 8ER</t>
  </si>
  <si>
    <t>CBDL53</t>
  </si>
  <si>
    <t>Plas Penrodyn Gorad Road</t>
  </si>
  <si>
    <t>LL65 3AT</t>
  </si>
  <si>
    <t>CBDL54</t>
  </si>
  <si>
    <t>Hill Farm Huntshaw</t>
  </si>
  <si>
    <t>Torrington</t>
  </si>
  <si>
    <t>Devon</t>
  </si>
  <si>
    <t>EX38 7HQ</t>
  </si>
  <si>
    <t>CBDL294</t>
  </si>
  <si>
    <t>228 Oxford Street</t>
  </si>
  <si>
    <t>SA1 3BJ</t>
  </si>
  <si>
    <t>CBDL296</t>
  </si>
  <si>
    <t>Ivy House Church Bank</t>
  </si>
  <si>
    <t>SY15 6PU</t>
  </si>
  <si>
    <t>CBDL297</t>
  </si>
  <si>
    <t>CBDL300</t>
  </si>
  <si>
    <t>2  Cae Ffwt Business park</t>
  </si>
  <si>
    <t>Pendraw'r Llan</t>
  </si>
  <si>
    <t>LL28 5SP</t>
  </si>
  <si>
    <t>CBDL546</t>
  </si>
  <si>
    <t>Chez Windsor Marsh Road</t>
  </si>
  <si>
    <t>SA33 4NY</t>
  </si>
  <si>
    <t>CBDL555</t>
  </si>
  <si>
    <t>127 Mostyn Street</t>
  </si>
  <si>
    <t>LLandudno</t>
  </si>
  <si>
    <t>CBDL558</t>
  </si>
  <si>
    <t>4 St Mary's Street</t>
  </si>
  <si>
    <t>LD3 7AA</t>
  </si>
  <si>
    <t>CBDL559</t>
  </si>
  <si>
    <t>Office 5 Llywelyns Courtyard</t>
  </si>
  <si>
    <t>Maesquare Road</t>
  </si>
  <si>
    <t>SA18 2HQ</t>
  </si>
  <si>
    <t>CBDL560</t>
  </si>
  <si>
    <t>Bryn Marl Marl Drive</t>
  </si>
  <si>
    <t>LL31 9YX</t>
  </si>
  <si>
    <t>CBDL791</t>
  </si>
  <si>
    <t>262 cardiff road</t>
  </si>
  <si>
    <t>aberdare</t>
  </si>
  <si>
    <t>cf446rd</t>
  </si>
  <si>
    <t>CBDL799</t>
  </si>
  <si>
    <t>07990234820 hitchin road</t>
  </si>
  <si>
    <t>luton</t>
  </si>
  <si>
    <t>lu20ep</t>
  </si>
  <si>
    <t>CBDL801</t>
  </si>
  <si>
    <t>unit 3 freemans parc</t>
  </si>
  <si>
    <t>penarth road</t>
  </si>
  <si>
    <t>cf11 8eq</t>
  </si>
  <si>
    <t>CBDL981</t>
  </si>
  <si>
    <t>The Health Centre Ynysmeurig Road</t>
  </si>
  <si>
    <t>Mountain Ash R C T</t>
  </si>
  <si>
    <t>CF45 4YB</t>
  </si>
  <si>
    <t>CBDL990</t>
  </si>
  <si>
    <t>Berth Y Fedwen Llandyfriog</t>
  </si>
  <si>
    <t>Sa389hb</t>
  </si>
  <si>
    <t>CBDL991</t>
  </si>
  <si>
    <t>CBDL994</t>
  </si>
  <si>
    <t>Unit L Mochdre Industrial Estate</t>
  </si>
  <si>
    <t>CBDL995</t>
  </si>
  <si>
    <t>woodhouse st harmon</t>
  </si>
  <si>
    <t>rhayader</t>
  </si>
  <si>
    <t>ld6 5ly</t>
  </si>
  <si>
    <t>CBDL996</t>
  </si>
  <si>
    <t>96-97 Mansel Street</t>
  </si>
  <si>
    <t>SA1 5UE</t>
  </si>
  <si>
    <t>CBDL999</t>
  </si>
  <si>
    <t>Woodlands Hotel St. Brides Hill</t>
  </si>
  <si>
    <t>SA69 9NP</t>
  </si>
  <si>
    <t>CBDL1231</t>
  </si>
  <si>
    <t>COLEBRID PLANT LTD NEW ROAD BRYNMEN new road</t>
  </si>
  <si>
    <t>CF32 9LL</t>
  </si>
  <si>
    <t>CBDL1232</t>
  </si>
  <si>
    <t>33 - 35 Cathedral Road</t>
  </si>
  <si>
    <t>CF11 9HB</t>
  </si>
  <si>
    <t>CBDL1238</t>
  </si>
  <si>
    <t>Brynerwest  Bryncrug</t>
  </si>
  <si>
    <t>LL369PU</t>
  </si>
  <si>
    <t>CBDL1239</t>
  </si>
  <si>
    <t>The Old School Commercial Street</t>
  </si>
  <si>
    <t>CF46 6TR</t>
  </si>
  <si>
    <t>CBDL1240</t>
  </si>
  <si>
    <t>Ysgol Trefonnen Llandrindod Wells</t>
  </si>
  <si>
    <t>LD1 5EP</t>
  </si>
  <si>
    <t>CBDL1241</t>
  </si>
  <si>
    <t>Market House Market Rd</t>
  </si>
  <si>
    <t>CF15QE</t>
  </si>
  <si>
    <t>CBDL1469</t>
  </si>
  <si>
    <t>llandaff surgery  19a high street</t>
  </si>
  <si>
    <t>cf5 2dy</t>
  </si>
  <si>
    <t>CBDL1470</t>
  </si>
  <si>
    <t>302 North Road</t>
  </si>
  <si>
    <t>CF14 3BN</t>
  </si>
  <si>
    <t>CBDL1479</t>
  </si>
  <si>
    <t>ENFYS HOUSE ELBA CRESCENT</t>
  </si>
  <si>
    <t>FABIAN WAY</t>
  </si>
  <si>
    <t>SWANSEa</t>
  </si>
  <si>
    <t>sa1 8qj</t>
  </si>
  <si>
    <t>CBDL1482</t>
  </si>
  <si>
    <t>The Oriel Hotel Upper Denbigh road</t>
  </si>
  <si>
    <t>LL170LW</t>
  </si>
  <si>
    <t>CBDL1483</t>
  </si>
  <si>
    <t>29 - 32 Bryn Gwyrdd</t>
  </si>
  <si>
    <t>Colomendy Ind. Estate</t>
  </si>
  <si>
    <t>CBDL1698</t>
  </si>
  <si>
    <t xml:space="preserve"> Pilsworth</t>
  </si>
  <si>
    <t>Castledermot</t>
  </si>
  <si>
    <t>Co Kildare</t>
  </si>
  <si>
    <t>Ireland</t>
  </si>
  <si>
    <t>CBDL1700</t>
  </si>
  <si>
    <t>Ty Coch Way Cwmbran</t>
  </si>
  <si>
    <t>CBDL1701</t>
  </si>
  <si>
    <t>Cae Pentre Tythegston Farm</t>
  </si>
  <si>
    <t>Tythegston</t>
  </si>
  <si>
    <t>CF320ND</t>
  </si>
  <si>
    <t>CBDL1949</t>
  </si>
  <si>
    <t>2 Talbot Green Business Centre Talbot Green</t>
  </si>
  <si>
    <t>CBDL1950</t>
  </si>
  <si>
    <t>Crown Street Crumlin</t>
  </si>
  <si>
    <t>NP11 4PQ</t>
  </si>
  <si>
    <t>CBDL1951</t>
  </si>
  <si>
    <t>Ashfield Road Newbridge</t>
  </si>
  <si>
    <t>NP11 4RA</t>
  </si>
  <si>
    <t>CBDL1954</t>
  </si>
  <si>
    <t>Aberclydach House Tal-y-Bont Ar Wysg</t>
  </si>
  <si>
    <t>CBDL2183</t>
  </si>
  <si>
    <t>Dyffryn Ardudwy</t>
  </si>
  <si>
    <t>LL44 2HD</t>
  </si>
  <si>
    <t>CBDL2184</t>
  </si>
  <si>
    <t xml:space="preserve">17 Erw Wen </t>
  </si>
  <si>
    <t>SY21 7HH</t>
  </si>
  <si>
    <t>CBDL2333</t>
  </si>
  <si>
    <t>32 King Street</t>
  </si>
  <si>
    <t>sa31 1bs</t>
  </si>
  <si>
    <t>CBDL2336</t>
  </si>
  <si>
    <t>CBDL2339</t>
  </si>
  <si>
    <t>Tower House Tower Close</t>
  </si>
  <si>
    <t>CBDL2340</t>
  </si>
  <si>
    <t>Forge Garage Llanvetherine</t>
  </si>
  <si>
    <t>CBDL2345</t>
  </si>
  <si>
    <t xml:space="preserve">Tudor Lane </t>
  </si>
  <si>
    <t>LD1 5UL</t>
  </si>
  <si>
    <t>CBDL2581</t>
  </si>
  <si>
    <t>Dragon House Coaster Place</t>
  </si>
  <si>
    <t>Rover Way</t>
  </si>
  <si>
    <t>CBDL3025</t>
  </si>
  <si>
    <t>Tirowen Llangoedmor</t>
  </si>
  <si>
    <t>SA43 2LB</t>
  </si>
  <si>
    <t>CBDL3027</t>
  </si>
  <si>
    <t>4 Maesgwyn Bae Cinmel</t>
  </si>
  <si>
    <t>LL18 5LW</t>
  </si>
  <si>
    <t>CBDL3037</t>
  </si>
  <si>
    <t>Rupera House St. Marys Street</t>
  </si>
  <si>
    <t>CBDL3038</t>
  </si>
  <si>
    <t>old builders yard pentre berw</t>
  </si>
  <si>
    <t>gaerwen</t>
  </si>
  <si>
    <t>anglesey</t>
  </si>
  <si>
    <t>ll606lg</t>
  </si>
  <si>
    <t>CBDL3248</t>
  </si>
  <si>
    <t>Tan Y Graig Bach Gwalchmai</t>
  </si>
  <si>
    <t>LL65 4ST</t>
  </si>
  <si>
    <t>CBDL3760</t>
  </si>
  <si>
    <t>225 CAVERSHAM ROAD</t>
  </si>
  <si>
    <t>READING</t>
  </si>
  <si>
    <t>RG1 8BB</t>
  </si>
  <si>
    <t>CBDL3764</t>
  </si>
  <si>
    <t>Llanwecha Farm Llandenny</t>
  </si>
  <si>
    <t>NP15 1DP</t>
  </si>
  <si>
    <t>CBDL3767</t>
  </si>
  <si>
    <t>24 Heol-y-Berllan Pil</t>
  </si>
  <si>
    <t>CF33 6LE</t>
  </si>
  <si>
    <t>CBDL3981</t>
  </si>
  <si>
    <t xml:space="preserve">Schools Hill </t>
  </si>
  <si>
    <t>Cheadle</t>
  </si>
  <si>
    <t>SK8 1JE</t>
  </si>
  <si>
    <t>CBDL3985</t>
  </si>
  <si>
    <t>106 South Drive Bolton-upon-Dearne</t>
  </si>
  <si>
    <t>Rotherham</t>
  </si>
  <si>
    <t>S63 8LA</t>
  </si>
  <si>
    <t>CBDL4250</t>
  </si>
  <si>
    <t>Will Farm Peter Tavy</t>
  </si>
  <si>
    <t>Tavistock</t>
  </si>
  <si>
    <t>PL19 9NB</t>
  </si>
  <si>
    <t>CBDL4254</t>
  </si>
  <si>
    <t xml:space="preserve">86 Little Bushey Lane </t>
  </si>
  <si>
    <t>Bushey</t>
  </si>
  <si>
    <t>WD23 4RE</t>
  </si>
  <si>
    <t>CBDL4255</t>
  </si>
  <si>
    <t xml:space="preserve">11 Clarendon Road </t>
  </si>
  <si>
    <t>Christchurch</t>
  </si>
  <si>
    <t>BH23 2AB</t>
  </si>
  <si>
    <t>CBDL4256</t>
  </si>
  <si>
    <t>Headquarters Lon Pisgwydd</t>
  </si>
  <si>
    <t>SA31 1SP</t>
  </si>
  <si>
    <t>CBDL4260</t>
  </si>
  <si>
    <t>Unit 5 Ridley Wood Industrial Complex</t>
  </si>
  <si>
    <t>CBDL4499</t>
  </si>
  <si>
    <t xml:space="preserve">Stryd Fictoria </t>
  </si>
  <si>
    <t>SA20 0YD</t>
  </si>
  <si>
    <t>CBDL4925</t>
  </si>
  <si>
    <t>Unit 5 Cambrian Industrial Estate West Side</t>
  </si>
  <si>
    <t>CF72 9EX</t>
  </si>
  <si>
    <t>CBDL4927</t>
  </si>
  <si>
    <t>William Sutcliffe Suite Raymond Court</t>
  </si>
  <si>
    <t>Rhodfa'r Tywysog</t>
  </si>
  <si>
    <t>LL29 8HT</t>
  </si>
  <si>
    <t>CBDL4928</t>
  </si>
  <si>
    <t>Unit 3-4 Hobbs Quarry</t>
  </si>
  <si>
    <t>CBDL4939</t>
  </si>
  <si>
    <t>CBDU4663</t>
  </si>
  <si>
    <t>Unit 53 Third Avenue</t>
  </si>
  <si>
    <t>CH5 2LA</t>
  </si>
  <si>
    <t>CBDL4664</t>
  </si>
  <si>
    <t>4 Kewstoke Avenue Llanrumney</t>
  </si>
  <si>
    <t>CF3 4DB</t>
  </si>
  <si>
    <t>CBDL5164</t>
  </si>
  <si>
    <t>10 Meadow Brook Pentre'r Eglwys</t>
  </si>
  <si>
    <t>CF38 1DJ</t>
  </si>
  <si>
    <t>CBDL5169</t>
  </si>
  <si>
    <t xml:space="preserve">20 Rhodfa Sain Finsent </t>
  </si>
  <si>
    <t>NP25 5DS</t>
  </si>
  <si>
    <t>CBDL5178</t>
  </si>
  <si>
    <t>The Bungalow Alexandra Road</t>
  </si>
  <si>
    <t>SA4 4PE</t>
  </si>
  <si>
    <t>CBDL5423</t>
  </si>
  <si>
    <t>4 BEAUFORT SQUARE</t>
  </si>
  <si>
    <t>NP16 5LG</t>
  </si>
  <si>
    <t>CBDU5427</t>
  </si>
  <si>
    <t>UNIT 1F BRYMAU 3 ESTATE RIVER LANE</t>
  </si>
  <si>
    <t>SALTNEY</t>
  </si>
  <si>
    <t>FLINTSHIRE</t>
  </si>
  <si>
    <t>CBDU5429</t>
  </si>
  <si>
    <t>Llwyn Bach Bala Road</t>
  </si>
  <si>
    <t>LL40 2YF</t>
  </si>
  <si>
    <t>CBDU5432</t>
  </si>
  <si>
    <t>Swyddfa Bridgend Road</t>
  </si>
  <si>
    <t>Abercynffig</t>
  </si>
  <si>
    <t>CF32 9AP</t>
  </si>
  <si>
    <t>CBDU5433</t>
  </si>
  <si>
    <t xml:space="preserve">Crymlyn Burrows </t>
  </si>
  <si>
    <t>SA1 8PT</t>
  </si>
  <si>
    <t>CBDL5435</t>
  </si>
  <si>
    <t>South Glade Gwaelod-y-Garth</t>
  </si>
  <si>
    <t>CF15 9TS</t>
  </si>
  <si>
    <t>CBDU5684</t>
  </si>
  <si>
    <t>Haulfryn Pwlltrap</t>
  </si>
  <si>
    <t>CBDU5687</t>
  </si>
  <si>
    <t>Unit 9 Crosby Yard</t>
  </si>
  <si>
    <t>CBDL5688</t>
  </si>
  <si>
    <t>CBDL5690</t>
  </si>
  <si>
    <t>56 Maes Y Sarn Pentyrch</t>
  </si>
  <si>
    <t>CF15 9QR</t>
  </si>
  <si>
    <t>CBDU5692</t>
  </si>
  <si>
    <t>146 Maes Ty Canol Baglan</t>
  </si>
  <si>
    <t>SA12 8US</t>
  </si>
  <si>
    <t>CBDU5695</t>
  </si>
  <si>
    <t>9 Pantyrhos Waunfawr</t>
  </si>
  <si>
    <t>SY23 3QE</t>
  </si>
  <si>
    <t>CBDU6179</t>
  </si>
  <si>
    <t>34 Gwaun Fro Pen-Pedair-Heol</t>
  </si>
  <si>
    <t>CF82 8BN</t>
  </si>
  <si>
    <t>CBDU6185</t>
  </si>
  <si>
    <t>James William House 9 Museum Place</t>
  </si>
  <si>
    <t>CF10 3BD</t>
  </si>
  <si>
    <t>CBDU6186</t>
  </si>
  <si>
    <t xml:space="preserve">2-3 Breton Street </t>
  </si>
  <si>
    <t>LL30 2YL</t>
  </si>
  <si>
    <t>CBDL6187</t>
  </si>
  <si>
    <t>Unit 16 Vastre Industrial Estate</t>
  </si>
  <si>
    <t>CBDU6191</t>
  </si>
  <si>
    <t>Tyddyn Penmynydd</t>
  </si>
  <si>
    <t>LL61 5BX</t>
  </si>
  <si>
    <t>CBDL6194</t>
  </si>
  <si>
    <t>St. Iber Villa Mitchel Troy</t>
  </si>
  <si>
    <t>NP25 4HZ</t>
  </si>
  <si>
    <t>CBDU6195</t>
  </si>
  <si>
    <t xml:space="preserve">40 Silverwood Avenue </t>
  </si>
  <si>
    <t>Newton Abbot</t>
  </si>
  <si>
    <t>TQ12 4LG</t>
  </si>
  <si>
    <t>CBDL6197</t>
  </si>
  <si>
    <t xml:space="preserve">82 New Dock Road </t>
  </si>
  <si>
    <t>SA15 2EH</t>
  </si>
  <si>
    <t>CBDU6199</t>
  </si>
  <si>
    <t>Delfan Felinfach</t>
  </si>
  <si>
    <t>LD3 0UD</t>
  </si>
  <si>
    <t>CBDU5941</t>
  </si>
  <si>
    <t>Unit D10 The Granary Block D</t>
  </si>
  <si>
    <t>CBDU5943</t>
  </si>
  <si>
    <t>Lowlands Nash</t>
  </si>
  <si>
    <t>NP18 2DA</t>
  </si>
  <si>
    <t>CBDU5944</t>
  </si>
  <si>
    <t>7 High Street Argoed</t>
  </si>
  <si>
    <t>NP12 0HG</t>
  </si>
  <si>
    <t>CBDU5946</t>
  </si>
  <si>
    <t>Unit 25 Darren Drive</t>
  </si>
  <si>
    <t>CBDU5947</t>
  </si>
  <si>
    <t>Vale View County Road</t>
  </si>
  <si>
    <t>Coed-Llai</t>
  </si>
  <si>
    <t>CH7 4RF</t>
  </si>
  <si>
    <t>CBDL5948</t>
  </si>
  <si>
    <t xml:space="preserve">Llanigon </t>
  </si>
  <si>
    <t>HR3 5QT</t>
  </si>
  <si>
    <t>CBDL5949</t>
  </si>
  <si>
    <t>Civic Centre Castle Street</t>
  </si>
  <si>
    <t>CF47 8AN</t>
  </si>
  <si>
    <t>CBDL5950</t>
  </si>
  <si>
    <t xml:space="preserve">10 Heol Mansel </t>
  </si>
  <si>
    <t>SA31 1PX</t>
  </si>
  <si>
    <t>CBDU5951</t>
  </si>
  <si>
    <t>The Depot Pant y Buarth</t>
  </si>
  <si>
    <t>CBDU5952</t>
  </si>
  <si>
    <t>units 5 and 6 milbrook yard</t>
  </si>
  <si>
    <t>llandore</t>
  </si>
  <si>
    <t>sa1 2jg</t>
  </si>
  <si>
    <t>CBDU5953</t>
  </si>
  <si>
    <t>Bron Y Dre Llanfair Hill</t>
  </si>
  <si>
    <t>SA20 0YF</t>
  </si>
  <si>
    <t>CBDU6430</t>
  </si>
  <si>
    <t xml:space="preserve">115 Gabalfa Avenue </t>
  </si>
  <si>
    <t>CF14 2PB</t>
  </si>
  <si>
    <t>CBDU6431</t>
  </si>
  <si>
    <t>9 Porters Lane Findern</t>
  </si>
  <si>
    <t>DE65 6AJ</t>
  </si>
  <si>
    <t>CBDU6433</t>
  </si>
  <si>
    <t>Glan Llyn Llanynys</t>
  </si>
  <si>
    <t>LL16 4NY</t>
  </si>
  <si>
    <t>CBDU6741</t>
  </si>
  <si>
    <t xml:space="preserve">1A Ongar Road </t>
  </si>
  <si>
    <t>Dunmow</t>
  </si>
  <si>
    <t>CM6 1ES</t>
  </si>
  <si>
    <t>CBDU6743</t>
  </si>
  <si>
    <t>Penllwynracca llannon</t>
  </si>
  <si>
    <t>carmarthenshire</t>
  </si>
  <si>
    <t>SA14 8HX</t>
  </si>
  <si>
    <t>CBDU6744</t>
  </si>
  <si>
    <t>CBDL6746</t>
  </si>
  <si>
    <t>Compound  1  Skewfields</t>
  </si>
  <si>
    <t>Np40xz</t>
  </si>
  <si>
    <t>CBDL6747</t>
  </si>
  <si>
    <t>94 Sterry Road Gowerton</t>
  </si>
  <si>
    <t>SA4 3BW</t>
  </si>
  <si>
    <t>CBDU6751</t>
  </si>
  <si>
    <t xml:space="preserve">22 Heol Trefrhiw </t>
  </si>
  <si>
    <t>SA18 3QR</t>
  </si>
  <si>
    <t>CBDL6752</t>
  </si>
  <si>
    <t>2 Sovereign Close Granborough</t>
  </si>
  <si>
    <t>Buckingham</t>
  </si>
  <si>
    <t>MK18 3DA</t>
  </si>
  <si>
    <t>CBDL6753</t>
  </si>
  <si>
    <t>9 Jamaica Walk Coedkernew</t>
  </si>
  <si>
    <t>NP10 8AG</t>
  </si>
  <si>
    <t>CBDU6492</t>
  </si>
  <si>
    <t xml:space="preserve">32 Llwyn Menlli </t>
  </si>
  <si>
    <t>LL15 1RG</t>
  </si>
  <si>
    <t>CBDL6493</t>
  </si>
  <si>
    <t>Flat 15 Ormeside Court</t>
  </si>
  <si>
    <t>19 Church Walks</t>
  </si>
  <si>
    <t>LL30 2HG</t>
  </si>
  <si>
    <t>CBDL6494</t>
  </si>
  <si>
    <t xml:space="preserve">90 Queens Walk </t>
  </si>
  <si>
    <t>Ruislip</t>
  </si>
  <si>
    <t>HA4 0NS</t>
  </si>
  <si>
    <t>CBDU6495</t>
  </si>
  <si>
    <t xml:space="preserve">Holywell Road </t>
  </si>
  <si>
    <t>LL17 0DS</t>
  </si>
  <si>
    <t>CBDU6496</t>
  </si>
  <si>
    <t>Unit 2 64 Tregwilyn Road</t>
  </si>
  <si>
    <t>NP10 9EJ</t>
  </si>
  <si>
    <t>CBDU6497</t>
  </si>
  <si>
    <t>4-6 Chad Valley Site Polo Grounds</t>
  </si>
  <si>
    <t>NP4 0SU</t>
  </si>
  <si>
    <t>CBDU6498</t>
  </si>
  <si>
    <t>9 Chapel Street Mochdre</t>
  </si>
  <si>
    <t>LL28 5BB</t>
  </si>
  <si>
    <t>CBDU6505</t>
  </si>
  <si>
    <t xml:space="preserve">143 Penygarn Road </t>
  </si>
  <si>
    <t>SA18 3PF</t>
  </si>
  <si>
    <t>CBDU6508</t>
  </si>
  <si>
    <t>75 Goppa Road Pontarddulais</t>
  </si>
  <si>
    <t>SA4 8JW</t>
  </si>
  <si>
    <t>CBDL6971</t>
  </si>
  <si>
    <t xml:space="preserve">55 Roehampton High Street </t>
  </si>
  <si>
    <t>SW15 4HH</t>
  </si>
  <si>
    <t>CBDL6972</t>
  </si>
  <si>
    <t xml:space="preserve">18 Cornflower Lane </t>
  </si>
  <si>
    <t>CR0 8XJ</t>
  </si>
  <si>
    <t>CBDU6977</t>
  </si>
  <si>
    <t>Broadlands Lon Comin Canol</t>
  </si>
  <si>
    <t>CH7 3PT</t>
  </si>
  <si>
    <t>CBDU6979</t>
  </si>
  <si>
    <t>UNIT 15 MILLBANK HOUSE RIVERSIDE BUSINESS PK</t>
  </si>
  <si>
    <t>WILMSLOW</t>
  </si>
  <si>
    <t>CHESHIRE</t>
  </si>
  <si>
    <t>SK9 1BJ</t>
  </si>
  <si>
    <t>CBDL6981</t>
  </si>
  <si>
    <t xml:space="preserve">63 St. Winifreds Road </t>
  </si>
  <si>
    <t>CF31 4PN</t>
  </si>
  <si>
    <t>CBDL7340</t>
  </si>
  <si>
    <t>Unit C SA1 Business Park</t>
  </si>
  <si>
    <t>CBDU7343</t>
  </si>
  <si>
    <t>29 Bridgend Road Abercynffig</t>
  </si>
  <si>
    <t>CF32 9BG</t>
  </si>
  <si>
    <t>CBDU7345</t>
  </si>
  <si>
    <t>Accsol House High Street</t>
  </si>
  <si>
    <t>LL14 2SH</t>
  </si>
  <si>
    <t>CBDL7348</t>
  </si>
  <si>
    <t xml:space="preserve">11 Glebeland Crescent </t>
  </si>
  <si>
    <t>NN5 7HB</t>
  </si>
  <si>
    <t>CBDL7570</t>
  </si>
  <si>
    <t>CF81 9GJ</t>
  </si>
  <si>
    <t>CBDL7571</t>
  </si>
  <si>
    <t>53-55 Eccles Road Swinton</t>
  </si>
  <si>
    <t>M27 5PR</t>
  </si>
  <si>
    <t>CBDU7575</t>
  </si>
  <si>
    <t>Elba Showroom Elba Crescent</t>
  </si>
  <si>
    <t>Crymlyn Burrows</t>
  </si>
  <si>
    <t>SA1 8QQ</t>
  </si>
  <si>
    <t>CBDU7576</t>
  </si>
  <si>
    <t>9 Stradling Close Sully</t>
  </si>
  <si>
    <t>CF64 5HU</t>
  </si>
  <si>
    <t>CBDU7577</t>
  </si>
  <si>
    <t xml:space="preserve">15 Alder Road </t>
  </si>
  <si>
    <t>SA11 3NY</t>
  </si>
  <si>
    <t>CBDL7578</t>
  </si>
  <si>
    <t>Llangamarch</t>
  </si>
  <si>
    <t>LD4 4EW</t>
  </si>
  <si>
    <t>CBDU7580</t>
  </si>
  <si>
    <t xml:space="preserve">Camros </t>
  </si>
  <si>
    <t>SA62 6HG</t>
  </si>
  <si>
    <t>CBDU7581</t>
  </si>
  <si>
    <t xml:space="preserve">6 Lon Y Gruglas </t>
  </si>
  <si>
    <t>SA18 3UE</t>
  </si>
  <si>
    <t>CBDU7582</t>
  </si>
  <si>
    <t>1 Bryn Hwylfa Ffordd Clynnog</t>
  </si>
  <si>
    <t>LL54 6PB</t>
  </si>
  <si>
    <t>CBDU7583</t>
  </si>
  <si>
    <t>Unit 3 Millbrook Trading Estate</t>
  </si>
  <si>
    <t>Siloh Road</t>
  </si>
  <si>
    <t>SA12 8UH</t>
  </si>
  <si>
    <t>CBDL7584</t>
  </si>
  <si>
    <t>LLanfarian Village Stores Llanfarian</t>
  </si>
  <si>
    <t>SY23 4UA</t>
  </si>
  <si>
    <t>CBDL7585</t>
  </si>
  <si>
    <t>1 Shopping Centre Thornbury Park</t>
  </si>
  <si>
    <t>NP10 9DP</t>
  </si>
  <si>
    <t>CBDU7586</t>
  </si>
  <si>
    <t>121 Walter Road</t>
  </si>
  <si>
    <t>SA1 5RF</t>
  </si>
  <si>
    <t>CBDU7587</t>
  </si>
  <si>
    <t>101 Mold Road Connah's Quay</t>
  </si>
  <si>
    <t>CH5 4QW</t>
  </si>
  <si>
    <t>CBDU7588</t>
  </si>
  <si>
    <t>Unit 1 Players Industrial Estate</t>
  </si>
  <si>
    <t>CBDL7589</t>
  </si>
  <si>
    <t>5 Aberfan Road Aberfan</t>
  </si>
  <si>
    <t>CF48 4QL</t>
  </si>
  <si>
    <t>CBDL7082</t>
  </si>
  <si>
    <t>18 Ffordd Cambria Pontarddulais</t>
  </si>
  <si>
    <t>SA4 8AF</t>
  </si>
  <si>
    <t>CBDU7083</t>
  </si>
  <si>
    <t>1 Laleston Close Nottage</t>
  </si>
  <si>
    <t>CF36 3HW</t>
  </si>
  <si>
    <t>CBDU7084</t>
  </si>
  <si>
    <t>34 Augustine Road Minster on Sea</t>
  </si>
  <si>
    <t>Sheerness</t>
  </si>
  <si>
    <t>ME12 2NE</t>
  </si>
  <si>
    <t>CBDU7085</t>
  </si>
  <si>
    <t>Ffordd Maelgwyn Tremarl Industrial Estate</t>
  </si>
  <si>
    <t>LL31 9PN</t>
  </si>
  <si>
    <t>CBDU7088</t>
  </si>
  <si>
    <t>Deeside Industrial Estate Welsh Road</t>
  </si>
  <si>
    <t>CBDL7089</t>
  </si>
  <si>
    <t>Unit 2 A  Tir Enterprise Park</t>
  </si>
  <si>
    <t>St Asaph Ave</t>
  </si>
  <si>
    <t>CBDU7092</t>
  </si>
  <si>
    <t>CBDU7093</t>
  </si>
  <si>
    <t>HIRE CENTRE HALFWAY</t>
  </si>
  <si>
    <t>SA15 1HQ</t>
  </si>
  <si>
    <t>CBDU7094</t>
  </si>
  <si>
    <t>The Paddocks Sarnau</t>
  </si>
  <si>
    <t>SY22 6QL</t>
  </si>
  <si>
    <t>CBDU7095</t>
  </si>
  <si>
    <t>4 Highland Crescent Dyffryn Cellwen</t>
  </si>
  <si>
    <t>SA10 9LE</t>
  </si>
  <si>
    <t>CBDU7096</t>
  </si>
  <si>
    <t>GLYNCOED HOUSE HALFWAY</t>
  </si>
  <si>
    <t>CBDL7097</t>
  </si>
  <si>
    <t>The Bear East Street</t>
  </si>
  <si>
    <t>LD65DN</t>
  </si>
  <si>
    <t>CBDU7984</t>
  </si>
  <si>
    <t xml:space="preserve">44 Rhodfa Brynmawr </t>
  </si>
  <si>
    <t>SA18 2DA</t>
  </si>
  <si>
    <t>CBDL7989</t>
  </si>
  <si>
    <t>TY BRYN KERRY</t>
  </si>
  <si>
    <t>POWYS</t>
  </si>
  <si>
    <t>SY16 4PD</t>
  </si>
  <si>
    <t>CBDU7990</t>
  </si>
  <si>
    <t>Caer Delyn Glascoed Road</t>
  </si>
  <si>
    <t>LL17 0LG</t>
  </si>
  <si>
    <t>CBDL8223</t>
  </si>
  <si>
    <t>Unit 2 Marchwiel Centre Bryn Lane</t>
  </si>
  <si>
    <t>CBDU8224</t>
  </si>
  <si>
    <t>CBDU8225</t>
  </si>
  <si>
    <t xml:space="preserve">7 Neville Road </t>
  </si>
  <si>
    <t>CBDU8229</t>
  </si>
  <si>
    <t>Graig Environmental Recycling Services Ltd Maritime Industrial Estate</t>
  </si>
  <si>
    <t>CF37 1NY</t>
  </si>
  <si>
    <t>CBDU8230</t>
  </si>
  <si>
    <t>Tair Waun Isaf Farm Cilfynydd</t>
  </si>
  <si>
    <t>CF37 4HN</t>
  </si>
  <si>
    <t>CBDU7745</t>
  </si>
  <si>
    <t>Llys Y Llan Cerrigydrudion</t>
  </si>
  <si>
    <t>CBDU7747</t>
  </si>
  <si>
    <t>Llwyncelyn Isaf Llangynnin</t>
  </si>
  <si>
    <t>SA33 4AY</t>
  </si>
  <si>
    <t>CBDU7749</t>
  </si>
  <si>
    <t>Ty Cynon Navigation Park</t>
  </si>
  <si>
    <t>CF45 4SN</t>
  </si>
  <si>
    <t>CBDL7752</t>
  </si>
  <si>
    <t>Garn House Yard Penygarn</t>
  </si>
  <si>
    <t>Bow Street</t>
  </si>
  <si>
    <t>SY24 5BQ</t>
  </si>
  <si>
    <t>CBDU7754</t>
  </si>
  <si>
    <t>48 Heol Y Nant Rhiwbina</t>
  </si>
  <si>
    <t>CF14 6BT</t>
  </si>
  <si>
    <t>CBDU7757</t>
  </si>
  <si>
    <t xml:space="preserve">2 Akeman Road </t>
  </si>
  <si>
    <t>Cirencester</t>
  </si>
  <si>
    <t>GL7 1BY</t>
  </si>
  <si>
    <t>CBDU7758</t>
  </si>
  <si>
    <t>Tyn Llwyn Farm Ton-y-Moch Lane</t>
  </si>
  <si>
    <t>Mynyddislwyn</t>
  </si>
  <si>
    <t>NP12 2DT</t>
  </si>
  <si>
    <t>CBDU7760</t>
  </si>
  <si>
    <t>32 Llandaff Road Canton</t>
  </si>
  <si>
    <t>CBDU7762</t>
  </si>
  <si>
    <t>Irongate Farm Croesyceiliog</t>
  </si>
  <si>
    <t>NP44 2DE</t>
  </si>
  <si>
    <t>CBDU7763</t>
  </si>
  <si>
    <t>Bryn Ogwen Hen Ffordd Conwy</t>
  </si>
  <si>
    <t>LL34 6YE</t>
  </si>
  <si>
    <t>CBDU7764</t>
  </si>
  <si>
    <t>Gwynfa Castell-Haidd</t>
  </si>
  <si>
    <t>SA62 5HR</t>
  </si>
  <si>
    <t>CBDU7765</t>
  </si>
  <si>
    <t>Pwll Y Parc Lon Cae Glas</t>
  </si>
  <si>
    <t>LL53 8YT</t>
  </si>
  <si>
    <t>CBDU7766</t>
  </si>
  <si>
    <t>Cottage Farm Llanfihangel-y-Pwll</t>
  </si>
  <si>
    <t>CF64 4HE</t>
  </si>
  <si>
    <t>CBDU7767</t>
  </si>
  <si>
    <t>10 Clyngwyn Road Ystalyfera</t>
  </si>
  <si>
    <t>SA9 2AE</t>
  </si>
  <si>
    <t>CBDU8394</t>
  </si>
  <si>
    <t>6 Hall Terrace Aveley</t>
  </si>
  <si>
    <t>South Ockendon</t>
  </si>
  <si>
    <t>RM15 4HH</t>
  </si>
  <si>
    <t>CBDU8396</t>
  </si>
  <si>
    <t>270 Heol Cwmaman Glanamman</t>
  </si>
  <si>
    <t>SA18 2AF</t>
  </si>
  <si>
    <t>CBDU8398</t>
  </si>
  <si>
    <t>Tai Drill Bagillt Road</t>
  </si>
  <si>
    <t>CH8 7EP</t>
  </si>
  <si>
    <t>CBDU8401</t>
  </si>
  <si>
    <t>13 Parc Y Nant Nantgarw</t>
  </si>
  <si>
    <t>CF15 7TJ</t>
  </si>
  <si>
    <t>CBDU8404</t>
  </si>
  <si>
    <t>Coed Cae Farm Coed Cae</t>
  </si>
  <si>
    <t>Pontnewydd</t>
  </si>
  <si>
    <t>NP44 1JR</t>
  </si>
  <si>
    <t>CBDL8407</t>
  </si>
  <si>
    <t xml:space="preserve">21 Quay Street </t>
  </si>
  <si>
    <t>SA61 1BD</t>
  </si>
  <si>
    <t>CBDU8640</t>
  </si>
  <si>
    <t>Grove Farm Scrapyard Hirwaun Road</t>
  </si>
  <si>
    <t>CF44 9HP</t>
  </si>
  <si>
    <t>CBDU8645</t>
  </si>
  <si>
    <t>18 St. Peters Drive Libanus Fields</t>
  </si>
  <si>
    <t>NP12 2ER</t>
  </si>
  <si>
    <t>CBDU8647</t>
  </si>
  <si>
    <t>Y-Lladd-Dy Tilbach Farm</t>
  </si>
  <si>
    <t>NP4 0JF</t>
  </si>
  <si>
    <t>CBDU8648</t>
  </si>
  <si>
    <t>646 Gower Road Upper Killay</t>
  </si>
  <si>
    <t>SA2 7EX</t>
  </si>
  <si>
    <t>CBDL9024</t>
  </si>
  <si>
    <t>Rookery Farm Binegar</t>
  </si>
  <si>
    <t>Radstock</t>
  </si>
  <si>
    <t>BA3 4UL</t>
  </si>
  <si>
    <t>CBDL9027</t>
  </si>
  <si>
    <t>ST JOHNS HOUSE BARRINGTON ROAD</t>
  </si>
  <si>
    <t>ALTRINCHAM</t>
  </si>
  <si>
    <t>WA14 1TJ</t>
  </si>
  <si>
    <t>CBDU9035</t>
  </si>
  <si>
    <t>CBDU9036</t>
  </si>
  <si>
    <t>Unit 14D Pant Industrial Estate</t>
  </si>
  <si>
    <t>CBDU9037</t>
  </si>
  <si>
    <t>YESSS House Foxbridge Way</t>
  </si>
  <si>
    <t>Normanton Industrial Estate</t>
  </si>
  <si>
    <t>WF6 1TN</t>
  </si>
  <si>
    <t>CBDL9279</t>
  </si>
  <si>
    <t>Cefn Bychan Farm House Cefn Bychan</t>
  </si>
  <si>
    <t>SA4 3JS</t>
  </si>
  <si>
    <t>CBDU9280</t>
  </si>
  <si>
    <t>Preswylfa Nantgaredig</t>
  </si>
  <si>
    <t>SA32 7NH</t>
  </si>
  <si>
    <t>CBDU9282</t>
  </si>
  <si>
    <t>47 Englands Lane Gorleston</t>
  </si>
  <si>
    <t>Great Yarmouth</t>
  </si>
  <si>
    <t>NR31 6BE</t>
  </si>
  <si>
    <t>CBDU9284</t>
  </si>
  <si>
    <t>Kimel Business Centre Tir Llwyd Enterprise Park</t>
  </si>
  <si>
    <t>LL185JZ</t>
  </si>
  <si>
    <t>CBDL9285</t>
  </si>
  <si>
    <t>Panteg Way New Inn</t>
  </si>
  <si>
    <t>CBDU9286</t>
  </si>
  <si>
    <t>Unit 15 Ely Distribution Centre</t>
  </si>
  <si>
    <t>CBDU9287</t>
  </si>
  <si>
    <t>3A St. Davids Close Brackla</t>
  </si>
  <si>
    <t>CBDU9292</t>
  </si>
  <si>
    <t>19 Catherine's Gate Merlins Bridge</t>
  </si>
  <si>
    <t>SA61 1NB</t>
  </si>
  <si>
    <t>CBDU9294</t>
  </si>
  <si>
    <t>Unit 129 Lamby Industrial Park</t>
  </si>
  <si>
    <t>CBDL9295</t>
  </si>
  <si>
    <t>Unit 19 Woodfieldside Business Park</t>
  </si>
  <si>
    <t>CBDL9720</t>
  </si>
  <si>
    <t>CBDU9726</t>
  </si>
  <si>
    <t>Unit 1 Caerphilly Business Park</t>
  </si>
  <si>
    <t>CBDL9730</t>
  </si>
  <si>
    <t>23 MAELFA SHOPPING CENTRE</t>
  </si>
  <si>
    <t>LLANEDEYRN</t>
  </si>
  <si>
    <t>CF23 9PL</t>
  </si>
  <si>
    <t>CBDL9506</t>
  </si>
  <si>
    <t>New Quay Road Felnex Industrial Estate</t>
  </si>
  <si>
    <t>NP19 4PL</t>
  </si>
  <si>
    <t>CBDU9509</t>
  </si>
  <si>
    <t>Graigola Wharf Kings Dock</t>
  </si>
  <si>
    <t>CBDU9510</t>
  </si>
  <si>
    <t>Llysbuallt Hospital Road</t>
  </si>
  <si>
    <t>LD2 3HE</t>
  </si>
  <si>
    <t>CBDL9512</t>
  </si>
  <si>
    <t xml:space="preserve">Llanmorlais </t>
  </si>
  <si>
    <t>SA4 3TN</t>
  </si>
  <si>
    <t>CBDL9518</t>
  </si>
  <si>
    <t>Gwalia Maesycrugiau</t>
  </si>
  <si>
    <t>SA39 9DH</t>
  </si>
  <si>
    <t>CBDU9519</t>
  </si>
  <si>
    <t xml:space="preserve">41 Poplar Road </t>
  </si>
  <si>
    <t>SM3 9JZ</t>
  </si>
  <si>
    <t>CBDU9966</t>
  </si>
  <si>
    <t>85 Albion Road Baglan</t>
  </si>
  <si>
    <t>SA12 8DD</t>
  </si>
  <si>
    <t>CBDU9972</t>
  </si>
  <si>
    <t>Unit 4 Dinas Isaf Industrial Estate</t>
  </si>
  <si>
    <t>CBDU10285</t>
  </si>
  <si>
    <t>Unit 35 Mill Mead Industrial Centre</t>
  </si>
  <si>
    <t>Mill Mead Road</t>
  </si>
  <si>
    <t>N17 9QU</t>
  </si>
  <si>
    <t>CBDL10289</t>
  </si>
  <si>
    <t xml:space="preserve">31 Harpenden Road </t>
  </si>
  <si>
    <t>SE27 0AG</t>
  </si>
  <si>
    <t>CBDL10290</t>
  </si>
  <si>
    <t>80 Dol Y Felin Abermule</t>
  </si>
  <si>
    <t>SY15 6BB</t>
  </si>
  <si>
    <t>CBDU10291</t>
  </si>
  <si>
    <t>Gwern Tyddyn Cwmbelan</t>
  </si>
  <si>
    <t>SY18 6QB</t>
  </si>
  <si>
    <t>CBDU10292</t>
  </si>
  <si>
    <t>Preswylfa Valley</t>
  </si>
  <si>
    <t>LL65 3EA</t>
  </si>
  <si>
    <t>CBDU10293</t>
  </si>
  <si>
    <t xml:space="preserve">16 Inkerman Street </t>
  </si>
  <si>
    <t>CBDU10294</t>
  </si>
  <si>
    <t>CELTIC HOUSE 6 OCEAN WAY</t>
  </si>
  <si>
    <t>CF25 5HG</t>
  </si>
  <si>
    <t>CBDU10296</t>
  </si>
  <si>
    <t>22  Charles Street</t>
  </si>
  <si>
    <t>SA73 2AE</t>
  </si>
  <si>
    <t>CBDL10529</t>
  </si>
  <si>
    <t>Integra House 1 Vaughan Court</t>
  </si>
  <si>
    <t>NP10 8BD</t>
  </si>
  <si>
    <t>CBDL10530</t>
  </si>
  <si>
    <t>Compton House High Town</t>
  </si>
  <si>
    <t>HR3 5AE</t>
  </si>
  <si>
    <t>CBDL10533</t>
  </si>
  <si>
    <t>19 Bridge Street Abercarn</t>
  </si>
  <si>
    <t>NP11 4SE</t>
  </si>
  <si>
    <t>CBDL10534</t>
  </si>
  <si>
    <t xml:space="preserve">73 High Street </t>
  </si>
  <si>
    <t>NP12 1BA</t>
  </si>
  <si>
    <t>CBDL10535</t>
  </si>
  <si>
    <t>ExCAL House Capel Hendre Industrial Estate</t>
  </si>
  <si>
    <t>CBDU10536</t>
  </si>
  <si>
    <t>Llwynffynnon Uchaf Bancyffordd</t>
  </si>
  <si>
    <t>SA44 4RY</t>
  </si>
  <si>
    <t>CBDL10539</t>
  </si>
  <si>
    <t>London House South John Street</t>
  </si>
  <si>
    <t>SA45 9NP</t>
  </si>
  <si>
    <t>CBDU10540</t>
  </si>
  <si>
    <t>36 Kelsterton Road Connah's Quay</t>
  </si>
  <si>
    <t>CH5 4BJ</t>
  </si>
  <si>
    <t>CBDU10541</t>
  </si>
  <si>
    <t xml:space="preserve">29 Ash Place </t>
  </si>
  <si>
    <t>CF5 3PP</t>
  </si>
  <si>
    <t>CBDU10886</t>
  </si>
  <si>
    <t>Coedcae Lane Industrial Estate Coedcae Lane</t>
  </si>
  <si>
    <t>CF72 9HG</t>
  </si>
  <si>
    <t>CBDL10889</t>
  </si>
  <si>
    <t xml:space="preserve">43 Cradoc Road </t>
  </si>
  <si>
    <t>LD3 9LH</t>
  </si>
  <si>
    <t>CBDU10890</t>
  </si>
  <si>
    <t>57 Long Meadow Abermule</t>
  </si>
  <si>
    <t>SY15 6JS</t>
  </si>
  <si>
    <t>CBDU10892</t>
  </si>
  <si>
    <t xml:space="preserve">9 The Park </t>
  </si>
  <si>
    <t>LL15 1PL</t>
  </si>
  <si>
    <t>CBDU10893</t>
  </si>
  <si>
    <t>36 Penrhyn Beach East Penrhyn Bay</t>
  </si>
  <si>
    <t>LL30 3NU</t>
  </si>
  <si>
    <t>CBDU11138</t>
  </si>
  <si>
    <t>58 Hillock Lane Gresford</t>
  </si>
  <si>
    <t>LL12 8YL</t>
  </si>
  <si>
    <t>CBDU11143</t>
  </si>
  <si>
    <t xml:space="preserve">82 Severn Road </t>
  </si>
  <si>
    <t>CF11 9EA</t>
  </si>
  <si>
    <t>CBDU11144</t>
  </si>
  <si>
    <t>Bryngwyn Efailwen</t>
  </si>
  <si>
    <t>SA66 7UT</t>
  </si>
  <si>
    <t>CBDU11145</t>
  </si>
  <si>
    <t>119 Village Farm Road Village Farm Industrial Estate</t>
  </si>
  <si>
    <t>CBDU11147</t>
  </si>
  <si>
    <t xml:space="preserve">Dolgun Uchaf </t>
  </si>
  <si>
    <t>LL40 2AB</t>
  </si>
  <si>
    <t>CBDU11148</t>
  </si>
  <si>
    <t>Unit 4 Rhymney River Bridge Road</t>
  </si>
  <si>
    <t>CBDU11150</t>
  </si>
  <si>
    <t>Unit 3A Gallagher Retail Park</t>
  </si>
  <si>
    <t>Parc Pontypandy</t>
  </si>
  <si>
    <t>CF83 3GX</t>
  </si>
  <si>
    <t>CBDU11152</t>
  </si>
  <si>
    <t>Maes Workshop Chapel Terrace</t>
  </si>
  <si>
    <t>LL52 0AB</t>
  </si>
  <si>
    <t>CBDU11155</t>
  </si>
  <si>
    <t xml:space="preserve">35 Megs Lane </t>
  </si>
  <si>
    <t>CH7 2AE</t>
  </si>
  <si>
    <t>CBDU11157</t>
  </si>
  <si>
    <t>Cysgod Y Cwm Gwynfryn Terrace</t>
  </si>
  <si>
    <t>Cynheidre</t>
  </si>
  <si>
    <t>SA15 5YF</t>
  </si>
  <si>
    <t>CBDU11961</t>
  </si>
  <si>
    <t>Suite 7 Unit 1 Meadows View</t>
  </si>
  <si>
    <t>Rhosddu Industrial Estate</t>
  </si>
  <si>
    <t>CBDU11963</t>
  </si>
  <si>
    <t xml:space="preserve">8 Greenlawns </t>
  </si>
  <si>
    <t>CBDU11966</t>
  </si>
  <si>
    <t xml:space="preserve">19 Lady Park </t>
  </si>
  <si>
    <t>SA70 8JJ</t>
  </si>
  <si>
    <t>CBDL11969</t>
  </si>
  <si>
    <t xml:space="preserve">11 Brook Street </t>
  </si>
  <si>
    <t>CF40 1RB</t>
  </si>
  <si>
    <t>CBDL11970</t>
  </si>
  <si>
    <t>Unit 4 London Road Industrial Estate</t>
  </si>
  <si>
    <t>SA72 4RZ</t>
  </si>
  <si>
    <t>CBDU11971</t>
  </si>
  <si>
    <t xml:space="preserve">61 Bryn Celyn </t>
  </si>
  <si>
    <t>CF23 7EF</t>
  </si>
  <si>
    <t>CBDU11972</t>
  </si>
  <si>
    <t>CBDL11975</t>
  </si>
  <si>
    <t xml:space="preserve">55 Eastgate </t>
  </si>
  <si>
    <t>CBDU11412</t>
  </si>
  <si>
    <t xml:space="preserve">35 Western Avenue </t>
  </si>
  <si>
    <t>NP20 3SN</t>
  </si>
  <si>
    <t>CBDU11414</t>
  </si>
  <si>
    <t>Bryn Fran Dolwen Road</t>
  </si>
  <si>
    <t>LL29 8TG</t>
  </si>
  <si>
    <t>CBDU11418</t>
  </si>
  <si>
    <t>Alltybrain Llandefaelog Fach</t>
  </si>
  <si>
    <t>LD3 9RB</t>
  </si>
  <si>
    <t>CBDL11422</t>
  </si>
  <si>
    <t xml:space="preserve">2 Power Station Road </t>
  </si>
  <si>
    <t>Stourport-on-Severn</t>
  </si>
  <si>
    <t>DY13 9PF</t>
  </si>
  <si>
    <t>CBDL11423</t>
  </si>
  <si>
    <t>CBDU11424</t>
  </si>
  <si>
    <t>19 Tylagwyn Penpedairheol</t>
  </si>
  <si>
    <t>CF82 8HE</t>
  </si>
  <si>
    <t>CBDU11425</t>
  </si>
  <si>
    <t xml:space="preserve">12 Cranleigh Drive </t>
  </si>
  <si>
    <t>Leigh-on-Sea</t>
  </si>
  <si>
    <t>SS9 1SY</t>
  </si>
  <si>
    <t>CBDU11426</t>
  </si>
  <si>
    <t>28 Caeffynnon Road Llandybie</t>
  </si>
  <si>
    <t>SA18 2TH</t>
  </si>
  <si>
    <t>CBDU11428</t>
  </si>
  <si>
    <t xml:space="preserve">18 Grove Road </t>
  </si>
  <si>
    <t>CF31 3EF</t>
  </si>
  <si>
    <t>CBDU11653</t>
  </si>
  <si>
    <t>Unit 1 Vauxhall Ind Est</t>
  </si>
  <si>
    <t>CBDL11654</t>
  </si>
  <si>
    <t>170 Walton Summit Road</t>
  </si>
  <si>
    <t>Bamber Bridge</t>
  </si>
  <si>
    <t>Preston</t>
  </si>
  <si>
    <t>PR5 8AH</t>
  </si>
  <si>
    <t>CBDU11656</t>
  </si>
  <si>
    <t>Unit 72 Ffordd William Morgan</t>
  </si>
  <si>
    <t>CBDL11862</t>
  </si>
  <si>
    <t>Unit 1 Rushacre Enterprise Park</t>
  </si>
  <si>
    <t>Redstone Road</t>
  </si>
  <si>
    <t>SA67 7ET</t>
  </si>
  <si>
    <t>CBDU11867</t>
  </si>
  <si>
    <t>Unit A Enterprise Centre Bryn Road</t>
  </si>
  <si>
    <t>CBDL11869</t>
  </si>
  <si>
    <t>Tilburstow Hill Road South Godstone</t>
  </si>
  <si>
    <t>Godstone</t>
  </si>
  <si>
    <t>RH9 8LY</t>
  </si>
  <si>
    <t>CBDU11870</t>
  </si>
  <si>
    <t>6 Threo's Close Connah's Quay</t>
  </si>
  <si>
    <t>CH5 4GT</t>
  </si>
  <si>
    <t>CBDL11874</t>
  </si>
  <si>
    <t>Unit 2 Felin Puleston</t>
  </si>
  <si>
    <t>Ruabon Road</t>
  </si>
  <si>
    <t>LL13 7RF</t>
  </si>
  <si>
    <t>CBDU11875</t>
  </si>
  <si>
    <t>Rhedyn Coch Newborough</t>
  </si>
  <si>
    <t>LL61 6SU</t>
  </si>
  <si>
    <t>CBDU11877</t>
  </si>
  <si>
    <t>CBDU11879</t>
  </si>
  <si>
    <t xml:space="preserve">Llanbedrog </t>
  </si>
  <si>
    <t>LL53 7UB</t>
  </si>
  <si>
    <t>CBDL11880</t>
  </si>
  <si>
    <t>12 St. Catherines Court Baglan</t>
  </si>
  <si>
    <t>SA12 8AJ</t>
  </si>
  <si>
    <t>CBDU11881</t>
  </si>
  <si>
    <t xml:space="preserve">10 Picton Avenue </t>
  </si>
  <si>
    <t>CF36 3AJ</t>
  </si>
  <si>
    <t>CBDL11882</t>
  </si>
  <si>
    <t>The Parish Office The Causeway</t>
  </si>
  <si>
    <t>Marlow</t>
  </si>
  <si>
    <t>SL7 2AA</t>
  </si>
  <si>
    <t>CBDL12172</t>
  </si>
  <si>
    <t>South Road Bridgend Industrial Estate</t>
  </si>
  <si>
    <t>CF31 3UL</t>
  </si>
  <si>
    <t>CBDU12173</t>
  </si>
  <si>
    <t xml:space="preserve">M A Hartley Roofing Contractors Ltd Pheonix Way </t>
  </si>
  <si>
    <t xml:space="preserve">Garngoch Ind Est </t>
  </si>
  <si>
    <t>CBDL12174</t>
  </si>
  <si>
    <t xml:space="preserve">45 Swn Y Don </t>
  </si>
  <si>
    <t>LL29 9EG</t>
  </si>
  <si>
    <t>CBDU12175</t>
  </si>
  <si>
    <t>Gwel Y Coed Cwmann</t>
  </si>
  <si>
    <t>SA48 8EL</t>
  </si>
  <si>
    <t>CBDU12176</t>
  </si>
  <si>
    <t>County Hall Atlantic Wharf</t>
  </si>
  <si>
    <t>CF10 4UW</t>
  </si>
  <si>
    <t>CBDU12178</t>
  </si>
  <si>
    <t>18 Glanyrafon Road Pencoed</t>
  </si>
  <si>
    <t>CF35 5PR</t>
  </si>
  <si>
    <t>CBDU12185</t>
  </si>
  <si>
    <t xml:space="preserve">1 Deva Way </t>
  </si>
  <si>
    <t>LL13 9EU</t>
  </si>
  <si>
    <t>CBDU12387</t>
  </si>
  <si>
    <t>13 Sibrwd Y Dail Pen-y-Fai</t>
  </si>
  <si>
    <t>CF31 4GB</t>
  </si>
  <si>
    <t>CBDU12388</t>
  </si>
  <si>
    <t>Unit 51 Enterprise Way</t>
  </si>
  <si>
    <t>CBDU12391</t>
  </si>
  <si>
    <t>The Old Lampworks Robertstown Industrial Estate</t>
  </si>
  <si>
    <t>CF44 8HD</t>
  </si>
  <si>
    <t>CBDU12393</t>
  </si>
  <si>
    <t xml:space="preserve">2 Chisnall Road </t>
  </si>
  <si>
    <t>CT17 0RH</t>
  </si>
  <si>
    <t>CBDU12395</t>
  </si>
  <si>
    <t>6 Old Church Close South Cornelly</t>
  </si>
  <si>
    <t>CF33 4SG</t>
  </si>
  <si>
    <t>CBDU12396</t>
  </si>
  <si>
    <t>CBDU12400</t>
  </si>
  <si>
    <t>Nantgerdinen Cynwyl Elfed</t>
  </si>
  <si>
    <t>SA33 6UT</t>
  </si>
  <si>
    <t>CBDU12401</t>
  </si>
  <si>
    <t>21 Brynford Street</t>
  </si>
  <si>
    <t>CBDU12402</t>
  </si>
  <si>
    <t>Redwick Magor</t>
  </si>
  <si>
    <t>CBDL12405</t>
  </si>
  <si>
    <t>3 Riversleigh Hope</t>
  </si>
  <si>
    <t>LL12 9PQ</t>
  </si>
  <si>
    <t>CBDU12725</t>
  </si>
  <si>
    <t xml:space="preserve">45 Green Lanes </t>
  </si>
  <si>
    <t>LL19 7BH</t>
  </si>
  <si>
    <t>CBDU12726</t>
  </si>
  <si>
    <t xml:space="preserve">49 Charles Street </t>
  </si>
  <si>
    <t>CF39 9YD</t>
  </si>
  <si>
    <t>CBDU12727</t>
  </si>
  <si>
    <t>CBDL12728</t>
  </si>
  <si>
    <t>25 Harding Close Loughor</t>
  </si>
  <si>
    <t>SA4 6PE</t>
  </si>
  <si>
    <t>CBDU12732</t>
  </si>
  <si>
    <t xml:space="preserve">22 Ger-y-Lyn </t>
  </si>
  <si>
    <t>CF36 5ND</t>
  </si>
  <si>
    <t>CBDU12735</t>
  </si>
  <si>
    <t xml:space="preserve">24 Frensham Road </t>
  </si>
  <si>
    <t>SE9 3RQ</t>
  </si>
  <si>
    <t>CBDL12738</t>
  </si>
  <si>
    <t>40 LONGBRIDGE STREET 40 /41 LONGBRIDGE STREET</t>
  </si>
  <si>
    <t>LLANIDLOES</t>
  </si>
  <si>
    <t>SY186EF</t>
  </si>
  <si>
    <t>CBDL12739</t>
  </si>
  <si>
    <t>203 Neath Road Briton Ferry</t>
  </si>
  <si>
    <t>SA11 2BJ</t>
  </si>
  <si>
    <t>CBDU12518</t>
  </si>
  <si>
    <t>A1 Britannia House</t>
  </si>
  <si>
    <t>3 Caerphilly Business Park</t>
  </si>
  <si>
    <t>CBDL12520</t>
  </si>
  <si>
    <t xml:space="preserve">3 Lundy Close </t>
  </si>
  <si>
    <t>Crawley</t>
  </si>
  <si>
    <t>RH11 9HF</t>
  </si>
  <si>
    <t>CBDL12521</t>
  </si>
  <si>
    <t xml:space="preserve">9 Penybryn Street </t>
  </si>
  <si>
    <t>CF44 8DR</t>
  </si>
  <si>
    <t>CBDU12522</t>
  </si>
  <si>
    <t xml:space="preserve">19 Paulden Avenue </t>
  </si>
  <si>
    <t>OL4 2JA</t>
  </si>
  <si>
    <t>CBDU12524</t>
  </si>
  <si>
    <t>8 Olivers Gardens Staindrop</t>
  </si>
  <si>
    <t>Darlington</t>
  </si>
  <si>
    <t>DL2 3XF</t>
  </si>
  <si>
    <t>CBDU12525</t>
  </si>
  <si>
    <t>9 Salisbury Grove Mytchett</t>
  </si>
  <si>
    <t>Camberley</t>
  </si>
  <si>
    <t>GU16 6BP</t>
  </si>
  <si>
    <t>CBDU12526</t>
  </si>
  <si>
    <t xml:space="preserve">11 Eldon Drive </t>
  </si>
  <si>
    <t>LL22 7BY</t>
  </si>
  <si>
    <t>CBDU12527</t>
  </si>
  <si>
    <t>Unit 8 Maesteg Business Centre</t>
  </si>
  <si>
    <t>Heol Ty Gwyn Industrial Estate</t>
  </si>
  <si>
    <t>CF34 0BQ</t>
  </si>
  <si>
    <t>CBDU12528</t>
  </si>
  <si>
    <t>Pandy Penegoes</t>
  </si>
  <si>
    <t>SY20 8NH</t>
  </si>
  <si>
    <t>CBDU12529</t>
  </si>
  <si>
    <t>Nant Fforch Cwm Golau</t>
  </si>
  <si>
    <t>Cyfronydd</t>
  </si>
  <si>
    <t>SY21 9EY</t>
  </si>
  <si>
    <t>CBDU12532</t>
  </si>
  <si>
    <t>Heol Ffaldau Brackla Industrial Estate</t>
  </si>
  <si>
    <t>CF31 2XE</t>
  </si>
  <si>
    <t>CBDU12533</t>
  </si>
  <si>
    <t>Ash Park Cosheston</t>
  </si>
  <si>
    <t>SA72 4SS</t>
  </si>
  <si>
    <t>CBDL12950</t>
  </si>
  <si>
    <t xml:space="preserve">1 Red Hall Drive </t>
  </si>
  <si>
    <t>NE7 7LH</t>
  </si>
  <si>
    <t>CBDU12951</t>
  </si>
  <si>
    <t>76 Bishops Road Whitchurch</t>
  </si>
  <si>
    <t>CF14 1LY</t>
  </si>
  <si>
    <t>CBDL12952</t>
  </si>
  <si>
    <t>Unit 4 F-Shed</t>
  </si>
  <si>
    <t>SA73 3DJ</t>
  </si>
  <si>
    <t>CBDL13327</t>
  </si>
  <si>
    <t>Calon Y Fferi Carmarthen Road</t>
  </si>
  <si>
    <t>SA17 5TE</t>
  </si>
  <si>
    <t>CBDU13329</t>
  </si>
  <si>
    <t>Diamond Cottage Brunant</t>
  </si>
  <si>
    <t>Buttington</t>
  </si>
  <si>
    <t>SY21 8TF</t>
  </si>
  <si>
    <t>CBDL13334</t>
  </si>
  <si>
    <t>Dalton House 35 Chester Street</t>
  </si>
  <si>
    <t>LL13 8AH</t>
  </si>
  <si>
    <t>CBDU13335</t>
  </si>
  <si>
    <t>Westcliffe Buildings Wellington Road</t>
  </si>
  <si>
    <t>LL18 1LG</t>
  </si>
  <si>
    <t>CBDL13119</t>
  </si>
  <si>
    <t>Unit 10 P T Williams Yard</t>
  </si>
  <si>
    <t>Severn Farm Industrial Estate</t>
  </si>
  <si>
    <t>CBDU13123</t>
  </si>
  <si>
    <t>52 Heol Waunyclun Trimsaran</t>
  </si>
  <si>
    <t>SA17 4BS</t>
  </si>
  <si>
    <t>CBDU13124</t>
  </si>
  <si>
    <t xml:space="preserve">Middle Redford </t>
  </si>
  <si>
    <t>CBDL13126</t>
  </si>
  <si>
    <t>Bryn Afon Mawr Cemmaes</t>
  </si>
  <si>
    <t>SY20 8LE</t>
  </si>
  <si>
    <t>CBDU13518</t>
  </si>
  <si>
    <t>1 Attlee Street Brynmenyn Industrial Estate</t>
  </si>
  <si>
    <t>CF32 9TQ</t>
  </si>
  <si>
    <t>CBDU13519</t>
  </si>
  <si>
    <t>Unit A1-A3 Peel Street Business Centre</t>
  </si>
  <si>
    <t>Peel Street</t>
  </si>
  <si>
    <t>LL22 7LA</t>
  </si>
  <si>
    <t>CBDL13521</t>
  </si>
  <si>
    <t>5 Glyn Derw Deri</t>
  </si>
  <si>
    <t>CF81 9GS</t>
  </si>
  <si>
    <t>CBDU13522</t>
  </si>
  <si>
    <t>Heol Parc Mawr Cross Hands Business Park</t>
  </si>
  <si>
    <t>LLanelli</t>
  </si>
  <si>
    <t>SA14 6RZ</t>
  </si>
  <si>
    <t>CBDU13524</t>
  </si>
  <si>
    <t>5 Dingle Lane Crundale</t>
  </si>
  <si>
    <t>CBDL13529</t>
  </si>
  <si>
    <t>Canolfan Gorseinon Millers Drive</t>
  </si>
  <si>
    <t>SA4 4QN</t>
  </si>
  <si>
    <t>CBDL13530</t>
  </si>
  <si>
    <t xml:space="preserve">24 Cathedral Road </t>
  </si>
  <si>
    <t>CBDL55</t>
  </si>
  <si>
    <t>Slaters of Abergele Ltd Market Street</t>
  </si>
  <si>
    <t>LL22 7AL</t>
  </si>
  <si>
    <t>CBDL56</t>
  </si>
  <si>
    <t>JPG Site Services ltd Kerry Road</t>
  </si>
  <si>
    <t>SY16 1DX</t>
  </si>
  <si>
    <t>CBDL57</t>
  </si>
  <si>
    <t>Ty Newydd Stables Camarthen</t>
  </si>
  <si>
    <t>SA32 8JG</t>
  </si>
  <si>
    <t>CBDL58</t>
  </si>
  <si>
    <t>CBDL59</t>
  </si>
  <si>
    <t>CBDL60</t>
  </si>
  <si>
    <t>CBDL61</t>
  </si>
  <si>
    <t>CBDL62</t>
  </si>
  <si>
    <t>CBDL63</t>
  </si>
  <si>
    <t>Threeways Garage Ltd Faenol Avenue</t>
  </si>
  <si>
    <t>LL22 7HT</t>
  </si>
  <si>
    <t>CBDL65</t>
  </si>
  <si>
    <t>CBDL66</t>
  </si>
  <si>
    <t>CBDL67</t>
  </si>
  <si>
    <t>CBDL68</t>
  </si>
  <si>
    <t>CBDL69</t>
  </si>
  <si>
    <t>CBDL70</t>
  </si>
  <si>
    <t>CBDL302</t>
  </si>
  <si>
    <t>CBDL307</t>
  </si>
  <si>
    <t>Great House Barn New Street</t>
  </si>
  <si>
    <t>LO3 0AH</t>
  </si>
  <si>
    <t>CBDL308</t>
  </si>
  <si>
    <t>1 Bryn Siriol</t>
  </si>
  <si>
    <t>SY21 7TN</t>
  </si>
  <si>
    <t>CBDL563</t>
  </si>
  <si>
    <t>53 Water Street</t>
  </si>
  <si>
    <t>LL22 7SN</t>
  </si>
  <si>
    <t>CBDL564</t>
  </si>
  <si>
    <t>CBDL565</t>
  </si>
  <si>
    <t>Bevan and Blackland Chartered Accountants</t>
  </si>
  <si>
    <t>SA62 4ET</t>
  </si>
  <si>
    <t>CBDL566</t>
  </si>
  <si>
    <t>1-2 High Street</t>
  </si>
  <si>
    <t>CBDL570</t>
  </si>
  <si>
    <t>maplewood rock house court</t>
  </si>
  <si>
    <t>llandrindod wells</t>
  </si>
  <si>
    <t>ld1 6ax</t>
  </si>
  <si>
    <t>CBDL573</t>
  </si>
  <si>
    <t>Oswestria Penypalmant Road</t>
  </si>
  <si>
    <t>LL11 3YW</t>
  </si>
  <si>
    <t>CBDL574</t>
  </si>
  <si>
    <t>CBDL575</t>
  </si>
  <si>
    <t>Llanfyllin Library High Street</t>
  </si>
  <si>
    <t>SY22 5DB</t>
  </si>
  <si>
    <t>CBDL577</t>
  </si>
  <si>
    <t>Parc Enfys Gwyoyr Road</t>
  </si>
  <si>
    <t>Dalgarrog</t>
  </si>
  <si>
    <t>LL32 8JS</t>
  </si>
  <si>
    <t>CBDL802</t>
  </si>
  <si>
    <t>CBDL804</t>
  </si>
  <si>
    <t xml:space="preserve">Hendre Glyn Llanover </t>
  </si>
  <si>
    <t>Np79er</t>
  </si>
  <si>
    <t>CBDL1008</t>
  </si>
  <si>
    <t>Prince Charles Road Caila Park</t>
  </si>
  <si>
    <t>LL13 8TH</t>
  </si>
  <si>
    <t>CBDL1012</t>
  </si>
  <si>
    <t>Unit 1 - 2 Llwyngell Industrial Estate</t>
  </si>
  <si>
    <t>LL41 3NE</t>
  </si>
  <si>
    <t>CBDL1013</t>
  </si>
  <si>
    <t>Major and Evans Bull House</t>
  </si>
  <si>
    <t>Penralltst</t>
  </si>
  <si>
    <t>SY20 8AG</t>
  </si>
  <si>
    <t>CBDL1242</t>
  </si>
  <si>
    <t>CBDL1243</t>
  </si>
  <si>
    <t>Unit 1 Ty Mawr Enterprise Park</t>
  </si>
  <si>
    <t>Tan Y Graig Road</t>
  </si>
  <si>
    <t>LL29 8UE</t>
  </si>
  <si>
    <t>CBDL1245</t>
  </si>
  <si>
    <t>Pont Newydd Medical Centre Aberrhondda Road</t>
  </si>
  <si>
    <t>CF39 0LD</t>
  </si>
  <si>
    <t>CBDL1249</t>
  </si>
  <si>
    <t>23  Gloddaeth Street</t>
  </si>
  <si>
    <t>LL30 2DF</t>
  </si>
  <si>
    <t>CBDL1250</t>
  </si>
  <si>
    <t>CBDL1251</t>
  </si>
  <si>
    <t>CBDL1252</t>
  </si>
  <si>
    <t>Unit 12E Enterprise Workshops 100 Trostre Rd</t>
  </si>
  <si>
    <t>CBDL1254</t>
  </si>
  <si>
    <t>MOUNT PLEASANT FARM SHOP FARM ROAD</t>
  </si>
  <si>
    <t>CEFN CRIBBWR</t>
  </si>
  <si>
    <t>CF320HA</t>
  </si>
  <si>
    <t>CBDL1485</t>
  </si>
  <si>
    <t>17 Dulais Road</t>
  </si>
  <si>
    <t>CBDL1488</t>
  </si>
  <si>
    <t>Davies Motor Company Hadfield close</t>
  </si>
  <si>
    <t>CF11 8BD</t>
  </si>
  <si>
    <t>CBDL1494</t>
  </si>
  <si>
    <t>Glan Rhyd Surgery Riverside</t>
  </si>
  <si>
    <t>NP23 5NT</t>
  </si>
  <si>
    <t>CBDL1495</t>
  </si>
  <si>
    <t>51  Springvale Ind Est</t>
  </si>
  <si>
    <t>Np44 5BB</t>
  </si>
  <si>
    <t>CBDL1713</t>
  </si>
  <si>
    <t>Glaslyn Ffordd Y Parc</t>
  </si>
  <si>
    <t>LL57 4FE</t>
  </si>
  <si>
    <t>CBDL1970</t>
  </si>
  <si>
    <t>Tregynon Garage Tregynon</t>
  </si>
  <si>
    <t>SY16 3EL</t>
  </si>
  <si>
    <t>CBDL1972</t>
  </si>
  <si>
    <t>Gardner Denver Cross Lane</t>
  </si>
  <si>
    <t>BD4 0SU</t>
  </si>
  <si>
    <t>CBDL2354</t>
  </si>
  <si>
    <t>Gorsfawr Bronnant</t>
  </si>
  <si>
    <t>SY23 4JA</t>
  </si>
  <si>
    <t>CBDL2596</t>
  </si>
  <si>
    <t xml:space="preserve">12 Swinton Street </t>
  </si>
  <si>
    <t>CF24 2NT</t>
  </si>
  <si>
    <t>CBDL2599</t>
  </si>
  <si>
    <t>Hopwa House Inskip Drive</t>
  </si>
  <si>
    <t>Hornchurch</t>
  </si>
  <si>
    <t>RM11 3UR</t>
  </si>
  <si>
    <t>CBDL3042</t>
  </si>
  <si>
    <t xml:space="preserve">The Strand </t>
  </si>
  <si>
    <t>SA69 9ET</t>
  </si>
  <si>
    <t>CBDL3043</t>
  </si>
  <si>
    <t xml:space="preserve">Bodwrdin </t>
  </si>
  <si>
    <t>LL75 8YY</t>
  </si>
  <si>
    <t>CBDL2813</t>
  </si>
  <si>
    <t>Tank Farm Road Llandarcy</t>
  </si>
  <si>
    <t>CBDL2814</t>
  </si>
  <si>
    <t>CBDL2819</t>
  </si>
  <si>
    <t>540A- 540B London Road</t>
  </si>
  <si>
    <t>TW7 4EP</t>
  </si>
  <si>
    <t>CBDL3267</t>
  </si>
  <si>
    <t>Cwm Garage Peniel Green Road</t>
  </si>
  <si>
    <t>Llansamlet</t>
  </si>
  <si>
    <t>SA7 9AU</t>
  </si>
  <si>
    <t>CBDL3269</t>
  </si>
  <si>
    <t xml:space="preserve">Uxbridge Drive </t>
  </si>
  <si>
    <t>Plymouth</t>
  </si>
  <si>
    <t>PL5 2SE</t>
  </si>
  <si>
    <t>CBDL3274</t>
  </si>
  <si>
    <t>Newton East Cas-Blaidd</t>
  </si>
  <si>
    <t>SA62 5NS</t>
  </si>
  <si>
    <t>CBDL3778</t>
  </si>
  <si>
    <t>Unit 19 Stradey Business Park</t>
  </si>
  <si>
    <t>CBDL3784</t>
  </si>
  <si>
    <t>CBDL4268</t>
  </si>
  <si>
    <t>Monmouth House Northgate</t>
  </si>
  <si>
    <t>NP7 5TT</t>
  </si>
  <si>
    <t>CBDL4270</t>
  </si>
  <si>
    <t>Resources Centre 59 Gedding Road</t>
  </si>
  <si>
    <t>LE5 5DU</t>
  </si>
  <si>
    <t>CBDL4511</t>
  </si>
  <si>
    <t>Unit 5 Parc Busnes Cae Ffwt</t>
  </si>
  <si>
    <t>CBDL4516</t>
  </si>
  <si>
    <t>Bowling Ironworks Bowling Back Lane</t>
  </si>
  <si>
    <t>BD4 8SS</t>
  </si>
  <si>
    <t>CBDL4522</t>
  </si>
  <si>
    <t>16 Wentwood Road Caerleon</t>
  </si>
  <si>
    <t>NP18 3RU</t>
  </si>
  <si>
    <t>CBDL4688</t>
  </si>
  <si>
    <t>4 Llys Trevor Jones Llysfaen</t>
  </si>
  <si>
    <t>LL29 8EF</t>
  </si>
  <si>
    <t>CBDL4693</t>
  </si>
  <si>
    <t xml:space="preserve">62-70 Stryd Dewi </t>
  </si>
  <si>
    <t>SA61 1NR</t>
  </si>
  <si>
    <t>CBDL5188</t>
  </si>
  <si>
    <t>Fanum House Basing View</t>
  </si>
  <si>
    <t>RG21 4EA</t>
  </si>
  <si>
    <t>CBDL5190</t>
  </si>
  <si>
    <t>Trews Field Estate Tondu Road</t>
  </si>
  <si>
    <t>CBDL5191</t>
  </si>
  <si>
    <t>Pandy Farm Whitchurch Road</t>
  </si>
  <si>
    <t>Bangor-Is-y-Coed</t>
  </si>
  <si>
    <t>LL13 0BL</t>
  </si>
  <si>
    <t>CBDL5195</t>
  </si>
  <si>
    <t xml:space="preserve"> STR CASTANILOR-7C</t>
  </si>
  <si>
    <t>CBDU5437</t>
  </si>
  <si>
    <t>Highmead Victoria Park Road</t>
  </si>
  <si>
    <t>CF63 2JS</t>
  </si>
  <si>
    <t>CBDU5439</t>
  </si>
  <si>
    <t>Flat 6 Dorchester Mansions</t>
  </si>
  <si>
    <t>Park Lane</t>
  </si>
  <si>
    <t>Eglwys Newydd</t>
  </si>
  <si>
    <t>CF14 7AW</t>
  </si>
  <si>
    <t>CBDU5451</t>
  </si>
  <si>
    <t xml:space="preserve">14 Myrtle Terrace </t>
  </si>
  <si>
    <t>Dalton-in-Furness</t>
  </si>
  <si>
    <t>LA15 8BP</t>
  </si>
  <si>
    <t>CBDL5452</t>
  </si>
  <si>
    <t>Unit L Beech Industrial Estate</t>
  </si>
  <si>
    <t>Vale Street</t>
  </si>
  <si>
    <t>Bacup</t>
  </si>
  <si>
    <t>OL13 9EL</t>
  </si>
  <si>
    <t>CBDL5700</t>
  </si>
  <si>
    <t xml:space="preserve">44 Clos-y-Deri </t>
  </si>
  <si>
    <t>CF36 3PR</t>
  </si>
  <si>
    <t>CBDU5701</t>
  </si>
  <si>
    <t>CBDU5703</t>
  </si>
  <si>
    <t xml:space="preserve">37 Hinchsliff Avenue </t>
  </si>
  <si>
    <t>CF62 9UR</t>
  </si>
  <si>
    <t>CBDL5705</t>
  </si>
  <si>
    <t>Unit 14A- 14B Moderna Business Park</t>
  </si>
  <si>
    <t>Moderna Way</t>
  </si>
  <si>
    <t>Mytholmroyd</t>
  </si>
  <si>
    <t>Hebden Bridge</t>
  </si>
  <si>
    <t>HX7 5QQ</t>
  </si>
  <si>
    <t>CBDL5707</t>
  </si>
  <si>
    <t>Billows Billingbear Lane</t>
  </si>
  <si>
    <t>Binfield</t>
  </si>
  <si>
    <t>RG42 5PT</t>
  </si>
  <si>
    <t>CBDL5709</t>
  </si>
  <si>
    <t>Ham Farm Ham Road</t>
  </si>
  <si>
    <t>Brent Knoll</t>
  </si>
  <si>
    <t>TA9 4BJ</t>
  </si>
  <si>
    <t>CBDL6201</t>
  </si>
  <si>
    <t>Ty Clyd Ystad Coed Madog</t>
  </si>
  <si>
    <t>LL54 6AX</t>
  </si>
  <si>
    <t>CBDU6202</t>
  </si>
  <si>
    <t>Myrtle Hill Pensarn</t>
  </si>
  <si>
    <t>SA31 2NG</t>
  </si>
  <si>
    <t>CBDU6203</t>
  </si>
  <si>
    <t>11 Maesteg Gardens Ton-Teg</t>
  </si>
  <si>
    <t>CF38 1NE</t>
  </si>
  <si>
    <t>CBDL6205</t>
  </si>
  <si>
    <t>LLanwrtyd and District Herritage Ffos Road</t>
  </si>
  <si>
    <t>Llanwrtyd</t>
  </si>
  <si>
    <t>LD5 4RG</t>
  </si>
  <si>
    <t>CBDU6206</t>
  </si>
  <si>
    <t>HOLTON FARM TOWN STREET</t>
  </si>
  <si>
    <t>SOUTH KILLINGHOLME</t>
  </si>
  <si>
    <t>IMMINGHAM</t>
  </si>
  <si>
    <t>DN40 3DA</t>
  </si>
  <si>
    <t>CBDL6207</t>
  </si>
  <si>
    <t>Unit 15 Cwmdu Industrial Estate</t>
  </si>
  <si>
    <t>CBDL6210</t>
  </si>
  <si>
    <t>Unit 23 Mardon Park</t>
  </si>
  <si>
    <t>CBDU6212</t>
  </si>
  <si>
    <t>114-116 Penrhyn Avenue Llandrillo-yn-Rhos</t>
  </si>
  <si>
    <t>LL28 4LG</t>
  </si>
  <si>
    <t>CBDU5955</t>
  </si>
  <si>
    <t xml:space="preserve">37A Rivulet Road </t>
  </si>
  <si>
    <t>LL13 8DY</t>
  </si>
  <si>
    <t>CBDU5956</t>
  </si>
  <si>
    <t>Unit 2 Block C Western Industrial Estate</t>
  </si>
  <si>
    <t>CF831BQ</t>
  </si>
  <si>
    <t>CBDU5963</t>
  </si>
  <si>
    <t>17 Shirenewton Caravan Park Wentloog Road</t>
  </si>
  <si>
    <t>CBDL5964</t>
  </si>
  <si>
    <t>Unit 2 Phoenix Business Park</t>
  </si>
  <si>
    <t>CBDU5965</t>
  </si>
  <si>
    <t>44 New Street Pontnewydd</t>
  </si>
  <si>
    <t>NP44 1EF</t>
  </si>
  <si>
    <t>CBDU6757</t>
  </si>
  <si>
    <t>Compound 1 Skewfields</t>
  </si>
  <si>
    <t>CBDU6759</t>
  </si>
  <si>
    <t>77 Main Road Bryncoch</t>
  </si>
  <si>
    <t>SA10 7TA</t>
  </si>
  <si>
    <t>CBDU6763</t>
  </si>
  <si>
    <t xml:space="preserve">22 Paybridge Road </t>
  </si>
  <si>
    <t>BS13 8PU</t>
  </si>
  <si>
    <t>CBDU6765</t>
  </si>
  <si>
    <t>Unit K6 Capital Point</t>
  </si>
  <si>
    <t>CBDU6766</t>
  </si>
  <si>
    <t>THE SAWMILL Bodrhyddan FarmDyserth Road</t>
  </si>
  <si>
    <t>LL18 5SB</t>
  </si>
  <si>
    <t>CBDL6767</t>
  </si>
  <si>
    <t xml:space="preserve">129 Aldergrove Road </t>
  </si>
  <si>
    <t>CF39 0LP</t>
  </si>
  <si>
    <t>CBDU6770</t>
  </si>
  <si>
    <t xml:space="preserve">19 Bro Gethin </t>
  </si>
  <si>
    <t>LL24 0BT</t>
  </si>
  <si>
    <t>CBDU6771</t>
  </si>
  <si>
    <t xml:space="preserve">5 Hunting Gate </t>
  </si>
  <si>
    <t>SG4 0TJ</t>
  </si>
  <si>
    <t>CBDU6772</t>
  </si>
  <si>
    <t xml:space="preserve">Mill Parade </t>
  </si>
  <si>
    <t>CBDU6510</t>
  </si>
  <si>
    <t>Awelon Bylchau</t>
  </si>
  <si>
    <t>LL16 5LS</t>
  </si>
  <si>
    <t>CBDU6513</t>
  </si>
  <si>
    <t>317 Llantarnam Road Llantarnam</t>
  </si>
  <si>
    <t>CBDU6514</t>
  </si>
  <si>
    <t>Unit 10 Somerset Industrial Estate</t>
  </si>
  <si>
    <t>NP44 1QX</t>
  </si>
  <si>
    <t>CBDU6515</t>
  </si>
  <si>
    <t>Intech Furniture High Street</t>
  </si>
  <si>
    <t>SK1 1EG</t>
  </si>
  <si>
    <t>CBDL6517</t>
  </si>
  <si>
    <t>NHS Wales Informatics Service</t>
  </si>
  <si>
    <t>Ty Glan-Yr-Afon</t>
  </si>
  <si>
    <t>21 Cowbridge Road East</t>
  </si>
  <si>
    <t>CF11 9AD</t>
  </si>
  <si>
    <t>CBDU6519</t>
  </si>
  <si>
    <t>Park House Broncoed Business Park</t>
  </si>
  <si>
    <t>Ffordd Byrnwr Gwair</t>
  </si>
  <si>
    <t>CH7 1FQ</t>
  </si>
  <si>
    <t>CBDU6521</t>
  </si>
  <si>
    <t>Trwstllewelyn Garthmyl</t>
  </si>
  <si>
    <t>SY15 6SE</t>
  </si>
  <si>
    <t>CBDU6985</t>
  </si>
  <si>
    <t>Cambrian View Holywell Road</t>
  </si>
  <si>
    <t>Rhuallt</t>
  </si>
  <si>
    <t>LL17 0TD</t>
  </si>
  <si>
    <t>CBDU6989</t>
  </si>
  <si>
    <t xml:space="preserve">Gloddfa Fawr </t>
  </si>
  <si>
    <t>LL78 7JG</t>
  </si>
  <si>
    <t>CBDU6993</t>
  </si>
  <si>
    <t>Arfryn Aberarth</t>
  </si>
  <si>
    <t>SA46 0LX</t>
  </si>
  <si>
    <t>CBDU6994</t>
  </si>
  <si>
    <t>Llwynaubach Cottage Glasbury</t>
  </si>
  <si>
    <t>HR3 5PT</t>
  </si>
  <si>
    <t>CBDU6996</t>
  </si>
  <si>
    <t>Pleasant View Mold Road</t>
  </si>
  <si>
    <t>LL16 4DY</t>
  </si>
  <si>
    <t>CBDL6999</t>
  </si>
  <si>
    <t>Ysgubor Fawr Myddfai</t>
  </si>
  <si>
    <t>SA20 0PQ</t>
  </si>
  <si>
    <t>CBDU7000</t>
  </si>
  <si>
    <t xml:space="preserve">61 Highbury Avenue </t>
  </si>
  <si>
    <t>LL19 7NT</t>
  </si>
  <si>
    <t>CBDL7001</t>
  </si>
  <si>
    <t>Unit 9 Crofty Industrial Estate</t>
  </si>
  <si>
    <t>CBDU7353</t>
  </si>
  <si>
    <t>Randles Rise Marford Hill</t>
  </si>
  <si>
    <t>Marford</t>
  </si>
  <si>
    <t>LL12 8TA</t>
  </si>
  <si>
    <t>CBDL7354</t>
  </si>
  <si>
    <t xml:space="preserve">Sguboriau </t>
  </si>
  <si>
    <t>LL56 4QP</t>
  </si>
  <si>
    <t>CBDL7358</t>
  </si>
  <si>
    <t>CBDL7359</t>
  </si>
  <si>
    <t>Chapel Cottage Oxford Road</t>
  </si>
  <si>
    <t>HR3 5DG</t>
  </si>
  <si>
    <t>CBDU7360</t>
  </si>
  <si>
    <t>CBDL7365</t>
  </si>
  <si>
    <t>Ty Gardd Forest Road</t>
  </si>
  <si>
    <t>CBDU7103</t>
  </si>
  <si>
    <t xml:space="preserve">Plas Isaf </t>
  </si>
  <si>
    <t>LL26 0EE</t>
  </si>
  <si>
    <t>CBDU7104</t>
  </si>
  <si>
    <t>Unit 32-33 Southfield Road Trading Estate</t>
  </si>
  <si>
    <t>Southfield Road</t>
  </si>
  <si>
    <t>Nailsea</t>
  </si>
  <si>
    <t>BS48 1JE</t>
  </si>
  <si>
    <t>CBDU7106</t>
  </si>
  <si>
    <t>Henbant Fawr Capel Dewi</t>
  </si>
  <si>
    <t>SA44 4PQ</t>
  </si>
  <si>
    <t>CBDL7107</t>
  </si>
  <si>
    <t>The Yard Llanigon</t>
  </si>
  <si>
    <t>HR3 5PN</t>
  </si>
  <si>
    <t>CBDU7108</t>
  </si>
  <si>
    <t xml:space="preserve">16 Eden Crescent </t>
  </si>
  <si>
    <t>Chatteris</t>
  </si>
  <si>
    <t>PE16 6AN</t>
  </si>
  <si>
    <t>CBDU7110</t>
  </si>
  <si>
    <t xml:space="preserve">30 New Dock Road </t>
  </si>
  <si>
    <t>SA15 2EL</t>
  </si>
  <si>
    <t>CBDL7112</t>
  </si>
  <si>
    <t xml:space="preserve">74 Llys Hanner Erw </t>
  </si>
  <si>
    <t>CBDU7113</t>
  </si>
  <si>
    <t>Unit 18 St. Davids Road</t>
  </si>
  <si>
    <t>SA6 8QL</t>
  </si>
  <si>
    <t>CBDU7116</t>
  </si>
  <si>
    <t>Llys Penparc Cwmann</t>
  </si>
  <si>
    <t>SA48 8ES</t>
  </si>
  <si>
    <t>CBDU7117</t>
  </si>
  <si>
    <t>CBDU7591</t>
  </si>
  <si>
    <t>Esgairgoch Ffarmers</t>
  </si>
  <si>
    <t xml:space="preserve">Llanwrda </t>
  </si>
  <si>
    <t>Carmarthrnshire</t>
  </si>
  <si>
    <t xml:space="preserve"> SA198QL</t>
  </si>
  <si>
    <t>CBDU7593</t>
  </si>
  <si>
    <t xml:space="preserve">Waste Transfer Station Motorworks </t>
  </si>
  <si>
    <t xml:space="preserve">Penrhiwfer </t>
  </si>
  <si>
    <t xml:space="preserve">Tonypandy </t>
  </si>
  <si>
    <t xml:space="preserve">CF40 1RL </t>
  </si>
  <si>
    <t>CBDU7595</t>
  </si>
  <si>
    <t>14 Llannerch Road West Rhos on Sea</t>
  </si>
  <si>
    <t>LL28 4AS</t>
  </si>
  <si>
    <t>CBDL7598</t>
  </si>
  <si>
    <t xml:space="preserve">1A Heol Esgyn </t>
  </si>
  <si>
    <t>SA10 7LL</t>
  </si>
  <si>
    <t>CBDU7602</t>
  </si>
  <si>
    <t>Glynhir Mansion Glynhir Road</t>
  </si>
  <si>
    <t>SA18 2TD</t>
  </si>
  <si>
    <t>CBDU7605</t>
  </si>
  <si>
    <t>CBDL7995</t>
  </si>
  <si>
    <t>Ty-Bryn Ceri</t>
  </si>
  <si>
    <t>CBDU7996</t>
  </si>
  <si>
    <t>CBDU7998</t>
  </si>
  <si>
    <t>22B Lletty Dafydd Clyne</t>
  </si>
  <si>
    <t>SA11 4BG</t>
  </si>
  <si>
    <t>CBDU7999</t>
  </si>
  <si>
    <t>Ty Coch Farm Caelcoed Lane</t>
  </si>
  <si>
    <t>Brynford</t>
  </si>
  <si>
    <t>CH8 8LE</t>
  </si>
  <si>
    <t>CBDL8000</t>
  </si>
  <si>
    <t xml:space="preserve">Bessemer Road </t>
  </si>
  <si>
    <t>CF11 8BA</t>
  </si>
  <si>
    <t>CBDU8003</t>
  </si>
  <si>
    <t xml:space="preserve">56B Brook Street </t>
  </si>
  <si>
    <t>CF63 4PT</t>
  </si>
  <si>
    <t>CBDU8004</t>
  </si>
  <si>
    <t xml:space="preserve">56 Heol Collen </t>
  </si>
  <si>
    <t>CF5 5TX</t>
  </si>
  <si>
    <t>CBDU8005</t>
  </si>
  <si>
    <t>37 Cae Castell Casllwchwr</t>
  </si>
  <si>
    <t>SA4 6UJ</t>
  </si>
  <si>
    <t>CBDL8006</t>
  </si>
  <si>
    <t>Pigeon House Hampton</t>
  </si>
  <si>
    <t>DT2 9DZ</t>
  </si>
  <si>
    <t>CBDL8007</t>
  </si>
  <si>
    <t>Saw Mills Cottage Sawmills</t>
  </si>
  <si>
    <t>SY16 4LL</t>
  </si>
  <si>
    <t>CBDU8008</t>
  </si>
  <si>
    <t>Unit 1  Lightwood Green Ind Est</t>
  </si>
  <si>
    <t>Overton on Dee</t>
  </si>
  <si>
    <t>LL13 0HU</t>
  </si>
  <si>
    <t>CBDU8009</t>
  </si>
  <si>
    <t xml:space="preserve">19 Manor Industrial Estate </t>
  </si>
  <si>
    <t>CBDU8010</t>
  </si>
  <si>
    <t>Sefton Farm Mynydd Llan</t>
  </si>
  <si>
    <t>Babell</t>
  </si>
  <si>
    <t>CH8 8QD</t>
  </si>
  <si>
    <t>CBDU8011</t>
  </si>
  <si>
    <t xml:space="preserve">7 Station Terrace </t>
  </si>
  <si>
    <t>SA12 6BZ</t>
  </si>
  <si>
    <t>CBDU7768</t>
  </si>
  <si>
    <t xml:space="preserve">1761 Wimborne Road </t>
  </si>
  <si>
    <t>BH11 9AU</t>
  </si>
  <si>
    <t>CBDL7769</t>
  </si>
  <si>
    <t>47 Rhos Road Llandrillo-yn-Rhos</t>
  </si>
  <si>
    <t>LL28 4RS</t>
  </si>
  <si>
    <t>CBDL7773</t>
  </si>
  <si>
    <t>Unit 2 Jaeger House 141 Holt Road</t>
  </si>
  <si>
    <t>CBDL7774</t>
  </si>
  <si>
    <t>Pennant House Mill Street</t>
  </si>
  <si>
    <t>CBDU7779</t>
  </si>
  <si>
    <t>Unit 8 Westfield Industrial Park</t>
  </si>
  <si>
    <t>CBDU8239</t>
  </si>
  <si>
    <t>Y Bwthyn Pen y Bryn</t>
  </si>
  <si>
    <t xml:space="preserve"> LL48 6RW</t>
  </si>
  <si>
    <t>CBDL8243</t>
  </si>
  <si>
    <t>Hawbush Farm Hawbush Road</t>
  </si>
  <si>
    <t>Stradishall</t>
  </si>
  <si>
    <t>Newmarket</t>
  </si>
  <si>
    <t>CB8 8PU</t>
  </si>
  <si>
    <t>CBDU8244</t>
  </si>
  <si>
    <t>1 Usk Road Shirenewton</t>
  </si>
  <si>
    <t>NP16 6RY</t>
  </si>
  <si>
    <t>CBDU8245</t>
  </si>
  <si>
    <t>Belle Vue House Belle Vue Lane</t>
  </si>
  <si>
    <t>Upper Cwmbran</t>
  </si>
  <si>
    <t>NP44 5AL</t>
  </si>
  <si>
    <t>CBDU8409</t>
  </si>
  <si>
    <t xml:space="preserve">24 Stoke Row </t>
  </si>
  <si>
    <t>CV2 4JQ</t>
  </si>
  <si>
    <t>CBDU8411</t>
  </si>
  <si>
    <t>16 Bryn Terrace Ystrad</t>
  </si>
  <si>
    <t>CF41 7RX</t>
  </si>
  <si>
    <t>CBDU8417</t>
  </si>
  <si>
    <t>Glanrafon House Llanfechell</t>
  </si>
  <si>
    <t>LL68 0SA</t>
  </si>
  <si>
    <t>CBDL8418</t>
  </si>
  <si>
    <t>Docks Way Disposal Site Maesglas Retail Park</t>
  </si>
  <si>
    <t>CBDL8419</t>
  </si>
  <si>
    <t>Morfa Gele North Wales Business Park</t>
  </si>
  <si>
    <t>CBDU8420</t>
  </si>
  <si>
    <t>35 Heol Y Bryn Rhiwbina</t>
  </si>
  <si>
    <t>CF14 6HX</t>
  </si>
  <si>
    <t>CBDL8421</t>
  </si>
  <si>
    <t xml:space="preserve">Upper Aston Farm </t>
  </si>
  <si>
    <t>SY15 6TA</t>
  </si>
  <si>
    <t>CBDU8422</t>
  </si>
  <si>
    <t xml:space="preserve">20 East Avenue </t>
  </si>
  <si>
    <t>CBDU8423</t>
  </si>
  <si>
    <t xml:space="preserve">7 Bryn Elwy </t>
  </si>
  <si>
    <t>LL17 0RU</t>
  </si>
  <si>
    <t>CBDU8653</t>
  </si>
  <si>
    <t xml:space="preserve">5 Broad Street </t>
  </si>
  <si>
    <t>CBDU8656</t>
  </si>
  <si>
    <t>Neath Port Talbot</t>
  </si>
  <si>
    <t>CBDU8657</t>
  </si>
  <si>
    <t>29 Bryn Dolwen Bedwas</t>
  </si>
  <si>
    <t>CF83 8GG</t>
  </si>
  <si>
    <t>CBDU8659</t>
  </si>
  <si>
    <t>21 Beryl Road Clydach</t>
  </si>
  <si>
    <t>SA6 5QB</t>
  </si>
  <si>
    <t>CBDL8660</t>
  </si>
  <si>
    <t xml:space="preserve">Upper Cwmbran </t>
  </si>
  <si>
    <t>NP44 5AX</t>
  </si>
  <si>
    <t>CBDU8661</t>
  </si>
  <si>
    <t>UNIT 22-23 BESSEMER ROAD FRUIT MARKET</t>
  </si>
  <si>
    <t>BESSEMER ROAD</t>
  </si>
  <si>
    <t>CF11 8BE</t>
  </si>
  <si>
    <t>CBDL8665</t>
  </si>
  <si>
    <t xml:space="preserve">58B Victoria Street </t>
  </si>
  <si>
    <t>NP44 3JN</t>
  </si>
  <si>
    <t>CBDU8667</t>
  </si>
  <si>
    <t>48 Ffordd Y Grug Coety</t>
  </si>
  <si>
    <t>CF35 6BQ</t>
  </si>
  <si>
    <t>CBDL8669</t>
  </si>
  <si>
    <t>Upper Portclew Farm Portclew Road</t>
  </si>
  <si>
    <t>Freshwater East</t>
  </si>
  <si>
    <t>SA71 5LA</t>
  </si>
  <si>
    <t>CBDU8670</t>
  </si>
  <si>
    <t>Pwllcoch Uchaf Rhosybol</t>
  </si>
  <si>
    <t>LL68 9RB</t>
  </si>
  <si>
    <t>CBDU8671</t>
  </si>
  <si>
    <t>Carway Fawr Site Cyheidre Colliry</t>
  </si>
  <si>
    <t>SA155YN</t>
  </si>
  <si>
    <t>CBDU8674</t>
  </si>
  <si>
    <t>Green Lodge Gorslas</t>
  </si>
  <si>
    <t>SA14 7NG</t>
  </si>
  <si>
    <t>CBDL8675</t>
  </si>
  <si>
    <t>UNIT 1 CIBYN IND EST</t>
  </si>
  <si>
    <t>CAERNARFON</t>
  </si>
  <si>
    <t>LL552BD</t>
  </si>
  <si>
    <t>CBDL9038</t>
  </si>
  <si>
    <t>479 Llangyfelach Road Brynhyfryd</t>
  </si>
  <si>
    <t>SA5 9LR</t>
  </si>
  <si>
    <t>CBDL9039</t>
  </si>
  <si>
    <t>CBDU9040</t>
  </si>
  <si>
    <t>124  Village Farm Industrial Estate</t>
  </si>
  <si>
    <t>CBDU9041</t>
  </si>
  <si>
    <t>Portcullis House Kingsway</t>
  </si>
  <si>
    <t>CBDU9044</t>
  </si>
  <si>
    <t>Unit 2 Upper Boat Trading Estate</t>
  </si>
  <si>
    <t>CBDU9046</t>
  </si>
  <si>
    <t>Unit 1 Pencoed Technology Park</t>
  </si>
  <si>
    <t>CF35 5AQ</t>
  </si>
  <si>
    <t>CBDU9047</t>
  </si>
  <si>
    <t>Unit 1 Zenith House</t>
  </si>
  <si>
    <t>Gresford Industrial Park</t>
  </si>
  <si>
    <t>LL12 8LX</t>
  </si>
  <si>
    <t>CBDU9048</t>
  </si>
  <si>
    <t>The Fox Complex First Floor</t>
  </si>
  <si>
    <t>Severn Road</t>
  </si>
  <si>
    <t>CBDU9049</t>
  </si>
  <si>
    <t>Bingley Farm Llanfwrog</t>
  </si>
  <si>
    <t>LL15 2AH</t>
  </si>
  <si>
    <t>CBDU9052</t>
  </si>
  <si>
    <t>Glyn Hafren Tegryn</t>
  </si>
  <si>
    <t>SA35 0BD</t>
  </si>
  <si>
    <t>CBDU9053</t>
  </si>
  <si>
    <t>5 Westgate St</t>
  </si>
  <si>
    <t>CF71 7YW</t>
  </si>
  <si>
    <t>CBDU9302</t>
  </si>
  <si>
    <t xml:space="preserve">15-21 Strand Road </t>
  </si>
  <si>
    <t>Bootle</t>
  </si>
  <si>
    <t>L20 1AH</t>
  </si>
  <si>
    <t>CBDU9303</t>
  </si>
  <si>
    <t>Cefn Llech Farm Llangybi</t>
  </si>
  <si>
    <t>NP15 1PG</t>
  </si>
  <si>
    <t>CBDL9304</t>
  </si>
  <si>
    <t>Caswell Way Reevesland Industrial Estate</t>
  </si>
  <si>
    <t>NP19 4PW</t>
  </si>
  <si>
    <t>CBDU9305</t>
  </si>
  <si>
    <t>15 Shirenewton Caravan Park Wentloog Road</t>
  </si>
  <si>
    <t>CBDL9307</t>
  </si>
  <si>
    <t xml:space="preserve"> Silno ul. Sportowa 3</t>
  </si>
  <si>
    <t>89-620 Chojnice</t>
  </si>
  <si>
    <t>Poland</t>
  </si>
  <si>
    <t>CBDL9309</t>
  </si>
  <si>
    <t>Unit 2-4 Llewellyns Quay</t>
  </si>
  <si>
    <t>CBDU9310</t>
  </si>
  <si>
    <t xml:space="preserve">Caeathro </t>
  </si>
  <si>
    <t>LL55 2SS</t>
  </si>
  <si>
    <t>CBDU9312</t>
  </si>
  <si>
    <t>18 Twelve Acre Close Bookham</t>
  </si>
  <si>
    <t>KT23 3HH</t>
  </si>
  <si>
    <t>CBDL9313</t>
  </si>
  <si>
    <t>Unit 24 President Buildings</t>
  </si>
  <si>
    <t>Savile Street East</t>
  </si>
  <si>
    <t>Sheffield</t>
  </si>
  <si>
    <t>S4 7UQ</t>
  </si>
  <si>
    <t>CBDU9314</t>
  </si>
  <si>
    <t>29D Park Road</t>
  </si>
  <si>
    <t>CF62 6NX</t>
  </si>
  <si>
    <t>CBDU9315</t>
  </si>
  <si>
    <t>Branch Bungalow Pen Yr Inclein</t>
  </si>
  <si>
    <t>CF47 0TJ</t>
  </si>
  <si>
    <t>CBDU9733</t>
  </si>
  <si>
    <t>10 Glanffrwd Road Pontarddulais</t>
  </si>
  <si>
    <t>CBDU9736</t>
  </si>
  <si>
    <t>Units 21 and 23 Parc Fforddlas</t>
  </si>
  <si>
    <t>CBDU9737</t>
  </si>
  <si>
    <t>1 School Mews Bangor-Is-y-Coed</t>
  </si>
  <si>
    <t>LL13 0HD</t>
  </si>
  <si>
    <t>CBDU9738</t>
  </si>
  <si>
    <t>31 Matthew Road Y Rhws</t>
  </si>
  <si>
    <t>CF62 3ED</t>
  </si>
  <si>
    <t>CBDU9739</t>
  </si>
  <si>
    <t>Lodge Farm Llwyneliddon</t>
  </si>
  <si>
    <t>CF5 6BQ</t>
  </si>
  <si>
    <t>CBDU9742</t>
  </si>
  <si>
    <t xml:space="preserve">36 Heol Fadog </t>
  </si>
  <si>
    <t>LL49 9BU</t>
  </si>
  <si>
    <t>CBDL9746</t>
  </si>
  <si>
    <t>Trefalun Park Devonshire Drive</t>
  </si>
  <si>
    <t>SA70 8RD</t>
  </si>
  <si>
    <t>CBDU9747</t>
  </si>
  <si>
    <t>1 Ffordd Emlyn Ystalyfera</t>
  </si>
  <si>
    <t>SA9 2EW</t>
  </si>
  <si>
    <t>CBDU9748</t>
  </si>
  <si>
    <t xml:space="preserve">207 Court Street </t>
  </si>
  <si>
    <t>CF40 2RQ</t>
  </si>
  <si>
    <t>CBDU9522</t>
  </si>
  <si>
    <t>6 Maesydderwen Estate Cwmdyfran</t>
  </si>
  <si>
    <t>SA33 6JE</t>
  </si>
  <si>
    <t>CBDL9523</t>
  </si>
  <si>
    <t>28 The Avenue Rubery</t>
  </si>
  <si>
    <t>Rednal</t>
  </si>
  <si>
    <t>B45 9AL</t>
  </si>
  <si>
    <t>CBDL9526</t>
  </si>
  <si>
    <t>Unit G5 Fort Wallington Industrial Estate</t>
  </si>
  <si>
    <t>Military Road</t>
  </si>
  <si>
    <t>Fareham</t>
  </si>
  <si>
    <t>PO16 8TT</t>
  </si>
  <si>
    <t>CBDU9527</t>
  </si>
  <si>
    <t>Westside Claude Road West</t>
  </si>
  <si>
    <t>CF62 7JG</t>
  </si>
  <si>
    <t>CBDL9973</t>
  </si>
  <si>
    <t>CBDL9974</t>
  </si>
  <si>
    <t>Unit B Maritime Industrial Estate</t>
  </si>
  <si>
    <t>CBDU9977</t>
  </si>
  <si>
    <t>Unit 1 Folbigg Court Ramsden Road</t>
  </si>
  <si>
    <t>Rotherwas Industrial Estate</t>
  </si>
  <si>
    <t>HR2 6LR</t>
  </si>
  <si>
    <t>CBDL9978</t>
  </si>
  <si>
    <t>60 New Ifton St. Martins</t>
  </si>
  <si>
    <t>SY11 3AE</t>
  </si>
  <si>
    <t>CBDU9979</t>
  </si>
  <si>
    <t>Fieldway Pentre Road</t>
  </si>
  <si>
    <t>Helygain</t>
  </si>
  <si>
    <t>CH8 8BS</t>
  </si>
  <si>
    <t>CBDU9980</t>
  </si>
  <si>
    <t>2 Precinct</t>
  </si>
  <si>
    <t>Rest Bay</t>
  </si>
  <si>
    <t>CF36 3RF</t>
  </si>
  <si>
    <t>CBDU9981</t>
  </si>
  <si>
    <t>Llwyn Ddu Blaenporth</t>
  </si>
  <si>
    <t>SA43 2AU</t>
  </si>
  <si>
    <t>CBDL9982</t>
  </si>
  <si>
    <t>8 Ty Draw Road Penylan</t>
  </si>
  <si>
    <t>CF23 5HA</t>
  </si>
  <si>
    <t>CBDU9984</t>
  </si>
  <si>
    <t>Hendre Hen Cegidfa</t>
  </si>
  <si>
    <t>SY21 9DG</t>
  </si>
  <si>
    <t>CBDU9985</t>
  </si>
  <si>
    <t>The Pavilion Glanusk Park</t>
  </si>
  <si>
    <t>CBDL10299</t>
  </si>
  <si>
    <t xml:space="preserve">Bowling Green Lane </t>
  </si>
  <si>
    <t>LD7 1DR</t>
  </si>
  <si>
    <t>CBDL10300</t>
  </si>
  <si>
    <t>Unit C Parc Bedwas</t>
  </si>
  <si>
    <t>2 Greenway</t>
  </si>
  <si>
    <t>CBDL10302</t>
  </si>
  <si>
    <t>Ashfield Howey</t>
  </si>
  <si>
    <t>CBDU10304</t>
  </si>
  <si>
    <t>Larkwhistle Farm Brimpton Common</t>
  </si>
  <si>
    <t>RG7 4RT</t>
  </si>
  <si>
    <t>CBDU10305</t>
  </si>
  <si>
    <t>2 Redlands Close Pencoed</t>
  </si>
  <si>
    <t>CF35 6YU</t>
  </si>
  <si>
    <t>CBDU10308</t>
  </si>
  <si>
    <t>CBDU10309</t>
  </si>
  <si>
    <t>Unit 18 Vale Court</t>
  </si>
  <si>
    <t>Alamein Road</t>
  </si>
  <si>
    <t>CBDU10314</t>
  </si>
  <si>
    <t>LOXLEY 19 PANTYBLODAU ROAD</t>
  </si>
  <si>
    <t>BLAENAU</t>
  </si>
  <si>
    <t>SA18 3BX</t>
  </si>
  <si>
    <t>CBDL10545</t>
  </si>
  <si>
    <t>Unit 3-4 Cyfarthfa Industrial Estate</t>
  </si>
  <si>
    <t>CBDU10546</t>
  </si>
  <si>
    <t>River Lane Saltney</t>
  </si>
  <si>
    <t>CH4 8RH</t>
  </si>
  <si>
    <t>CBDL10547</t>
  </si>
  <si>
    <t>43 Cross Hands Road Gorslas</t>
  </si>
  <si>
    <t>SA14 6RR</t>
  </si>
  <si>
    <t>CBDL10550</t>
  </si>
  <si>
    <t xml:space="preserve">Unit 331 Ystradgynlais Workshops </t>
  </si>
  <si>
    <t>sa9 1bs</t>
  </si>
  <si>
    <t>CBDU10552</t>
  </si>
  <si>
    <t>14 The Oaks Quakers Yard</t>
  </si>
  <si>
    <t>CF46 5HQ</t>
  </si>
  <si>
    <t>CBDU10558</t>
  </si>
  <si>
    <t>Bryn Coch Farm Connah's Quay Road</t>
  </si>
  <si>
    <t>Northop</t>
  </si>
  <si>
    <t>CH7 6BT</t>
  </si>
  <si>
    <t>CBDU10902</t>
  </si>
  <si>
    <t>Argoed Llangwyryfon</t>
  </si>
  <si>
    <t>SY23 4SW</t>
  </si>
  <si>
    <t>CBDL10903</t>
  </si>
  <si>
    <t xml:space="preserve">1 Freelands Avenue </t>
  </si>
  <si>
    <t>South Croydon</t>
  </si>
  <si>
    <t>CR2 8HT</t>
  </si>
  <si>
    <t>CBDU10907</t>
  </si>
  <si>
    <t>Delfan New Park Terrace</t>
  </si>
  <si>
    <t>CBDL10908</t>
  </si>
  <si>
    <t>Lodge Park Tre'r Ddol</t>
  </si>
  <si>
    <t>SY20 8PL</t>
  </si>
  <si>
    <t>CBDL10909</t>
  </si>
  <si>
    <t xml:space="preserve">1 Etive Place </t>
  </si>
  <si>
    <t>YO24 2XG</t>
  </si>
  <si>
    <t>CBDL10910</t>
  </si>
  <si>
    <t>CBDU10916</t>
  </si>
  <si>
    <t>44 Ffynnon Dawel Aberdulais</t>
  </si>
  <si>
    <t>CBDU10917</t>
  </si>
  <si>
    <t>1 Springfield Terrace Pontnewynydd</t>
  </si>
  <si>
    <t>NP4 6QJ</t>
  </si>
  <si>
    <t>CBDL11159</t>
  </si>
  <si>
    <t>Llangyfelach Road Treboeth</t>
  </si>
  <si>
    <t>SA5 9EL</t>
  </si>
  <si>
    <t>CBDU11161</t>
  </si>
  <si>
    <t>Unit 1 Tair Onen Workshops</t>
  </si>
  <si>
    <t>Tair Onen</t>
  </si>
  <si>
    <t>St Hilary</t>
  </si>
  <si>
    <t>CF71 7UA</t>
  </si>
  <si>
    <t>CBDU11162</t>
  </si>
  <si>
    <t xml:space="preserve">6A Dalcross Street </t>
  </si>
  <si>
    <t>CF24 4UB</t>
  </si>
  <si>
    <t>CBDU11163</t>
  </si>
  <si>
    <t>Yr Hen Efail Penybontfawr</t>
  </si>
  <si>
    <t>SY10 0NT</t>
  </si>
  <si>
    <t>CBDU11164</t>
  </si>
  <si>
    <t>46 Ewenny Place Clase</t>
  </si>
  <si>
    <t>SA6 7JZ</t>
  </si>
  <si>
    <t>CBDU11168</t>
  </si>
  <si>
    <t>The Felin Yard Glanerch</t>
  </si>
  <si>
    <t>Abererch</t>
  </si>
  <si>
    <t>LL53 6AX</t>
  </si>
  <si>
    <t>CBDU11169</t>
  </si>
  <si>
    <t xml:space="preserve">Gorton Road </t>
  </si>
  <si>
    <t>M11 2DZ</t>
  </si>
  <si>
    <t>CBDU11173</t>
  </si>
  <si>
    <t>Unit 6 Lamby Industrial Park</t>
  </si>
  <si>
    <t>CBDU11176</t>
  </si>
  <si>
    <t>Unit 10 Wilkinson Business Park</t>
  </si>
  <si>
    <t>Clywedog Road South</t>
  </si>
  <si>
    <t>CBDU11981</t>
  </si>
  <si>
    <t>Baily Bach Farm Upper Chapel</t>
  </si>
  <si>
    <t>LD3 9RG</t>
  </si>
  <si>
    <t>CBDL11983</t>
  </si>
  <si>
    <t>Aston Hill Ewloe</t>
  </si>
  <si>
    <t>CBDU11985</t>
  </si>
  <si>
    <t>6 Littleton Lane Shepperton</t>
  </si>
  <si>
    <t>Shepperton</t>
  </si>
  <si>
    <t>TW17 0NF</t>
  </si>
  <si>
    <t>CBDU11986</t>
  </si>
  <si>
    <t>14 Heol Trothy</t>
  </si>
  <si>
    <t>NP26 4RA</t>
  </si>
  <si>
    <t>CBDU11987</t>
  </si>
  <si>
    <t>1 East Road Penallta Industrial Estate</t>
  </si>
  <si>
    <t>CF82 7SU</t>
  </si>
  <si>
    <t>CBDL11990</t>
  </si>
  <si>
    <t>184 Park Drive Milton Park</t>
  </si>
  <si>
    <t>Milton</t>
  </si>
  <si>
    <t>Abingdon</t>
  </si>
  <si>
    <t>OX14 4SE</t>
  </si>
  <si>
    <t>CBDU11991</t>
  </si>
  <si>
    <t>Unit 120 Springvale Industrial Estate</t>
  </si>
  <si>
    <t>CBDU11992</t>
  </si>
  <si>
    <t xml:space="preserve">Union Road Industrial Estate </t>
  </si>
  <si>
    <t>NP7 7RQ</t>
  </si>
  <si>
    <t>CBDU11993</t>
  </si>
  <si>
    <t>1  Bagillt Street</t>
  </si>
  <si>
    <t>CH8 7TR</t>
  </si>
  <si>
    <t>CBDL11994</t>
  </si>
  <si>
    <t>CBDU11430</t>
  </si>
  <si>
    <t>Office 7 Hanover House</t>
  </si>
  <si>
    <t>LL17 0LT</t>
  </si>
  <si>
    <t>CBDU11432</t>
  </si>
  <si>
    <t>19 Mydam Lane Gorseinon</t>
  </si>
  <si>
    <t>SA4 4YA</t>
  </si>
  <si>
    <t>CBDU11436</t>
  </si>
  <si>
    <t>Llwyn Isa Stanley Road</t>
  </si>
  <si>
    <t>LL14 1HH</t>
  </si>
  <si>
    <t>CBDU11440</t>
  </si>
  <si>
    <t>14 Hanbury Close Whitchurch</t>
  </si>
  <si>
    <t>CF14 2TB</t>
  </si>
  <si>
    <t>CBDU11442</t>
  </si>
  <si>
    <t xml:space="preserve">122 Broadway </t>
  </si>
  <si>
    <t>CF37 1BE</t>
  </si>
  <si>
    <t>CBDU11443</t>
  </si>
  <si>
    <t>Ash Road North Wrexham Industrial Estate</t>
  </si>
  <si>
    <t>CBDL11662</t>
  </si>
  <si>
    <t>Itec House Penarth Road</t>
  </si>
  <si>
    <t>CF11 8TT</t>
  </si>
  <si>
    <t>CBDU11663</t>
  </si>
  <si>
    <t>Smithy Garage Whithurst</t>
  </si>
  <si>
    <t>Chirk</t>
  </si>
  <si>
    <t>LL14 5AN</t>
  </si>
  <si>
    <t>CBDU11665</t>
  </si>
  <si>
    <t>Unit 5 Dunraven Business Park</t>
  </si>
  <si>
    <t>CF31 3BG</t>
  </si>
  <si>
    <t>CBDL11666</t>
  </si>
  <si>
    <t>Bryn Morfydd Mawr Llanddoged</t>
  </si>
  <si>
    <t>LL26 0UU</t>
  </si>
  <si>
    <t>CBDU11671</t>
  </si>
  <si>
    <t>WWR Old Station Yard</t>
  </si>
  <si>
    <t>Heol Y Doll</t>
  </si>
  <si>
    <t>SY20 8BL</t>
  </si>
  <si>
    <t>CBDU11672</t>
  </si>
  <si>
    <t>Unit 3 Betws Park Workshops</t>
  </si>
  <si>
    <t>CBDU11673</t>
  </si>
  <si>
    <t>CBDL11677</t>
  </si>
  <si>
    <t xml:space="preserve">83 Caerphilly Road </t>
  </si>
  <si>
    <t>CF14 4AE</t>
  </si>
  <si>
    <t>CBDL11884</t>
  </si>
  <si>
    <t xml:space="preserve">Bridge Street </t>
  </si>
  <si>
    <t>SA48 7AA</t>
  </si>
  <si>
    <t>CBDU11885</t>
  </si>
  <si>
    <t>Bedwellty House Bedwellty Road</t>
  </si>
  <si>
    <t>NP24 6NH</t>
  </si>
  <si>
    <t>CBDL11886</t>
  </si>
  <si>
    <t>SA40 9RN</t>
  </si>
  <si>
    <t>CBDU11887</t>
  </si>
  <si>
    <t>2 Glanrhyd Capel Hendre</t>
  </si>
  <si>
    <t>CBDU11889</t>
  </si>
  <si>
    <t>CBDU11890</t>
  </si>
  <si>
    <t xml:space="preserve">Unit 7 Cwm Industrial estate </t>
  </si>
  <si>
    <t xml:space="preserve">Cwm </t>
  </si>
  <si>
    <t xml:space="preserve">Ebbw Vale </t>
  </si>
  <si>
    <t>NP237TB</t>
  </si>
  <si>
    <t>CBDU12191</t>
  </si>
  <si>
    <t>Llyn Penmaen Farm Llaneilian</t>
  </si>
  <si>
    <t>LL68 9LP</t>
  </si>
  <si>
    <t>CBDU12192</t>
  </si>
  <si>
    <t>14 Rhedyw Road Llanllyfni</t>
  </si>
  <si>
    <t>LL54 6SG</t>
  </si>
  <si>
    <t>CBDU12193</t>
  </si>
  <si>
    <t>Unit 4 Bessemer Road</t>
  </si>
  <si>
    <t>CBDU12194</t>
  </si>
  <si>
    <t xml:space="preserve">18 Clos Cromwell </t>
  </si>
  <si>
    <t>CF14 6QN</t>
  </si>
  <si>
    <t>CBDU12195</t>
  </si>
  <si>
    <t>Allt Y Graig Dyserth</t>
  </si>
  <si>
    <t>CBDL12197</t>
  </si>
  <si>
    <t>Unit A-B Dragon House</t>
  </si>
  <si>
    <t>17 Sir Alfred Owen Way</t>
  </si>
  <si>
    <t>CBDU12198</t>
  </si>
  <si>
    <t>Hill Lodge Overton Lane</t>
  </si>
  <si>
    <t>Port Eynon</t>
  </si>
  <si>
    <t>SA3 1NR</t>
  </si>
  <si>
    <t>CBDU12201</t>
  </si>
  <si>
    <t>Unit 16 Palmerston Workshops</t>
  </si>
  <si>
    <t>CBDU12406</t>
  </si>
  <si>
    <t>21 Caecerrig Road Pontarddulais</t>
  </si>
  <si>
    <t>SA4 8PE</t>
  </si>
  <si>
    <t>CBDU12407</t>
  </si>
  <si>
    <t>Bartholomew House Bartholomew Green</t>
  </si>
  <si>
    <t>Great Leighs</t>
  </si>
  <si>
    <t>CM3 1QG</t>
  </si>
  <si>
    <t>CBDU12409</t>
  </si>
  <si>
    <t>Unit 1 Four Crosses Business Park</t>
  </si>
  <si>
    <t>CBDU12410</t>
  </si>
  <si>
    <t>Y Berllan Penybanc</t>
  </si>
  <si>
    <t>CBDL12411</t>
  </si>
  <si>
    <t>Oak House 12 The Bulwark</t>
  </si>
  <si>
    <t>LD3 7AD</t>
  </si>
  <si>
    <t>CBDL12412</t>
  </si>
  <si>
    <t xml:space="preserve">16 Winston Street </t>
  </si>
  <si>
    <t>SA1 6XX</t>
  </si>
  <si>
    <t>CBDL12414</t>
  </si>
  <si>
    <t>LL24 0AW</t>
  </si>
  <si>
    <t>CBDU12415</t>
  </si>
  <si>
    <t>2 Prince Albert Cottages Victoria Road</t>
  </si>
  <si>
    <t>Maesycwmmer</t>
  </si>
  <si>
    <t>CF82 7RE</t>
  </si>
  <si>
    <t>CBDL12416</t>
  </si>
  <si>
    <t>Unit 19 Heliport Industrial Estate</t>
  </si>
  <si>
    <t>Lombard Road</t>
  </si>
  <si>
    <t>SW11 3SS</t>
  </si>
  <si>
    <t>CBDL12417</t>
  </si>
  <si>
    <t xml:space="preserve">Crossgates </t>
  </si>
  <si>
    <t>LD1 6RE</t>
  </si>
  <si>
    <t>CBDL12741</t>
  </si>
  <si>
    <t>CBDU12742</t>
  </si>
  <si>
    <t>27 Old Gloucester Road</t>
  </si>
  <si>
    <t>WC1N 3AX</t>
  </si>
  <si>
    <t>CBDU12743</t>
  </si>
  <si>
    <t>26 Parc Gwellyn Kinmel Bay</t>
  </si>
  <si>
    <t>LL18 5HN</t>
  </si>
  <si>
    <t>CBDU12745</t>
  </si>
  <si>
    <t xml:space="preserve">Orme House Blackmarsh Road </t>
  </si>
  <si>
    <t xml:space="preserve">Colwyn Bay </t>
  </si>
  <si>
    <t>LL28 5HA</t>
  </si>
  <si>
    <t>CBDL12747</t>
  </si>
  <si>
    <t>Unit 3A Langland Way</t>
  </si>
  <si>
    <t>CBDL12748</t>
  </si>
  <si>
    <t>Hardwick Farm Five Lanes</t>
  </si>
  <si>
    <t>NP26 5PH</t>
  </si>
  <si>
    <t>CBDU12750</t>
  </si>
  <si>
    <t>Unit 28B H T M Business Park</t>
  </si>
  <si>
    <t>LL18 5UZ</t>
  </si>
  <si>
    <t>CBDU12752</t>
  </si>
  <si>
    <t xml:space="preserve">44 Ger-y-Lyn </t>
  </si>
  <si>
    <t>CBDL12755</t>
  </si>
  <si>
    <t>CBDL12758</t>
  </si>
  <si>
    <t>Sir Richard Ty Thomas Newlands Avenue</t>
  </si>
  <si>
    <t>Brackla Industrial Est</t>
  </si>
  <si>
    <t>CF31 2Da</t>
  </si>
  <si>
    <t>CBDU12537</t>
  </si>
  <si>
    <t>3 Skeynes Farm Cottage Lingfield Road</t>
  </si>
  <si>
    <t>Edenbridge</t>
  </si>
  <si>
    <t>TN8 5HN</t>
  </si>
  <si>
    <t>CBDU12539</t>
  </si>
  <si>
    <t>Unit 323 Woodside Way</t>
  </si>
  <si>
    <t>Springvale Industrial Estate</t>
  </si>
  <si>
    <t>CBDL12541</t>
  </si>
  <si>
    <t xml:space="preserve">168 Clare Road </t>
  </si>
  <si>
    <t>CBDL12545</t>
  </si>
  <si>
    <t xml:space="preserve">168 City Road </t>
  </si>
  <si>
    <t>CF24 3JE</t>
  </si>
  <si>
    <t>CBDU12546</t>
  </si>
  <si>
    <t>Unit 11 Crosby Yard</t>
  </si>
  <si>
    <t>CBDU12547</t>
  </si>
  <si>
    <t>Little Oaks Garage Wern Trading Estate</t>
  </si>
  <si>
    <t>CBDL12962</t>
  </si>
  <si>
    <t>c3 tenth ave</t>
  </si>
  <si>
    <t>deeside</t>
  </si>
  <si>
    <t>ch5 2ua</t>
  </si>
  <si>
    <t>CBDL12964</t>
  </si>
  <si>
    <t xml:space="preserve">19 Chestnut Way </t>
  </si>
  <si>
    <t>CBDU12966</t>
  </si>
  <si>
    <t xml:space="preserve">Smithy Cottage </t>
  </si>
  <si>
    <t>Llanfechain</t>
  </si>
  <si>
    <t>SY22 6UP</t>
  </si>
  <si>
    <t>CBDU12967</t>
  </si>
  <si>
    <t>118A Bishopston Road Bishopston</t>
  </si>
  <si>
    <t>SA3 3EU</t>
  </si>
  <si>
    <t>CBDU12969</t>
  </si>
  <si>
    <t xml:space="preserve">61 Churchill Drive </t>
  </si>
  <si>
    <t>SY16 2LH</t>
  </si>
  <si>
    <t>CBDU12970</t>
  </si>
  <si>
    <t>CBDL12972</t>
  </si>
  <si>
    <t>44 High Street Glynneath</t>
  </si>
  <si>
    <t>SA11 5BU</t>
  </si>
  <si>
    <t>CBDL12973</t>
  </si>
  <si>
    <t>Brodawel Wolfscastle</t>
  </si>
  <si>
    <t>SA62 5NB</t>
  </si>
  <si>
    <t>CBDU12975</t>
  </si>
  <si>
    <t xml:space="preserve">73 Hatherley Road </t>
  </si>
  <si>
    <t>E17 6SB</t>
  </si>
  <si>
    <t>CBDU12976</t>
  </si>
  <si>
    <t xml:space="preserve">28 Pendyffryn </t>
  </si>
  <si>
    <t>LL31 9AS</t>
  </si>
  <si>
    <t>CBDU12978</t>
  </si>
  <si>
    <t>2 Bryn Nebo Bwlchgwyn</t>
  </si>
  <si>
    <t>LL11 5YB</t>
  </si>
  <si>
    <t>CBDL13339</t>
  </si>
  <si>
    <t>Unit G Cwmdraw Industrial Estate</t>
  </si>
  <si>
    <t>CBDU13340</t>
  </si>
  <si>
    <t xml:space="preserve">Guilsfield Road </t>
  </si>
  <si>
    <t>SY21 9BS</t>
  </si>
  <si>
    <t>CBDU13341</t>
  </si>
  <si>
    <t>Severn Farm Severn Lane</t>
  </si>
  <si>
    <t>SY21 7BB</t>
  </si>
  <si>
    <t>CBDU13342</t>
  </si>
  <si>
    <t>Wern Farm Wern Road</t>
  </si>
  <si>
    <t>Rhosesmor</t>
  </si>
  <si>
    <t>CH7 6PY</t>
  </si>
  <si>
    <t>CBDL13344</t>
  </si>
  <si>
    <t>Hayes Road Sully</t>
  </si>
  <si>
    <t>CF64 5XX</t>
  </si>
  <si>
    <t>CBDL13346</t>
  </si>
  <si>
    <t>North Road Bridgend Industrial Estate</t>
  </si>
  <si>
    <t>CF31 3TP</t>
  </si>
  <si>
    <t>CBDU13347</t>
  </si>
  <si>
    <t>First Floor 1 St Johns Court</t>
  </si>
  <si>
    <t>CBDL13348</t>
  </si>
  <si>
    <t>CBDU13349</t>
  </si>
  <si>
    <t>Ystwyth Works Llanfarian</t>
  </si>
  <si>
    <t>SY23 4NN</t>
  </si>
  <si>
    <t>CBDL13350</t>
  </si>
  <si>
    <t>1  Low March</t>
  </si>
  <si>
    <t>NN11 4SE</t>
  </si>
  <si>
    <t>CBDL13351</t>
  </si>
  <si>
    <t xml:space="preserve">68B Ninian Road </t>
  </si>
  <si>
    <t>CF23 5EL</t>
  </si>
  <si>
    <t>CBDU13135</t>
  </si>
  <si>
    <t xml:space="preserve">4 St. Hughs Rise </t>
  </si>
  <si>
    <t>OX11 9UZ</t>
  </si>
  <si>
    <t>CBDL13137</t>
  </si>
  <si>
    <t xml:space="preserve">2-3 Tontine Street </t>
  </si>
  <si>
    <t>SA1 5BP</t>
  </si>
  <si>
    <t>CBDL13140</t>
  </si>
  <si>
    <t>Peter Broughton Limited  Wholesale Fruit Centre</t>
  </si>
  <si>
    <t>Bessemer Road</t>
  </si>
  <si>
    <t>CF11 8PD</t>
  </si>
  <si>
    <t>CBDU13143</t>
  </si>
  <si>
    <t>Lleifior Bro Silin</t>
  </si>
  <si>
    <t>Cribyn</t>
  </si>
  <si>
    <t>SA48 7NF</t>
  </si>
  <si>
    <t>CBDU13145</t>
  </si>
  <si>
    <t>LL20 8PT</t>
  </si>
  <si>
    <t>CBDL13532</t>
  </si>
  <si>
    <t>Tai Bach Pentrebach</t>
  </si>
  <si>
    <t>CF48 4BY</t>
  </si>
  <si>
    <t>CBDL13533</t>
  </si>
  <si>
    <t xml:space="preserve">College Road </t>
  </si>
  <si>
    <t>LL57 2DG</t>
  </si>
  <si>
    <t>CBDL13534</t>
  </si>
  <si>
    <t>Victoria House Bridge Street</t>
  </si>
  <si>
    <t>SY21 0RZ</t>
  </si>
  <si>
    <t>CBDU13535</t>
  </si>
  <si>
    <t>Unit 12 Abergarw Trading Estate</t>
  </si>
  <si>
    <t>CF32 9LW</t>
  </si>
  <si>
    <t>CBDU13536</t>
  </si>
  <si>
    <t>Plas Gwilym Quarry 78 Llysfaen Road</t>
  </si>
  <si>
    <t>LL29 9HE</t>
  </si>
  <si>
    <t>CBDU13538</t>
  </si>
  <si>
    <t>Serendipity Portfield Gate</t>
  </si>
  <si>
    <t>SA62 3LU</t>
  </si>
  <si>
    <t>CBDU13539</t>
  </si>
  <si>
    <t>Parc Busnes Cartrefi Conwy Business Park Station Road</t>
  </si>
  <si>
    <t>CBDU13540</t>
  </si>
  <si>
    <t>CBDL13541</t>
  </si>
  <si>
    <t>Unit 3 Viaduct House Merthyr Ind Est</t>
  </si>
  <si>
    <t>CBDL13542</t>
  </si>
  <si>
    <t>Old Highways Depot Merchant Street</t>
  </si>
  <si>
    <t>Pontlottyn</t>
  </si>
  <si>
    <t>CF81 9QZ</t>
  </si>
  <si>
    <t>CBDU13546</t>
  </si>
  <si>
    <t xml:space="preserve">Skewfields </t>
  </si>
  <si>
    <t>NP4 0XZ</t>
  </si>
  <si>
    <t>CBDU13547</t>
  </si>
  <si>
    <t>CBDL71</t>
  </si>
  <si>
    <t>CBDL72</t>
  </si>
  <si>
    <t>CBDL76</t>
  </si>
  <si>
    <t>Cwmbran Community Council Ventnor Road</t>
  </si>
  <si>
    <t>NP44 3JY</t>
  </si>
  <si>
    <t>CBDL77</t>
  </si>
  <si>
    <t>The Lion Works Pool Road</t>
  </si>
  <si>
    <t>CBDL78</t>
  </si>
  <si>
    <t>Pen Pentre Llan Faes</t>
  </si>
  <si>
    <t>LD3 8DL</t>
  </si>
  <si>
    <t>CBDL79</t>
  </si>
  <si>
    <t>Unit 3 Dyfi Eco Park</t>
  </si>
  <si>
    <t>CBDL81</t>
  </si>
  <si>
    <t>The Cross Broad Street</t>
  </si>
  <si>
    <t>SY16 2BB</t>
  </si>
  <si>
    <t>CBDL82</t>
  </si>
  <si>
    <t>2 Beechwood Crescent</t>
  </si>
  <si>
    <t>NP19 8AB</t>
  </si>
  <si>
    <t>CBDL84</t>
  </si>
  <si>
    <t>Aqua Zone Ltd Unit 20</t>
  </si>
  <si>
    <t>CBDL85</t>
  </si>
  <si>
    <t>8 Ship street</t>
  </si>
  <si>
    <t>LD3 9AF</t>
  </si>
  <si>
    <t>CBDL320</t>
  </si>
  <si>
    <t>Estate Office Oldford Rise</t>
  </si>
  <si>
    <t>SY21 7SZ</t>
  </si>
  <si>
    <t>CBDL323</t>
  </si>
  <si>
    <t>Bryn Tyrch Inn Holyhead Road</t>
  </si>
  <si>
    <t>LL24 0EL</t>
  </si>
  <si>
    <t>CBDL328</t>
  </si>
  <si>
    <t xml:space="preserve">Bryn Tyrch Inn Holyhead Road </t>
  </si>
  <si>
    <t>Capel Curig</t>
  </si>
  <si>
    <t>CBDL329</t>
  </si>
  <si>
    <t>15 Eileen Road</t>
  </si>
  <si>
    <t>SA7 9TR</t>
  </si>
  <si>
    <t>CBDL330</t>
  </si>
  <si>
    <t>CBDL331</t>
  </si>
  <si>
    <t>CBDL332</t>
  </si>
  <si>
    <t>CBDL333</t>
  </si>
  <si>
    <t>CBDL334</t>
  </si>
  <si>
    <t>CBDL335</t>
  </si>
  <si>
    <t>CBDL336</t>
  </si>
  <si>
    <t>CBDL579</t>
  </si>
  <si>
    <t>11 High Town</t>
  </si>
  <si>
    <t>CBDL582</t>
  </si>
  <si>
    <t>1 Sycamore street</t>
  </si>
  <si>
    <t>Newcastle emlyn</t>
  </si>
  <si>
    <t>SA38 9AP</t>
  </si>
  <si>
    <t>CBDL583</t>
  </si>
  <si>
    <t xml:space="preserve">16 Vale Court Alamein Road </t>
  </si>
  <si>
    <t>CBDL584</t>
  </si>
  <si>
    <t>C-O Resource Centre Folly Lane</t>
  </si>
  <si>
    <t>NP4 8JE</t>
  </si>
  <si>
    <t>CBDL585</t>
  </si>
  <si>
    <t>Whit Pwlltrap</t>
  </si>
  <si>
    <t>St Clares</t>
  </si>
  <si>
    <t>Carnis</t>
  </si>
  <si>
    <t>SA33 4AT</t>
  </si>
  <si>
    <t>CBDL588</t>
  </si>
  <si>
    <t>12 Castle Street</t>
  </si>
  <si>
    <t>LD3 9BU</t>
  </si>
  <si>
    <t>CBDL591</t>
  </si>
  <si>
    <t>The Kendrick 13  Craig y don Parade</t>
  </si>
  <si>
    <t>CBDL592</t>
  </si>
  <si>
    <t>Rear of 89 - 99 St Helens Avenue</t>
  </si>
  <si>
    <t>Brynmill</t>
  </si>
  <si>
    <t>SA1 4NN</t>
  </si>
  <si>
    <t>CBDL593</t>
  </si>
  <si>
    <t>CBDL1016</t>
  </si>
  <si>
    <t>Resource House Penarth Road</t>
  </si>
  <si>
    <t>CF11 6NG</t>
  </si>
  <si>
    <t>CBDL1019</t>
  </si>
  <si>
    <t>Gower Cottage The Green</t>
  </si>
  <si>
    <t>Leckwith Village</t>
  </si>
  <si>
    <t>CF11 8AS</t>
  </si>
  <si>
    <t>CBDL1020</t>
  </si>
  <si>
    <t>CBDL1021</t>
  </si>
  <si>
    <t>CBDL1027</t>
  </si>
  <si>
    <t>2 PENALLTA VILLAS</t>
  </si>
  <si>
    <t>YSTRAD MYNACH</t>
  </si>
  <si>
    <t>HENGOED</t>
  </si>
  <si>
    <t>CF827GH</t>
  </si>
  <si>
    <t>CBDL1029</t>
  </si>
  <si>
    <t>CF466PG</t>
  </si>
  <si>
    <t>CBDL1030</t>
  </si>
  <si>
    <t>Temple Bar Inn  Amroth</t>
  </si>
  <si>
    <t>SA67 8ND</t>
  </si>
  <si>
    <t>CBDL1031</t>
  </si>
  <si>
    <t>Petite Retreat 7a</t>
  </si>
  <si>
    <t>Garth Road</t>
  </si>
  <si>
    <t>Builth wells</t>
  </si>
  <si>
    <t>LD2 3AR</t>
  </si>
  <si>
    <t>CBDL1258</t>
  </si>
  <si>
    <t>Old MMB Depot Felin Fach</t>
  </si>
  <si>
    <t>SA48 8AG</t>
  </si>
  <si>
    <t>CBDL1259</t>
  </si>
  <si>
    <t>CBDL1261</t>
  </si>
  <si>
    <t>Ely Bridge Surgery 23 Mill Road</t>
  </si>
  <si>
    <t>CF5 4AD</t>
  </si>
  <si>
    <t>CBDL1262</t>
  </si>
  <si>
    <t>The Kennels Canal Bank</t>
  </si>
  <si>
    <t>LD3 7PL</t>
  </si>
  <si>
    <t>CBDL1263</t>
  </si>
  <si>
    <t xml:space="preserve">36 Upper gynor place </t>
  </si>
  <si>
    <t>Yanyshir</t>
  </si>
  <si>
    <t>Cf39 0nw</t>
  </si>
  <si>
    <t>CBDL1264</t>
  </si>
  <si>
    <t>10 oxford</t>
  </si>
  <si>
    <t>blaenau ffestiniog</t>
  </si>
  <si>
    <t>ll41 3ub</t>
  </si>
  <si>
    <t>CBDL1265</t>
  </si>
  <si>
    <t>CBDL1266</t>
  </si>
  <si>
    <t>CBDL1267</t>
  </si>
  <si>
    <t>12 conway road penlan</t>
  </si>
  <si>
    <t>sa5 7bd</t>
  </si>
  <si>
    <t>CBDL1268</t>
  </si>
  <si>
    <t>28 pyke</t>
  </si>
  <si>
    <t>barry</t>
  </si>
  <si>
    <t>cf634pf</t>
  </si>
  <si>
    <t>CBDL1270</t>
  </si>
  <si>
    <t>34 Mars glas</t>
  </si>
  <si>
    <t>sawnsea</t>
  </si>
  <si>
    <t>sa5 8ap</t>
  </si>
  <si>
    <t>CBDL1271</t>
  </si>
  <si>
    <t>34 makes glass</t>
  </si>
  <si>
    <t>CBDL1272</t>
  </si>
  <si>
    <t>2 Coronation Tce Heolgerrig</t>
  </si>
  <si>
    <t>CF48 1UG</t>
  </si>
  <si>
    <t>CBDL1273</t>
  </si>
  <si>
    <t>Unit 14 Seaway Parade Indest</t>
  </si>
  <si>
    <t>Port Tablot</t>
  </si>
  <si>
    <t>CBDL1502</t>
  </si>
  <si>
    <t>Suite 4 Acorn House Lion Way</t>
  </si>
  <si>
    <t>SA7 9FZ</t>
  </si>
  <si>
    <t>CBDL1503</t>
  </si>
  <si>
    <t>Exchange House High Street</t>
  </si>
  <si>
    <t>NP20 1AA</t>
  </si>
  <si>
    <t>CBDL1504</t>
  </si>
  <si>
    <t>69 St Ina Rd</t>
  </si>
  <si>
    <t>CF14 4LT</t>
  </si>
  <si>
    <t>CBDL1507</t>
  </si>
  <si>
    <t>GLANAWMOR UCHAF PENCADER</t>
  </si>
  <si>
    <t>SA399ET</t>
  </si>
  <si>
    <t>CBDL1508</t>
  </si>
  <si>
    <t>CBDL1509</t>
  </si>
  <si>
    <t>23 George Street</t>
  </si>
  <si>
    <t>NP4 6BZ</t>
  </si>
  <si>
    <t>CBDL1510</t>
  </si>
  <si>
    <t>18 Crossblanche Street</t>
  </si>
  <si>
    <t>CBDL1515</t>
  </si>
  <si>
    <t>33 Severn Street</t>
  </si>
  <si>
    <t>Sy21 7AD</t>
  </si>
  <si>
    <t>CBDL1725</t>
  </si>
  <si>
    <t>Unit 1 Dyffryn Industrial Estate</t>
  </si>
  <si>
    <t>SY16 3BD</t>
  </si>
  <si>
    <t>CBDL1731</t>
  </si>
  <si>
    <t>Ty Mynydd Islwyn Offices Bryn Road</t>
  </si>
  <si>
    <t>CBDL1733</t>
  </si>
  <si>
    <t>Enterprise House Herbert Road</t>
  </si>
  <si>
    <t>NP19 7BH</t>
  </si>
  <si>
    <t>CBDL1977</t>
  </si>
  <si>
    <t>New Dawn House Gorse Lane</t>
  </si>
  <si>
    <t>Worthing</t>
  </si>
  <si>
    <t>BN13 3BX</t>
  </si>
  <si>
    <t>CBDL2368</t>
  </si>
  <si>
    <t>CBDL2369</t>
  </si>
  <si>
    <t xml:space="preserve">23 Kingsway </t>
  </si>
  <si>
    <t>Ulverston</t>
  </si>
  <si>
    <t>LA12 9AX</t>
  </si>
  <si>
    <t>CBDL2371</t>
  </si>
  <si>
    <t>Bynea Industrial Bynea Business Park</t>
  </si>
  <si>
    <t>Heol Y Bwlch</t>
  </si>
  <si>
    <t>CBDL2372</t>
  </si>
  <si>
    <t>11 Ark Royal Way Lairdside Technology Park</t>
  </si>
  <si>
    <t>Birkenhead</t>
  </si>
  <si>
    <t>CH41 9HT</t>
  </si>
  <si>
    <t>CBDL2374</t>
  </si>
  <si>
    <t>Unit A 1 Commercial Court</t>
  </si>
  <si>
    <t>CBDL2375</t>
  </si>
  <si>
    <t>CBDL2625</t>
  </si>
  <si>
    <t>The Granary Upper Llanover</t>
  </si>
  <si>
    <t>NP7 9LA</t>
  </si>
  <si>
    <t>CBDL3057</t>
  </si>
  <si>
    <t>Watton Sawmills Watton</t>
  </si>
  <si>
    <t>LD3 7EN</t>
  </si>
  <si>
    <t>CBDL3061</t>
  </si>
  <si>
    <t xml:space="preserve">31 Heol Siarl </t>
  </si>
  <si>
    <t>CF10 2GA</t>
  </si>
  <si>
    <t>CBDL3063</t>
  </si>
  <si>
    <t xml:space="preserve">The Kingsway </t>
  </si>
  <si>
    <t>SA1 5LF</t>
  </si>
  <si>
    <t>CBDL2835</t>
  </si>
  <si>
    <t>Unit 20 Kings Park Industrial Estate</t>
  </si>
  <si>
    <t>Primrose Hill</t>
  </si>
  <si>
    <t>Kings Langley</t>
  </si>
  <si>
    <t>WD4 8ST</t>
  </si>
  <si>
    <t>CBDL2838</t>
  </si>
  <si>
    <t>CBDL2844</t>
  </si>
  <si>
    <t>Ashworth Gorst Business Park Penrhyn Avenue</t>
  </si>
  <si>
    <t>LL28 4RE</t>
  </si>
  <si>
    <t>CBDL3283</t>
  </si>
  <si>
    <t>Tresinwen Trefasser</t>
  </si>
  <si>
    <t>Gwdig</t>
  </si>
  <si>
    <t>SA64 0JL</t>
  </si>
  <si>
    <t>CBDL3289</t>
  </si>
  <si>
    <t>Unit 2 Temperance Court</t>
  </si>
  <si>
    <t>Bronllwyn</t>
  </si>
  <si>
    <t>CF15 9TN</t>
  </si>
  <si>
    <t>CBDL3290</t>
  </si>
  <si>
    <t xml:space="preserve">17 Waterston Road </t>
  </si>
  <si>
    <t>CF14 2SS</t>
  </si>
  <si>
    <t>CBDL3291</t>
  </si>
  <si>
    <t>Capitol Buildings Heol Ioan</t>
  </si>
  <si>
    <t>SA31 1QT</t>
  </si>
  <si>
    <t>CBDL3292</t>
  </si>
  <si>
    <t xml:space="preserve">Llanmadoc </t>
  </si>
  <si>
    <t>SA3 1DE</t>
  </si>
  <si>
    <t>CBDL3568</t>
  </si>
  <si>
    <t xml:space="preserve">37 Watton </t>
  </si>
  <si>
    <t>LD3 7EG</t>
  </si>
  <si>
    <t>CBDL3570</t>
  </si>
  <si>
    <t>Proarb House Abergele Road</t>
  </si>
  <si>
    <t>LL18 5SX</t>
  </si>
  <si>
    <t>CBDL3786</t>
  </si>
  <si>
    <t xml:space="preserve">145-146 Commercial Road </t>
  </si>
  <si>
    <t>NP20 2PJ</t>
  </si>
  <si>
    <t>CBDL3793</t>
  </si>
  <si>
    <t>Unit 2 Aberdare Business Park</t>
  </si>
  <si>
    <t>CBDL4018</t>
  </si>
  <si>
    <t xml:space="preserve">St. Dials Road </t>
  </si>
  <si>
    <t>NP44 5AJ</t>
  </si>
  <si>
    <t>CBDL4024</t>
  </si>
  <si>
    <t>Argoed Llwyd Libanus</t>
  </si>
  <si>
    <t>LD3 8EN</t>
  </si>
  <si>
    <t>CBDL4272</t>
  </si>
  <si>
    <t>38 Babbage Road Engineer Park</t>
  </si>
  <si>
    <t>CH5 2QD</t>
  </si>
  <si>
    <t>CBDL4283</t>
  </si>
  <si>
    <t>27 Pen Y Bryn Hen Golwyn</t>
  </si>
  <si>
    <t>CBDL4291</t>
  </si>
  <si>
    <t>CBDL4292</t>
  </si>
  <si>
    <t>581-583 Battersea Park Road</t>
  </si>
  <si>
    <t>SW11 3BH</t>
  </si>
  <si>
    <t>CBDL4534</t>
  </si>
  <si>
    <t>Unit A 5  Merthyr Tydfil Ind. Park</t>
  </si>
  <si>
    <t>cf484dr</t>
  </si>
  <si>
    <t>CBDL4535</t>
  </si>
  <si>
    <t>Unit 1 Symondscliffe Way</t>
  </si>
  <si>
    <t>CBDL4538</t>
  </si>
  <si>
    <t>Unit 35-36 Nine Mile Point Industrial Estate</t>
  </si>
  <si>
    <t>Cwmfelinfach</t>
  </si>
  <si>
    <t>Ynysddu</t>
  </si>
  <si>
    <t>NP11 7HZ</t>
  </si>
  <si>
    <t>CBDL4963</t>
  </si>
  <si>
    <t>Unit 1 Heol Cropin</t>
  </si>
  <si>
    <t>Dafen Industrial Estate</t>
  </si>
  <si>
    <t>SA14 8QW</t>
  </si>
  <si>
    <t>CBDL4964</t>
  </si>
  <si>
    <t>Garage Wynne road</t>
  </si>
  <si>
    <t>CBDL4041</t>
  </si>
  <si>
    <t>Das House Temple Back</t>
  </si>
  <si>
    <t>BS1 6NH</t>
  </si>
  <si>
    <t>CBDL4050</t>
  </si>
  <si>
    <t>Penddol Carno</t>
  </si>
  <si>
    <t>SY17 5JP</t>
  </si>
  <si>
    <t>CBDL4054</t>
  </si>
  <si>
    <t xml:space="preserve">28 Furnival Street </t>
  </si>
  <si>
    <t>SK5 6LW</t>
  </si>
  <si>
    <t>CBDL4703</t>
  </si>
  <si>
    <t>Unit 2 Dyffryn Industrial Estate</t>
  </si>
  <si>
    <t>CBDL4705</t>
  </si>
  <si>
    <t>Llys Derwen Llantrisant</t>
  </si>
  <si>
    <t>CF72 8PZ</t>
  </si>
  <si>
    <t>CBDL4707</t>
  </si>
  <si>
    <t xml:space="preserve">200 Brook Drive </t>
  </si>
  <si>
    <t>RG2 6UB</t>
  </si>
  <si>
    <t>CBDL4712</t>
  </si>
  <si>
    <t xml:space="preserve">2 Kerrison Drive </t>
  </si>
  <si>
    <t>SY21 7UW</t>
  </si>
  <si>
    <t>CBDL5198</t>
  </si>
  <si>
    <t>CBDL5456</t>
  </si>
  <si>
    <t>Northop Hall Farm Mold Road</t>
  </si>
  <si>
    <t>CH7 6BX</t>
  </si>
  <si>
    <t>CBDU5457</t>
  </si>
  <si>
    <t>CBDU5460</t>
  </si>
  <si>
    <t>CBDL5462</t>
  </si>
  <si>
    <t xml:space="preserve">25 Hampden Road </t>
  </si>
  <si>
    <t>LL13 7RU</t>
  </si>
  <si>
    <t>CBDU5470</t>
  </si>
  <si>
    <t>18 Carn-y-Tyla Terrace Abertysswg</t>
  </si>
  <si>
    <t>NP22 5AF</t>
  </si>
  <si>
    <t>CBDU5713</t>
  </si>
  <si>
    <t xml:space="preserve">13 Shuters Square </t>
  </si>
  <si>
    <t>W14 9XL</t>
  </si>
  <si>
    <t>CBDU5714</t>
  </si>
  <si>
    <t>UNIT 23-2 AMBER BUSINESS CENTRE</t>
  </si>
  <si>
    <t>off GREENHILL LANE</t>
  </si>
  <si>
    <t>RIDDINGS</t>
  </si>
  <si>
    <t>DE55 4BR</t>
  </si>
  <si>
    <t>CBDU5715</t>
  </si>
  <si>
    <t xml:space="preserve">13 Atley Business Park </t>
  </si>
  <si>
    <t>NE23 1WP</t>
  </si>
  <si>
    <t>CBDL5716</t>
  </si>
  <si>
    <t>Bryn Ffynnon Bryn Saith Marchog</t>
  </si>
  <si>
    <t>LL21 9SB</t>
  </si>
  <si>
    <t>CBDU5717</t>
  </si>
  <si>
    <t>3 Dyffryn Square Ffordd Ddosbarthu</t>
  </si>
  <si>
    <t>CF82 7TS</t>
  </si>
  <si>
    <t>CBDU5718</t>
  </si>
  <si>
    <t>Philadelphia House 5 Globe Street</t>
  </si>
  <si>
    <t>SA6 8DD</t>
  </si>
  <si>
    <t>CBDU5720</t>
  </si>
  <si>
    <t>Facilities Department Prince Charles Hospital</t>
  </si>
  <si>
    <t>CF47 9DT</t>
  </si>
  <si>
    <t>CBDL5721</t>
  </si>
  <si>
    <t>Unit 30 Llandegai Ind Estate</t>
  </si>
  <si>
    <t>LL5 4YH</t>
  </si>
  <si>
    <t>CBDU5722</t>
  </si>
  <si>
    <t>Heol Morfa Village Farm Industrial Estate</t>
  </si>
  <si>
    <t>CBDU6216</t>
  </si>
  <si>
    <t>9 Mill Common Undy</t>
  </si>
  <si>
    <t>NP26 3JH</t>
  </si>
  <si>
    <t>CBDU6217</t>
  </si>
  <si>
    <t>5 Kingsway St. Asaph Avenue</t>
  </si>
  <si>
    <t>LL18 5HB</t>
  </si>
  <si>
    <t>CBDU6218</t>
  </si>
  <si>
    <t>the old wagon works shands road</t>
  </si>
  <si>
    <t>ammanford</t>
  </si>
  <si>
    <t>sa18 3qu</t>
  </si>
  <si>
    <t>CBDU6219</t>
  </si>
  <si>
    <t>43 Myrtle Hill Pont Henri</t>
  </si>
  <si>
    <t>SA15 5PD</t>
  </si>
  <si>
    <t>CBDU6226</t>
  </si>
  <si>
    <t>Llwynffelish Neath Road</t>
  </si>
  <si>
    <t>Y Creunant</t>
  </si>
  <si>
    <t>SA10 8SP</t>
  </si>
  <si>
    <t>CBDL6227</t>
  </si>
  <si>
    <t>CBDU6228</t>
  </si>
  <si>
    <t>Unit 18-19 Ffrwdgrech Industrial Estate</t>
  </si>
  <si>
    <t>CBDU6229</t>
  </si>
  <si>
    <t>28 Mill Street Tonyrefail</t>
  </si>
  <si>
    <t>CF39 8AA</t>
  </si>
  <si>
    <t>CBDU6231</t>
  </si>
  <si>
    <t>Buttington Quarry Cefn</t>
  </si>
  <si>
    <t>Tal-y-Bont</t>
  </si>
  <si>
    <t>SY21 8SZ</t>
  </si>
  <si>
    <t>CBDL5974</t>
  </si>
  <si>
    <t>Head Office Trews Field Estate</t>
  </si>
  <si>
    <t>Tondu Road</t>
  </si>
  <si>
    <t>CF31 4JA</t>
  </si>
  <si>
    <t>CBDL5976</t>
  </si>
  <si>
    <t>Ngulia Bryn Lane</t>
  </si>
  <si>
    <t>SY16 2DP</t>
  </si>
  <si>
    <t>CBDL5981</t>
  </si>
  <si>
    <t>Goodwin Resource Centre Icehouse Road</t>
  </si>
  <si>
    <t>HU3 2HQ</t>
  </si>
  <si>
    <t>CBDL6773</t>
  </si>
  <si>
    <t>unit 1 jb business park</t>
  </si>
  <si>
    <t>lamby way</t>
  </si>
  <si>
    <t>cf32eq</t>
  </si>
  <si>
    <t>CBDU6777</t>
  </si>
  <si>
    <t>Regency Buildings North Road</t>
  </si>
  <si>
    <t>CBDU6778</t>
  </si>
  <si>
    <t xml:space="preserve">Heol Y Ffowndri </t>
  </si>
  <si>
    <t>SA18 2LS</t>
  </si>
  <si>
    <t>CBDU6782</t>
  </si>
  <si>
    <t>Druslyn House De La Beche Street</t>
  </si>
  <si>
    <t>SA1 3HJ</t>
  </si>
  <si>
    <t>CBDU6783</t>
  </si>
  <si>
    <t>Penybedd Farm Penybedd</t>
  </si>
  <si>
    <t>Pen-Bre</t>
  </si>
  <si>
    <t>SA16 0HJ</t>
  </si>
  <si>
    <t>CBDU6784</t>
  </si>
  <si>
    <t>Lower Henllan Cwmyoy</t>
  </si>
  <si>
    <t>NP7 7NH</t>
  </si>
  <si>
    <t>CBDU6786</t>
  </si>
  <si>
    <t>CBDU6526</t>
  </si>
  <si>
    <t>Bryn Alyn Gresford</t>
  </si>
  <si>
    <t>LL12 8RY</t>
  </si>
  <si>
    <t>CBDU6529</t>
  </si>
  <si>
    <t>Unit 5 Europa Way</t>
  </si>
  <si>
    <t>CBDL6530</t>
  </si>
  <si>
    <t xml:space="preserve">Plasmawr Road </t>
  </si>
  <si>
    <t>CF5 3JT</t>
  </si>
  <si>
    <t>CBDL6531</t>
  </si>
  <si>
    <t>6th Floor Radclfife House Blenheim Court</t>
  </si>
  <si>
    <t>Solihull</t>
  </si>
  <si>
    <t>B91 2AA</t>
  </si>
  <si>
    <t>CBDU6532</t>
  </si>
  <si>
    <t>Phoenix House Pontnewynydd Industrial Estate</t>
  </si>
  <si>
    <t>NP4 6YW</t>
  </si>
  <si>
    <t>CBDU6534</t>
  </si>
  <si>
    <t>78 Main Road Bryncoch</t>
  </si>
  <si>
    <t>SA10 7TL</t>
  </si>
  <si>
    <t>CBDU6539</t>
  </si>
  <si>
    <t>Pembroke House Ty Coch Lane</t>
  </si>
  <si>
    <t>Llantarnam Park Way</t>
  </si>
  <si>
    <t>NP44 3AU</t>
  </si>
  <si>
    <t>CBDU6543</t>
  </si>
  <si>
    <t>Hangar 12A Deeside Industrial Estate</t>
  </si>
  <si>
    <t>CBDU6544</t>
  </si>
  <si>
    <t>UNIT 5 HEINZEL PARK</t>
  </si>
  <si>
    <t>ABER ROAD</t>
  </si>
  <si>
    <t xml:space="preserve">FLINT </t>
  </si>
  <si>
    <t>CH65EX</t>
  </si>
  <si>
    <t>CBDU7004</t>
  </si>
  <si>
    <t>6 Ger Y Ddol Abbey Road</t>
  </si>
  <si>
    <t>LL20 8TP</t>
  </si>
  <si>
    <t>CBDU7006</t>
  </si>
  <si>
    <t>CBDL7007</t>
  </si>
  <si>
    <t>Unit 2 Forge Industrial Estate</t>
  </si>
  <si>
    <t>Nantyfyllon</t>
  </si>
  <si>
    <t>CF34 0AY</t>
  </si>
  <si>
    <t>CBDL7008</t>
  </si>
  <si>
    <t xml:space="preserve">339 Ffordd Yr Ehedydd </t>
  </si>
  <si>
    <t>SY16 1LE</t>
  </si>
  <si>
    <t>CBDU7009</t>
  </si>
  <si>
    <t>9 Collenna Road Tonyrefail</t>
  </si>
  <si>
    <t>CBDU7011</t>
  </si>
  <si>
    <t>UNIT 7 GEORGE STREET</t>
  </si>
  <si>
    <t>BRIDGEND INDUSTRIAL ESTATE</t>
  </si>
  <si>
    <t>CBDL7012</t>
  </si>
  <si>
    <t>Oakfield Street Pontarddulais</t>
  </si>
  <si>
    <t>SA4 8LW</t>
  </si>
  <si>
    <t>CBDU7013</t>
  </si>
  <si>
    <t xml:space="preserve">Po Box 748 </t>
  </si>
  <si>
    <t>SK2 9AR</t>
  </si>
  <si>
    <t>CBDU7015</t>
  </si>
  <si>
    <t>Unit 4 Hadfield Court</t>
  </si>
  <si>
    <t>Hadfield Road</t>
  </si>
  <si>
    <t>CF11 8AQ</t>
  </si>
  <si>
    <t>CBDU7368</t>
  </si>
  <si>
    <t>Rifkins 19 Morfa Bach</t>
  </si>
  <si>
    <t>LL18 2EW</t>
  </si>
  <si>
    <t>CBDU7371</t>
  </si>
  <si>
    <t>New Dairy Farm St. Brides Wentlooge</t>
  </si>
  <si>
    <t>CBDU7372</t>
  </si>
  <si>
    <t>Unit 1 Parkway</t>
  </si>
  <si>
    <t>NP11 3XG</t>
  </si>
  <si>
    <t>CBDL7377</t>
  </si>
  <si>
    <t>CBDU7378</t>
  </si>
  <si>
    <t>CBDU7119</t>
  </si>
  <si>
    <t>8 Gurnos Road Ystalyfera</t>
  </si>
  <si>
    <t>SA9 2HY</t>
  </si>
  <si>
    <t>CBDU7122</t>
  </si>
  <si>
    <t>Unit 1 Prince William Avenue</t>
  </si>
  <si>
    <t>CH5 2QZ</t>
  </si>
  <si>
    <t>CBDL7123</t>
  </si>
  <si>
    <t>Unit 5 Martin Road</t>
  </si>
  <si>
    <t>CBDU7124</t>
  </si>
  <si>
    <t>Tan Y Bryn 40 Ffordd Isa'r Foel</t>
  </si>
  <si>
    <t>LL18 6AU</t>
  </si>
  <si>
    <t>CBDU7126</t>
  </si>
  <si>
    <t xml:space="preserve">Builder Street West </t>
  </si>
  <si>
    <t>LL30 1HH</t>
  </si>
  <si>
    <t>CBDU7127</t>
  </si>
  <si>
    <t>Unit 25 Court Road Industrial Estate</t>
  </si>
  <si>
    <t>NP44 3AS</t>
  </si>
  <si>
    <t>CBDL7130</t>
  </si>
  <si>
    <t>Bont Ddu Pentre Berw</t>
  </si>
  <si>
    <t>LL60 6LF</t>
  </si>
  <si>
    <t>CBDL7136</t>
  </si>
  <si>
    <t>Vaynor Stores Heol Vaynor</t>
  </si>
  <si>
    <t>Llanidloes Road</t>
  </si>
  <si>
    <t>SY164HX</t>
  </si>
  <si>
    <t>CBDU7137</t>
  </si>
  <si>
    <t>6 Church Street Chirk</t>
  </si>
  <si>
    <t>LL14 5HA</t>
  </si>
  <si>
    <t>CBDU7606</t>
  </si>
  <si>
    <t>Wanzl  Sawpit lane</t>
  </si>
  <si>
    <t>Industrial estate</t>
  </si>
  <si>
    <t>Alfreton</t>
  </si>
  <si>
    <t>DE55 5NH</t>
  </si>
  <si>
    <t>CBDL7608</t>
  </si>
  <si>
    <t>CBDL7610</t>
  </si>
  <si>
    <t>21 Earl's Court Road Penylan</t>
  </si>
  <si>
    <t>CF23 9DE</t>
  </si>
  <si>
    <t>CBDU7612</t>
  </si>
  <si>
    <t xml:space="preserve">71 Acland Road </t>
  </si>
  <si>
    <t>BH9 1JQ</t>
  </si>
  <si>
    <t>CBDU7613</t>
  </si>
  <si>
    <t>Llyr Llanyre</t>
  </si>
  <si>
    <t>LD1 6EA</t>
  </si>
  <si>
    <t>CBDL7615</t>
  </si>
  <si>
    <t>1 Maes Y Gad Sain Ffagan</t>
  </si>
  <si>
    <t>CF5 6DQ</t>
  </si>
  <si>
    <t>CBDU7617</t>
  </si>
  <si>
    <t>Unit 17 A R D Business Park</t>
  </si>
  <si>
    <t>Polo Grounds</t>
  </si>
  <si>
    <t>CBDL7618</t>
  </si>
  <si>
    <t>Bull House 15</t>
  </si>
  <si>
    <t>Penrallt Street</t>
  </si>
  <si>
    <t>CBDL7619</t>
  </si>
  <si>
    <t>61 Crwys Terrace Penlan</t>
  </si>
  <si>
    <t>CBDL7620</t>
  </si>
  <si>
    <t>28-30 High Street Grimethorpe</t>
  </si>
  <si>
    <t>S72 7LP</t>
  </si>
  <si>
    <t>CBDL7622</t>
  </si>
  <si>
    <t xml:space="preserve">5 Furnace Terrace </t>
  </si>
  <si>
    <t>CBDL7623</t>
  </si>
  <si>
    <t xml:space="preserve">59 Winston Road </t>
  </si>
  <si>
    <t>CF62 9ST</t>
  </si>
  <si>
    <t>CBDL7626</t>
  </si>
  <si>
    <t>Greenacres Trelales</t>
  </si>
  <si>
    <t>CF32 0HN</t>
  </si>
  <si>
    <t>CBDU7627</t>
  </si>
  <si>
    <t>78-84 Commercial Street Risca</t>
  </si>
  <si>
    <t>NP11 6BA</t>
  </si>
  <si>
    <t>CBDL8012</t>
  </si>
  <si>
    <t>20a Queen Street</t>
  </si>
  <si>
    <t>CF31 1HX</t>
  </si>
  <si>
    <t>CBDU8015</t>
  </si>
  <si>
    <t>The Firs Sarnau</t>
  </si>
  <si>
    <t>SY22 6QN</t>
  </si>
  <si>
    <t>CBDL8017</t>
  </si>
  <si>
    <t>Lyngrove School Hill</t>
  </si>
  <si>
    <t>Napton</t>
  </si>
  <si>
    <t>Southam</t>
  </si>
  <si>
    <t>CV47 8NN</t>
  </si>
  <si>
    <t>CBDU8019</t>
  </si>
  <si>
    <t>13 Arran Close Risca</t>
  </si>
  <si>
    <t>NP11 6RA</t>
  </si>
  <si>
    <t>CBDL8021</t>
  </si>
  <si>
    <t>Unit 6 Bulwark Business Park</t>
  </si>
  <si>
    <t>CBDU8022</t>
  </si>
  <si>
    <t>14 Acer Way Rogerstone</t>
  </si>
  <si>
    <t>NP10 9LB</t>
  </si>
  <si>
    <t>CBDL8024</t>
  </si>
  <si>
    <t xml:space="preserve">2 Cedar Grove </t>
  </si>
  <si>
    <t>Winsford</t>
  </si>
  <si>
    <t>CW7 3HA</t>
  </si>
  <si>
    <t>CBDU8025</t>
  </si>
  <si>
    <t>Sir A Wel Carmel</t>
  </si>
  <si>
    <t>LL71 7DF</t>
  </si>
  <si>
    <t>CBDL7781</t>
  </si>
  <si>
    <t>Unit 3 Severn Cross Distribution Park</t>
  </si>
  <si>
    <t>NP16 6UP</t>
  </si>
  <si>
    <t>CBDU7785</t>
  </si>
  <si>
    <t xml:space="preserve">69 Stryd Fawr </t>
  </si>
  <si>
    <t>LL53 5RR</t>
  </si>
  <si>
    <t>CBDL7787</t>
  </si>
  <si>
    <t>5 West Avenue Griffithstown</t>
  </si>
  <si>
    <t>NP4 5AJ</t>
  </si>
  <si>
    <t>CBDU7788</t>
  </si>
  <si>
    <t>St. Peters Civic Hall 1 Maes Nott</t>
  </si>
  <si>
    <t>SA31 1PG</t>
  </si>
  <si>
    <t>CBDU7789</t>
  </si>
  <si>
    <t>CBDL7790</t>
  </si>
  <si>
    <t>21 Marl View Terrace Deganwy</t>
  </si>
  <si>
    <t>LL31 9BJ</t>
  </si>
  <si>
    <t>CBDL7792</t>
  </si>
  <si>
    <t>Glynea Service Station 12 Yspitty Road</t>
  </si>
  <si>
    <t>CBDU8425</t>
  </si>
  <si>
    <t>Pear Tree Farm Golftyn Lane</t>
  </si>
  <si>
    <t>CH7 6DQ</t>
  </si>
  <si>
    <t>CBDL8426</t>
  </si>
  <si>
    <t xml:space="preserve">20 Market Precinct </t>
  </si>
  <si>
    <t>SA15 1YF</t>
  </si>
  <si>
    <t>CBDL8427</t>
  </si>
  <si>
    <t>4 Premier Building Unit A</t>
  </si>
  <si>
    <t>Pantglas Farm Industrial Estate</t>
  </si>
  <si>
    <t>CF83 8YE</t>
  </si>
  <si>
    <t>CBDU8429</t>
  </si>
  <si>
    <t>20 Bessemer rd</t>
  </si>
  <si>
    <t>Cf11 8ba</t>
  </si>
  <si>
    <t>CBDU8430</t>
  </si>
  <si>
    <t xml:space="preserve">626 Beechley Drive </t>
  </si>
  <si>
    <t>CF5 3SR</t>
  </si>
  <si>
    <t>CBDL8434</t>
  </si>
  <si>
    <t>Springfield Tiers Cross</t>
  </si>
  <si>
    <t>SA62 3DG</t>
  </si>
  <si>
    <t>CBDL8435</t>
  </si>
  <si>
    <t xml:space="preserve">10 Thomas Street </t>
  </si>
  <si>
    <t>CBDL8436</t>
  </si>
  <si>
    <t xml:space="preserve">30 Y Porth Bach </t>
  </si>
  <si>
    <t>SY23 2AR</t>
  </si>
  <si>
    <t>CBDL8437</t>
  </si>
  <si>
    <t>Heol Y Pentre Sancler</t>
  </si>
  <si>
    <t>SA33 4AA</t>
  </si>
  <si>
    <t>CBDL8438</t>
  </si>
  <si>
    <t>Unit D East Estate Withybush Business Park</t>
  </si>
  <si>
    <t>CBDL8439</t>
  </si>
  <si>
    <t>380 Rhymney River Bridge Road</t>
  </si>
  <si>
    <t>Newport Road</t>
  </si>
  <si>
    <t>CBDU8676</t>
  </si>
  <si>
    <t>Tramar Tiers Cross</t>
  </si>
  <si>
    <t>SA62 3DB</t>
  </si>
  <si>
    <t>CBDU8688</t>
  </si>
  <si>
    <t>Penrice Cottage Rice Street</t>
  </si>
  <si>
    <t>CF31 4AG</t>
  </si>
  <si>
    <t>CBDU9058</t>
  </si>
  <si>
    <t>Unit B5-B6 Morfa Clwyd Business Centre</t>
  </si>
  <si>
    <t>LL18 2AF</t>
  </si>
  <si>
    <t>CBDU9060</t>
  </si>
  <si>
    <t>Unit 6 Pantglas Industrial Estate</t>
  </si>
  <si>
    <t>CBDU9063</t>
  </si>
  <si>
    <t>18 Murton Lane Newton</t>
  </si>
  <si>
    <t>SA3 4TR</t>
  </si>
  <si>
    <t>CBDL9064</t>
  </si>
  <si>
    <t>34 Glasgort Road Aghadowey</t>
  </si>
  <si>
    <t>Coleraine</t>
  </si>
  <si>
    <t>BT51 4AF</t>
  </si>
  <si>
    <t>CBDU9067</t>
  </si>
  <si>
    <t>35 Oxford Street</t>
  </si>
  <si>
    <t>Pontycymmer</t>
  </si>
  <si>
    <t>CF33 5DD</t>
  </si>
  <si>
    <t>CBDU9068</t>
  </si>
  <si>
    <t xml:space="preserve">91 Wyeverne Road </t>
  </si>
  <si>
    <t>CF24 4BG</t>
  </si>
  <si>
    <t>CBDU9069</t>
  </si>
  <si>
    <t xml:space="preserve">9 Pentwyn Avenue </t>
  </si>
  <si>
    <t>NP12 1HS</t>
  </si>
  <si>
    <t>CBDL9070</t>
  </si>
  <si>
    <t>Unit A 1-2 Church Street</t>
  </si>
  <si>
    <t>NP22 5HL</t>
  </si>
  <si>
    <t>CBDU9319</t>
  </si>
  <si>
    <t xml:space="preserve">Station Road </t>
  </si>
  <si>
    <t>CBDU9321</t>
  </si>
  <si>
    <t>Unit 9 Castle Way</t>
  </si>
  <si>
    <t>CBDU9323</t>
  </si>
  <si>
    <t>Unit 3 Heol Goat Mill</t>
  </si>
  <si>
    <t>CBDU9324</t>
  </si>
  <si>
    <t>Caemawr Farm Furnace</t>
  </si>
  <si>
    <t>SA15 4NU</t>
  </si>
  <si>
    <t>CBDU9327</t>
  </si>
  <si>
    <t>Unit 1 The Bridge Buisness Centre</t>
  </si>
  <si>
    <t>Ash Road Shouth</t>
  </si>
  <si>
    <t>CBDU9328</t>
  </si>
  <si>
    <t xml:space="preserve">Tyncoed </t>
  </si>
  <si>
    <t>SY17 5AS</t>
  </si>
  <si>
    <t>CBDL9329</t>
  </si>
  <si>
    <t xml:space="preserve">Po Box 209 </t>
  </si>
  <si>
    <t>LL30 9FS</t>
  </si>
  <si>
    <t>CBDL9330</t>
  </si>
  <si>
    <t xml:space="preserve">Orm House Blackmarsh Road </t>
  </si>
  <si>
    <t>CBDU9753</t>
  </si>
  <si>
    <t xml:space="preserve">21 Felin Fach </t>
  </si>
  <si>
    <t>CF14 1NY</t>
  </si>
  <si>
    <t>CBDL9754</t>
  </si>
  <si>
    <t xml:space="preserve">39 Compton Crescent </t>
  </si>
  <si>
    <t>Chessington</t>
  </si>
  <si>
    <t>KT9 2HD</t>
  </si>
  <si>
    <t>CBDL9758</t>
  </si>
  <si>
    <t>Ash Cottage Bleddfa</t>
  </si>
  <si>
    <t>LD7 1PA</t>
  </si>
  <si>
    <t>CBDL9761</t>
  </si>
  <si>
    <t>5 Forest Lane Terrace Llangybi</t>
  </si>
  <si>
    <t>SA48 8LZ</t>
  </si>
  <si>
    <t>CBDU9762</t>
  </si>
  <si>
    <t>The old coal yard Station road</t>
  </si>
  <si>
    <t>Llanddaniel</t>
  </si>
  <si>
    <t>Gearwen</t>
  </si>
  <si>
    <t>Ll60 6DP</t>
  </si>
  <si>
    <t>CBDL9763</t>
  </si>
  <si>
    <t xml:space="preserve">Trostre Industrial Park </t>
  </si>
  <si>
    <t>CBDL9765</t>
  </si>
  <si>
    <t xml:space="preserve">7A Putney Bridge Road </t>
  </si>
  <si>
    <t>SW18 1HX</t>
  </si>
  <si>
    <t>CBDL9766</t>
  </si>
  <si>
    <t>Stone House Parc Teifi Business Park</t>
  </si>
  <si>
    <t>SA43 1EW</t>
  </si>
  <si>
    <t>CBDU9530</t>
  </si>
  <si>
    <t>4 Village Court</t>
  </si>
  <si>
    <t>cf33 6bx</t>
  </si>
  <si>
    <t>CBDU9534</t>
  </si>
  <si>
    <t>Watlands Valley Road</t>
  </si>
  <si>
    <t>SA69 9LU</t>
  </si>
  <si>
    <t>CBDU9538</t>
  </si>
  <si>
    <t xml:space="preserve">1 Fox Street </t>
  </si>
  <si>
    <t>CF46 5HE</t>
  </si>
  <si>
    <t>CBDL9540</t>
  </si>
  <si>
    <t>19 Dol Y Wennol Castell Caereinion</t>
  </si>
  <si>
    <t>SY21 9DZ</t>
  </si>
  <si>
    <t>CBDU9989</t>
  </si>
  <si>
    <t>Micheldever Offices Mill Place</t>
  </si>
  <si>
    <t>Micheldever Station</t>
  </si>
  <si>
    <t>SO21 3BZ</t>
  </si>
  <si>
    <t>CBDU9990</t>
  </si>
  <si>
    <t>20 Rectory Lane Llanferres</t>
  </si>
  <si>
    <t>CH7 5SR</t>
  </si>
  <si>
    <t>CBDL9993</t>
  </si>
  <si>
    <t>Caravan Bryn Felin</t>
  </si>
  <si>
    <t>Niwbwrch</t>
  </si>
  <si>
    <t>CBDL9994</t>
  </si>
  <si>
    <t xml:space="preserve">31 Bessingby Gate </t>
  </si>
  <si>
    <t>Bridlington</t>
  </si>
  <si>
    <t>YO16 4RB</t>
  </si>
  <si>
    <t>CBDU9995</t>
  </si>
  <si>
    <t>69 Manselfield Road Murton</t>
  </si>
  <si>
    <t>SA3 3AG</t>
  </si>
  <si>
    <t>CBDU10004</t>
  </si>
  <si>
    <t>56A Ffwrwm Road Machen</t>
  </si>
  <si>
    <t>CF83 8NY</t>
  </si>
  <si>
    <t>CBDU10318</t>
  </si>
  <si>
    <t>50 St. Hilary Drive Killay</t>
  </si>
  <si>
    <t>SA2 7EH</t>
  </si>
  <si>
    <t>CBDU10321</t>
  </si>
  <si>
    <t>1 Solent Close Pontllanfraith</t>
  </si>
  <si>
    <t>NP12 2FT</t>
  </si>
  <si>
    <t>CBDU10323</t>
  </si>
  <si>
    <t>4 Ffordd Y Gamlas Gowerton</t>
  </si>
  <si>
    <t>SA4 3DT</t>
  </si>
  <si>
    <t>CBDU10325</t>
  </si>
  <si>
    <t>18 Penrice Street Morriston</t>
  </si>
  <si>
    <t>SA6 6HQ</t>
  </si>
  <si>
    <t>CBDU10330</t>
  </si>
  <si>
    <t xml:space="preserve">Pant Y Carw Farm </t>
  </si>
  <si>
    <t>LL26 0PW</t>
  </si>
  <si>
    <t>CBDU10331</t>
  </si>
  <si>
    <t>29 Maes Stanley Bodelwyddan</t>
  </si>
  <si>
    <t>LL18 5TL</t>
  </si>
  <si>
    <t>CBDL10085</t>
  </si>
  <si>
    <t>Foel Fach Cottage Clawddnewydd</t>
  </si>
  <si>
    <t>LL15 2NN</t>
  </si>
  <si>
    <t>CBDL10088</t>
  </si>
  <si>
    <t>CBDU10090</t>
  </si>
  <si>
    <t>Derwas Center Henfaes Lane</t>
  </si>
  <si>
    <t>CBDU10091</t>
  </si>
  <si>
    <t xml:space="preserve">4 West Road </t>
  </si>
  <si>
    <t>CF14 2FT</t>
  </si>
  <si>
    <t>CBDU10092</t>
  </si>
  <si>
    <t>IP30235R</t>
  </si>
  <si>
    <t>CBDU10093</t>
  </si>
  <si>
    <t>Adeilad St Davids Stryd Lombard</t>
  </si>
  <si>
    <t>LL49 9AP</t>
  </si>
  <si>
    <t>CBDU10100</t>
  </si>
  <si>
    <t>CBDU10101</t>
  </si>
  <si>
    <t>The Hayes Building Burial Lane</t>
  </si>
  <si>
    <t>CF61 1SD</t>
  </si>
  <si>
    <t>CBDU10560</t>
  </si>
  <si>
    <t>Clifford House Felinfach</t>
  </si>
  <si>
    <t>CBDL10562</t>
  </si>
  <si>
    <t>14 Commercial Street Blaenllechau</t>
  </si>
  <si>
    <t>CF43 4NN</t>
  </si>
  <si>
    <t>CBDU10564</t>
  </si>
  <si>
    <t>Former Annes Enterprise Building Bangor Terrace</t>
  </si>
  <si>
    <t>Nantyffyllon</t>
  </si>
  <si>
    <t>CF34 0HU</t>
  </si>
  <si>
    <t>CBDU10565</t>
  </si>
  <si>
    <t>Blackrock Brecon Road</t>
  </si>
  <si>
    <t>CF449NS</t>
  </si>
  <si>
    <t>CBDL10566</t>
  </si>
  <si>
    <t>Unit 7A Maesglas Retail Park</t>
  </si>
  <si>
    <t>CBDL10567</t>
  </si>
  <si>
    <t>YSBYTY GWYNEDD PENRHOSGARNEDD</t>
  </si>
  <si>
    <t>BANGOR</t>
  </si>
  <si>
    <t>LL57 2PW</t>
  </si>
  <si>
    <t>CBDL10571</t>
  </si>
  <si>
    <t>Oakfield Nant Glas</t>
  </si>
  <si>
    <t>LD1 6PA</t>
  </si>
  <si>
    <t>CBDL10572</t>
  </si>
  <si>
    <t>CBDL10573</t>
  </si>
  <si>
    <t>Bodfeddyg 102 High Street</t>
  </si>
  <si>
    <t>SA11 5AL</t>
  </si>
  <si>
    <t>CBDL10576</t>
  </si>
  <si>
    <t>Bryn Mor Gorsedd</t>
  </si>
  <si>
    <t>CH8 8QZ</t>
  </si>
  <si>
    <t>CBDU10919</t>
  </si>
  <si>
    <t xml:space="preserve">Ely Valley Industrial Estate </t>
  </si>
  <si>
    <t>CF72 9DZ</t>
  </si>
  <si>
    <t>CBDL10923</t>
  </si>
  <si>
    <t>Unit 15 Catheralls Industrial Estate</t>
  </si>
  <si>
    <t>CBDL10926</t>
  </si>
  <si>
    <t xml:space="preserve">Site Office </t>
  </si>
  <si>
    <t>LL43 2LQ</t>
  </si>
  <si>
    <t>CBDU10928</t>
  </si>
  <si>
    <t>THE OLD STATION YARD LLWYN GELL IND EST</t>
  </si>
  <si>
    <t>BLAENAU FFESTINIOG</t>
  </si>
  <si>
    <t>CBDL10930</t>
  </si>
  <si>
    <t xml:space="preserve">18 Stacey Road </t>
  </si>
  <si>
    <t>CF24 1DU</t>
  </si>
  <si>
    <t>CBDL11180</t>
  </si>
  <si>
    <t>27a wheeler st</t>
  </si>
  <si>
    <t>NP20 5LB</t>
  </si>
  <si>
    <t>CBDU11183</t>
  </si>
  <si>
    <t>The Ford Redberth</t>
  </si>
  <si>
    <t>SA70 8RR</t>
  </si>
  <si>
    <t>CBDU11186</t>
  </si>
  <si>
    <t>CBDU11188</t>
  </si>
  <si>
    <t>SA31 3QX</t>
  </si>
  <si>
    <t>CBDU11191</t>
  </si>
  <si>
    <t>Unit 4 Heads of the Valley Industrial Estate</t>
  </si>
  <si>
    <t>NP22 5RL</t>
  </si>
  <si>
    <t>CBDL11192</t>
  </si>
  <si>
    <t xml:space="preserve">Bryntirion </t>
  </si>
  <si>
    <t>LL78 8QA</t>
  </si>
  <si>
    <t>CBDU11193</t>
  </si>
  <si>
    <t>10 Shepherds Hill Caravan Site Lower Race</t>
  </si>
  <si>
    <t>NP4 5UF</t>
  </si>
  <si>
    <t>CBDL11997</t>
  </si>
  <si>
    <t>Unit 1 Pandy Business Park</t>
  </si>
  <si>
    <t>Pandy</t>
  </si>
  <si>
    <t>LL11 2UA</t>
  </si>
  <si>
    <t>CBDL12003</t>
  </si>
  <si>
    <t>The Meadows Carno Road</t>
  </si>
  <si>
    <t>SY17 5JA</t>
  </si>
  <si>
    <t>CBDU12004</t>
  </si>
  <si>
    <t>Hafod Bryn Mynach Road</t>
  </si>
  <si>
    <t>LL42 1PS</t>
  </si>
  <si>
    <t>CBDL12008</t>
  </si>
  <si>
    <t>Heol Gwyrosydd Penlan</t>
  </si>
  <si>
    <t>SA5 7BN</t>
  </si>
  <si>
    <t>CBDU11448</t>
  </si>
  <si>
    <t>Waen Y Lloc Lloc</t>
  </si>
  <si>
    <t>CH8 8RU</t>
  </si>
  <si>
    <t>CBDU11450</t>
  </si>
  <si>
    <t>2 Rustic Close Sketty</t>
  </si>
  <si>
    <t>SA2 9LZ</t>
  </si>
  <si>
    <t>CBDL11453</t>
  </si>
  <si>
    <t>Wogan Lodge Wogan Lane</t>
  </si>
  <si>
    <t>Wogan Terrace</t>
  </si>
  <si>
    <t>SA69 9HA</t>
  </si>
  <si>
    <t>CBDU11454</t>
  </si>
  <si>
    <t>Unit A-D Factory Road</t>
  </si>
  <si>
    <t>CBDL11457</t>
  </si>
  <si>
    <t>4 Min Y Graig Pontyberem</t>
  </si>
  <si>
    <t>SA15 5BU</t>
  </si>
  <si>
    <t>CBDU11458</t>
  </si>
  <si>
    <t>3 East Road Penallta Industrial Estate</t>
  </si>
  <si>
    <t>CBDU11459</t>
  </si>
  <si>
    <t>SA43 1EX</t>
  </si>
  <si>
    <t>CBDL11464</t>
  </si>
  <si>
    <t>Felin Wrdan Pontyglasier</t>
  </si>
  <si>
    <t>SA41 3SA</t>
  </si>
  <si>
    <t>CBDU11466</t>
  </si>
  <si>
    <t xml:space="preserve">89 Maes-y-Coed Road </t>
  </si>
  <si>
    <t>CF14 4HE</t>
  </si>
  <si>
    <t>CBDU11678</t>
  </si>
  <si>
    <t>1 The Cot St. Arvans</t>
  </si>
  <si>
    <t>CBDU11684</t>
  </si>
  <si>
    <t>Bodowen The Links</t>
  </si>
  <si>
    <t>Pembrey</t>
  </si>
  <si>
    <t>SA16 0HU</t>
  </si>
  <si>
    <t>CBDU11688</t>
  </si>
  <si>
    <t xml:space="preserve">46 Pwllmelin Road </t>
  </si>
  <si>
    <t>CF5 2NJ</t>
  </si>
  <si>
    <t>CBDL11689</t>
  </si>
  <si>
    <t>CBDU11690</t>
  </si>
  <si>
    <t xml:space="preserve">Old Town Dock </t>
  </si>
  <si>
    <t>CBDL12202</t>
  </si>
  <si>
    <t xml:space="preserve">30 Feidrfair </t>
  </si>
  <si>
    <t>SA43 1EB</t>
  </si>
  <si>
    <t>CBDU12204</t>
  </si>
  <si>
    <t>Church View Chapel Road</t>
  </si>
  <si>
    <t>Foxley</t>
  </si>
  <si>
    <t>Dereham</t>
  </si>
  <si>
    <t>NR20 4QS</t>
  </si>
  <si>
    <t>CBDU12207</t>
  </si>
  <si>
    <t>Tyn Ddol Farm Maenan</t>
  </si>
  <si>
    <t>LL26 0TU</t>
  </si>
  <si>
    <t>CBDL12210</t>
  </si>
  <si>
    <t>CBDU12211</t>
  </si>
  <si>
    <t>The Mount Pen-y-Maes Road</t>
  </si>
  <si>
    <t>CBDU12212</t>
  </si>
  <si>
    <t>82 Beauchamp Walk Gorseinon</t>
  </si>
  <si>
    <t>SA4 6AE</t>
  </si>
  <si>
    <t>CBDU12213</t>
  </si>
  <si>
    <t>7A Welford Road Blaby</t>
  </si>
  <si>
    <t>LE8 4FT</t>
  </si>
  <si>
    <t>CBDU12214</t>
  </si>
  <si>
    <t>Jentam House Witherdene Road</t>
  </si>
  <si>
    <t>Stanleytown</t>
  </si>
  <si>
    <t>CF43 3EP</t>
  </si>
  <si>
    <t>CBDU12420</t>
  </si>
  <si>
    <t>Unit 2 Oakhill Court Telford Way</t>
  </si>
  <si>
    <t>Waterwells Business Park</t>
  </si>
  <si>
    <t>GL2 2GA</t>
  </si>
  <si>
    <t>CBDU12423</t>
  </si>
  <si>
    <t>CBDL12424</t>
  </si>
  <si>
    <t>2 Laburnum Meadows Four Crosses</t>
  </si>
  <si>
    <t>SY22 6QT</t>
  </si>
  <si>
    <t>CBDU12425</t>
  </si>
  <si>
    <t>Glandwr Industrial Estate Aberbeeg</t>
  </si>
  <si>
    <t>CBDU12426</t>
  </si>
  <si>
    <t>Unit 2 Miners Park</t>
  </si>
  <si>
    <t>LL120PJ</t>
  </si>
  <si>
    <t>CBDL12427</t>
  </si>
  <si>
    <t>Tequila Sunrise Brynwood Drive</t>
  </si>
  <si>
    <t>SY16 2EG</t>
  </si>
  <si>
    <t>CBDL12430</t>
  </si>
  <si>
    <t xml:space="preserve">Church Stoke </t>
  </si>
  <si>
    <t>SY15 6AF</t>
  </si>
  <si>
    <t>CBDU12432</t>
  </si>
  <si>
    <t>Unit 17 Betws Park Workshops</t>
  </si>
  <si>
    <t>CBDL12435</t>
  </si>
  <si>
    <t>Parc Ty Glas Llanishen</t>
  </si>
  <si>
    <t>CBDL12759</t>
  </si>
  <si>
    <t xml:space="preserve">62 Harbour Parade </t>
  </si>
  <si>
    <t>Ramsgate</t>
  </si>
  <si>
    <t>CT11 8LN</t>
  </si>
  <si>
    <t>CBDU12760</t>
  </si>
  <si>
    <t>Swn Yr Awel Treoes</t>
  </si>
  <si>
    <t>CBDL12764</t>
  </si>
  <si>
    <t>Kestrel Court Waterwells Drive</t>
  </si>
  <si>
    <t>Quedgeley</t>
  </si>
  <si>
    <t>GL2 2AT</t>
  </si>
  <si>
    <t>CBDL12766</t>
  </si>
  <si>
    <t xml:space="preserve">58 Graig Park Circle </t>
  </si>
  <si>
    <t>CBDU12767</t>
  </si>
  <si>
    <t>24 Hospital Road Penpedairheol</t>
  </si>
  <si>
    <t>CF82 8DG</t>
  </si>
  <si>
    <t>CBDL12771</t>
  </si>
  <si>
    <t xml:space="preserve">Abbey Road </t>
  </si>
  <si>
    <t>LL30 2EN</t>
  </si>
  <si>
    <t>CBDL12551</t>
  </si>
  <si>
    <t xml:space="preserve">5 Ryder Court </t>
  </si>
  <si>
    <t>Corby</t>
  </si>
  <si>
    <t>NN18 9NX</t>
  </si>
  <si>
    <t>CBDU12556</t>
  </si>
  <si>
    <t>Office A1 Hanover House</t>
  </si>
  <si>
    <t>CBDU12558</t>
  </si>
  <si>
    <t>Hogan House Cyttir Lane</t>
  </si>
  <si>
    <t>CBDU12560</t>
  </si>
  <si>
    <t>Machinery Movements Compass Road</t>
  </si>
  <si>
    <t>Queen Alexandra Dock</t>
  </si>
  <si>
    <t>CF104LT</t>
  </si>
  <si>
    <t>CBDU12561</t>
  </si>
  <si>
    <t xml:space="preserve">4 Charles Street </t>
  </si>
  <si>
    <t>SA73 2AJ</t>
  </si>
  <si>
    <t>CBDU12562</t>
  </si>
  <si>
    <t>CBDL12563</t>
  </si>
  <si>
    <t xml:space="preserve">54 Victoria Road </t>
  </si>
  <si>
    <t>Stoke-on-Trent</t>
  </si>
  <si>
    <t>ST4 2LJ</t>
  </si>
  <si>
    <t>CBDU12564</t>
  </si>
  <si>
    <t xml:space="preserve">35 Commercial Street </t>
  </si>
  <si>
    <t>CBDU12981</t>
  </si>
  <si>
    <t>Brest Y Gelli Barn Modrydd</t>
  </si>
  <si>
    <t>LD3 8ND</t>
  </si>
  <si>
    <t>CBDU12982</t>
  </si>
  <si>
    <t xml:space="preserve">34 Arandora Crescent </t>
  </si>
  <si>
    <t>RM6 4SS</t>
  </si>
  <si>
    <t>CBDL12984</t>
  </si>
  <si>
    <t>Unit 5-6 Victoria Trading Estate</t>
  </si>
  <si>
    <t>LL18 5SS</t>
  </si>
  <si>
    <t>CBDU12986</t>
  </si>
  <si>
    <t>Ty Mel Caerhun</t>
  </si>
  <si>
    <t>LL57 4DT</t>
  </si>
  <si>
    <t>CBDL12988</t>
  </si>
  <si>
    <t>Unit 3 115 Spencer Road</t>
  </si>
  <si>
    <t>BD7 2LF</t>
  </si>
  <si>
    <t>CBDL13352</t>
  </si>
  <si>
    <t xml:space="preserve">2 Stepney Road </t>
  </si>
  <si>
    <t>SA16 0BH</t>
  </si>
  <si>
    <t>CBDL13354</t>
  </si>
  <si>
    <t>11 Glanaber Pembrey</t>
  </si>
  <si>
    <t>SA16 0TN</t>
  </si>
  <si>
    <t>CBDU13355</t>
  </si>
  <si>
    <t>Maiden Place Maidenwells</t>
  </si>
  <si>
    <t>SA71 5ES</t>
  </si>
  <si>
    <t>CBDU13356</t>
  </si>
  <si>
    <t>71 High Street Clydach</t>
  </si>
  <si>
    <t>SA6 5LJ</t>
  </si>
  <si>
    <t>CBDL13358</t>
  </si>
  <si>
    <t xml:space="preserve">41 Raby Street </t>
  </si>
  <si>
    <t>M16 7DJ</t>
  </si>
  <si>
    <t>CBDU13359</t>
  </si>
  <si>
    <t>28 Clydach Street Brynmawr</t>
  </si>
  <si>
    <t>NP23 4RN</t>
  </si>
  <si>
    <t>CBDU13149</t>
  </si>
  <si>
    <t xml:space="preserve">10 Cookes Unit </t>
  </si>
  <si>
    <t>LL48 6LT</t>
  </si>
  <si>
    <t>CBDL13152</t>
  </si>
  <si>
    <t>CBDU13549</t>
  </si>
  <si>
    <t>Plot 1 Blossom Garage</t>
  </si>
  <si>
    <t>SA39 9HA</t>
  </si>
  <si>
    <t>CBDU13554</t>
  </si>
  <si>
    <t xml:space="preserve">23 Sion Street </t>
  </si>
  <si>
    <t>CF37 4SD</t>
  </si>
  <si>
    <t>CBDU13555</t>
  </si>
  <si>
    <t>Barrell and Co 36</t>
  </si>
  <si>
    <t>Commercial St</t>
  </si>
  <si>
    <t>NP22 3DJ</t>
  </si>
  <si>
    <t>CBDU13556</t>
  </si>
  <si>
    <t>56 Morfa Glas Glynneath</t>
  </si>
  <si>
    <t>SA11 5RP</t>
  </si>
  <si>
    <t>CBDL13559</t>
  </si>
  <si>
    <t>Heartsease Knighton</t>
  </si>
  <si>
    <t>CBDU13561</t>
  </si>
  <si>
    <t>14 Y Gilfach Llandarcy</t>
  </si>
  <si>
    <t>SA10 6GA</t>
  </si>
  <si>
    <t>CBDU13562</t>
  </si>
  <si>
    <t xml:space="preserve">35 Maes Y Coed </t>
  </si>
  <si>
    <t>CH6 5HN</t>
  </si>
  <si>
    <t>CBDU13563</t>
  </si>
  <si>
    <t>Chorlton Llwynmawr Road</t>
  </si>
  <si>
    <t>SA2 9HB</t>
  </si>
  <si>
    <t>CBDL89</t>
  </si>
  <si>
    <t>Old Station Dyfi Eco PArk</t>
  </si>
  <si>
    <t>CBDL93</t>
  </si>
  <si>
    <t>Unit 4 Court Wood Eco Lando Road</t>
  </si>
  <si>
    <t>SA160YB</t>
  </si>
  <si>
    <t>CBDL100</t>
  </si>
  <si>
    <t>31 Brewary Road</t>
  </si>
  <si>
    <t>SA31 1TB</t>
  </si>
  <si>
    <t>CBDL103</t>
  </si>
  <si>
    <t>Penrhyn Castle Bangor</t>
  </si>
  <si>
    <t>LL57 4HN</t>
  </si>
  <si>
    <t>CBDL104</t>
  </si>
  <si>
    <t>Old Press Buildings Merlins Bridge</t>
  </si>
  <si>
    <t>SA61 1XF</t>
  </si>
  <si>
    <t>CBDL106</t>
  </si>
  <si>
    <t>Unit G  Vastre Enterprise Park</t>
  </si>
  <si>
    <t xml:space="preserve">SY16 1DZ </t>
  </si>
  <si>
    <t>CBDL337</t>
  </si>
  <si>
    <t>CBDL338</t>
  </si>
  <si>
    <t>CBDL339</t>
  </si>
  <si>
    <t>CBDL340</t>
  </si>
  <si>
    <t>CBDL341</t>
  </si>
  <si>
    <t>CBDL342</t>
  </si>
  <si>
    <t>CBDL343</t>
  </si>
  <si>
    <t>CBDL344</t>
  </si>
  <si>
    <t>CBDL345</t>
  </si>
  <si>
    <t>CBDL346</t>
  </si>
  <si>
    <t>CBDL347</t>
  </si>
  <si>
    <t>CBDL348</t>
  </si>
  <si>
    <t>CBDL349</t>
  </si>
  <si>
    <t>3 Terrace Road</t>
  </si>
  <si>
    <t>SY23 1NY</t>
  </si>
  <si>
    <t>CBDL595</t>
  </si>
  <si>
    <t>Unit 2C Queens Lane</t>
  </si>
  <si>
    <t>CBDL597</t>
  </si>
  <si>
    <t>7-13 The Kingsway</t>
  </si>
  <si>
    <t>SA1 5JN</t>
  </si>
  <si>
    <t>CBDL599</t>
  </si>
  <si>
    <t>25 Penrhyn Avenue</t>
  </si>
  <si>
    <t>CBDL604</t>
  </si>
  <si>
    <t>Ty Canol House Ffordd Croesawoy</t>
  </si>
  <si>
    <t>SY16 1AL</t>
  </si>
  <si>
    <t>CBDL605</t>
  </si>
  <si>
    <t>5-7 Clwyd Street</t>
  </si>
  <si>
    <t>LL15 1HF</t>
  </si>
  <si>
    <t>CBDL609</t>
  </si>
  <si>
    <t>Quality House Middleton Street</t>
  </si>
  <si>
    <t>LD1 5DG</t>
  </si>
  <si>
    <t>CBDL1032</t>
  </si>
  <si>
    <t>Noah ark Commercial Road</t>
  </si>
  <si>
    <t>DT4 7TY</t>
  </si>
  <si>
    <t>CBDL1033</t>
  </si>
  <si>
    <t>Old Town Hall Temple Street</t>
  </si>
  <si>
    <t>LD1 5DL</t>
  </si>
  <si>
    <t>CBDL1034</t>
  </si>
  <si>
    <t>1-3 Woodland Road .west</t>
  </si>
  <si>
    <t>LL29 7DH</t>
  </si>
  <si>
    <t>CBDL1035</t>
  </si>
  <si>
    <t>St Isan Road Surgery 46 St Isan Road</t>
  </si>
  <si>
    <t>CF14 4UU</t>
  </si>
  <si>
    <t>CBDL1037</t>
  </si>
  <si>
    <t>4 Wine Street</t>
  </si>
  <si>
    <t>CF61 1RZ</t>
  </si>
  <si>
    <t>CBDL1038</t>
  </si>
  <si>
    <t>96 Queen Victoria Road</t>
  </si>
  <si>
    <t>CBDL1042</t>
  </si>
  <si>
    <t>73 Penywain Road</t>
  </si>
  <si>
    <t>CF24 4GG</t>
  </si>
  <si>
    <t>CBDL1043</t>
  </si>
  <si>
    <t>St Christophers School Stockwell Grove</t>
  </si>
  <si>
    <t>LL13 7BW</t>
  </si>
  <si>
    <t>CBDL1044</t>
  </si>
  <si>
    <t>Unit 10 and 11 Ford Richard Davies</t>
  </si>
  <si>
    <t>St Asaph Business Park</t>
  </si>
  <si>
    <t>CBDL1276</t>
  </si>
  <si>
    <t xml:space="preserve"> Einsteinlaan 50</t>
  </si>
  <si>
    <t>2719 ER</t>
  </si>
  <si>
    <t>Zoetermeer</t>
  </si>
  <si>
    <t>The Netherlands</t>
  </si>
  <si>
    <t>CBDL1278</t>
  </si>
  <si>
    <t>GORSWGAN LLANILAR</t>
  </si>
  <si>
    <t>SY234PL</t>
  </si>
  <si>
    <t>CBDL1281</t>
  </si>
  <si>
    <t>Cwmburry Honey Farm Ferryside</t>
  </si>
  <si>
    <t>SA17 5TW</t>
  </si>
  <si>
    <t>CBDL1284</t>
  </si>
  <si>
    <t>minysarn roman road</t>
  </si>
  <si>
    <t>caersws</t>
  </si>
  <si>
    <t>sy17 5hr</t>
  </si>
  <si>
    <t>CBDL1287</t>
  </si>
  <si>
    <t>Brooklands Skenfrith</t>
  </si>
  <si>
    <t>NP7 8UB</t>
  </si>
  <si>
    <t>CBDL1288</t>
  </si>
  <si>
    <t>7 Bishops Walk</t>
  </si>
  <si>
    <t>SA6 6EE</t>
  </si>
  <si>
    <t>CBDL1516</t>
  </si>
  <si>
    <t>Audrey Johns Ltd Brunel Quay</t>
  </si>
  <si>
    <t>SA73 1PY</t>
  </si>
  <si>
    <t>CBDL1520</t>
  </si>
  <si>
    <t>G1 Foreshore Road</t>
  </si>
  <si>
    <t>CBDL1525</t>
  </si>
  <si>
    <t>Dulas Villa LLangurig Road</t>
  </si>
  <si>
    <t>LLanidloes</t>
  </si>
  <si>
    <t>SY18 6RE</t>
  </si>
  <si>
    <t>CBDL1526</t>
  </si>
  <si>
    <t>1 CHURCH LANE</t>
  </si>
  <si>
    <t>BRECON</t>
  </si>
  <si>
    <t>LD3 7AS</t>
  </si>
  <si>
    <t>CBDL1528</t>
  </si>
  <si>
    <t>Unit 66  Mochdre Enterprise Park</t>
  </si>
  <si>
    <t>CBDL1529</t>
  </si>
  <si>
    <t>CBDL1530</t>
  </si>
  <si>
    <t>Unit 2 Union Road Industrial Estate</t>
  </si>
  <si>
    <t>Union Road</t>
  </si>
  <si>
    <t>CBDL1738</t>
  </si>
  <si>
    <t>New Zealand Cottages Bury Road</t>
  </si>
  <si>
    <t>Barnham</t>
  </si>
  <si>
    <t>IP24 2PL</t>
  </si>
  <si>
    <t>CBDL2377</t>
  </si>
  <si>
    <t>Fforch Egel Farm Gwrhyd Road</t>
  </si>
  <si>
    <t>Rhiwfawr</t>
  </si>
  <si>
    <t>SA9 2SE</t>
  </si>
  <si>
    <t>CBDL2379</t>
  </si>
  <si>
    <t xml:space="preserve"> 5 Marlborough Road</t>
  </si>
  <si>
    <t>United Kingdom</t>
  </si>
  <si>
    <t>CBDL2384</t>
  </si>
  <si>
    <t>Wyverne Wrexham Road</t>
  </si>
  <si>
    <t>LL11 6HP</t>
  </si>
  <si>
    <t>CBDL2641</t>
  </si>
  <si>
    <t>CBDL2852</t>
  </si>
  <si>
    <t>CBDL2857</t>
  </si>
  <si>
    <t>Mill Cottage Sain Ffagan</t>
  </si>
  <si>
    <t>CBDL2859</t>
  </si>
  <si>
    <t xml:space="preserve">32 Castle Street </t>
  </si>
  <si>
    <t>LD2 3BN</t>
  </si>
  <si>
    <t>CBDL3297</t>
  </si>
  <si>
    <t xml:space="preserve">Esplanade </t>
  </si>
  <si>
    <t>SA70 7DU</t>
  </si>
  <si>
    <t>CBDL3304</t>
  </si>
  <si>
    <t>Unit 5 Kingsbridge Business Park</t>
  </si>
  <si>
    <t>SA4 4HL</t>
  </si>
  <si>
    <t>CBDL3305</t>
  </si>
  <si>
    <t>Unit 6F Phoenix Way</t>
  </si>
  <si>
    <t>CBDL3306</t>
  </si>
  <si>
    <t>Fairfield Road Bulwark</t>
  </si>
  <si>
    <t>NP16 5JP</t>
  </si>
  <si>
    <t>CBDL3308</t>
  </si>
  <si>
    <t>Unit C5 North Road</t>
  </si>
  <si>
    <t>CBDL3579</t>
  </si>
  <si>
    <t>Waun Herod Betws</t>
  </si>
  <si>
    <t>SA18 2PB</t>
  </si>
  <si>
    <t>CBDL3815</t>
  </si>
  <si>
    <t xml:space="preserve">6-8 Bridge Street </t>
  </si>
  <si>
    <t>SA15 3UF</t>
  </si>
  <si>
    <t>CBDL4038</t>
  </si>
  <si>
    <t>Unit 21 Abenbury Way</t>
  </si>
  <si>
    <t>LL13 9UZ</t>
  </si>
  <si>
    <t>CBDL4548</t>
  </si>
  <si>
    <t>Units 1 to 4 Enterprise Workshops</t>
  </si>
  <si>
    <t>100 Trostre Rd</t>
  </si>
  <si>
    <t>CBDL4549</t>
  </si>
  <si>
    <t xml:space="preserve">49 Foxwood Drive </t>
  </si>
  <si>
    <t>LL14 4JA</t>
  </si>
  <si>
    <t>CBDL4978</t>
  </si>
  <si>
    <t>31 Pennard Drive Southgate</t>
  </si>
  <si>
    <t>SA3 2BL</t>
  </si>
  <si>
    <t>CBDL4981</t>
  </si>
  <si>
    <t xml:space="preserve">10 Southmoor Way </t>
  </si>
  <si>
    <t>OX14 1BP</t>
  </si>
  <si>
    <t>CBDL4983</t>
  </si>
  <si>
    <t xml:space="preserve">Y Porth Bach </t>
  </si>
  <si>
    <t>CBDL4061</t>
  </si>
  <si>
    <t>1 St. Johns Crescent Wainfelin</t>
  </si>
  <si>
    <t>NP4 6DZ</t>
  </si>
  <si>
    <t>CBDL4073</t>
  </si>
  <si>
    <t>Tyn Y Ffynnon Llanynghenedl</t>
  </si>
  <si>
    <t>LL65 3DG</t>
  </si>
  <si>
    <t>CBDL4716</t>
  </si>
  <si>
    <t>Dolswydd Penybont</t>
  </si>
  <si>
    <t>LD1 5UB</t>
  </si>
  <si>
    <t>CBDL4731</t>
  </si>
  <si>
    <t>Unit 21 Crofty Industrial Estate</t>
  </si>
  <si>
    <t>CBDL4738</t>
  </si>
  <si>
    <t>CBDL4739</t>
  </si>
  <si>
    <t>7 Roxby Court Craiglee Drive</t>
  </si>
  <si>
    <t>CF10 4AG</t>
  </si>
  <si>
    <t>CBDL5213</t>
  </si>
  <si>
    <t>Kitchen Genie Unit 4 Endeavour Close</t>
  </si>
  <si>
    <t>Purcell Avenue</t>
  </si>
  <si>
    <t>SA127PT</t>
  </si>
  <si>
    <t>CBDU5474</t>
  </si>
  <si>
    <t>Unit 8 Ely Bridge Industrial Estate</t>
  </si>
  <si>
    <t>CBDU5477</t>
  </si>
  <si>
    <t>Brodawel Farm Coychurch</t>
  </si>
  <si>
    <t>CF35 5BU</t>
  </si>
  <si>
    <t>CBDU5481</t>
  </si>
  <si>
    <t xml:space="preserve">105 Charles Street </t>
  </si>
  <si>
    <t>SA73 2HW</t>
  </si>
  <si>
    <t>CBDU5486</t>
  </si>
  <si>
    <t>CBDU5492</t>
  </si>
  <si>
    <t>Yew Tree Cottage Llandogo</t>
  </si>
  <si>
    <t>NP25 4TE</t>
  </si>
  <si>
    <t>CBDL5729</t>
  </si>
  <si>
    <t>Garthmor Tyn-y-Groes</t>
  </si>
  <si>
    <t>LL32 8TH</t>
  </si>
  <si>
    <t>CBDU5733</t>
  </si>
  <si>
    <t>Unit 6 Atlantic Trading Estate</t>
  </si>
  <si>
    <t>CBDU5742</t>
  </si>
  <si>
    <t>Cydnerth Gellilydan</t>
  </si>
  <si>
    <t>LL41 4RB</t>
  </si>
  <si>
    <t>CBDL6233</t>
  </si>
  <si>
    <t>6-7 Chestnut Court Ffordd Y Parc</t>
  </si>
  <si>
    <t>LL57 4FH</t>
  </si>
  <si>
    <t>CBDU6234</t>
  </si>
  <si>
    <t xml:space="preserve">5 Ael-y-Bryn </t>
  </si>
  <si>
    <t>CF83 2QX</t>
  </si>
  <si>
    <t>CBDU6236</t>
  </si>
  <si>
    <t>CBDU6237</t>
  </si>
  <si>
    <t>np19 0ga</t>
  </si>
  <si>
    <t>CBDU6240</t>
  </si>
  <si>
    <t>Osborne House Berth Ddu</t>
  </si>
  <si>
    <t>CH7 6PS</t>
  </si>
  <si>
    <t>CBDL6241</t>
  </si>
  <si>
    <t xml:space="preserve">Marsh Road </t>
  </si>
  <si>
    <t>CBDL5987</t>
  </si>
  <si>
    <t>5 Ffordd Llanllechid Llanllechid</t>
  </si>
  <si>
    <t>LL57 3EE</t>
  </si>
  <si>
    <t>CBDL5988</t>
  </si>
  <si>
    <t xml:space="preserve">Alexandra Dock </t>
  </si>
  <si>
    <t>NP20 2NP</t>
  </si>
  <si>
    <t>CBDU5989</t>
  </si>
  <si>
    <t>Unit 7 Mellyn Mair Business Centre</t>
  </si>
  <si>
    <t>Lamby Industrial Park</t>
  </si>
  <si>
    <t>CBDL5992</t>
  </si>
  <si>
    <t>Gwaun Iarll Blaendulais</t>
  </si>
  <si>
    <t>SA10 9EW</t>
  </si>
  <si>
    <t>CBDU6789</t>
  </si>
  <si>
    <t>Unit 82 Portmanmoor Road</t>
  </si>
  <si>
    <t>Industrial Estate</t>
  </si>
  <si>
    <t>CBDU6791</t>
  </si>
  <si>
    <t xml:space="preserve">4A Richmond Road </t>
  </si>
  <si>
    <t>E8 3HY</t>
  </si>
  <si>
    <t>CBDU6796</t>
  </si>
  <si>
    <t>71 Highfields Brackla</t>
  </si>
  <si>
    <t>CF31 2PB</t>
  </si>
  <si>
    <t>CBDU6797</t>
  </si>
  <si>
    <t>Bronallt Clawddnewydd</t>
  </si>
  <si>
    <t>LL15 2NA</t>
  </si>
  <si>
    <t>CBDU6798</t>
  </si>
  <si>
    <t>View Fields Stryt Y Bydden</t>
  </si>
  <si>
    <t>New Broughton</t>
  </si>
  <si>
    <t>LL11 6SN</t>
  </si>
  <si>
    <t>CBDL6800</t>
  </si>
  <si>
    <t>3 Crown Close New Whittington</t>
  </si>
  <si>
    <t>S43 2AH</t>
  </si>
  <si>
    <t>CBDU6545</t>
  </si>
  <si>
    <t>129B  Lamby Industrial Park</t>
  </si>
  <si>
    <t>CBDU6550</t>
  </si>
  <si>
    <t>59 Village Farm Road Village Farm Industrial Estate</t>
  </si>
  <si>
    <t>CBDU6551</t>
  </si>
  <si>
    <t>24 Bryn Hedydd Llangyfelach</t>
  </si>
  <si>
    <t>SA6 8BS</t>
  </si>
  <si>
    <t>CBDL6553</t>
  </si>
  <si>
    <t>Border Showroom Llangurig Road</t>
  </si>
  <si>
    <t>SY18 6ES</t>
  </si>
  <si>
    <t>CBDU6555</t>
  </si>
  <si>
    <t>Ty Gwyn Nash Road</t>
  </si>
  <si>
    <t>NP18 2BW</t>
  </si>
  <si>
    <t>CBDU6556</t>
  </si>
  <si>
    <t>Unit 3 Lamby Workshops</t>
  </si>
  <si>
    <t>CBDU6557</t>
  </si>
  <si>
    <t>CBDL7017</t>
  </si>
  <si>
    <t>Liberty Steel Newport Limited Corporation Road</t>
  </si>
  <si>
    <t>NP19 4XE</t>
  </si>
  <si>
    <t>CBDL7019</t>
  </si>
  <si>
    <t xml:space="preserve">88 Cocker Avenue </t>
  </si>
  <si>
    <t>NP44 3NL</t>
  </si>
  <si>
    <t>CBDU7020</t>
  </si>
  <si>
    <t>CBDU7021</t>
  </si>
  <si>
    <t>13 Glyn Derwen Llanbradach</t>
  </si>
  <si>
    <t>CF83 3PQ</t>
  </si>
  <si>
    <t>CBDU7022</t>
  </si>
  <si>
    <t>1 Cwrt Tudur Bae Cinmel</t>
  </si>
  <si>
    <t>LL18 5JX</t>
  </si>
  <si>
    <t>CBDL7024</t>
  </si>
  <si>
    <t>21 Glan Y Lli Penclawdd</t>
  </si>
  <si>
    <t>CBDU7025</t>
  </si>
  <si>
    <t>Potter House Henfaes Lane</t>
  </si>
  <si>
    <t>CBDU7027</t>
  </si>
  <si>
    <t>Carlton Grange Lower Aston Hall Lane</t>
  </si>
  <si>
    <t>Penarlag</t>
  </si>
  <si>
    <t>CH5 3EX</t>
  </si>
  <si>
    <t>CBDU7028</t>
  </si>
  <si>
    <t>Unit 21 The Lawns Industrial Estate</t>
  </si>
  <si>
    <t>NP22 5PW</t>
  </si>
  <si>
    <t>CBDU7029</t>
  </si>
  <si>
    <t>CBDU7030</t>
  </si>
  <si>
    <t>88 Mount Pleasant Biggin Hill</t>
  </si>
  <si>
    <t>Westerham</t>
  </si>
  <si>
    <t>TN16 3TR</t>
  </si>
  <si>
    <t>CBDU7386</t>
  </si>
  <si>
    <t>Fedw Hir Llwydcoed</t>
  </si>
  <si>
    <t>CF44 0DX</t>
  </si>
  <si>
    <t>CBDU7387</t>
  </si>
  <si>
    <t>Unit 308 Woodside Way</t>
  </si>
  <si>
    <t>CBDL7388</t>
  </si>
  <si>
    <t>The Woodyard Glascoed Road</t>
  </si>
  <si>
    <t>ll17 0lh</t>
  </si>
  <si>
    <t>CBDL7390</t>
  </si>
  <si>
    <t xml:space="preserve">9 Esplanade </t>
  </si>
  <si>
    <t>CBDU7139</t>
  </si>
  <si>
    <t>32-36 Stryd Yr Wyddfa Penygroes</t>
  </si>
  <si>
    <t>LL54 6NG</t>
  </si>
  <si>
    <t>CBDU7140</t>
  </si>
  <si>
    <t>16 George Road Milford on Sea</t>
  </si>
  <si>
    <t>Lymington</t>
  </si>
  <si>
    <t>SO41 0RS</t>
  </si>
  <si>
    <t>CBDU7146</t>
  </si>
  <si>
    <t>710A Carmarthen Road Gendros</t>
  </si>
  <si>
    <t>SA5 8JN</t>
  </si>
  <si>
    <t>CBDU7148</t>
  </si>
  <si>
    <t>Unit 12h Atlantic Trading Estate</t>
  </si>
  <si>
    <t>CBDU7149</t>
  </si>
  <si>
    <t xml:space="preserve">2 Burrows Place </t>
  </si>
  <si>
    <t>SA1 1SW</t>
  </si>
  <si>
    <t>CBDU7151</t>
  </si>
  <si>
    <t>Llynglas Pontnewydd Ar Wy</t>
  </si>
  <si>
    <t>LD1 6LH</t>
  </si>
  <si>
    <t>CBDL7628</t>
  </si>
  <si>
    <t xml:space="preserve">Llangurig </t>
  </si>
  <si>
    <t>SY18 6SG</t>
  </si>
  <si>
    <t>CBDU7630</t>
  </si>
  <si>
    <t xml:space="preserve">Ddole Road Industrial Estate </t>
  </si>
  <si>
    <t>CBDL7632</t>
  </si>
  <si>
    <t>18 Lower Hill Street Hakin</t>
  </si>
  <si>
    <t>SA73 3LR</t>
  </si>
  <si>
    <t>CBDL7633</t>
  </si>
  <si>
    <t xml:space="preserve">77A Old Park Lane </t>
  </si>
  <si>
    <t>Southport</t>
  </si>
  <si>
    <t>PR9 7BU</t>
  </si>
  <si>
    <t>CBDL7634</t>
  </si>
  <si>
    <t>73 Hamilton Drive Warsop</t>
  </si>
  <si>
    <t>NG20 0EY</t>
  </si>
  <si>
    <t>CBDU7635</t>
  </si>
  <si>
    <t>Unit 1 Isaacs Place</t>
  </si>
  <si>
    <t>SA12 6NP</t>
  </si>
  <si>
    <t>CBDL7637</t>
  </si>
  <si>
    <t>1 New Shop Parade Greenfield Road</t>
  </si>
  <si>
    <t>CH8 7QS</t>
  </si>
  <si>
    <t>CBDU7638</t>
  </si>
  <si>
    <t>30A St. Johns Crescent Rogerstone</t>
  </si>
  <si>
    <t>NP10 9EY</t>
  </si>
  <si>
    <t>CBDU7639</t>
  </si>
  <si>
    <t>Aberhoffnant Bangor Teifi</t>
  </si>
  <si>
    <t>SA44 5BS</t>
  </si>
  <si>
    <t>CBDU7640</t>
  </si>
  <si>
    <t xml:space="preserve">Unit 2  Old School Workshops </t>
  </si>
  <si>
    <t>Bodedern</t>
  </si>
  <si>
    <t xml:space="preserve">LL65 2QH </t>
  </si>
  <si>
    <t>CBDU8028</t>
  </si>
  <si>
    <t>Fourth Avenue Deeside Industrial Park</t>
  </si>
  <si>
    <t>CH5 2NR</t>
  </si>
  <si>
    <t>CBDU8029</t>
  </si>
  <si>
    <t>Lom House Ilminster Street</t>
  </si>
  <si>
    <t>CF63 1BT</t>
  </si>
  <si>
    <t>CBDL8032</t>
  </si>
  <si>
    <t xml:space="preserve">19-24 George Street </t>
  </si>
  <si>
    <t>NP20 1EN</t>
  </si>
  <si>
    <t>CBDL8034</t>
  </si>
  <si>
    <t>4 East View Llandw</t>
  </si>
  <si>
    <t>CF71 7NZ</t>
  </si>
  <si>
    <t>CBDU8036</t>
  </si>
  <si>
    <t>Castle House High Street</t>
  </si>
  <si>
    <t>SA18 2NB</t>
  </si>
  <si>
    <t>CBDU8039</t>
  </si>
  <si>
    <t>CBDU8041</t>
  </si>
  <si>
    <t>120 Glanmor Road Sketty</t>
  </si>
  <si>
    <t>SA2 0RS</t>
  </si>
  <si>
    <t>CBDL7797</t>
  </si>
  <si>
    <t xml:space="preserve">Quay Street </t>
  </si>
  <si>
    <t>SA61 1BE</t>
  </si>
  <si>
    <t>CBDU7798</t>
  </si>
  <si>
    <t>Miners Road Llay Industrial Estate</t>
  </si>
  <si>
    <t>CBDL7799</t>
  </si>
  <si>
    <t>unit 6 afon ebbw road</t>
  </si>
  <si>
    <t>rogerstone</t>
  </si>
  <si>
    <t>np10 9hz</t>
  </si>
  <si>
    <t>CBDU7802</t>
  </si>
  <si>
    <t>6 Windsor Avenue Shotton</t>
  </si>
  <si>
    <t>CH5 1BD</t>
  </si>
  <si>
    <t>CBDU7805</t>
  </si>
  <si>
    <t>Cotswold Gwindy Street</t>
  </si>
  <si>
    <t>LL18 2US</t>
  </si>
  <si>
    <t>CBDL7806</t>
  </si>
  <si>
    <t>Llantrisant Road Llanilltud Faerdref</t>
  </si>
  <si>
    <t>CF38 2HA</t>
  </si>
  <si>
    <t>CBDL8441</t>
  </si>
  <si>
    <t>Tyn Y Fron Mochdre</t>
  </si>
  <si>
    <t>SY16 4JW</t>
  </si>
  <si>
    <t>CBDU8443</t>
  </si>
  <si>
    <t>F Berth Kings Dock</t>
  </si>
  <si>
    <t>CBDU8445</t>
  </si>
  <si>
    <t>8 Roundabout Court Bedwas House Industrial Estate</t>
  </si>
  <si>
    <t>CF83 8FS</t>
  </si>
  <si>
    <t>CBDU8446</t>
  </si>
  <si>
    <t>Dingle Cottage Maesglas Grove</t>
  </si>
  <si>
    <t>NP20 3DJ</t>
  </si>
  <si>
    <t>CBDU8448</t>
  </si>
  <si>
    <t>Unit 10B Y Fro Parc Busnes</t>
  </si>
  <si>
    <t>Llandw</t>
  </si>
  <si>
    <t>CBDL8453</t>
  </si>
  <si>
    <t xml:space="preserve">36 The Woodfields </t>
  </si>
  <si>
    <t>CR2 0HE</t>
  </si>
  <si>
    <t>CBDL8690</t>
  </si>
  <si>
    <t>Cilyrychen Industrial Estate Llandebie</t>
  </si>
  <si>
    <t>CBDL8691</t>
  </si>
  <si>
    <t>Machynlleth Library Heol Maengwyn</t>
  </si>
  <si>
    <t>SY20 8DY</t>
  </si>
  <si>
    <t>CBDU8693</t>
  </si>
  <si>
    <t>Estate Yard Maesderwen Road</t>
  </si>
  <si>
    <t>Pontymoile</t>
  </si>
  <si>
    <t>NP4 5LE</t>
  </si>
  <si>
    <t>CBDU8694</t>
  </si>
  <si>
    <t>Claire Chambers 38 Inkerman Street</t>
  </si>
  <si>
    <t>CBDL8695</t>
  </si>
  <si>
    <t>Unit 5 Millbrook Business Park</t>
  </si>
  <si>
    <t>Hoe Lane</t>
  </si>
  <si>
    <t>EN9 2RJ</t>
  </si>
  <si>
    <t>CBDU8696</t>
  </si>
  <si>
    <t>29 Cae Garw</t>
  </si>
  <si>
    <t>CBDU8702</t>
  </si>
  <si>
    <t>12 Churchfields Croft</t>
  </si>
  <si>
    <t>WA3 7JR</t>
  </si>
  <si>
    <t>CBDL8703</t>
  </si>
  <si>
    <t>624 Chorley Road Westhoughton</t>
  </si>
  <si>
    <t>BL5 3NJ</t>
  </si>
  <si>
    <t>CBDU8706</t>
  </si>
  <si>
    <t>Unit 32 Business Development Centre</t>
  </si>
  <si>
    <t>CBDU9074</t>
  </si>
  <si>
    <t>Neath Abbey Wharf Sgiwen</t>
  </si>
  <si>
    <t>CBDU9075</t>
  </si>
  <si>
    <t xml:space="preserve">7 Stryd Fawr </t>
  </si>
  <si>
    <t>SA48 7BA</t>
  </si>
  <si>
    <t>CBDU9077</t>
  </si>
  <si>
    <t>Bethany Maenygroes</t>
  </si>
  <si>
    <t>Ceinewydd</t>
  </si>
  <si>
    <t>SA45 9RL</t>
  </si>
  <si>
    <t>CBDU9078</t>
  </si>
  <si>
    <t>Unit 6 Ynyswen Industrial Estate</t>
  </si>
  <si>
    <t>CF42 6EP</t>
  </si>
  <si>
    <t>CBDL9079</t>
  </si>
  <si>
    <t xml:space="preserve">Unit 11 The Old Creamery </t>
  </si>
  <si>
    <t>Four Crosses</t>
  </si>
  <si>
    <t>CBDL9080</t>
  </si>
  <si>
    <t>Unit 14 Woodlands Business Park</t>
  </si>
  <si>
    <t>SA9 1JW</t>
  </si>
  <si>
    <t>CBDL9081</t>
  </si>
  <si>
    <t>The Coach House Church Road</t>
  </si>
  <si>
    <t>Carlton</t>
  </si>
  <si>
    <t>CB8 9JZ</t>
  </si>
  <si>
    <t>CBDU9082</t>
  </si>
  <si>
    <t xml:space="preserve">120 Dunraven Street </t>
  </si>
  <si>
    <t>CF40 1AS</t>
  </si>
  <si>
    <t>CBDU9083</t>
  </si>
  <si>
    <t>4 High Street</t>
  </si>
  <si>
    <t>LL57 1NP</t>
  </si>
  <si>
    <t>CBDU9084</t>
  </si>
  <si>
    <t>CBDU9336</t>
  </si>
  <si>
    <t>51 Bridgend Road Aberkenfig</t>
  </si>
  <si>
    <t>CBDU9340</t>
  </si>
  <si>
    <t>Hendy Farm Abersoch</t>
  </si>
  <si>
    <t>LL53 7HY</t>
  </si>
  <si>
    <t>CBDL9343</t>
  </si>
  <si>
    <t>Gwyns Barns Tre'r-Llai</t>
  </si>
  <si>
    <t>SY21 8LL</t>
  </si>
  <si>
    <t>CBDU9344</t>
  </si>
  <si>
    <t>CBDU9346</t>
  </si>
  <si>
    <t>Cwrt Bach Penygroes Road</t>
  </si>
  <si>
    <t>Gorslas</t>
  </si>
  <si>
    <t>SA14 7LA</t>
  </si>
  <si>
    <t>CBDL9347</t>
  </si>
  <si>
    <t>Unit J Prospect Industrial Units Rackery lane</t>
  </si>
  <si>
    <t>CBDL9769</t>
  </si>
  <si>
    <t xml:space="preserve">10 Esplanade </t>
  </si>
  <si>
    <t>Ryde</t>
  </si>
  <si>
    <t>PO33 2DY</t>
  </si>
  <si>
    <t>CBDL9772</t>
  </si>
  <si>
    <t>23 Bryn Awelon Road Beaufort</t>
  </si>
  <si>
    <t>NP23 5ND</t>
  </si>
  <si>
    <t>CBDU9773</t>
  </si>
  <si>
    <t>Preswylfa Y Fali</t>
  </si>
  <si>
    <t>CBDU9774</t>
  </si>
  <si>
    <t>20 Pencarn Avenue Coedkernew</t>
  </si>
  <si>
    <t>NP10 8TJ</t>
  </si>
  <si>
    <t>CBDU9776</t>
  </si>
  <si>
    <t xml:space="preserve">3 Lon Werdd </t>
  </si>
  <si>
    <t>CF5 4SS</t>
  </si>
  <si>
    <t>CBDU9780</t>
  </si>
  <si>
    <t>Unit 6 Lakeside Park</t>
  </si>
  <si>
    <t>Llantarnam Industrial Park</t>
  </si>
  <si>
    <t>NP44 3XS</t>
  </si>
  <si>
    <t>CBDU9546</t>
  </si>
  <si>
    <t>Unit 48 Springvale Industrial Estate</t>
  </si>
  <si>
    <t>NP44 5BB</t>
  </si>
  <si>
    <t>CBDU9550</t>
  </si>
  <si>
    <t xml:space="preserve">27 Heol Cae-Rhys </t>
  </si>
  <si>
    <t>CF14 6AP</t>
  </si>
  <si>
    <t>CBDU9553</t>
  </si>
  <si>
    <t xml:space="preserve">4 The Glades </t>
  </si>
  <si>
    <t>CF64 3AY</t>
  </si>
  <si>
    <t>CBDU9554</t>
  </si>
  <si>
    <t>Unit 9 Kingsway Business Centre</t>
  </si>
  <si>
    <t>CBDL9555</t>
  </si>
  <si>
    <t>Unit 32 Endeavour Close</t>
  </si>
  <si>
    <t>Purcell Avenue Industrial Estate</t>
  </si>
  <si>
    <t>SA12 7PT</t>
  </si>
  <si>
    <t>CBDL9556</t>
  </si>
  <si>
    <t>Block 4 Ty Coch Way</t>
  </si>
  <si>
    <t>Unit F</t>
  </si>
  <si>
    <t>CBDL9557</t>
  </si>
  <si>
    <t>Unit 10 Pacific Business Park</t>
  </si>
  <si>
    <t>CBDL9558</t>
  </si>
  <si>
    <t>CBDU10007</t>
  </si>
  <si>
    <t xml:space="preserve">45 Fenton Place </t>
  </si>
  <si>
    <t>CF36 3DW</t>
  </si>
  <si>
    <t>CBDU10008</t>
  </si>
  <si>
    <t>25 Llandeilo Road Cross Hands</t>
  </si>
  <si>
    <t>SA14 6NA</t>
  </si>
  <si>
    <t>CBDU10010</t>
  </si>
  <si>
    <t>Cwmcronin Cottage Llangynidr</t>
  </si>
  <si>
    <t>CBDL10011</t>
  </si>
  <si>
    <t xml:space="preserve">Valley Road </t>
  </si>
  <si>
    <t>Clevedon</t>
  </si>
  <si>
    <t>BS21 6AH</t>
  </si>
  <si>
    <t>CBDU10012</t>
  </si>
  <si>
    <t xml:space="preserve">Gelli-Hirion Industrial Estate </t>
  </si>
  <si>
    <t>CF37 5SX</t>
  </si>
  <si>
    <t>CBDU10014</t>
  </si>
  <si>
    <t>29 Ty-Fry Road Aberbargoed</t>
  </si>
  <si>
    <t>CF81 9FL</t>
  </si>
  <si>
    <t>CBDU10016</t>
  </si>
  <si>
    <t>CBDL10017</t>
  </si>
  <si>
    <t>Marianglas</t>
  </si>
  <si>
    <t>LL73 8PH</t>
  </si>
  <si>
    <t>CBDL10018</t>
  </si>
  <si>
    <t>No 2KINLEY BARNS BISHTON LANE</t>
  </si>
  <si>
    <t>TIDENHAMCHEPSTOW</t>
  </si>
  <si>
    <t>NP16 7LG</t>
  </si>
  <si>
    <t>CBDU10333</t>
  </si>
  <si>
    <t>Cilgwyn Bach Cilgwyn Road</t>
  </si>
  <si>
    <t>LL29 6AA</t>
  </si>
  <si>
    <t>CBDL10336</t>
  </si>
  <si>
    <t>Forest Lodge  Bardney Dairies</t>
  </si>
  <si>
    <t>Wragby</t>
  </si>
  <si>
    <t>Market Rasen</t>
  </si>
  <si>
    <t>LN8 5JN</t>
  </si>
  <si>
    <t>CBDU10340</t>
  </si>
  <si>
    <t>CBDL10341</t>
  </si>
  <si>
    <t xml:space="preserve">8 The Strand </t>
  </si>
  <si>
    <t>CBDU10342</t>
  </si>
  <si>
    <t>Reclamation Yard George Street</t>
  </si>
  <si>
    <t>SA73 2AY</t>
  </si>
  <si>
    <t>CBDL10344</t>
  </si>
  <si>
    <t xml:space="preserve">Llanvaches </t>
  </si>
  <si>
    <t>NP26 3AZ</t>
  </si>
  <si>
    <t>CBDL10346</t>
  </si>
  <si>
    <t>Riverside House Brymau Three Estate River Lane</t>
  </si>
  <si>
    <t>CBDL10347</t>
  </si>
  <si>
    <t>Unit 5 Dragon Auto Centre</t>
  </si>
  <si>
    <t>SA7 9FU</t>
  </si>
  <si>
    <t>CBDU10106</t>
  </si>
  <si>
    <t>29  Blackbrook Road</t>
  </si>
  <si>
    <t xml:space="preserve">NG24 2ST </t>
  </si>
  <si>
    <t>CBDU10107</t>
  </si>
  <si>
    <t>79 Heol Tawe Abercraf</t>
  </si>
  <si>
    <t>SA9 1XR</t>
  </si>
  <si>
    <t>CBDL10109</t>
  </si>
  <si>
    <t>Ton-y-Felin Surgery Bedwas Road</t>
  </si>
  <si>
    <t>CF83 1XP</t>
  </si>
  <si>
    <t>CBDL10110</t>
  </si>
  <si>
    <t>Unit 9 Seaway Parade Industrial Estate</t>
  </si>
  <si>
    <t>CBDU10112</t>
  </si>
  <si>
    <t>Clwyd House Blackwood Business Park</t>
  </si>
  <si>
    <t>Ash Road South</t>
  </si>
  <si>
    <t>CBDL10578</t>
  </si>
  <si>
    <t>Forest Traffic Services Limited Broad Quay Road</t>
  </si>
  <si>
    <t>CBDU10582</t>
  </si>
  <si>
    <t xml:space="preserve">4 Cherwell Road </t>
  </si>
  <si>
    <t>CF64 3PE</t>
  </si>
  <si>
    <t>CBDL10583</t>
  </si>
  <si>
    <t>Little Ty Coch St. Brides Wentlooge</t>
  </si>
  <si>
    <t>CBDU10585</t>
  </si>
  <si>
    <t xml:space="preserve">2 Rhodfa'r Morwydd </t>
  </si>
  <si>
    <t>CF64 2UD</t>
  </si>
  <si>
    <t>CBDU10586</t>
  </si>
  <si>
    <t>Unit 9 North Road</t>
  </si>
  <si>
    <t>CBDU10938</t>
  </si>
  <si>
    <t>9 Crystal Wood Drive Miskin</t>
  </si>
  <si>
    <t>CF72 8TH</t>
  </si>
  <si>
    <t>CBDU10939</t>
  </si>
  <si>
    <t xml:space="preserve">31 Graig-yr-Helfa Road </t>
  </si>
  <si>
    <t>CF37 4AR</t>
  </si>
  <si>
    <t>CBDU10942</t>
  </si>
  <si>
    <t>Fairways Bungalow 6</t>
  </si>
  <si>
    <t>NP23 4SX</t>
  </si>
  <si>
    <t>CBDL10943</t>
  </si>
  <si>
    <t xml:space="preserve">23 North Hill Road </t>
  </si>
  <si>
    <t>SA1 6XS</t>
  </si>
  <si>
    <t>CBDL10944</t>
  </si>
  <si>
    <t xml:space="preserve">Wharf Street </t>
  </si>
  <si>
    <t>Dukinfield</t>
  </si>
  <si>
    <t>SK16 4PG</t>
  </si>
  <si>
    <t>CBDU10948</t>
  </si>
  <si>
    <t>Unit 1 St. Ivel</t>
  </si>
  <si>
    <t>Llanstephan Road</t>
  </si>
  <si>
    <t>SA31 3BP</t>
  </si>
  <si>
    <t>CBDU10951</t>
  </si>
  <si>
    <t>CBDU10956</t>
  </si>
  <si>
    <t>DURA PARK YSPITTY ROAD</t>
  </si>
  <si>
    <t>CBDU10685</t>
  </si>
  <si>
    <t>Chweffordd Cae Drain Road</t>
  </si>
  <si>
    <t>Henllan</t>
  </si>
  <si>
    <t>LL16 5AD</t>
  </si>
  <si>
    <t>CBDL10688</t>
  </si>
  <si>
    <t>25 High Street</t>
  </si>
  <si>
    <t>LD7 1AU</t>
  </si>
  <si>
    <t>CBDL10689</t>
  </si>
  <si>
    <t>Pill</t>
  </si>
  <si>
    <t>NP202JL</t>
  </si>
  <si>
    <t>CBDL10690</t>
  </si>
  <si>
    <t xml:space="preserve">99 High Street </t>
  </si>
  <si>
    <t>CF62 7DS</t>
  </si>
  <si>
    <t>CBDL10691</t>
  </si>
  <si>
    <t>Clawdd Offa Farm Rhosesmor Road</t>
  </si>
  <si>
    <t>CH7 6AF</t>
  </si>
  <si>
    <t>CBDU10692</t>
  </si>
  <si>
    <t>Garth Isaf Farm Efail Isaf</t>
  </si>
  <si>
    <t>CF38 1SN</t>
  </si>
  <si>
    <t>CBDU10694</t>
  </si>
  <si>
    <t>Unit 3 Min Y Llyn</t>
  </si>
  <si>
    <t>Glan Yr Afon Industrial Estate</t>
  </si>
  <si>
    <t>CBDU10696</t>
  </si>
  <si>
    <t>3 Deryn Court Wharfedale Road</t>
  </si>
  <si>
    <t>Pentwyn</t>
  </si>
  <si>
    <t>CF23 7HB</t>
  </si>
  <si>
    <t>CBDU10698</t>
  </si>
  <si>
    <t>South Wales UPVC Recycling Ltd Yard off Fern Close</t>
  </si>
  <si>
    <t>Pen Y Fan Industrial Estate</t>
  </si>
  <si>
    <t>Oakdale</t>
  </si>
  <si>
    <t>CBDU11198</t>
  </si>
  <si>
    <t>114 Albert Grove Ruabon</t>
  </si>
  <si>
    <t>LL14 6AG</t>
  </si>
  <si>
    <t>CBDU11202</t>
  </si>
  <si>
    <t>50 Woodland Terrace Aberbeeg</t>
  </si>
  <si>
    <t>NP13 2EN</t>
  </si>
  <si>
    <t>CBDU11205</t>
  </si>
  <si>
    <t>Atlas House Unit 9</t>
  </si>
  <si>
    <t>Bedwas Business Centre</t>
  </si>
  <si>
    <t>CF83 8DU</t>
  </si>
  <si>
    <t>CBDL11206</t>
  </si>
  <si>
    <t>Coedowen Farm Cwmtaf</t>
  </si>
  <si>
    <t>CBDU11211</t>
  </si>
  <si>
    <t>Unit A5 - A6 Cefendy Employment Park</t>
  </si>
  <si>
    <t>Denbigshire</t>
  </si>
  <si>
    <t>LL182HJ</t>
  </si>
  <si>
    <t>CBDL12014</t>
  </si>
  <si>
    <t xml:space="preserve">51 Sayesbury Road </t>
  </si>
  <si>
    <t>CM21 0EB</t>
  </si>
  <si>
    <t>CBDL12015</t>
  </si>
  <si>
    <t>Oaklands Farm Llanvair Discoed</t>
  </si>
  <si>
    <t>NP16 6LY</t>
  </si>
  <si>
    <t>CBDL12018</t>
  </si>
  <si>
    <t>Unit 3B Langland Park West Langland Way</t>
  </si>
  <si>
    <t>CBDU12019</t>
  </si>
  <si>
    <t>Unit 7 Glendale Avenue</t>
  </si>
  <si>
    <t>CBDU12020</t>
  </si>
  <si>
    <t xml:space="preserve">12 Mariners Quay </t>
  </si>
  <si>
    <t>CBDU12022</t>
  </si>
  <si>
    <t>Broadlands House Laleston</t>
  </si>
  <si>
    <t>CF32 0NS</t>
  </si>
  <si>
    <t>CBDL12023</t>
  </si>
  <si>
    <t>Unit 2 Ash Road South</t>
  </si>
  <si>
    <t>CBDU11468</t>
  </si>
  <si>
    <t>Moelfryn Penrhiwllan</t>
  </si>
  <si>
    <t>CBDU11469</t>
  </si>
  <si>
    <t>19 Beryl Road Clydach</t>
  </si>
  <si>
    <t>CBDU11473</t>
  </si>
  <si>
    <t>Ty Lissa Llanfair Caereinion</t>
  </si>
  <si>
    <t>SY21 0BX</t>
  </si>
  <si>
    <t>CBDU11476</t>
  </si>
  <si>
    <t>Llanina Aberporth</t>
  </si>
  <si>
    <t>SA43 2EY</t>
  </si>
  <si>
    <t>CBDU11477</t>
  </si>
  <si>
    <t>UNIT 4 CLYWEDOG ROAD SOUTH</t>
  </si>
  <si>
    <t>WREXHAM INDUSTRIAL ESTATE</t>
  </si>
  <si>
    <t>LL139XS</t>
  </si>
  <si>
    <t>CBDU11478</t>
  </si>
  <si>
    <t xml:space="preserve">6 Arundel Place </t>
  </si>
  <si>
    <t>Scarborough</t>
  </si>
  <si>
    <t>YO11 1TX</t>
  </si>
  <si>
    <t>CBDU11482</t>
  </si>
  <si>
    <t xml:space="preserve">20 Vale View </t>
  </si>
  <si>
    <t>NP7 6BE</t>
  </si>
  <si>
    <t>CBDU11483</t>
  </si>
  <si>
    <t xml:space="preserve">14 Pen Darren </t>
  </si>
  <si>
    <t>CF39 9AX</t>
  </si>
  <si>
    <t>CBDU11484</t>
  </si>
  <si>
    <t>Afon Arian Ffordd Groesffordd</t>
  </si>
  <si>
    <t>LL28 5NT</t>
  </si>
  <si>
    <t>CBDU11486</t>
  </si>
  <si>
    <t>Ivanhoe House Nant Y Bryn</t>
  </si>
  <si>
    <t>SA14 8PR</t>
  </si>
  <si>
    <t>CBDU11488</t>
  </si>
  <si>
    <t>Dan Y Craig Barn Henllys</t>
  </si>
  <si>
    <t>NP44 6HY</t>
  </si>
  <si>
    <t>CBDU11692</t>
  </si>
  <si>
    <t>CBDL11694</t>
  </si>
  <si>
    <t xml:space="preserve">Lon Y Becws </t>
  </si>
  <si>
    <t>CH6 5UZ</t>
  </si>
  <si>
    <t>CBDU11701</t>
  </si>
  <si>
    <t xml:space="preserve">50 Collard Crescent </t>
  </si>
  <si>
    <t>CF62 9AN</t>
  </si>
  <si>
    <t>CBDL11702</t>
  </si>
  <si>
    <t>Unit 5 Charnwood Park</t>
  </si>
  <si>
    <t>CBDL11703</t>
  </si>
  <si>
    <t>CBDU11705</t>
  </si>
  <si>
    <t>Brackla Industrial Estate</t>
  </si>
  <si>
    <t>CBDU11706</t>
  </si>
  <si>
    <t>Castell Grug Llanbedrog</t>
  </si>
  <si>
    <t>LL53 7NN</t>
  </si>
  <si>
    <t>CBDL12220</t>
  </si>
  <si>
    <t>4 Bryn-y-Baal Cottages Bryn Road</t>
  </si>
  <si>
    <t>Bryn-y-Baal</t>
  </si>
  <si>
    <t>CH7 6SF</t>
  </si>
  <si>
    <t>CBDL12222</t>
  </si>
  <si>
    <t>32 First Avenue Deeside Industrial Park</t>
  </si>
  <si>
    <t>CH5 2NU</t>
  </si>
  <si>
    <t>CBDU12223</t>
  </si>
  <si>
    <t>Maeshyfryd Beulah</t>
  </si>
  <si>
    <t>CBDU12224</t>
  </si>
  <si>
    <t>49 Wentwood Road Caerleon</t>
  </si>
  <si>
    <t>NP18 3RW</t>
  </si>
  <si>
    <t>CBDL12225</t>
  </si>
  <si>
    <t>Kentmere Quarry Brow</t>
  </si>
  <si>
    <t>Pant Lane</t>
  </si>
  <si>
    <t>Gresford</t>
  </si>
  <si>
    <t>LL12 8SJ</t>
  </si>
  <si>
    <t>CBDL12226</t>
  </si>
  <si>
    <t xml:space="preserve">14 Pentre Doc Y Gogledd </t>
  </si>
  <si>
    <t>SA15 2JW</t>
  </si>
  <si>
    <t>CBDU12436</t>
  </si>
  <si>
    <t xml:space="preserve"> Baltycka 50</t>
  </si>
  <si>
    <t>05-825</t>
  </si>
  <si>
    <t>Grodzisk Mazowiecki</t>
  </si>
  <si>
    <t>CBDL12440</t>
  </si>
  <si>
    <t xml:space="preserve">5 Worcester Close </t>
  </si>
  <si>
    <t>NN18 8QZ</t>
  </si>
  <si>
    <t>CBDU12443</t>
  </si>
  <si>
    <t>59 Oaklands Road Chirk Bank</t>
  </si>
  <si>
    <t>LL14 5DW</t>
  </si>
  <si>
    <t>CBDU12444</t>
  </si>
  <si>
    <t xml:space="preserve">25 Houghton Road </t>
  </si>
  <si>
    <t>Dunstable</t>
  </si>
  <si>
    <t>LU5 5AB</t>
  </si>
  <si>
    <t>CBDU12447</t>
  </si>
  <si>
    <t>38 St. Davids Terrace Saltney Ferry</t>
  </si>
  <si>
    <t>CH4 0AF</t>
  </si>
  <si>
    <t>CBDU12774</t>
  </si>
  <si>
    <t>PLOT  13 SAVILLE ROAD</t>
  </si>
  <si>
    <t>PENLLWYNGWENT INDUSTRIAL ESTATE</t>
  </si>
  <si>
    <t>OGMORE VALE</t>
  </si>
  <si>
    <t>CF327AX</t>
  </si>
  <si>
    <t>CBDL12775</t>
  </si>
  <si>
    <t xml:space="preserve">29 Clos Cae Nant </t>
  </si>
  <si>
    <t>NP44 3PD</t>
  </si>
  <si>
    <t>CBDU12776</t>
  </si>
  <si>
    <t>Longoaks Box Road</t>
  </si>
  <si>
    <t>Grovesend</t>
  </si>
  <si>
    <t>SA4 8DB</t>
  </si>
  <si>
    <t>CBDL12786</t>
  </si>
  <si>
    <t xml:space="preserve">74 Greswolde Road </t>
  </si>
  <si>
    <t>B11 4DL</t>
  </si>
  <si>
    <t>CBDU12566</t>
  </si>
  <si>
    <t>CBDL12567</t>
  </si>
  <si>
    <t>80 Broad Street Blaenavon</t>
  </si>
  <si>
    <t>NP4 9NF</t>
  </si>
  <si>
    <t>CBDU12568</t>
  </si>
  <si>
    <t>Plasmarl Industrial Estate Beaufort Road</t>
  </si>
  <si>
    <t>SA6 8JG</t>
  </si>
  <si>
    <t>CBDL12570</t>
  </si>
  <si>
    <t xml:space="preserve">9 Romilly Road </t>
  </si>
  <si>
    <t>CF5 1FH</t>
  </si>
  <si>
    <t>CBDL12571</t>
  </si>
  <si>
    <t>Melin Geri Cwm Cou</t>
  </si>
  <si>
    <t>SA38 9PA</t>
  </si>
  <si>
    <t>CBDU12572</t>
  </si>
  <si>
    <t>1 Aston Place St. Mellons</t>
  </si>
  <si>
    <t>CF3 0PH</t>
  </si>
  <si>
    <t>CBDL12573</t>
  </si>
  <si>
    <t>CBDL12578</t>
  </si>
  <si>
    <t>Suite E Britannic House</t>
  </si>
  <si>
    <t>Britannic Way Llandarcy</t>
  </si>
  <si>
    <t>SA106EL</t>
  </si>
  <si>
    <t>CBDU12579</t>
  </si>
  <si>
    <t>CBDU12580</t>
  </si>
  <si>
    <t>Meadow House Brookhill Way</t>
  </si>
  <si>
    <t>CH7 3NP</t>
  </si>
  <si>
    <t>CBDL12997</t>
  </si>
  <si>
    <t xml:space="preserve">8 Lawson Road </t>
  </si>
  <si>
    <t>LL12 7BA</t>
  </si>
  <si>
    <t>CBDU12998</t>
  </si>
  <si>
    <t xml:space="preserve">38 Heol Y Deri </t>
  </si>
  <si>
    <t>CF44 0BP</t>
  </si>
  <si>
    <t>CBDU12999</t>
  </si>
  <si>
    <t>Brynbach Dryslwyn</t>
  </si>
  <si>
    <t>SA32 8SE</t>
  </si>
  <si>
    <t>CBDL13000</t>
  </si>
  <si>
    <t xml:space="preserve">137 Nevendon Road </t>
  </si>
  <si>
    <t>Wickford</t>
  </si>
  <si>
    <t>SS12 0NL</t>
  </si>
  <si>
    <t>CBDL13004</t>
  </si>
  <si>
    <t>CF48 2YE</t>
  </si>
  <si>
    <t>CBDU13005</t>
  </si>
  <si>
    <t xml:space="preserve">Dolydd </t>
  </si>
  <si>
    <t>LL75 8DZ</t>
  </si>
  <si>
    <t>CBDU13006</t>
  </si>
  <si>
    <t>7A Bakers Way Bryncethin</t>
  </si>
  <si>
    <t>CF32 9RJ</t>
  </si>
  <si>
    <t>CBDU13008</t>
  </si>
  <si>
    <t>244 Neath Road Landore</t>
  </si>
  <si>
    <t>SA1 2JG</t>
  </si>
  <si>
    <t>CBDU13009</t>
  </si>
  <si>
    <t>Cedar House Hazell Drive</t>
  </si>
  <si>
    <t>CBDU13155</t>
  </si>
  <si>
    <t xml:space="preserve">12 Pinewalk Drive </t>
  </si>
  <si>
    <t>CF39 9NL</t>
  </si>
  <si>
    <t>CBDL13158</t>
  </si>
  <si>
    <t>Unit 5 3-11 Gorst Road</t>
  </si>
  <si>
    <t>NW10 6LA</t>
  </si>
  <si>
    <t>CBDL13168</t>
  </si>
  <si>
    <t xml:space="preserve">35 Llys Bran </t>
  </si>
  <si>
    <t>LL19 7JB</t>
  </si>
  <si>
    <t>CBDL13366</t>
  </si>
  <si>
    <t>12 Nursery Crescent Rhymney</t>
  </si>
  <si>
    <t>NP22 5JT</t>
  </si>
  <si>
    <t>CBDU13367</t>
  </si>
  <si>
    <t>Unit 29-30 Colomendy Industrial Estate</t>
  </si>
  <si>
    <t>CBDL13369</t>
  </si>
  <si>
    <t>14 Clos Crugiau Rhydyfelin</t>
  </si>
  <si>
    <t>SY23 4RN</t>
  </si>
  <si>
    <t>CBDL13566</t>
  </si>
  <si>
    <t xml:space="preserve">Carwad </t>
  </si>
  <si>
    <t>LL58 8TN</t>
  </si>
  <si>
    <t>CBDU13567</t>
  </si>
  <si>
    <t>Bevan and Buckland Langdon House</t>
  </si>
  <si>
    <t>CBDU13568</t>
  </si>
  <si>
    <t>Unit 26 Business Development Centre</t>
  </si>
  <si>
    <t>CBDU13577</t>
  </si>
  <si>
    <t xml:space="preserve">9 Bay View Road </t>
  </si>
  <si>
    <t>SA14 8SN</t>
  </si>
  <si>
    <t>CBDU13578</t>
  </si>
  <si>
    <t>Unit 10 Stuart Close Trade Park</t>
  </si>
  <si>
    <t>CF11 8EE</t>
  </si>
  <si>
    <t>CBDL109</t>
  </si>
  <si>
    <t>Glan yr Afon Office Glan yr Afon Industrial Estate</t>
  </si>
  <si>
    <t>CBDL110</t>
  </si>
  <si>
    <t>42  Broad St</t>
  </si>
  <si>
    <t>Sy21 7RR</t>
  </si>
  <si>
    <t>CBDL111</t>
  </si>
  <si>
    <t>16 Commercial Street</t>
  </si>
  <si>
    <t>Gilfach</t>
  </si>
  <si>
    <t>CF81 8JG</t>
  </si>
  <si>
    <t>CBDL112</t>
  </si>
  <si>
    <t>Mid Wales Storage Centre Doll Street</t>
  </si>
  <si>
    <t>SY20 8BQ</t>
  </si>
  <si>
    <t>CBDL115</t>
  </si>
  <si>
    <t>6 Park View</t>
  </si>
  <si>
    <t>Llanddew</t>
  </si>
  <si>
    <t>LD3 9RL</t>
  </si>
  <si>
    <t>CBDL116</t>
  </si>
  <si>
    <t>CBDL119</t>
  </si>
  <si>
    <t>Unit 28 DDole Industrial Estate</t>
  </si>
  <si>
    <t>CBDL121</t>
  </si>
  <si>
    <t>Abercrave Swansea</t>
  </si>
  <si>
    <t>SA9 1XA</t>
  </si>
  <si>
    <t>CBDL613</t>
  </si>
  <si>
    <t>122 Plymouthwood Road</t>
  </si>
  <si>
    <t>CF5 4DF</t>
  </si>
  <si>
    <t>CBDL615</t>
  </si>
  <si>
    <t>Show Davies Enterprise Centre Y cabon</t>
  </si>
  <si>
    <t>Brynrefal</t>
  </si>
  <si>
    <t>LL55 3NR</t>
  </si>
  <si>
    <t>CBDL616</t>
  </si>
  <si>
    <t>CBDL617</t>
  </si>
  <si>
    <t>CBDL620</t>
  </si>
  <si>
    <t>14-16 Ellesmere Road</t>
  </si>
  <si>
    <t>LL29 8RP</t>
  </si>
  <si>
    <t>CBDL621</t>
  </si>
  <si>
    <t>Trannon Caravan Park Trefeglwys</t>
  </si>
  <si>
    <t>SY17 5PU</t>
  </si>
  <si>
    <t>CBDL623</t>
  </si>
  <si>
    <t>11 Church Street</t>
  </si>
  <si>
    <t>CH6 5AD</t>
  </si>
  <si>
    <t>CBDL624</t>
  </si>
  <si>
    <t>Tregynon Post Office Tregynon</t>
  </si>
  <si>
    <t>CBDL806</t>
  </si>
  <si>
    <t>Union Street Welshpool</t>
  </si>
  <si>
    <t>CBDL812</t>
  </si>
  <si>
    <t>Cambrian House Croespenmaen Industrial Estate</t>
  </si>
  <si>
    <t>CBDL813</t>
  </si>
  <si>
    <t>The Old Stables Glansevern Hall</t>
  </si>
  <si>
    <t>SY21 8AH</t>
  </si>
  <si>
    <t>CBDL814</t>
  </si>
  <si>
    <t>Emmaus South Wales 6 Caroline Street</t>
  </si>
  <si>
    <t>CF31 1DQ</t>
  </si>
  <si>
    <t>CBDL815</t>
  </si>
  <si>
    <t>REAR OF 26 GREENFIELD ROAD</t>
  </si>
  <si>
    <t>LL29 8EL</t>
  </si>
  <si>
    <t>CBDL817</t>
  </si>
  <si>
    <t>unit a 1  crowland road</t>
  </si>
  <si>
    <t>Londyn</t>
  </si>
  <si>
    <t>N15 6GD</t>
  </si>
  <si>
    <t>CBDL1049</t>
  </si>
  <si>
    <t>RSPCA Llys Nini Animal Centre Penllergaer</t>
  </si>
  <si>
    <t>SA4 9WB</t>
  </si>
  <si>
    <t>CBDL1054</t>
  </si>
  <si>
    <t>The Office  Carmarthen Road</t>
  </si>
  <si>
    <t>SA68 0YU</t>
  </si>
  <si>
    <t>CBDL1056</t>
  </si>
  <si>
    <t>Trydanol Court Heol Mostyn</t>
  </si>
  <si>
    <t>CF33 6BJ</t>
  </si>
  <si>
    <t>CBDL1057</t>
  </si>
  <si>
    <t xml:space="preserve">39 Arthur Street </t>
  </si>
  <si>
    <t>CF63 2RB</t>
  </si>
  <si>
    <t>CBDL1059</t>
  </si>
  <si>
    <t>The Plough Inn Sageston</t>
  </si>
  <si>
    <t>SA70 8SG</t>
  </si>
  <si>
    <t>CBDL1060</t>
  </si>
  <si>
    <t>CBDL1062</t>
  </si>
  <si>
    <t>unit 4 viaduct house merthyr tydfil ind park</t>
  </si>
  <si>
    <t>pentrebach</t>
  </si>
  <si>
    <t>CBDL1293</t>
  </si>
  <si>
    <t>8 seawall court</t>
  </si>
  <si>
    <t>seawall road</t>
  </si>
  <si>
    <t>tremorfa</t>
  </si>
  <si>
    <t>cf24 5th</t>
  </si>
  <si>
    <t>CBDL1294</t>
  </si>
  <si>
    <t>CBDL1295</t>
  </si>
  <si>
    <t>Engineer Park Factory Road</t>
  </si>
  <si>
    <t>CBDL1298</t>
  </si>
  <si>
    <t>Unit 4 The Village Workshops Four Crosses Business Park</t>
  </si>
  <si>
    <t>CBDL1299</t>
  </si>
  <si>
    <t>Westlake Domgay Road</t>
  </si>
  <si>
    <t>Llandrinio</t>
  </si>
  <si>
    <t>SY22 6SJ</t>
  </si>
  <si>
    <t>CBDL1301</t>
  </si>
  <si>
    <t>Home Farm Abbeycwmhir</t>
  </si>
  <si>
    <t>LD1 6PH</t>
  </si>
  <si>
    <t>CBDL1304</t>
  </si>
  <si>
    <t>121 swansea road</t>
  </si>
  <si>
    <t>sa153dj</t>
  </si>
  <si>
    <t>CBDL1305</t>
  </si>
  <si>
    <t>20 Trearddur Road</t>
  </si>
  <si>
    <t>Trearddur Bay</t>
  </si>
  <si>
    <t>LL65 2WB</t>
  </si>
  <si>
    <t>CBDL1535</t>
  </si>
  <si>
    <t>2 high street</t>
  </si>
  <si>
    <t>LL18 2UB</t>
  </si>
  <si>
    <t>CBDL1536</t>
  </si>
  <si>
    <t>Unit 32 Ffrwdgrech Industrial Estate</t>
  </si>
  <si>
    <t>CBDL1537</t>
  </si>
  <si>
    <t>Bryn Awel House Station Road</t>
  </si>
  <si>
    <t>TYWYN</t>
  </si>
  <si>
    <t>LL36 9AH</t>
  </si>
  <si>
    <t>CBDL1538</t>
  </si>
  <si>
    <t>2 Lion Street</t>
  </si>
  <si>
    <t>CBDL1539</t>
  </si>
  <si>
    <t>Shil Pharmacy Leadon Court</t>
  </si>
  <si>
    <t>NP44 5TZ</t>
  </si>
  <si>
    <t>CBDL1541</t>
  </si>
  <si>
    <t>Suite 1 St. Margaret's Park</t>
  </si>
  <si>
    <t>Heol Pengam</t>
  </si>
  <si>
    <t>Aberbargod</t>
  </si>
  <si>
    <t>CF81 9FW</t>
  </si>
  <si>
    <t>CBDL1542</t>
  </si>
  <si>
    <t>6A Charles street</t>
  </si>
  <si>
    <t>ll13 8bt</t>
  </si>
  <si>
    <t>CBDU1748</t>
  </si>
  <si>
    <t>THE GUILDHALL WREXHAM</t>
  </si>
  <si>
    <t>CLWYD</t>
  </si>
  <si>
    <t>LL11 1AY</t>
  </si>
  <si>
    <t>CBDL1758</t>
  </si>
  <si>
    <t xml:space="preserve">Myfyrian Isaf </t>
  </si>
  <si>
    <t>LL60 6NW</t>
  </si>
  <si>
    <t>CBDL2000</t>
  </si>
  <si>
    <t>Morris House South Road</t>
  </si>
  <si>
    <t>CF31 3RB</t>
  </si>
  <si>
    <t>CBDU2005</t>
  </si>
  <si>
    <t>Cartref Cwmaman Road</t>
  </si>
  <si>
    <t>CF44 6DG</t>
  </si>
  <si>
    <t>CBDL2009</t>
  </si>
  <si>
    <t>Methodist Church Hanbury Road</t>
  </si>
  <si>
    <t>Pontnewyndd</t>
  </si>
  <si>
    <t>NP4 6PD</t>
  </si>
  <si>
    <t>CBDL2396</t>
  </si>
  <si>
    <t>CBDL2405</t>
  </si>
  <si>
    <t>21 Pennard Drive Southgate</t>
  </si>
  <si>
    <t>CBDL2407</t>
  </si>
  <si>
    <t>Concept House Cardiff Road</t>
  </si>
  <si>
    <t>NP10 8QQ</t>
  </si>
  <si>
    <t>CBDL2648</t>
  </si>
  <si>
    <t>Rose Cottage David Street</t>
  </si>
  <si>
    <t>Y Wig</t>
  </si>
  <si>
    <t>CF71 7QF</t>
  </si>
  <si>
    <t>CBDL2658</t>
  </si>
  <si>
    <t xml:space="preserve">1 Ffordd Parc Bodnant </t>
  </si>
  <si>
    <t>LL19 9LJ</t>
  </si>
  <si>
    <t>CBDL3083</t>
  </si>
  <si>
    <t xml:space="preserve">138 Heol Y Prior </t>
  </si>
  <si>
    <t>SA31 1LR</t>
  </si>
  <si>
    <t>CBDL3084</t>
  </si>
  <si>
    <t xml:space="preserve">101 Heol Awst </t>
  </si>
  <si>
    <t>SA31 3AP</t>
  </si>
  <si>
    <t>CBDL3086</t>
  </si>
  <si>
    <t>44 Lion Street Y Gelli Gandryll</t>
  </si>
  <si>
    <t>CBDL3087</t>
  </si>
  <si>
    <t>74-76 Commercial Strret Ystragynlais</t>
  </si>
  <si>
    <t>SA9 1LA</t>
  </si>
  <si>
    <t>CBDL2862</t>
  </si>
  <si>
    <t>Noble Square Industrial Estate Brynmawr</t>
  </si>
  <si>
    <t>NP23 4BS</t>
  </si>
  <si>
    <t>CBDL2863</t>
  </si>
  <si>
    <t>6 Kennington Close Thornhill</t>
  </si>
  <si>
    <t>CF14 9ED</t>
  </si>
  <si>
    <t>CBDL2867</t>
  </si>
  <si>
    <t>Wylcwm House Wylcwm Place</t>
  </si>
  <si>
    <t>LD7 1AE</t>
  </si>
  <si>
    <t>CBDL2871</t>
  </si>
  <si>
    <t>rear of 43 45 maengwyn st</t>
  </si>
  <si>
    <t>machynlleth</t>
  </si>
  <si>
    <t>SY20 8EB</t>
  </si>
  <si>
    <t>CBDL2875</t>
  </si>
  <si>
    <t>Unit 3 Gilchrist Thomas Ind Est</t>
  </si>
  <si>
    <t>CBDL3591</t>
  </si>
  <si>
    <t>CBDL3593</t>
  </si>
  <si>
    <t>Tovali Works Glanyrafon Road</t>
  </si>
  <si>
    <t>SA31 3AR</t>
  </si>
  <si>
    <t>CBDL3595</t>
  </si>
  <si>
    <t>Unit G North Estate</t>
  </si>
  <si>
    <t>SA62 4BS</t>
  </si>
  <si>
    <t>CBDL4328</t>
  </si>
  <si>
    <t>Mayfield Llanbadoc</t>
  </si>
  <si>
    <t>NP15 1SY</t>
  </si>
  <si>
    <t>CBDL4329</t>
  </si>
  <si>
    <t>14 Broad Street Y Gelli Gandryll</t>
  </si>
  <si>
    <t>CBDL4332</t>
  </si>
  <si>
    <t>38-39 Bridge Street Troedyrhiw</t>
  </si>
  <si>
    <t>CF48 4DX</t>
  </si>
  <si>
    <t>CBDL4333</t>
  </si>
  <si>
    <t xml:space="preserve">Heol Towyn </t>
  </si>
  <si>
    <t>LL41 3UR</t>
  </si>
  <si>
    <t>CBDL4561</t>
  </si>
  <si>
    <t xml:space="preserve">414-416 Chepstow Road </t>
  </si>
  <si>
    <t>NP19 8JH</t>
  </si>
  <si>
    <t>CBDL4990</t>
  </si>
  <si>
    <t>CBDL5003</t>
  </si>
  <si>
    <t xml:space="preserve">Pentre'r Bryn </t>
  </si>
  <si>
    <t>SA44 6JZ</t>
  </si>
  <si>
    <t>CBDL5005</t>
  </si>
  <si>
    <t>Bryn Llyfannan Denbigh Street</t>
  </si>
  <si>
    <t>LL16 5AR</t>
  </si>
  <si>
    <t>CBDL4079</t>
  </si>
  <si>
    <t>Coedcae Farm Rhiwceiliog Pencoed</t>
  </si>
  <si>
    <t>CF35 6NW</t>
  </si>
  <si>
    <t>CBDL4090</t>
  </si>
  <si>
    <t>Unit 3-4 Heol Rhosyn</t>
  </si>
  <si>
    <t>Dafen Industrial Park</t>
  </si>
  <si>
    <t>CBDL4091</t>
  </si>
  <si>
    <t>CBDL4748</t>
  </si>
  <si>
    <t xml:space="preserve">37 Seliot Close </t>
  </si>
  <si>
    <t>BH15 2HQ</t>
  </si>
  <si>
    <t>CBDL5221</t>
  </si>
  <si>
    <t>Unit 37 Sir Frank Whittle Business Centre</t>
  </si>
  <si>
    <t>Great Central Way</t>
  </si>
  <si>
    <t>Rugby</t>
  </si>
  <si>
    <t>CV21 3XH</t>
  </si>
  <si>
    <t>CBDL5223</t>
  </si>
  <si>
    <t>Forge Pumpsaint</t>
  </si>
  <si>
    <t>SA19 8UW</t>
  </si>
  <si>
    <t>CBDL5225</t>
  </si>
  <si>
    <t xml:space="preserve">7 Brian Close </t>
  </si>
  <si>
    <t>RM12 4SL</t>
  </si>
  <si>
    <t>CBDL5226</t>
  </si>
  <si>
    <t>Radnor House Stanner</t>
  </si>
  <si>
    <t>Kington</t>
  </si>
  <si>
    <t>HR5 3NW</t>
  </si>
  <si>
    <t>CBDL5227</t>
  </si>
  <si>
    <t>CBDU5228</t>
  </si>
  <si>
    <t>Aberbechan Wharf Aberbechan</t>
  </si>
  <si>
    <t>SY16 3AW</t>
  </si>
  <si>
    <t>CBDL5229</t>
  </si>
  <si>
    <t>Unit 19 Cross Hands Business Centre</t>
  </si>
  <si>
    <t>Heol Parc Mawr</t>
  </si>
  <si>
    <t>SA14 6RE</t>
  </si>
  <si>
    <t>CBDL5232</t>
  </si>
  <si>
    <t>Caerlan Hall Newbridge Road</t>
  </si>
  <si>
    <t>CF72 8EX</t>
  </si>
  <si>
    <t>CBDU5498</t>
  </si>
  <si>
    <t>Royal Oak Meadows Old St. Clears Road</t>
  </si>
  <si>
    <t>SA31 3JF</t>
  </si>
  <si>
    <t>CBDU5504</t>
  </si>
  <si>
    <t>Unit 31 Broadwater Road</t>
  </si>
  <si>
    <t>CBDU5505</t>
  </si>
  <si>
    <t>Cambrian Villa Station Road</t>
  </si>
  <si>
    <t>Mydrim</t>
  </si>
  <si>
    <t>SA33 5QE</t>
  </si>
  <si>
    <t>CBDU5511</t>
  </si>
  <si>
    <t>41 Caradoc Street Cwmcarn</t>
  </si>
  <si>
    <t>NP11 7EF</t>
  </si>
  <si>
    <t>CBDU5514</t>
  </si>
  <si>
    <t xml:space="preserve">140 Paget Street </t>
  </si>
  <si>
    <t>CF11 7LA</t>
  </si>
  <si>
    <t>CBDU5515</t>
  </si>
  <si>
    <t>13 Clos Waterton Waterton</t>
  </si>
  <si>
    <t>CF31 3YE</t>
  </si>
  <si>
    <t>CBDL5516</t>
  </si>
  <si>
    <t>Beachside Cafe The promenade</t>
  </si>
  <si>
    <t>Behind the events arena</t>
  </si>
  <si>
    <t>LL18 1AF</t>
  </si>
  <si>
    <t>CBDL5517</t>
  </si>
  <si>
    <t>10  COLLEGE STREET</t>
  </si>
  <si>
    <t>CARMARTHENSHIRE</t>
  </si>
  <si>
    <t>SA18 3AF</t>
  </si>
  <si>
    <t>CBDU5519</t>
  </si>
  <si>
    <t>26-28 Heol Gam Pentyrch</t>
  </si>
  <si>
    <t>CF15 9QA</t>
  </si>
  <si>
    <t>CBDU5754</t>
  </si>
  <si>
    <t xml:space="preserve">Unit 22 Capital valley industrial park </t>
  </si>
  <si>
    <t xml:space="preserve">Rhymney </t>
  </si>
  <si>
    <t xml:space="preserve">Np225pt </t>
  </si>
  <si>
    <t>CBDL6249</t>
  </si>
  <si>
    <t>Ynys-Hir Nature Reserve Eglwys Fach</t>
  </si>
  <si>
    <t>SY20 8TA</t>
  </si>
  <si>
    <t>CBDU6251</t>
  </si>
  <si>
    <t xml:space="preserve">9 High Street </t>
  </si>
  <si>
    <t>Evesham</t>
  </si>
  <si>
    <t>WR11 4DA</t>
  </si>
  <si>
    <t>CBDL6252</t>
  </si>
  <si>
    <t xml:space="preserve">411 Montrose Avenue </t>
  </si>
  <si>
    <t>SL1 4TJ</t>
  </si>
  <si>
    <t>CBDU6254</t>
  </si>
  <si>
    <t>Tyddyn Difyr Bethel</t>
  </si>
  <si>
    <t>LL55 1YD</t>
  </si>
  <si>
    <t>CBDU6256</t>
  </si>
  <si>
    <t>Gwaun Yr Eos Maenygroes</t>
  </si>
  <si>
    <t>SA45 9TN</t>
  </si>
  <si>
    <t>CBDU6261</t>
  </si>
  <si>
    <t>24 Chaucer Close Eccleston</t>
  </si>
  <si>
    <t>Chorley</t>
  </si>
  <si>
    <t>PR7 5UJ</t>
  </si>
  <si>
    <t>CBDU6265</t>
  </si>
  <si>
    <t xml:space="preserve">Caertyddyn Bach </t>
  </si>
  <si>
    <t>LL40 2SH</t>
  </si>
  <si>
    <t>CBDL6266</t>
  </si>
  <si>
    <t>Hilltop Y Gelli Gandryll</t>
  </si>
  <si>
    <t>HR3 5RS</t>
  </si>
  <si>
    <t>CBDU6267</t>
  </si>
  <si>
    <t>Unit 1-2 Block H Withey Court</t>
  </si>
  <si>
    <t>CBDU6001</t>
  </si>
  <si>
    <t>CBDU6002</t>
  </si>
  <si>
    <t>Station Yard Llanfryrnach</t>
  </si>
  <si>
    <t>SA35 0BZ</t>
  </si>
  <si>
    <t>CBDU6010</t>
  </si>
  <si>
    <t>Coed Pontrhyd-y-Bont</t>
  </si>
  <si>
    <t>LL65 2EZ</t>
  </si>
  <si>
    <t>CBDU6012</t>
  </si>
  <si>
    <t>Hillview Goldcliff</t>
  </si>
  <si>
    <t>NP18 2AU</t>
  </si>
  <si>
    <t>CBDU6014</t>
  </si>
  <si>
    <t>Unit M4 South Point</t>
  </si>
  <si>
    <t>CF10 4LQ</t>
  </si>
  <si>
    <t>CBDU6804</t>
  </si>
  <si>
    <t xml:space="preserve">13 Blaen Wern </t>
  </si>
  <si>
    <t>LL16 4AW</t>
  </si>
  <si>
    <t>CBDU6806</t>
  </si>
  <si>
    <t xml:space="preserve">Llanion Park </t>
  </si>
  <si>
    <t>Doc Penfro</t>
  </si>
  <si>
    <t>SA72 6DY</t>
  </si>
  <si>
    <t>CBDU6812</t>
  </si>
  <si>
    <t xml:space="preserve">Chester Road </t>
  </si>
  <si>
    <t>CH6 5DT</t>
  </si>
  <si>
    <t>CBDU6814</t>
  </si>
  <si>
    <t>York Lodge Llandough Hill</t>
  </si>
  <si>
    <t>Llandochau</t>
  </si>
  <si>
    <t>CF64 2NA</t>
  </si>
  <si>
    <t>CBDU6561</t>
  </si>
  <si>
    <t>MPH HIre OLd Hakin Road</t>
  </si>
  <si>
    <t>Merlins Bridge</t>
  </si>
  <si>
    <t>CBDU6562</t>
  </si>
  <si>
    <t>Unit 1 Gwalia Units</t>
  </si>
  <si>
    <t>Gwalia Road</t>
  </si>
  <si>
    <t>LL36 9DH</t>
  </si>
  <si>
    <t>CBDU6563</t>
  </si>
  <si>
    <t xml:space="preserve">9-11 Heol Tegid </t>
  </si>
  <si>
    <t>LL23 7UR</t>
  </si>
  <si>
    <t>CBDU6566</t>
  </si>
  <si>
    <t xml:space="preserve">1 Colwyn Road </t>
  </si>
  <si>
    <t>NN1 3PZ</t>
  </si>
  <si>
    <t>CBDU6568</t>
  </si>
  <si>
    <t xml:space="preserve">54 Heol Aneurin </t>
  </si>
  <si>
    <t>CF83 2PB</t>
  </si>
  <si>
    <t>CBDU6571</t>
  </si>
  <si>
    <t>Unit 34 Court Road Industrial Estate</t>
  </si>
  <si>
    <t>CBDU7394</t>
  </si>
  <si>
    <t>Pentre Industrial Estate Chester Road</t>
  </si>
  <si>
    <t>CH5 2DQ</t>
  </si>
  <si>
    <t>CBDU7396</t>
  </si>
  <si>
    <t>UNIT 3 WATER STREET BUSINESS CENTRE</t>
  </si>
  <si>
    <t>WATER STREET</t>
  </si>
  <si>
    <t>CBDL7397</t>
  </si>
  <si>
    <t xml:space="preserve">Winsley </t>
  </si>
  <si>
    <t>Bradford-on-Avon</t>
  </si>
  <si>
    <t>BA15 2LE</t>
  </si>
  <si>
    <t>CBDU7398</t>
  </si>
  <si>
    <t>Sully Moors Road Sully</t>
  </si>
  <si>
    <t>CF64 5YU</t>
  </si>
  <si>
    <t>CBDU7399</t>
  </si>
  <si>
    <t>Unit 31 Leeway Industrial Estate</t>
  </si>
  <si>
    <t>NP19 4SL</t>
  </si>
  <si>
    <t>CBDL7403</t>
  </si>
  <si>
    <t>CBDU7156</t>
  </si>
  <si>
    <t>The Highway Ewloe</t>
  </si>
  <si>
    <t>CH5 3DX</t>
  </si>
  <si>
    <t>CBDU7158</t>
  </si>
  <si>
    <t>Unit 10 Palmerston Workshops</t>
  </si>
  <si>
    <t>CBDU7162</t>
  </si>
  <si>
    <t>1 Alexandra Gate Ffordd Pengam</t>
  </si>
  <si>
    <t>CF24 2SA</t>
  </si>
  <si>
    <t>CBDU7163</t>
  </si>
  <si>
    <t>Studio E House Llanover</t>
  </si>
  <si>
    <t>Business Centre</t>
  </si>
  <si>
    <t>NP7 9HA</t>
  </si>
  <si>
    <t>CBDU7165</t>
  </si>
  <si>
    <t xml:space="preserve">Builder Street </t>
  </si>
  <si>
    <t>CBDL7166</t>
  </si>
  <si>
    <t>1 Canal Side Close</t>
  </si>
  <si>
    <t>Walsall</t>
  </si>
  <si>
    <t>WS3 1NZ</t>
  </si>
  <si>
    <t>CBDU7168</t>
  </si>
  <si>
    <t>No 4 The Office Penrhos Works</t>
  </si>
  <si>
    <t>LL65 2UJ</t>
  </si>
  <si>
    <t>CBDU8044</t>
  </si>
  <si>
    <t>48 Alexandra Road Pontycymer</t>
  </si>
  <si>
    <t>CF32 8HB</t>
  </si>
  <si>
    <t>CBDU8045</t>
  </si>
  <si>
    <t xml:space="preserve">8 Gilfach Road </t>
  </si>
  <si>
    <t>CF40 1BP</t>
  </si>
  <si>
    <t>CBDU8048</t>
  </si>
  <si>
    <t>CBDU8051</t>
  </si>
  <si>
    <t>Exchange House The Old Post Office</t>
  </si>
  <si>
    <t>IP29682R</t>
  </si>
  <si>
    <t>CBDU8052</t>
  </si>
  <si>
    <t>Unit 2 Forgeside</t>
  </si>
  <si>
    <t>NP44 3LN</t>
  </si>
  <si>
    <t>CBDU8053</t>
  </si>
  <si>
    <t xml:space="preserve">14-16 Mold Road </t>
  </si>
  <si>
    <t>CH7 2JB</t>
  </si>
  <si>
    <t>CBDL8054</t>
  </si>
  <si>
    <t xml:space="preserve">103 Manor Way </t>
  </si>
  <si>
    <t>CF14 1RF</t>
  </si>
  <si>
    <t>CBDL8055</t>
  </si>
  <si>
    <t>Unit 7 Cambrian Park</t>
  </si>
  <si>
    <t>CBDU8057</t>
  </si>
  <si>
    <t xml:space="preserve">14 Llwyn Castan </t>
  </si>
  <si>
    <t>CF23 7DA</t>
  </si>
  <si>
    <t>CBDU8058</t>
  </si>
  <si>
    <t>22 Edgemoor Drive Upper Killay</t>
  </si>
  <si>
    <t>SA2 7HH</t>
  </si>
  <si>
    <t>CBDU8059</t>
  </si>
  <si>
    <t>Hubberston Road Hubberston</t>
  </si>
  <si>
    <t>SA73 3PR</t>
  </si>
  <si>
    <t>CBDU8060</t>
  </si>
  <si>
    <t>16 Grafton Close Penylan</t>
  </si>
  <si>
    <t>CF23 9JB</t>
  </si>
  <si>
    <t>CBDU7809</t>
  </si>
  <si>
    <t>Yard 3 Commercial Lane</t>
  </si>
  <si>
    <t>CBDU7810</t>
  </si>
  <si>
    <t>Unit 6 Seawall Court</t>
  </si>
  <si>
    <t>Seawall Road</t>
  </si>
  <si>
    <t>CF24 5PQ</t>
  </si>
  <si>
    <t>CBDL7811</t>
  </si>
  <si>
    <t xml:space="preserve">19 Nicholas Street </t>
  </si>
  <si>
    <t>NP4 6JZ</t>
  </si>
  <si>
    <t>CBDL7813</t>
  </si>
  <si>
    <t xml:space="preserve">18 Glan Y Mor </t>
  </si>
  <si>
    <t>SY23 2AZ</t>
  </si>
  <si>
    <t>CBDL7814</t>
  </si>
  <si>
    <t>18 Tan Y Bwlch Mynydd Llandygai</t>
  </si>
  <si>
    <t>LL57 4DX</t>
  </si>
  <si>
    <t>CBDU7822</t>
  </si>
  <si>
    <t xml:space="preserve">Melrose Close  Swansea Enterprise Park </t>
  </si>
  <si>
    <t>CBDU8463</t>
  </si>
  <si>
    <t>3 New Wells Road Hill Mountain</t>
  </si>
  <si>
    <t>SA73 1NG</t>
  </si>
  <si>
    <t>CBDU8464</t>
  </si>
  <si>
    <t>2D Property Maintenance Ltd</t>
  </si>
  <si>
    <t>Unit 3</t>
  </si>
  <si>
    <t>Ely Valley Industrial Estate</t>
  </si>
  <si>
    <t>CBDU8465</t>
  </si>
  <si>
    <t>CBDU8467</t>
  </si>
  <si>
    <t>Unit 16 Martin Road Tremorfa Industrial Estate</t>
  </si>
  <si>
    <t>CBDL8711</t>
  </si>
  <si>
    <t>Unit 7 Gurnos Industrial Estate</t>
  </si>
  <si>
    <t>CBDL8712</t>
  </si>
  <si>
    <t xml:space="preserve">Halkyn Road </t>
  </si>
  <si>
    <t>CH8 7GA</t>
  </si>
  <si>
    <t>CBDL8713</t>
  </si>
  <si>
    <t>CBDU8715</t>
  </si>
  <si>
    <t>Four Crosses Ffordd Penmynydd</t>
  </si>
  <si>
    <t>LL59 5RP</t>
  </si>
  <si>
    <t>CBDU8717</t>
  </si>
  <si>
    <t>Ffordd Yr Alarch Parc Busnes Mochdre</t>
  </si>
  <si>
    <t>CBDU8721</t>
  </si>
  <si>
    <t xml:space="preserve">Railway Yard </t>
  </si>
  <si>
    <t>Boncath</t>
  </si>
  <si>
    <t>SA37 0JW</t>
  </si>
  <si>
    <t>CBDU8722</t>
  </si>
  <si>
    <t>Apex House Wonastow Road Industrial Estate (East)</t>
  </si>
  <si>
    <t>NP25 5JB</t>
  </si>
  <si>
    <t>CBDL8723</t>
  </si>
  <si>
    <t>54 Windsor Road Griffithstown</t>
  </si>
  <si>
    <t>NP4 5HY</t>
  </si>
  <si>
    <t>CBDU8724</t>
  </si>
  <si>
    <t>Cynlas Glan Beuno Estate</t>
  </si>
  <si>
    <t>Bontnewydd</t>
  </si>
  <si>
    <t>LL55 2UB</t>
  </si>
  <si>
    <t>CBDU9090</t>
  </si>
  <si>
    <t>Catch Farm The Nant</t>
  </si>
  <si>
    <t>CH8 8BD</t>
  </si>
  <si>
    <t>CBDL9091</t>
  </si>
  <si>
    <t>Colburn Farm Colburn</t>
  </si>
  <si>
    <t>Catterick Garrison</t>
  </si>
  <si>
    <t>DL9 4PE</t>
  </si>
  <si>
    <t>CBDU9095</t>
  </si>
  <si>
    <t>Unit B London Road Industrial Estate</t>
  </si>
  <si>
    <t>West Street</t>
  </si>
  <si>
    <t>SA34 0AE</t>
  </si>
  <si>
    <t>CBDU9098</t>
  </si>
  <si>
    <t>2 Heol Yr Orsaf Glanamman</t>
  </si>
  <si>
    <t>SA18 1LQ</t>
  </si>
  <si>
    <t>CBDU9099</t>
  </si>
  <si>
    <t>Unit A1 Ashmount Business Park</t>
  </si>
  <si>
    <t>CBDL9348</t>
  </si>
  <si>
    <t xml:space="preserve">12 Fairoak Terrace </t>
  </si>
  <si>
    <t>NP19 8FG</t>
  </si>
  <si>
    <t>CBDU9349</t>
  </si>
  <si>
    <t>Unit 17 Penrice Court</t>
  </si>
  <si>
    <t>SA6 8QW</t>
  </si>
  <si>
    <t>CBDL9350</t>
  </si>
  <si>
    <t>37 George Street Pontnewynydd</t>
  </si>
  <si>
    <t>NP4 8PB</t>
  </si>
  <si>
    <t>CBDU9352</t>
  </si>
  <si>
    <t>Phoenix House Llys Felin Newydd</t>
  </si>
  <si>
    <t>SA7 9FG</t>
  </si>
  <si>
    <t>CBDU9353</t>
  </si>
  <si>
    <t xml:space="preserve">28 West Walk </t>
  </si>
  <si>
    <t>CF62 8BY</t>
  </si>
  <si>
    <t>CBDU9354</t>
  </si>
  <si>
    <t xml:space="preserve">190 Oxford Street </t>
  </si>
  <si>
    <t>SA1 3JA</t>
  </si>
  <si>
    <t>CBDU9355</t>
  </si>
  <si>
    <t>CBDL9356</t>
  </si>
  <si>
    <t xml:space="preserve">Spa Road </t>
  </si>
  <si>
    <t>LD1 5ER</t>
  </si>
  <si>
    <t>CBDL9357</t>
  </si>
  <si>
    <t>Range Road Industrial Estate Range Road</t>
  </si>
  <si>
    <t>Hythe</t>
  </si>
  <si>
    <t>CT21 6HG</t>
  </si>
  <si>
    <t>CBDL9360</t>
  </si>
  <si>
    <t xml:space="preserve">28 High Street </t>
  </si>
  <si>
    <t>CBDL9361</t>
  </si>
  <si>
    <t>brock farm brock farm</t>
  </si>
  <si>
    <t>roch</t>
  </si>
  <si>
    <t>sa62 6hf</t>
  </si>
  <si>
    <t>CBDL9362</t>
  </si>
  <si>
    <t>Brynoyre Tal-y-Bont Ar Wysg</t>
  </si>
  <si>
    <t>CBDU9363</t>
  </si>
  <si>
    <t xml:space="preserve">29 West Orchard Crescent </t>
  </si>
  <si>
    <t>CF5 1AR</t>
  </si>
  <si>
    <t>CBDL9783</t>
  </si>
  <si>
    <t>Unit 8 Riverside Park</t>
  </si>
  <si>
    <t>CF83 8XL</t>
  </si>
  <si>
    <t>CBDU9785</t>
  </si>
  <si>
    <t>11A Merthyr Road Tongwynlais</t>
  </si>
  <si>
    <t>CF15 7LF</t>
  </si>
  <si>
    <t>CBDL9787</t>
  </si>
  <si>
    <t>Tillers Rest Step A Side</t>
  </si>
  <si>
    <t>SY16 4JJ</t>
  </si>
  <si>
    <t>CBDU9789</t>
  </si>
  <si>
    <t>Bryn Farm Holywell Road</t>
  </si>
  <si>
    <t>CH6 5RR</t>
  </si>
  <si>
    <t>CBDU9791</t>
  </si>
  <si>
    <t>ST PETERS TERRACE COCKETT</t>
  </si>
  <si>
    <t>SA2 0FW</t>
  </si>
  <si>
    <t>CBDU9795</t>
  </si>
  <si>
    <t xml:space="preserve">9 Purple Close </t>
  </si>
  <si>
    <t>SA12 7BA</t>
  </si>
  <si>
    <t>CBDU9796</t>
  </si>
  <si>
    <t>Edwards Row Deri</t>
  </si>
  <si>
    <t>CF81 9HZ</t>
  </si>
  <si>
    <t>CBDU9798</t>
  </si>
  <si>
    <t>Unit 24 Abercarn Industrial Estate</t>
  </si>
  <si>
    <t>Bridge Street</t>
  </si>
  <si>
    <t>NP11 5EY</t>
  </si>
  <si>
    <t>CBDU9560</t>
  </si>
  <si>
    <t>3 Heol Y Twyn Tonysguboriau</t>
  </si>
  <si>
    <t>CBDU9562</t>
  </si>
  <si>
    <t xml:space="preserve">5 Glanydon Industrial Estate </t>
  </si>
  <si>
    <t>LL53 5YT</t>
  </si>
  <si>
    <t>CBDU9563</t>
  </si>
  <si>
    <t>Errols Bungalow</t>
  </si>
  <si>
    <t>King Edward Terrace</t>
  </si>
  <si>
    <t>NP22 5ES</t>
  </si>
  <si>
    <t>CBDL9564</t>
  </si>
  <si>
    <t>39 Pastoral Way Sketty</t>
  </si>
  <si>
    <t>SA2 9LY</t>
  </si>
  <si>
    <t>CBDU9565</t>
  </si>
  <si>
    <t>Suite 4a Queen Street</t>
  </si>
  <si>
    <t>SA11 1DL</t>
  </si>
  <si>
    <t>CBDU9567</t>
  </si>
  <si>
    <t>Norton Yard Llanbedr Efelffre</t>
  </si>
  <si>
    <t>SA67 8UJ</t>
  </si>
  <si>
    <t>CBDL9571</t>
  </si>
  <si>
    <t>Unit 8 Eastgate Business Park</t>
  </si>
  <si>
    <t>CBDU9574</t>
  </si>
  <si>
    <t>Tynyfron Farm Pentre-Bont</t>
  </si>
  <si>
    <t>CBDU9577</t>
  </si>
  <si>
    <t>Unit 2 Pandy Business Park</t>
  </si>
  <si>
    <t>Plas Acton Road</t>
  </si>
  <si>
    <t>LL11 2UD</t>
  </si>
  <si>
    <t>CBDU10022</t>
  </si>
  <si>
    <t>Old Estate Yard Fountain Road</t>
  </si>
  <si>
    <t>NP4 8ES</t>
  </si>
  <si>
    <t>CBDL10023</t>
  </si>
  <si>
    <t>Gower Road</t>
  </si>
  <si>
    <t>SA2 7PG</t>
  </si>
  <si>
    <t>CBDL10024</t>
  </si>
  <si>
    <t>Fabian Way Crymlyn Burrows</t>
  </si>
  <si>
    <t>SA1 8EN</t>
  </si>
  <si>
    <t>CBDU10026</t>
  </si>
  <si>
    <t xml:space="preserve">158A City Road </t>
  </si>
  <si>
    <t>CF24 3DR</t>
  </si>
  <si>
    <t>CBDL10027</t>
  </si>
  <si>
    <t>6A Lon Parcwr</t>
  </si>
  <si>
    <t>CBDL10030</t>
  </si>
  <si>
    <t>Minfor Surgery Park Road</t>
  </si>
  <si>
    <t>LL42 1PL</t>
  </si>
  <si>
    <t>CBDL10031</t>
  </si>
  <si>
    <t>Unit 9B Charnwood Park</t>
  </si>
  <si>
    <t>CBDU10032</t>
  </si>
  <si>
    <t xml:space="preserve">Gwalia Road </t>
  </si>
  <si>
    <t>CBDU10033</t>
  </si>
  <si>
    <t>Wern Panna House Llangwm</t>
  </si>
  <si>
    <t>NP15 1HA</t>
  </si>
  <si>
    <t>CBDL10034</t>
  </si>
  <si>
    <t>Unit 11 Severn Link Distribution Centre</t>
  </si>
  <si>
    <t>CBDU10035</t>
  </si>
  <si>
    <t>unit 5 Bromfield Commercial Park</t>
  </si>
  <si>
    <t>Stephen Gray Road</t>
  </si>
  <si>
    <t>CH7 1HE</t>
  </si>
  <si>
    <t>CBDU10350</t>
  </si>
  <si>
    <t xml:space="preserve">25 Havard Jones Close </t>
  </si>
  <si>
    <t>SA11 2HR</t>
  </si>
  <si>
    <t>CBDL10351</t>
  </si>
  <si>
    <t>London River House Royal Pier Road</t>
  </si>
  <si>
    <t>Gravesend</t>
  </si>
  <si>
    <t>DA12 2BG</t>
  </si>
  <si>
    <t>CBDU10353</t>
  </si>
  <si>
    <t xml:space="preserve">5 Portland Road </t>
  </si>
  <si>
    <t>SY23 2NL</t>
  </si>
  <si>
    <t>CBDU10355</t>
  </si>
  <si>
    <t>Merlins Reynoldston</t>
  </si>
  <si>
    <t>SA3 1BR</t>
  </si>
  <si>
    <t>CBDU10356</t>
  </si>
  <si>
    <t>The Croft Brynna Road</t>
  </si>
  <si>
    <t>CF35 6PD</t>
  </si>
  <si>
    <t>CBDU10363</t>
  </si>
  <si>
    <t>Wernddu Works Van Road</t>
  </si>
  <si>
    <t>CF83 1UG</t>
  </si>
  <si>
    <t>CBDU10365</t>
  </si>
  <si>
    <t>23 Wynnstay Rd</t>
  </si>
  <si>
    <t>LL29 8NB</t>
  </si>
  <si>
    <t>CBDU10367</t>
  </si>
  <si>
    <t>Unit 12B Darren Drive</t>
  </si>
  <si>
    <t>CBDU10368</t>
  </si>
  <si>
    <t>8 School Street Tonyrefail</t>
  </si>
  <si>
    <t>CF39 8LE</t>
  </si>
  <si>
    <t>CBDU10369</t>
  </si>
  <si>
    <t>Rosedene Green Lane</t>
  </si>
  <si>
    <t>LL20 8TB</t>
  </si>
  <si>
    <t>CBDU10120</t>
  </si>
  <si>
    <t>37 Pwll Yr Allt Tir-y-Berth</t>
  </si>
  <si>
    <t>CF82 8FR</t>
  </si>
  <si>
    <t>CBDU10125</t>
  </si>
  <si>
    <t>40 Golygfa'r Eglwys Rhiwabon</t>
  </si>
  <si>
    <t>LL14 6TD</t>
  </si>
  <si>
    <t>CBDU10127</t>
  </si>
  <si>
    <t>Swansea Road Gorseinon</t>
  </si>
  <si>
    <t>SA4 4LL</t>
  </si>
  <si>
    <t>CBDU10128</t>
  </si>
  <si>
    <t>2 The Studio 22 Bury Fields</t>
  </si>
  <si>
    <t>Guildford</t>
  </si>
  <si>
    <t>GU2 4AZ</t>
  </si>
  <si>
    <t>CBDU10129</t>
  </si>
  <si>
    <t>3 Gaerwen Close Llanishen</t>
  </si>
  <si>
    <t>CF14 5HD</t>
  </si>
  <si>
    <t>CBDU10130</t>
  </si>
  <si>
    <t>Unit 6 Enterprise Court</t>
  </si>
  <si>
    <t>Nicholson Road</t>
  </si>
  <si>
    <t>PO33 1BD</t>
  </si>
  <si>
    <t>CBDU10131</t>
  </si>
  <si>
    <t>333 - 335 High Street</t>
  </si>
  <si>
    <t>LL57 1YA</t>
  </si>
  <si>
    <t>CBDU10590</t>
  </si>
  <si>
    <t>Llandygai Industrial Estate Llandygai</t>
  </si>
  <si>
    <t>CBDU10596</t>
  </si>
  <si>
    <t xml:space="preserve">6 Brookfield View </t>
  </si>
  <si>
    <t>Cleckheaton</t>
  </si>
  <si>
    <t>BD19 4ES</t>
  </si>
  <si>
    <t>CBDL10957</t>
  </si>
  <si>
    <t>Ty FGwyn Brunel Way</t>
  </si>
  <si>
    <t>SA11 2FP</t>
  </si>
  <si>
    <t>CBDU10960</t>
  </si>
  <si>
    <t xml:space="preserve">13 Merthyr Mawr Road </t>
  </si>
  <si>
    <t>CF31 3NN</t>
  </si>
  <si>
    <t>CBDL10961</t>
  </si>
  <si>
    <t xml:space="preserve">19-21 Quay Street </t>
  </si>
  <si>
    <t>SA61 1BG</t>
  </si>
  <si>
    <t>CBDU10964</t>
  </si>
  <si>
    <t>20 Grass Holm Close Roch</t>
  </si>
  <si>
    <t>SA62 6AL</t>
  </si>
  <si>
    <t>CBDU10702</t>
  </si>
  <si>
    <t>28 Cathedral Road</t>
  </si>
  <si>
    <t>CBDU10703</t>
  </si>
  <si>
    <t>Brynteg Sluvad Road</t>
  </si>
  <si>
    <t>NP4 0SX</t>
  </si>
  <si>
    <t>CBDL10704</t>
  </si>
  <si>
    <t>Unit A12 Severn Road</t>
  </si>
  <si>
    <t>Treforest Ind Estate</t>
  </si>
  <si>
    <t>CF37 5SL</t>
  </si>
  <si>
    <t>CBDL10708</t>
  </si>
  <si>
    <t>The Quay Surgery The Quay Health Centre</t>
  </si>
  <si>
    <t>Fron Road</t>
  </si>
  <si>
    <t>Connah's Quay</t>
  </si>
  <si>
    <t>CH5 4PJ</t>
  </si>
  <si>
    <t>CBDU10709</t>
  </si>
  <si>
    <t>CBDL10714</t>
  </si>
  <si>
    <t>34 Heol-y-Bryn Fochriw</t>
  </si>
  <si>
    <t>CF81 9LP</t>
  </si>
  <si>
    <t>CBDU11213</t>
  </si>
  <si>
    <t>Old Naval Yard Tylacelyn Road</t>
  </si>
  <si>
    <t>Penygraig</t>
  </si>
  <si>
    <t>Rhondda</t>
  </si>
  <si>
    <t xml:space="preserve"> CF40 1JS</t>
  </si>
  <si>
    <t>CBDU11215</t>
  </si>
  <si>
    <t>Unit 4 St. Johns Court</t>
  </si>
  <si>
    <t>CBDU11216</t>
  </si>
  <si>
    <t>Lock Tech 57-59 Oxford Street</t>
  </si>
  <si>
    <t>SA1 3JD</t>
  </si>
  <si>
    <t>CBDU11217</t>
  </si>
  <si>
    <t>23 St. Asaph Road Dyserth</t>
  </si>
  <si>
    <t>LL18 6HG</t>
  </si>
  <si>
    <t>CBDU11220</t>
  </si>
  <si>
    <t>Cae Pwsan Clynnogfawr</t>
  </si>
  <si>
    <t>LL54 5NN</t>
  </si>
  <si>
    <t>CBDU11222</t>
  </si>
  <si>
    <t>53 Churchwood Griffithstown</t>
  </si>
  <si>
    <t>NP4 5SX</t>
  </si>
  <si>
    <t>CBDL11224</t>
  </si>
  <si>
    <t xml:space="preserve">Llanidloes Road </t>
  </si>
  <si>
    <t>SY16 1ET</t>
  </si>
  <si>
    <t>CBDU11225</t>
  </si>
  <si>
    <t>Yr Hen Ysgubor Bettws</t>
  </si>
  <si>
    <t>Hundred House</t>
  </si>
  <si>
    <t>LD1 5RW</t>
  </si>
  <si>
    <t>CBDL11228</t>
  </si>
  <si>
    <t>The Warehouse Buck Road</t>
  </si>
  <si>
    <t>Commonwood</t>
  </si>
  <si>
    <t>Holt</t>
  </si>
  <si>
    <t>LL13 9TF</t>
  </si>
  <si>
    <t>CBDU11229</t>
  </si>
  <si>
    <t>Cae Pentre Tythegston</t>
  </si>
  <si>
    <t>CF32 0ND</t>
  </si>
  <si>
    <t>CBDU11232</t>
  </si>
  <si>
    <t>Unit 12 Willow Road</t>
  </si>
  <si>
    <t>CBDU12026</t>
  </si>
  <si>
    <t>Unit 6 Cambrian Court</t>
  </si>
  <si>
    <t>CBDU12030</t>
  </si>
  <si>
    <t>Unit 7 Heathfield Industrial Estate Thornhill Road</t>
  </si>
  <si>
    <t>CBDU12032</t>
  </si>
  <si>
    <t xml:space="preserve">42B Dunraven Street </t>
  </si>
  <si>
    <t>CF40 1AL</t>
  </si>
  <si>
    <t>CBDU12035</t>
  </si>
  <si>
    <t>10 Campbell Road Llandybie</t>
  </si>
  <si>
    <t>SA18 3UP</t>
  </si>
  <si>
    <t>CBDU12037</t>
  </si>
  <si>
    <t>A1 Brymau One Trading Estate</t>
  </si>
  <si>
    <t>CH4 8RG</t>
  </si>
  <si>
    <t>CBDL12038</t>
  </si>
  <si>
    <t>SA19 9BR</t>
  </si>
  <si>
    <t>CBDU12042</t>
  </si>
  <si>
    <t xml:space="preserve">6 Manor Industrial Estate </t>
  </si>
  <si>
    <t>CBDU12043</t>
  </si>
  <si>
    <t xml:space="preserve">7-8 Church Road </t>
  </si>
  <si>
    <t>NP19 7EH</t>
  </si>
  <si>
    <t>CBDU11492</t>
  </si>
  <si>
    <t>Richmond High Street</t>
  </si>
  <si>
    <t>Borth</t>
  </si>
  <si>
    <t>SY24 5JD</t>
  </si>
  <si>
    <t>CBDL11493</t>
  </si>
  <si>
    <t xml:space="preserve">15A Station Road </t>
  </si>
  <si>
    <t>Harrow</t>
  </si>
  <si>
    <t>HA1 2UF</t>
  </si>
  <si>
    <t>CBDL11495</t>
  </si>
  <si>
    <t>CBDU11497</t>
  </si>
  <si>
    <t>SPI LTD Morley Carr Road</t>
  </si>
  <si>
    <t>Low Moor</t>
  </si>
  <si>
    <t>BD12 0RA</t>
  </si>
  <si>
    <t>CBDL11498</t>
  </si>
  <si>
    <t>68 Limestone Road Burniston</t>
  </si>
  <si>
    <t>YO13 0DG</t>
  </si>
  <si>
    <t>CBDU11499</t>
  </si>
  <si>
    <t>Estoril Cwmbach Road</t>
  </si>
  <si>
    <t>CF44 0PA</t>
  </si>
  <si>
    <t>CBDU11501</t>
  </si>
  <si>
    <t>Unit 6 Penllwyngwent Industrial Estate</t>
  </si>
  <si>
    <t>CBDL11502</t>
  </si>
  <si>
    <t>Unit 35 Pinfold Lane Industrial Estate</t>
  </si>
  <si>
    <t>CBDU11712</t>
  </si>
  <si>
    <t>Unit A3b The Old Power House Block A</t>
  </si>
  <si>
    <t>CBDU11713</t>
  </si>
  <si>
    <t>Broyan House Priory Street</t>
  </si>
  <si>
    <t>SA43 1BZ</t>
  </si>
  <si>
    <t>CBDU11714</t>
  </si>
  <si>
    <t>83 Broadmead Killay</t>
  </si>
  <si>
    <t>SA2 7EJ</t>
  </si>
  <si>
    <t>CBDU11715</t>
  </si>
  <si>
    <t xml:space="preserve">19 Brynymor Road </t>
  </si>
  <si>
    <t>SA1 4JH</t>
  </si>
  <si>
    <t>CBDU11717</t>
  </si>
  <si>
    <t>Llys Deri 2 Cae Rhos</t>
  </si>
  <si>
    <t>SY24 5DU</t>
  </si>
  <si>
    <t>CBDU11719</t>
  </si>
  <si>
    <t>Glendun Felingerrig</t>
  </si>
  <si>
    <t>SY20 8UJ</t>
  </si>
  <si>
    <t>CBDL11720</t>
  </si>
  <si>
    <t>2 Bishwell Road Gowerton</t>
  </si>
  <si>
    <t>SA4 3AU</t>
  </si>
  <si>
    <t>CBDU11721</t>
  </si>
  <si>
    <t xml:space="preserve">30 Maes Y Wennol </t>
  </si>
  <si>
    <t>SA31 3EA</t>
  </si>
  <si>
    <t>CBDU11724</t>
  </si>
  <si>
    <t>Unit 1 Prospect Estate  Llay Industrial Estate North</t>
  </si>
  <si>
    <t>Miners Road</t>
  </si>
  <si>
    <t xml:space="preserve">LL12 0PB </t>
  </si>
  <si>
    <t>CBDL11725</t>
  </si>
  <si>
    <t>Unit 2B North Road</t>
  </si>
  <si>
    <t>CBDU11726</t>
  </si>
  <si>
    <t xml:space="preserve">Ipswich Road </t>
  </si>
  <si>
    <t>CF23 9AQ</t>
  </si>
  <si>
    <t>CBDL11729</t>
  </si>
  <si>
    <t>6 Church Street</t>
  </si>
  <si>
    <t>LL13 8LS</t>
  </si>
  <si>
    <t>CBDL12227</t>
  </si>
  <si>
    <t xml:space="preserve">2 Chapel Street </t>
  </si>
  <si>
    <t>LL20 8NW</t>
  </si>
  <si>
    <t>CBDL12228</t>
  </si>
  <si>
    <t>Gibbons Way North Cornelly</t>
  </si>
  <si>
    <t>CF33 4ND</t>
  </si>
  <si>
    <t>CBDU12230</t>
  </si>
  <si>
    <t>Capel Farm Bryn Saith Marchog</t>
  </si>
  <si>
    <t>CBDL12232</t>
  </si>
  <si>
    <t xml:space="preserve">Watmough House The Parade </t>
  </si>
  <si>
    <t>Wrotham Rd</t>
  </si>
  <si>
    <t>Meopham</t>
  </si>
  <si>
    <t>Da13 0JL</t>
  </si>
  <si>
    <t>CBDL12233</t>
  </si>
  <si>
    <t>Llwyncoed Llanfihangel-Nant-Bran</t>
  </si>
  <si>
    <t>LD3 9LY</t>
  </si>
  <si>
    <t>CBDU12236</t>
  </si>
  <si>
    <t>Unit 1 Heol Crochendy</t>
  </si>
  <si>
    <t>CF15 7QT</t>
  </si>
  <si>
    <t>CBDL12238</t>
  </si>
  <si>
    <t>Delwyn</t>
  </si>
  <si>
    <t>Llanelian</t>
  </si>
  <si>
    <t>LL29 8YT</t>
  </si>
  <si>
    <t>CBDL12240</t>
  </si>
  <si>
    <t xml:space="preserve">Wellington Road </t>
  </si>
  <si>
    <t>LD1 5ND</t>
  </si>
  <si>
    <t>CBDU12241</t>
  </si>
  <si>
    <t>2 Tan Yr Allt Rhostryfan</t>
  </si>
  <si>
    <t>LL54 7PP</t>
  </si>
  <si>
    <t>CBDU12243</t>
  </si>
  <si>
    <t xml:space="preserve">35 Clos Ynysddu </t>
  </si>
  <si>
    <t>CF72 9WQ</t>
  </si>
  <si>
    <t>CBDL12453</t>
  </si>
  <si>
    <t xml:space="preserve">High Street </t>
  </si>
  <si>
    <t>NP8 1BW</t>
  </si>
  <si>
    <t>CBDL12454</t>
  </si>
  <si>
    <t xml:space="preserve">640 Lordship Lane </t>
  </si>
  <si>
    <t>N22 5JH</t>
  </si>
  <si>
    <t>CBDL12456</t>
  </si>
  <si>
    <t>Agricultural Service Station Cyfronydd</t>
  </si>
  <si>
    <t>SY21 9EW</t>
  </si>
  <si>
    <t>CBDL12459</t>
  </si>
  <si>
    <t xml:space="preserve">111-113 Oakley Way </t>
  </si>
  <si>
    <t>NP26 4EB</t>
  </si>
  <si>
    <t>CBDU12460</t>
  </si>
  <si>
    <t>Bryn Villa Henfwlch Road</t>
  </si>
  <si>
    <t>SA33 6AA</t>
  </si>
  <si>
    <t>CBDL12463</t>
  </si>
  <si>
    <t xml:space="preserve">50-51 Hungate </t>
  </si>
  <si>
    <t>Pickering</t>
  </si>
  <si>
    <t>YO18 7DG</t>
  </si>
  <si>
    <t>CBDL12788</t>
  </si>
  <si>
    <t xml:space="preserve">17 Mount Pleasant Square </t>
  </si>
  <si>
    <t>NP23 6LF</t>
  </si>
  <si>
    <t>CBDU12789</t>
  </si>
  <si>
    <t>Meliden Road Dyserth</t>
  </si>
  <si>
    <t>LL18 6DD</t>
  </si>
  <si>
    <t>CBDL12791</t>
  </si>
  <si>
    <t xml:space="preserve">299 Pilton Vale </t>
  </si>
  <si>
    <t>NP20 6LT</t>
  </si>
  <si>
    <t>CBDL12792</t>
  </si>
  <si>
    <t>SA19 9LS</t>
  </si>
  <si>
    <t>CBDU12794</t>
  </si>
  <si>
    <t>Nash Mead Queensway Meadows Industrial Estate</t>
  </si>
  <si>
    <t>NP19 4SU</t>
  </si>
  <si>
    <t>CBDU12795</t>
  </si>
  <si>
    <t>42 Johns Terrace Tonmawr</t>
  </si>
  <si>
    <t>SA12 9UR</t>
  </si>
  <si>
    <t>CBDL12797</t>
  </si>
  <si>
    <t>Unit 2E Interlinq Trade Park</t>
  </si>
  <si>
    <t>Ffordd Pentre</t>
  </si>
  <si>
    <t>CH5 2DW</t>
  </si>
  <si>
    <t>CBDL12798</t>
  </si>
  <si>
    <t xml:space="preserve">173 Roman Road </t>
  </si>
  <si>
    <t>E6 3SP</t>
  </si>
  <si>
    <t>CBDU12800</t>
  </si>
  <si>
    <t xml:space="preserve">Meldan stables Pinged </t>
  </si>
  <si>
    <t xml:space="preserve">Pembrey </t>
  </si>
  <si>
    <t>Burry port</t>
  </si>
  <si>
    <t>Sa16 0js</t>
  </si>
  <si>
    <t>CBDL12581</t>
  </si>
  <si>
    <t>EnvirolianceAlba Innovation Centre Alba Campus</t>
  </si>
  <si>
    <t>Livingston</t>
  </si>
  <si>
    <t>EH54 7GA</t>
  </si>
  <si>
    <t>CBDU12582</t>
  </si>
  <si>
    <t>CRYMLYN BURROWS ELBA CRESCENT</t>
  </si>
  <si>
    <t>CBDU12583</t>
  </si>
  <si>
    <t>Unit 13 Glynneath Village Workshops</t>
  </si>
  <si>
    <t>CBDL12584</t>
  </si>
  <si>
    <t xml:space="preserve">77 Bellegrove Road </t>
  </si>
  <si>
    <t>Welling</t>
  </si>
  <si>
    <t>DA16 3PG</t>
  </si>
  <si>
    <t>CBDL12585</t>
  </si>
  <si>
    <t xml:space="preserve">107 King Street </t>
  </si>
  <si>
    <t>Blackburn</t>
  </si>
  <si>
    <t>BB2 2DT</t>
  </si>
  <si>
    <t>CBDL12586</t>
  </si>
  <si>
    <t>CBDL12587</t>
  </si>
  <si>
    <t>12 High Street Wrotham</t>
  </si>
  <si>
    <t>TN15 7AD</t>
  </si>
  <si>
    <t>CBDU12588</t>
  </si>
  <si>
    <t>Unit 5A Douglas Estates</t>
  </si>
  <si>
    <t>41-43 Ffordd Las</t>
  </si>
  <si>
    <t>LL18 2ED</t>
  </si>
  <si>
    <t>CBDL12592</t>
  </si>
  <si>
    <t xml:space="preserve">19 Winchelsea Road </t>
  </si>
  <si>
    <t>ME5 7LY</t>
  </si>
  <si>
    <t>CBDL13013</t>
  </si>
  <si>
    <t>62 63  Rabans Close</t>
  </si>
  <si>
    <t>HP19 8RS</t>
  </si>
  <si>
    <t>CBDU13015</t>
  </si>
  <si>
    <t>Northfield Farm Great Lane</t>
  </si>
  <si>
    <t>Clophill</t>
  </si>
  <si>
    <t>Bedford</t>
  </si>
  <si>
    <t>MK45 4DD</t>
  </si>
  <si>
    <t>CBDL13018</t>
  </si>
  <si>
    <t xml:space="preserve">15 Furnace Terrace </t>
  </si>
  <si>
    <t>CBDU13021</t>
  </si>
  <si>
    <t>Ty Croes Farm Llandeilo Road</t>
  </si>
  <si>
    <t>SA14 7LW</t>
  </si>
  <si>
    <t>CBDU13170</t>
  </si>
  <si>
    <t>Rear Yard 75-77 Chequers Lane</t>
  </si>
  <si>
    <t>rm9 6qj</t>
  </si>
  <si>
    <t>CBDU13172</t>
  </si>
  <si>
    <t>Bryndderwen Dol-y-Bont</t>
  </si>
  <si>
    <t>SY24 5LX</t>
  </si>
  <si>
    <t>CBDL13173</t>
  </si>
  <si>
    <t>CBDU13174</t>
  </si>
  <si>
    <t>37 Trenos Place Bryncae</t>
  </si>
  <si>
    <t>CF72 9RX</t>
  </si>
  <si>
    <t>CBDL13177</t>
  </si>
  <si>
    <t>21 Applegarth Gilberdyke</t>
  </si>
  <si>
    <t>Brough</t>
  </si>
  <si>
    <t>HU15 2YE</t>
  </si>
  <si>
    <t>CBDU13178</t>
  </si>
  <si>
    <t>73 Heol Y Gors Cwmgors</t>
  </si>
  <si>
    <t>SA18 1PT</t>
  </si>
  <si>
    <t>CBDU13180</t>
  </si>
  <si>
    <t>Ty Carreg Wern Road</t>
  </si>
  <si>
    <t>SA4 3TB</t>
  </si>
  <si>
    <t>CBDU13181</t>
  </si>
  <si>
    <t>Solis One Rising Sun Industrial Estate</t>
  </si>
  <si>
    <t>Blaina</t>
  </si>
  <si>
    <t>NP13 3JW</t>
  </si>
  <si>
    <t>IP030950</t>
  </si>
  <si>
    <t>CBDU13376</t>
  </si>
  <si>
    <t>PO Box 205  Llanelli</t>
  </si>
  <si>
    <t>SA14 9DN</t>
  </si>
  <si>
    <t>CBDU13581</t>
  </si>
  <si>
    <t>CBDU13586</t>
  </si>
  <si>
    <t>Unit 3 New Mill Court</t>
  </si>
  <si>
    <t>Llys Felin Newydd</t>
  </si>
  <si>
    <t>CBDU13587</t>
  </si>
  <si>
    <t>Cathedral House 27</t>
  </si>
  <si>
    <t>CF5 2DY</t>
  </si>
  <si>
    <t>CBDU13588</t>
  </si>
  <si>
    <t>Ty'r Efail Lower Mill Field</t>
  </si>
  <si>
    <t>NP4 0XJ</t>
  </si>
  <si>
    <t>CBDL13589</t>
  </si>
  <si>
    <t>Pantybryn Heol Ddu</t>
  </si>
  <si>
    <t>SA18 2UG</t>
  </si>
  <si>
    <t>CBDU13590</t>
  </si>
  <si>
    <t>CBDU13592</t>
  </si>
  <si>
    <t>Heol Aur</t>
  </si>
  <si>
    <t>Scarlet Court</t>
  </si>
  <si>
    <t>SA14 8GG</t>
  </si>
  <si>
    <t>CBDU13593</t>
  </si>
  <si>
    <t>Broughton Cottage Mold Road</t>
  </si>
  <si>
    <t>CH4 0EW</t>
  </si>
  <si>
    <t>CBDL128</t>
  </si>
  <si>
    <t>The Trout Inn Beulah</t>
  </si>
  <si>
    <t>LD54UU</t>
  </si>
  <si>
    <t>CBDL129</t>
  </si>
  <si>
    <t>CBDL132</t>
  </si>
  <si>
    <t>Eglwys Fach Machynlleth</t>
  </si>
  <si>
    <t>CBDL133</t>
  </si>
  <si>
    <t>Buttington Quarry Buttington</t>
  </si>
  <si>
    <t>Nr Welshpool</t>
  </si>
  <si>
    <t>CBDL135</t>
  </si>
  <si>
    <t>Unit 16 Mochore Industrial Estate</t>
  </si>
  <si>
    <t>CBDL136</t>
  </si>
  <si>
    <t>Unit 1 Castleworks</t>
  </si>
  <si>
    <t>Kendomen</t>
  </si>
  <si>
    <t>SY15 6EZ</t>
  </si>
  <si>
    <t>CBDL137</t>
  </si>
  <si>
    <t>LL17 0NA</t>
  </si>
  <si>
    <t>CBDL138</t>
  </si>
  <si>
    <t>Red Lane Welshpool</t>
  </si>
  <si>
    <t>CBDL626</t>
  </si>
  <si>
    <t>Environment Centre Wales Deiniol Road</t>
  </si>
  <si>
    <t>LL57 2UW</t>
  </si>
  <si>
    <t>CBDL633</t>
  </si>
  <si>
    <t>CBDL635</t>
  </si>
  <si>
    <t>45 Merthyr Road</t>
  </si>
  <si>
    <t>CF14 1DB</t>
  </si>
  <si>
    <t>CBDL636</t>
  </si>
  <si>
    <t>Storey Arms Libanus</t>
  </si>
  <si>
    <t>LD3 8NL</t>
  </si>
  <si>
    <t>CBDL638</t>
  </si>
  <si>
    <t>53  penallt road</t>
  </si>
  <si>
    <t>carmarthshire wales</t>
  </si>
  <si>
    <t>SA15 1HL</t>
  </si>
  <si>
    <t>CBDL640</t>
  </si>
  <si>
    <t>Hill Farm Trewern</t>
  </si>
  <si>
    <t>SY21 8EH</t>
  </si>
  <si>
    <t>CBDL821</t>
  </si>
  <si>
    <t>Elliots Hill Care Ltd Crowhill Road</t>
  </si>
  <si>
    <t>SA62 6HT</t>
  </si>
  <si>
    <t>CBDL823</t>
  </si>
  <si>
    <t>Unit G7 Southpoint Ind Est</t>
  </si>
  <si>
    <t>CBDL825</t>
  </si>
  <si>
    <t>15 Park Lane</t>
  </si>
  <si>
    <t>CH8 7UR</t>
  </si>
  <si>
    <t>CBDL826</t>
  </si>
  <si>
    <t>46 penrhos</t>
  </si>
  <si>
    <t>gorseinon</t>
  </si>
  <si>
    <t>sa4 4pa</t>
  </si>
  <si>
    <t>CBDL830</t>
  </si>
  <si>
    <t>73A Lakefield Road</t>
  </si>
  <si>
    <t>sa15 2TS</t>
  </si>
  <si>
    <t>CBDL832</t>
  </si>
  <si>
    <t>W R Davies Parc Bryn Cefni</t>
  </si>
  <si>
    <t>LL77 7JA</t>
  </si>
  <si>
    <t>CBDL836</t>
  </si>
  <si>
    <t>Second Circle Furniture Aerail Rd</t>
  </si>
  <si>
    <t>LL120TU</t>
  </si>
  <si>
    <t>CBDL1064</t>
  </si>
  <si>
    <t>Resource Renew 4b Rhiw Road</t>
  </si>
  <si>
    <t>Colwyn bay</t>
  </si>
  <si>
    <t>CBDL1066</t>
  </si>
  <si>
    <t>Ty Gwyn 31 High Street</t>
  </si>
  <si>
    <t>SY21 7YD</t>
  </si>
  <si>
    <t>CBDL1067</t>
  </si>
  <si>
    <t>Unit 3 Cambrian Park Cillefwr Industrial Estate</t>
  </si>
  <si>
    <t>CBDL1068</t>
  </si>
  <si>
    <t>CBDL1069</t>
  </si>
  <si>
    <t>y ddol farm waen</t>
  </si>
  <si>
    <t>llansannan</t>
  </si>
  <si>
    <t>CBDL1071</t>
  </si>
  <si>
    <t>carc llanstephan road</t>
  </si>
  <si>
    <t>johnstown</t>
  </si>
  <si>
    <t xml:space="preserve">carmarthen </t>
  </si>
  <si>
    <t>sa31 3ng</t>
  </si>
  <si>
    <t>CBDL1072</t>
  </si>
  <si>
    <t>CBDL1074</t>
  </si>
  <si>
    <t>County Hall Gaol Hill</t>
  </si>
  <si>
    <t>SA31 1JP</t>
  </si>
  <si>
    <t>CBDL1075</t>
  </si>
  <si>
    <t>Colomendy Industrial Estate Rhyl Road</t>
  </si>
  <si>
    <t>LL16 5TS</t>
  </si>
  <si>
    <t>CBDL1077</t>
  </si>
  <si>
    <t>Plas Blodwel Broad Street</t>
  </si>
  <si>
    <t>LL31 9HL</t>
  </si>
  <si>
    <t>CBDL1079</t>
  </si>
  <si>
    <t>1 Hendy Heol Y Pistyll</t>
  </si>
  <si>
    <t>Ffaldybrenin</t>
  </si>
  <si>
    <t>SA19 8QE</t>
  </si>
  <si>
    <t>CBDL1311</t>
  </si>
  <si>
    <t>Penrsoh Garage EFI Ltd</t>
  </si>
  <si>
    <t>CBDL1314</t>
  </si>
  <si>
    <t>Bodlondeb Back Lane</t>
  </si>
  <si>
    <t>SY16 2NH</t>
  </si>
  <si>
    <t>CBDL1315</t>
  </si>
  <si>
    <t>Unit 1  The Timber Yard</t>
  </si>
  <si>
    <t>CF24 5EE</t>
  </si>
  <si>
    <t>CBDL1316</t>
  </si>
  <si>
    <t>CBDL1317</t>
  </si>
  <si>
    <t>Rachels Dairy Glanyrafon Ind Est</t>
  </si>
  <si>
    <t>CBDL1319</t>
  </si>
  <si>
    <t>Y Borth 13 Beddau Way</t>
  </si>
  <si>
    <t>CF832AX</t>
  </si>
  <si>
    <t>CBDL1321</t>
  </si>
  <si>
    <t>10 ST GILES PARK POOL ROAD</t>
  </si>
  <si>
    <t>SY163AJ</t>
  </si>
  <si>
    <t>CBDL1322</t>
  </si>
  <si>
    <t>Ty Glantaff Unit B23 Taff Falls Road</t>
  </si>
  <si>
    <t>CF395TT</t>
  </si>
  <si>
    <t>CBDL1323</t>
  </si>
  <si>
    <t>CBDL1549</t>
  </si>
  <si>
    <t>99 Heol Y Gors</t>
  </si>
  <si>
    <t>Cwmgors</t>
  </si>
  <si>
    <t>SA18 1PY</t>
  </si>
  <si>
    <t>CBDL1556</t>
  </si>
  <si>
    <t>Bryn Glas Llanrhuddlad</t>
  </si>
  <si>
    <t>CBDL1557</t>
  </si>
  <si>
    <t>2A Westminster Road</t>
  </si>
  <si>
    <t>Hoole</t>
  </si>
  <si>
    <t>CH2 3DQ</t>
  </si>
  <si>
    <t>CBDL1558</t>
  </si>
  <si>
    <t>Euroclad Ltd Wentloog Corporate Park</t>
  </si>
  <si>
    <t>CBDL1559</t>
  </si>
  <si>
    <t>Unit 7 Griffin Enterprise Park</t>
  </si>
  <si>
    <t>LL486LE</t>
  </si>
  <si>
    <t>CBDL1562</t>
  </si>
  <si>
    <t>UNIT 4 AND 5 PINFOLD LANE LLAY</t>
  </si>
  <si>
    <t>CBDL1563</t>
  </si>
  <si>
    <t>Sandy park  Stembridge</t>
  </si>
  <si>
    <t>Gower</t>
  </si>
  <si>
    <t>Sa31bt</t>
  </si>
  <si>
    <t>CBDL1760</t>
  </si>
  <si>
    <t>Station Buildings Ffordd Alexandra</t>
  </si>
  <si>
    <t>SY23 1LH</t>
  </si>
  <si>
    <t>CBDL2014</t>
  </si>
  <si>
    <t>8 Tai Rhos Parc</t>
  </si>
  <si>
    <t>LL23 7YW</t>
  </si>
  <si>
    <t>CBDL2016</t>
  </si>
  <si>
    <t>Unit 3 Llwyn Y Graig</t>
  </si>
  <si>
    <t>CBDL2017</t>
  </si>
  <si>
    <t xml:space="preserve">55 Oxford Street </t>
  </si>
  <si>
    <t>Aberpennar</t>
  </si>
  <si>
    <t>CF45 3HD</t>
  </si>
  <si>
    <t>CBDL2418</t>
  </si>
  <si>
    <t>41-42 St James Crescent</t>
  </si>
  <si>
    <t>SA1 6DR</t>
  </si>
  <si>
    <t>CBDL2421</t>
  </si>
  <si>
    <t>Gresford Bank Vicarage Lane</t>
  </si>
  <si>
    <t>LL12 8UT</t>
  </si>
  <si>
    <t>CBDU2197</t>
  </si>
  <si>
    <t>Unit 16 Betws Park Workshops</t>
  </si>
  <si>
    <t>CBDL2202</t>
  </si>
  <si>
    <t>Unit 4  Oak Road</t>
  </si>
  <si>
    <t>CBDL2204</t>
  </si>
  <si>
    <t>Highfield Pant-y-Dwr</t>
  </si>
  <si>
    <t>LD6 5LL</t>
  </si>
  <si>
    <t>CBDL2206</t>
  </si>
  <si>
    <t>The Old Warehouse Penarth Road</t>
  </si>
  <si>
    <t>CBDL2673</t>
  </si>
  <si>
    <t>The Garage Trefegflwys</t>
  </si>
  <si>
    <t>SY17 5PH</t>
  </si>
  <si>
    <t>CBDL2677</t>
  </si>
  <si>
    <t>Unit 1 Timbercraft Park</t>
  </si>
  <si>
    <t>Llangatwg</t>
  </si>
  <si>
    <t>CBDL3095</t>
  </si>
  <si>
    <t>Gwelfryn Treforris Road</t>
  </si>
  <si>
    <t>Dwygyfylchi</t>
  </si>
  <si>
    <t>LL34 6RA</t>
  </si>
  <si>
    <t>CBDL3097</t>
  </si>
  <si>
    <t>Pleasant View Heol Undeb Lane</t>
  </si>
  <si>
    <t>CBDL3101</t>
  </si>
  <si>
    <t>Unit 12 Court Road Industrial Estate</t>
  </si>
  <si>
    <t>CBDL3326</t>
  </si>
  <si>
    <t xml:space="preserve">123 Bishopston Road </t>
  </si>
  <si>
    <t>CF5 5DX</t>
  </si>
  <si>
    <t>CBDL3327</t>
  </si>
  <si>
    <t xml:space="preserve">48 Llys David Lord </t>
  </si>
  <si>
    <t>CBDU3332</t>
  </si>
  <si>
    <t>Unit 50 Clywedog Road North</t>
  </si>
  <si>
    <t>LL13 9XN</t>
  </si>
  <si>
    <t>CBDL3338</t>
  </si>
  <si>
    <t>13 Connaught House Benarth Road</t>
  </si>
  <si>
    <t>CBDL3613</t>
  </si>
  <si>
    <t>Gelli Gain Station Road</t>
  </si>
  <si>
    <t>LL41 4TE</t>
  </si>
  <si>
    <t>CBDL3844</t>
  </si>
  <si>
    <t>CBDL3847</t>
  </si>
  <si>
    <t xml:space="preserve">39a brook road </t>
  </si>
  <si>
    <t>rayleigh</t>
  </si>
  <si>
    <t>essex</t>
  </si>
  <si>
    <t>ss67xj</t>
  </si>
  <si>
    <t>CBDL4339</t>
  </si>
  <si>
    <t>Unit 11 Inner Street Business Park</t>
  </si>
  <si>
    <t>Inner Street</t>
  </si>
  <si>
    <t>Grantham</t>
  </si>
  <si>
    <t>NG31 6HN</t>
  </si>
  <si>
    <t>CBDL4341</t>
  </si>
  <si>
    <t>30 Heol Eglwys Ystradgynlais</t>
  </si>
  <si>
    <t>SA9 1EY</t>
  </si>
  <si>
    <t>CBDL4343</t>
  </si>
  <si>
    <t>162 Ty Gwyn Drive Brackla</t>
  </si>
  <si>
    <t>CF31 2QJ</t>
  </si>
  <si>
    <t>CBDL4351</t>
  </si>
  <si>
    <t>Unit 1 Brecon Court</t>
  </si>
  <si>
    <t>William Brown Close</t>
  </si>
  <si>
    <t>CBDL4573</t>
  </si>
  <si>
    <t>Druid Buildings Highgate</t>
  </si>
  <si>
    <t>LL16 3LE</t>
  </si>
  <si>
    <t>CBDL4580</t>
  </si>
  <si>
    <t>Main Road Abercynon</t>
  </si>
  <si>
    <t>CF45 4LJ</t>
  </si>
  <si>
    <t>CBDL4581</t>
  </si>
  <si>
    <t>Ely Harbour Ferry Road</t>
  </si>
  <si>
    <t>CBDL4586</t>
  </si>
  <si>
    <t>C5 Business Centre North Road</t>
  </si>
  <si>
    <t>CBDL4588</t>
  </si>
  <si>
    <t>72a Taff Street</t>
  </si>
  <si>
    <t>CF37 4SU</t>
  </si>
  <si>
    <t>CBDL5012</t>
  </si>
  <si>
    <t xml:space="preserve">34 Pillmawr Road </t>
  </si>
  <si>
    <t>NP20 6WG</t>
  </si>
  <si>
    <t>CBDL5014</t>
  </si>
  <si>
    <t>Diamond Hanger Long Border Road</t>
  </si>
  <si>
    <t>London Stansted Airport</t>
  </si>
  <si>
    <t>Stansted</t>
  </si>
  <si>
    <t>CM24 1RE</t>
  </si>
  <si>
    <t>CBDL4093</t>
  </si>
  <si>
    <t xml:space="preserve">5 Brecon Road </t>
  </si>
  <si>
    <t>NP7 5UH</t>
  </si>
  <si>
    <t>CBDL4106</t>
  </si>
  <si>
    <t xml:space="preserve">Stockwell Road </t>
  </si>
  <si>
    <t>SA72 6TQ</t>
  </si>
  <si>
    <t>CBDL4764</t>
  </si>
  <si>
    <t>Avondale Industrial Estate Avondale Way</t>
  </si>
  <si>
    <t>NP4 1TS</t>
  </si>
  <si>
    <t>CBDL4771</t>
  </si>
  <si>
    <t>CBDL4774</t>
  </si>
  <si>
    <t xml:space="preserve">Church Street </t>
  </si>
  <si>
    <t>SA44 4QS</t>
  </si>
  <si>
    <t>CBDL5238</t>
  </si>
  <si>
    <t>Flat 1 30 Mostyn Avenue</t>
  </si>
  <si>
    <t>CBDL5240</t>
  </si>
  <si>
    <t xml:space="preserve">Heol Cilgant </t>
  </si>
  <si>
    <t>SA19 6HN</t>
  </si>
  <si>
    <t>CBDU5526</t>
  </si>
  <si>
    <t>29 Victoria Road Waunarlwydd</t>
  </si>
  <si>
    <t>SA5 4SX</t>
  </si>
  <si>
    <t>CBDU5529</t>
  </si>
  <si>
    <t>CWM ISAF FARM EFAILISAF</t>
  </si>
  <si>
    <t>CF38 1BD</t>
  </si>
  <si>
    <t>CBDL5531</t>
  </si>
  <si>
    <t>Fairfield Tyddewi</t>
  </si>
  <si>
    <t>SA62 6QH</t>
  </si>
  <si>
    <t>CBDU5533</t>
  </si>
  <si>
    <t xml:space="preserve">The Dockyard </t>
  </si>
  <si>
    <t>SA72 6TD</t>
  </si>
  <si>
    <t>CBDU5535</t>
  </si>
  <si>
    <t xml:space="preserve">Cefn Coch </t>
  </si>
  <si>
    <t>SY21 0AN</t>
  </si>
  <si>
    <t>CBDU5759</t>
  </si>
  <si>
    <t>Unit A3 Capital Point</t>
  </si>
  <si>
    <t>CBDL5760</t>
  </si>
  <si>
    <t>CBDU5761</t>
  </si>
  <si>
    <t>Capital Garage Doors Ltd Genesis House</t>
  </si>
  <si>
    <t>Priestley Way</t>
  </si>
  <si>
    <t>RH10 9PR</t>
  </si>
  <si>
    <t>CBDU5762</t>
  </si>
  <si>
    <t>23 Blenheim Road St. Dials</t>
  </si>
  <si>
    <t>NP44 4NA</t>
  </si>
  <si>
    <t>CBDU5764</t>
  </si>
  <si>
    <t>6 Sapcote Trading Centre High Road</t>
  </si>
  <si>
    <t>NW10 2DH</t>
  </si>
  <si>
    <t>CBDU5765</t>
  </si>
  <si>
    <t>Office Rowlands Park</t>
  </si>
  <si>
    <t>Templeton</t>
  </si>
  <si>
    <t>SA67 8RG</t>
  </si>
  <si>
    <t>CBDU5766</t>
  </si>
  <si>
    <t>CBDU5767</t>
  </si>
  <si>
    <t>The Old Forge 2 Duffryn Street</t>
  </si>
  <si>
    <t>CF45 3NU</t>
  </si>
  <si>
    <t>CBDU5771</t>
  </si>
  <si>
    <t>Blast Road Brymbo</t>
  </si>
  <si>
    <t>LL11 5BT</t>
  </si>
  <si>
    <t>CBDU5772</t>
  </si>
  <si>
    <t>Unit 22 Venture Wales</t>
  </si>
  <si>
    <t>Valley Enterprise</t>
  </si>
  <si>
    <t>CBDU5773</t>
  </si>
  <si>
    <t xml:space="preserve">Bloomfield Road </t>
  </si>
  <si>
    <t>Tipton</t>
  </si>
  <si>
    <t>DY4 9ET</t>
  </si>
  <si>
    <t>CBDU5780</t>
  </si>
  <si>
    <t>1a Dafen Row Llanelli</t>
  </si>
  <si>
    <t>Wales</t>
  </si>
  <si>
    <t>SA15 2BL</t>
  </si>
  <si>
    <t>CBDL5250</t>
  </si>
  <si>
    <t>121253B</t>
  </si>
  <si>
    <t>CBDL5257</t>
  </si>
  <si>
    <t xml:space="preserve">Garreglwyd Residential Home  Drefach </t>
  </si>
  <si>
    <t xml:space="preserve">Llanelli </t>
  </si>
  <si>
    <t>SA14 7AB</t>
  </si>
  <si>
    <t>CBDL5258</t>
  </si>
  <si>
    <t>Rhiwlas Babell</t>
  </si>
  <si>
    <t>CH8 8PP</t>
  </si>
  <si>
    <t>CBDU6269</t>
  </si>
  <si>
    <t>Heol Parc Mawr Cross Hands Industrial Estate</t>
  </si>
  <si>
    <t>CBDL6270</t>
  </si>
  <si>
    <t>CBDU6273</t>
  </si>
  <si>
    <t xml:space="preserve">Dc Griffiths Way </t>
  </si>
  <si>
    <t>SA11 1BT</t>
  </si>
  <si>
    <t>CBDU6274</t>
  </si>
  <si>
    <t>Bryn Llewelyn Alltwen</t>
  </si>
  <si>
    <t>SA8 3BR</t>
  </si>
  <si>
    <t>CBDL6275</t>
  </si>
  <si>
    <t>Suite 6 Huxley Court</t>
  </si>
  <si>
    <t>The Dean</t>
  </si>
  <si>
    <t>Alresford</t>
  </si>
  <si>
    <t>SO24 9BL</t>
  </si>
  <si>
    <t>CBDU6277</t>
  </si>
  <si>
    <t>Chapel House Breudeth</t>
  </si>
  <si>
    <t>SA62 6LA</t>
  </si>
  <si>
    <t>CBDU6280</t>
  </si>
  <si>
    <t>CBDU6281</t>
  </si>
  <si>
    <t>20 Castell Morlais Pontsticill</t>
  </si>
  <si>
    <t>CF48 2YB</t>
  </si>
  <si>
    <t>CBDL6287</t>
  </si>
  <si>
    <t>Llys Y Coed Groesffordd Marli</t>
  </si>
  <si>
    <t>LL22 9DS</t>
  </si>
  <si>
    <t>CBDU6288</t>
  </si>
  <si>
    <t>Elm Cottage Heol Y Parc</t>
  </si>
  <si>
    <t>CF15 9NB</t>
  </si>
  <si>
    <t>CBDU6015</t>
  </si>
  <si>
    <t xml:space="preserve">Ewenni </t>
  </si>
  <si>
    <t>CBDL6017</t>
  </si>
  <si>
    <t xml:space="preserve">Heol Llanfair </t>
  </si>
  <si>
    <t>SA20 0HY</t>
  </si>
  <si>
    <t>CBDU6019</t>
  </si>
  <si>
    <t xml:space="preserve">65 York Crescent </t>
  </si>
  <si>
    <t>Stourbridge</t>
  </si>
  <si>
    <t>DY8 4RT</t>
  </si>
  <si>
    <t>CBDU6022</t>
  </si>
  <si>
    <t>CBDU6023</t>
  </si>
  <si>
    <t>Llety Gwyddelwern</t>
  </si>
  <si>
    <t>LL21 9EE</t>
  </si>
  <si>
    <t>CBDU6024</t>
  </si>
  <si>
    <t>CBDU6025</t>
  </si>
  <si>
    <t>Hafan Deg Rhosybol</t>
  </si>
  <si>
    <t>LL68 9TS</t>
  </si>
  <si>
    <t>CBDU6030</t>
  </si>
  <si>
    <t>Bellevue Castell Y Mwnws</t>
  </si>
  <si>
    <t>Llanhari</t>
  </si>
  <si>
    <t>CF72 9DD</t>
  </si>
  <si>
    <t>CBDU6031</t>
  </si>
  <si>
    <t>Oak Villa Llandeilo Graban</t>
  </si>
  <si>
    <t>LD2 3SJ</t>
  </si>
  <si>
    <t>CBDU6033</t>
  </si>
  <si>
    <t xml:space="preserve">Eugrad </t>
  </si>
  <si>
    <t>LL78 7JF</t>
  </si>
  <si>
    <t>CBDU6034</t>
  </si>
  <si>
    <t>Penrhiwfer Farm Pleasant View</t>
  </si>
  <si>
    <t>CF40 1SE</t>
  </si>
  <si>
    <t>CBDU6818</t>
  </si>
  <si>
    <t>Unit J Mochdre Industrial Estate</t>
  </si>
  <si>
    <t>CBDU6819</t>
  </si>
  <si>
    <t>1 Thomas Street</t>
  </si>
  <si>
    <t>Robertstown</t>
  </si>
  <si>
    <t>CF44 8EY</t>
  </si>
  <si>
    <t>CBDU6824</t>
  </si>
  <si>
    <t>Bargoed Terrace Deri</t>
  </si>
  <si>
    <t>CF81 9JA</t>
  </si>
  <si>
    <t>CBDU6827</t>
  </si>
  <si>
    <t xml:space="preserve">5 Pritchard Close </t>
  </si>
  <si>
    <t>CF5 2QS</t>
  </si>
  <si>
    <t>CBDU6828</t>
  </si>
  <si>
    <t>Garnedd Ddu Star</t>
  </si>
  <si>
    <t>LL60 6AN</t>
  </si>
  <si>
    <t>CBDU6829</t>
  </si>
  <si>
    <t>Pinit Building &amp; Civil Engineering Ltd Palmers Vale Business Centre</t>
  </si>
  <si>
    <t>CBDU6830</t>
  </si>
  <si>
    <t>11 Llys Corrwg Rhydyfelin</t>
  </si>
  <si>
    <t>CF37 5EJ</t>
  </si>
  <si>
    <t>CBDL6576</t>
  </si>
  <si>
    <t xml:space="preserve">106 village farm road  Village farm ind est </t>
  </si>
  <si>
    <t xml:space="preserve">Bridgend </t>
  </si>
  <si>
    <t>Cf33 6bz</t>
  </si>
  <si>
    <t>CBDU6579</t>
  </si>
  <si>
    <t>CBDU6582</t>
  </si>
  <si>
    <t>Bodhyfryd Glasfryn</t>
  </si>
  <si>
    <t>LL21 0RY</t>
  </si>
  <si>
    <t>CBDU6583</t>
  </si>
  <si>
    <t>Axis 1 Axis Court</t>
  </si>
  <si>
    <t>Mallard Way</t>
  </si>
  <si>
    <t>CBDU6584</t>
  </si>
  <si>
    <t>Units 13-14 Vale Business Park</t>
  </si>
  <si>
    <t>CBDU6585</t>
  </si>
  <si>
    <t>Broughton Industrial Estate Broughton Mills Road</t>
  </si>
  <si>
    <t>Bretton</t>
  </si>
  <si>
    <t>CH4 0BY</t>
  </si>
  <si>
    <t>CBDL6586</t>
  </si>
  <si>
    <t xml:space="preserve">65 Thirlmere Gardens </t>
  </si>
  <si>
    <t>HA9 8RD</t>
  </si>
  <si>
    <t>CBDL6587</t>
  </si>
  <si>
    <t>7 Glan-y-Nant Pen-Coed</t>
  </si>
  <si>
    <t>CF35 6TG</t>
  </si>
  <si>
    <t>CBDL6590</t>
  </si>
  <si>
    <t>Unit 10 Aber Park</t>
  </si>
  <si>
    <t>CBDL6591</t>
  </si>
  <si>
    <t>Glasfryn Carno</t>
  </si>
  <si>
    <t>SY17 5JS</t>
  </si>
  <si>
    <t>CBDL7405</t>
  </si>
  <si>
    <t>Moelfre Gelli Deg</t>
  </si>
  <si>
    <t>SA14 8RY</t>
  </si>
  <si>
    <t>CBDL7406</t>
  </si>
  <si>
    <t>Waungadog Stockwell Lane</t>
  </si>
  <si>
    <t>SA17 4PP</t>
  </si>
  <si>
    <t>CBDU7410</t>
  </si>
  <si>
    <t xml:space="preserve">Ffordd Dinbych Isaf </t>
  </si>
  <si>
    <t>LL17 0EL</t>
  </si>
  <si>
    <t>CBDU7411</t>
  </si>
  <si>
    <t xml:space="preserve">67-69 Broadway </t>
  </si>
  <si>
    <t>CF24 1QE</t>
  </si>
  <si>
    <t>CBDU7413</t>
  </si>
  <si>
    <t>Hafod Tileries Hafod Road</t>
  </si>
  <si>
    <t xml:space="preserve"> LL14 6ET</t>
  </si>
  <si>
    <t>CBDU7415</t>
  </si>
  <si>
    <t xml:space="preserve">2 Lon Rhosyn </t>
  </si>
  <si>
    <t>LL18 4JJ</t>
  </si>
  <si>
    <t>CBDU7416</t>
  </si>
  <si>
    <t xml:space="preserve">37 Stratfield Road </t>
  </si>
  <si>
    <t>RG21 5RS</t>
  </si>
  <si>
    <t>CBDU7420</t>
  </si>
  <si>
    <t>9 Rhodfa Clifton Brymbo</t>
  </si>
  <si>
    <t>LL11 5FS</t>
  </si>
  <si>
    <t>CBDU7169</t>
  </si>
  <si>
    <t xml:space="preserve">196 New Road </t>
  </si>
  <si>
    <t>CF36 5BH</t>
  </si>
  <si>
    <t>CBDU7170</t>
  </si>
  <si>
    <t>Bryntirion Glyndyfrdwy</t>
  </si>
  <si>
    <t>LL21 9HL</t>
  </si>
  <si>
    <t>CBDU7171</t>
  </si>
  <si>
    <t>Llanoddian Isaf Dolanog</t>
  </si>
  <si>
    <t>SY21 0JU</t>
  </si>
  <si>
    <t>CBDU7174</t>
  </si>
  <si>
    <t>Best House Gas Lane</t>
  </si>
  <si>
    <t>CH7 1UR</t>
  </si>
  <si>
    <t>CBDL7175</t>
  </si>
  <si>
    <t>Unit 2 Grange Industrial Estate</t>
  </si>
  <si>
    <t>CBDL7177</t>
  </si>
  <si>
    <t>D B P House Colomendy Industrial Estate</t>
  </si>
  <si>
    <t>CBDL7180</t>
  </si>
  <si>
    <t>Treetops Bailey Street</t>
  </si>
  <si>
    <t>CF39 0RA</t>
  </si>
  <si>
    <t>CBDU7181</t>
  </si>
  <si>
    <t>Anwyl House Clos Dewi Sant</t>
  </si>
  <si>
    <t>CH5 3DT</t>
  </si>
  <si>
    <t>CBDU7184</t>
  </si>
  <si>
    <t>23 Heol Eglwys</t>
  </si>
  <si>
    <t>CBDU7185</t>
  </si>
  <si>
    <t>Units 11-12 Wholesale Fruit Centre</t>
  </si>
  <si>
    <t>CBDU7186</t>
  </si>
  <si>
    <t>B S B House Builder Street West</t>
  </si>
  <si>
    <t>LL30 1HW</t>
  </si>
  <si>
    <t>CBDU8067</t>
  </si>
  <si>
    <t>Greenfields Valley Road</t>
  </si>
  <si>
    <t>SA69 9BX</t>
  </si>
  <si>
    <t>CBDL8068</t>
  </si>
  <si>
    <t>206 Sandhills avenue</t>
  </si>
  <si>
    <t xml:space="preserve">Hamilton </t>
  </si>
  <si>
    <t>Le5 1pl</t>
  </si>
  <si>
    <t>CBDU8069</t>
  </si>
  <si>
    <t xml:space="preserve">1-3 Ewloe Place </t>
  </si>
  <si>
    <t>CH7 3NJ</t>
  </si>
  <si>
    <t>CBDU8070</t>
  </si>
  <si>
    <t>Colomendy House Vale Road</t>
  </si>
  <si>
    <t>LL16 3DF</t>
  </si>
  <si>
    <t>CBDU8072</t>
  </si>
  <si>
    <t>11 Ogmore Crescent Bridgend Industrial Estate</t>
  </si>
  <si>
    <t>CBDU8073</t>
  </si>
  <si>
    <t xml:space="preserve">157 Heol Windsor </t>
  </si>
  <si>
    <t>CBDU8075</t>
  </si>
  <si>
    <t>Margaret-Rose Haven View</t>
  </si>
  <si>
    <t>CBDU8076</t>
  </si>
  <si>
    <t>Tyr Cwm Llangoedmor</t>
  </si>
  <si>
    <t>SA43 2LE</t>
  </si>
  <si>
    <t>CBDU8077</t>
  </si>
  <si>
    <t>Unit 22 Ely Distribution Centre</t>
  </si>
  <si>
    <t>CBDU8080</t>
  </si>
  <si>
    <t>Y Garreg Wen Ffordd Stanley</t>
  </si>
  <si>
    <t>CBDU8081</t>
  </si>
  <si>
    <t>Unit 2 Tog Hill House Farm</t>
  </si>
  <si>
    <t>Freezing Hill</t>
  </si>
  <si>
    <t>Wick</t>
  </si>
  <si>
    <t>BS30 5RT</t>
  </si>
  <si>
    <t>CBDU8083</t>
  </si>
  <si>
    <t>Cwm Y Dwr House Cwm Y Dwr</t>
  </si>
  <si>
    <t>SA11 2YT</t>
  </si>
  <si>
    <t>CBDU7824</t>
  </si>
  <si>
    <t>Freeway Surfacing Site Smestow Bridge Industrial Estate</t>
  </si>
  <si>
    <t>wombourne</t>
  </si>
  <si>
    <t>wv58ay</t>
  </si>
  <si>
    <t>CBDU7825</t>
  </si>
  <si>
    <t>CBDU7826</t>
  </si>
  <si>
    <t>44 Beech Grove Oakdale</t>
  </si>
  <si>
    <t>NP12 0NB</t>
  </si>
  <si>
    <t>CBDU7829</t>
  </si>
  <si>
    <t>19 Heol Pen-y-Parc Llantrisant</t>
  </si>
  <si>
    <t>CF72 8DN</t>
  </si>
  <si>
    <t>CBDL7833</t>
  </si>
  <si>
    <t xml:space="preserve">The Square </t>
  </si>
  <si>
    <t>LL75 8AZ</t>
  </si>
  <si>
    <t>CBDL7834</t>
  </si>
  <si>
    <t>Unit 1 Lewis Industrial Estate</t>
  </si>
  <si>
    <t>Radford Road</t>
  </si>
  <si>
    <t>NG7 7NQ</t>
  </si>
  <si>
    <t>CBDU7835</t>
  </si>
  <si>
    <t>CBDU7837</t>
  </si>
  <si>
    <t>Unit 8 Curran Road</t>
  </si>
  <si>
    <t>CBDU8472</t>
  </si>
  <si>
    <t xml:space="preserve">20-22 Wenlock Road </t>
  </si>
  <si>
    <t>CBDU8475</t>
  </si>
  <si>
    <t>16 Village Farm Road Village Farm Industrial Estate</t>
  </si>
  <si>
    <t>CBDL8476</t>
  </si>
  <si>
    <t>1 East Bank Road Felnex Industrial Estate</t>
  </si>
  <si>
    <t>NP19 4PP</t>
  </si>
  <si>
    <t>CBDL8478</t>
  </si>
  <si>
    <t>32 Station Road Brynaman Uchaf</t>
  </si>
  <si>
    <t>SA18 1SF</t>
  </si>
  <si>
    <t>CBDU8479</t>
  </si>
  <si>
    <t>Bedlwyn Felinfach</t>
  </si>
  <si>
    <t>SA48 8BG</t>
  </si>
  <si>
    <t>CBDU8481</t>
  </si>
  <si>
    <t>Birkett House Abergarw Trading Estate</t>
  </si>
  <si>
    <t>NI042425</t>
  </si>
  <si>
    <t>CBDL8729</t>
  </si>
  <si>
    <t>Sensor House Parc Technoleg</t>
  </si>
  <si>
    <t>LL13 7YP</t>
  </si>
  <si>
    <t>CBDL8735</t>
  </si>
  <si>
    <t>Aberfan Road Aberfan</t>
  </si>
  <si>
    <t>CF48 4QN</t>
  </si>
  <si>
    <t>CBDL8738</t>
  </si>
  <si>
    <t>58-59 Church Street Penydarren</t>
  </si>
  <si>
    <t>CF47 9HR</t>
  </si>
  <si>
    <t>CBDU9106</t>
  </si>
  <si>
    <t>Plas Yn Dre Ffordd Yr Orsaf</t>
  </si>
  <si>
    <t>LL26 0DF</t>
  </si>
  <si>
    <t>CBDU9107</t>
  </si>
  <si>
    <t>The Maltings East Tyndall Street</t>
  </si>
  <si>
    <t>Cardiff Bay</t>
  </si>
  <si>
    <t>CF24 5EA</t>
  </si>
  <si>
    <t>CBDL9110</t>
  </si>
  <si>
    <t xml:space="preserve">52A Bryn terrace </t>
  </si>
  <si>
    <t xml:space="preserve">Brynithel </t>
  </si>
  <si>
    <t xml:space="preserve">Abertillery </t>
  </si>
  <si>
    <t>CBDU9111</t>
  </si>
  <si>
    <t>256 Trewyddfa Road Morriston</t>
  </si>
  <si>
    <t>SA6 8PD</t>
  </si>
  <si>
    <t>CBDL9113</t>
  </si>
  <si>
    <t xml:space="preserve">Tal-y-Bont Ar Wysg </t>
  </si>
  <si>
    <t>LD3 7YJ</t>
  </si>
  <si>
    <t>CBDU9116</t>
  </si>
  <si>
    <t xml:space="preserve">108 Ffordd Manod </t>
  </si>
  <si>
    <t>LL41 4AH</t>
  </si>
  <si>
    <t>CBDU9118</t>
  </si>
  <si>
    <t>12E Atlantic Trading Est</t>
  </si>
  <si>
    <t>CBDL9119</t>
  </si>
  <si>
    <t>120 Gwynedd Avenue Townhill</t>
  </si>
  <si>
    <t>SA1 6LJ</t>
  </si>
  <si>
    <t>CBDU9368</t>
  </si>
  <si>
    <t>12 Bryn y Fedwen</t>
  </si>
  <si>
    <t>Llanrhos</t>
  </si>
  <si>
    <t>ll30 1pl</t>
  </si>
  <si>
    <t>CBDU9370</t>
  </si>
  <si>
    <t xml:space="preserve">Newlands Road </t>
  </si>
  <si>
    <t>CF3 2EU</t>
  </si>
  <si>
    <t>CBDL9371</t>
  </si>
  <si>
    <t>Parc Amaeth Llanystumdwy</t>
  </si>
  <si>
    <t>LL52 0LJ</t>
  </si>
  <si>
    <t>CBDL9373</t>
  </si>
  <si>
    <t>Hunter Trading Estate Lon Parcwr Industrial Estate</t>
  </si>
  <si>
    <t>CBDU9374</t>
  </si>
  <si>
    <t>CBDU9376</t>
  </si>
  <si>
    <t xml:space="preserve">134 Woodville Road </t>
  </si>
  <si>
    <t>CF24 4EE</t>
  </si>
  <si>
    <t>CBDL9377</t>
  </si>
  <si>
    <t>unit 3 beechwood industrial estate</t>
  </si>
  <si>
    <t>llandielo</t>
  </si>
  <si>
    <t>sa19 7hr</t>
  </si>
  <si>
    <t>CBDL9378</t>
  </si>
  <si>
    <t>Unit 5 Finlan Road</t>
  </si>
  <si>
    <t>CBDU9379</t>
  </si>
  <si>
    <t>Telford Depot Telford Street</t>
  </si>
  <si>
    <t>NP19 0ES</t>
  </si>
  <si>
    <t>CBDU9380</t>
  </si>
  <si>
    <t>Falcon House East Street</t>
  </si>
  <si>
    <t>CF31 3DQ</t>
  </si>
  <si>
    <t>CBDU9800</t>
  </si>
  <si>
    <t>Ty Newydd Rhostrehwfa</t>
  </si>
  <si>
    <t>LL77 7YG</t>
  </si>
  <si>
    <t>CBDU9802</t>
  </si>
  <si>
    <t>14 Roundabout Court Bedwas House Industrial Estate</t>
  </si>
  <si>
    <t>CBDL9803</t>
  </si>
  <si>
    <t>3 Trem Y Cwrt Mochdre</t>
  </si>
  <si>
    <t>SY16 4JH</t>
  </si>
  <si>
    <t>CBDU9811</t>
  </si>
  <si>
    <t>Ty Mawr Ucha Farm Betws Yn Rhos</t>
  </si>
  <si>
    <t>LL22 8AA</t>
  </si>
  <si>
    <t>CBDL9812</t>
  </si>
  <si>
    <t>Heol Y Plas Cross Hands Food Park</t>
  </si>
  <si>
    <t>CBDU9813</t>
  </si>
  <si>
    <t>Unit 1 Crugmore Farm</t>
  </si>
  <si>
    <t>SA43 1QY</t>
  </si>
  <si>
    <t>CBDU9815</t>
  </si>
  <si>
    <t>Bridgefield Bramley Lane</t>
  </si>
  <si>
    <t>CH4 9AX</t>
  </si>
  <si>
    <t>CBDU9581</t>
  </si>
  <si>
    <t>Unit 22 Brynmenyn Business Centre</t>
  </si>
  <si>
    <t>CBDU9587</t>
  </si>
  <si>
    <t>Swn Y Coed Chester Lane</t>
  </si>
  <si>
    <t>Frog Lane</t>
  </si>
  <si>
    <t>LL13 9HJ</t>
  </si>
  <si>
    <t>CBDU9589</t>
  </si>
  <si>
    <t>Unit A5 Compass Business Park</t>
  </si>
  <si>
    <t>CF24 5HL</t>
  </si>
  <si>
    <t>CBDL9590</t>
  </si>
  <si>
    <t>Unit 3B Interlinq Trade Park</t>
  </si>
  <si>
    <t>CBDU9591</t>
  </si>
  <si>
    <t>Cae Hen Bach Llanfairtalhaiarn</t>
  </si>
  <si>
    <t>LL22 9RB</t>
  </si>
  <si>
    <t>CBDU9592</t>
  </si>
  <si>
    <t>75-77 Cwmgarw Road Brynaman Uchaf</t>
  </si>
  <si>
    <t>SA18 1BY</t>
  </si>
  <si>
    <t>CBDL10041</t>
  </si>
  <si>
    <t>26 Vera Road Rackheath</t>
  </si>
  <si>
    <t>Norwich</t>
  </si>
  <si>
    <t>NR13 6QP</t>
  </si>
  <si>
    <t>CBDL10042</t>
  </si>
  <si>
    <t xml:space="preserve">Tan Y Cae </t>
  </si>
  <si>
    <t>SY23 1JW</t>
  </si>
  <si>
    <t>CBDU10046</t>
  </si>
  <si>
    <t>NP16 5PB</t>
  </si>
  <si>
    <t>CBDU10047</t>
  </si>
  <si>
    <t>CBDU10048</t>
  </si>
  <si>
    <t>Unit 7 Maritime Court</t>
  </si>
  <si>
    <t>CBDU10049</t>
  </si>
  <si>
    <t>Unit 13 Parc Busnes Llantrisant</t>
  </si>
  <si>
    <t>CBDL10370</t>
  </si>
  <si>
    <t>Unit C5 West Point Industrial Estate</t>
  </si>
  <si>
    <t>CBDU10372</t>
  </si>
  <si>
    <t>Bronllys Hospital Bronllys</t>
  </si>
  <si>
    <t>LD3 0LU</t>
  </si>
  <si>
    <t>CBDL10374</t>
  </si>
  <si>
    <t xml:space="preserve">495 Yeading Lane </t>
  </si>
  <si>
    <t>Northolt</t>
  </si>
  <si>
    <t>UB5 6LN</t>
  </si>
  <si>
    <t>CBDL10376</t>
  </si>
  <si>
    <t>14 Bruntcliffe Close Morley</t>
  </si>
  <si>
    <t>LS27 0NG</t>
  </si>
  <si>
    <t>CBDU10377</t>
  </si>
  <si>
    <t xml:space="preserve">Henfaes Lane </t>
  </si>
  <si>
    <t>CBDU10378</t>
  </si>
  <si>
    <t>84 Albert Hall Mansions Kensington Gore</t>
  </si>
  <si>
    <t>SW7 2AQ</t>
  </si>
  <si>
    <t>CBDL10379</t>
  </si>
  <si>
    <t>Unit 9 Cwmtillery Industrial Estate</t>
  </si>
  <si>
    <t>NP13 1LZ</t>
  </si>
  <si>
    <t>CBDL10380</t>
  </si>
  <si>
    <t>Unit 9 Factory Road</t>
  </si>
  <si>
    <t>CBDU10381</t>
  </si>
  <si>
    <t>Contractors Yard Tank Farm Road</t>
  </si>
  <si>
    <t>CBDU10382</t>
  </si>
  <si>
    <t>Unit A District Street</t>
  </si>
  <si>
    <t>CF47 9YL</t>
  </si>
  <si>
    <t>CBDL10383</t>
  </si>
  <si>
    <t>9-11 Royal Arcade</t>
  </si>
  <si>
    <t>CF10 1AE</t>
  </si>
  <si>
    <t>CBDU10135</t>
  </si>
  <si>
    <t xml:space="preserve">27 Argyle Street </t>
  </si>
  <si>
    <t>CBDL10136</t>
  </si>
  <si>
    <t xml:space="preserve">141 Goldsmith Avenue </t>
  </si>
  <si>
    <t>PO4 8QZ</t>
  </si>
  <si>
    <t>CBDU10138</t>
  </si>
  <si>
    <t>CBDU10140</t>
  </si>
  <si>
    <t>2 Nythfa Tircoed Forest Village</t>
  </si>
  <si>
    <t>SA4 8SR</t>
  </si>
  <si>
    <t>CBDU10141</t>
  </si>
  <si>
    <t>57 Gough Road Ystalyfera</t>
  </si>
  <si>
    <t>SA9 2NA</t>
  </si>
  <si>
    <t>CBDU10599</t>
  </si>
  <si>
    <t>Llety'r Eos Wern Road</t>
  </si>
  <si>
    <t>CBDU10600</t>
  </si>
  <si>
    <t>Glanllyn Heol-y-Geifr</t>
  </si>
  <si>
    <t>CF35 6UN</t>
  </si>
  <si>
    <t>CBDU10601</t>
  </si>
  <si>
    <t>Unit 9 Woodlands Workshops</t>
  </si>
  <si>
    <t>CF72 9DW</t>
  </si>
  <si>
    <t>CBDU10606</t>
  </si>
  <si>
    <t>Unit 11-13 Aneurin Bevan Avenue</t>
  </si>
  <si>
    <t>CF32 9SZ</t>
  </si>
  <si>
    <t>CBDU10608</t>
  </si>
  <si>
    <t>Unit 5-7 Lighthouse Business Park</t>
  </si>
  <si>
    <t>Bastion Road</t>
  </si>
  <si>
    <t>LL19 7ND</t>
  </si>
  <si>
    <t>CBDU10612</t>
  </si>
  <si>
    <t>Edison House Central Avenue</t>
  </si>
  <si>
    <t>CBDU10615</t>
  </si>
  <si>
    <t>Unit 1 Oaktree Business Park</t>
  </si>
  <si>
    <t>Queens Lane</t>
  </si>
  <si>
    <t>CBDU10616</t>
  </si>
  <si>
    <t>Unit 4E Mariner Way</t>
  </si>
  <si>
    <t>CBDL10617</t>
  </si>
  <si>
    <t>Unit 1-2 Ewenny Industrial Estate</t>
  </si>
  <si>
    <t>CBDU10969</t>
  </si>
  <si>
    <t>CBDU10970</t>
  </si>
  <si>
    <t>CBDU10975</t>
  </si>
  <si>
    <t>Irish Square  Upper Denbigh Road</t>
  </si>
  <si>
    <t>CBDU10718</t>
  </si>
  <si>
    <t>Unit 3 Mill Farm</t>
  </si>
  <si>
    <t>St. Mellons Road</t>
  </si>
  <si>
    <t>Lisvane</t>
  </si>
  <si>
    <t>CBDL10719</t>
  </si>
  <si>
    <t>CBDU10720</t>
  </si>
  <si>
    <t>Unit 106 Portmanmoor Road Industrial Estate</t>
  </si>
  <si>
    <t>CBDU10722</t>
  </si>
  <si>
    <t>Hillside Sully Road</t>
  </si>
  <si>
    <t>CF64 2TQ</t>
  </si>
  <si>
    <t>CBDL10723</t>
  </si>
  <si>
    <t xml:space="preserve">Tudor Square </t>
  </si>
  <si>
    <t>SA70 7AD</t>
  </si>
  <si>
    <t>CBDL10724</t>
  </si>
  <si>
    <t xml:space="preserve">14 High Street </t>
  </si>
  <si>
    <t>SA70 7HD</t>
  </si>
  <si>
    <t>CBDU10725</t>
  </si>
  <si>
    <t xml:space="preserve">20 Brookfield </t>
  </si>
  <si>
    <t>SA10 7EG</t>
  </si>
  <si>
    <t>CBDU10733</t>
  </si>
  <si>
    <t xml:space="preserve">43 New Street </t>
  </si>
  <si>
    <t>SA16 0RT</t>
  </si>
  <si>
    <t>CBDL11233</t>
  </si>
  <si>
    <t xml:space="preserve">Dolgwili Road </t>
  </si>
  <si>
    <t>SA31 2AF</t>
  </si>
  <si>
    <t>CBDL11237</t>
  </si>
  <si>
    <t xml:space="preserve">24 Norwood Road </t>
  </si>
  <si>
    <t>Southall</t>
  </si>
  <si>
    <t>UB2 4DL</t>
  </si>
  <si>
    <t>CBDU11238</t>
  </si>
  <si>
    <t>27 Wern Road Landore</t>
  </si>
  <si>
    <t>SA1 2PA</t>
  </si>
  <si>
    <t>CBDU11243</t>
  </si>
  <si>
    <t xml:space="preserve">15 Whitesike Businnes Park Brampton Road </t>
  </si>
  <si>
    <t>Longtown</t>
  </si>
  <si>
    <t>CA6 5WR</t>
  </si>
  <si>
    <t>CBDU11244</t>
  </si>
  <si>
    <t>2 Llwynderw Pandy</t>
  </si>
  <si>
    <t>NP7 8DN</t>
  </si>
  <si>
    <t>CBDU11250</t>
  </si>
  <si>
    <t>1 Maes Tomos Clapper Lane</t>
  </si>
  <si>
    <t>LL12 8RP</t>
  </si>
  <si>
    <t>CBDU12045</t>
  </si>
  <si>
    <t>Pantrhiwgoch Farm Michaelston-y-Fedw</t>
  </si>
  <si>
    <t>CF3 6XW</t>
  </si>
  <si>
    <t>CBDL12047</t>
  </si>
  <si>
    <t>Unit 2 Stafford Mill</t>
  </si>
  <si>
    <t>Thrupp</t>
  </si>
  <si>
    <t>GL5 2AZ</t>
  </si>
  <si>
    <t>CBDL12050</t>
  </si>
  <si>
    <t>Brunel Park Brunel Way</t>
  </si>
  <si>
    <t>CBDU12052</t>
  </si>
  <si>
    <t>CBDU12054</t>
  </si>
  <si>
    <t xml:space="preserve">Office 11 Orion Street Enterprise Way </t>
  </si>
  <si>
    <t>CBDL12056</t>
  </si>
  <si>
    <t>Meddygfa Ffordd Gethin</t>
  </si>
  <si>
    <t>LL24 0BP</t>
  </si>
  <si>
    <t>CBDU11505</t>
  </si>
  <si>
    <t>Cwm Bach Llanarmon</t>
  </si>
  <si>
    <t>LL53 6PU</t>
  </si>
  <si>
    <t>CBDU11506</t>
  </si>
  <si>
    <t>Honeyborough House Honeyborough Road</t>
  </si>
  <si>
    <t>SA73 1RE</t>
  </si>
  <si>
    <t>CBDL11510</t>
  </si>
  <si>
    <t>Milestones The Street</t>
  </si>
  <si>
    <t>Sutton Waldron</t>
  </si>
  <si>
    <t>Blandford Forum</t>
  </si>
  <si>
    <t>DT11 8NZ</t>
  </si>
  <si>
    <t>CBDU11513</t>
  </si>
  <si>
    <t>19 Ynyscedwyn Road Ystradgynlais</t>
  </si>
  <si>
    <t>SA9 1BE</t>
  </si>
  <si>
    <t>CBDL11515</t>
  </si>
  <si>
    <t>Cefnperfedd Uchaf Maesmynis</t>
  </si>
  <si>
    <t>LD2 3HU</t>
  </si>
  <si>
    <t>CBDU11516</t>
  </si>
  <si>
    <t>Unit 5 Blaenwern</t>
  </si>
  <si>
    <t>CBDL11517</t>
  </si>
  <si>
    <t xml:space="preserve">62 Kenway Road </t>
  </si>
  <si>
    <t>SW5 0RD</t>
  </si>
  <si>
    <t>CBDL11518</t>
  </si>
  <si>
    <t>Brookfield St. Twynnells</t>
  </si>
  <si>
    <t>SA71 5ED</t>
  </si>
  <si>
    <t>CBDL11730</t>
  </si>
  <si>
    <t>Cefncoch Heyope</t>
  </si>
  <si>
    <t>LD7 1PU</t>
  </si>
  <si>
    <t>CBDU11734</t>
  </si>
  <si>
    <t>515 Pentregethin Road Gendros</t>
  </si>
  <si>
    <t>SA5 8AG</t>
  </si>
  <si>
    <t>CBDL11740</t>
  </si>
  <si>
    <t xml:space="preserve">Ynyslas </t>
  </si>
  <si>
    <t>SY24 5JZ</t>
  </si>
  <si>
    <t>CBDU11742</t>
  </si>
  <si>
    <t>Unit 3 Senlan Industrial Estate</t>
  </si>
  <si>
    <t>Rhymney River Bridge Road</t>
  </si>
  <si>
    <t>CBDU11744</t>
  </si>
  <si>
    <t xml:space="preserve">Llanddarog Road </t>
  </si>
  <si>
    <t>SA32 8BG</t>
  </si>
  <si>
    <t>CBDU12246</t>
  </si>
  <si>
    <t xml:space="preserve">70 Addicott Close </t>
  </si>
  <si>
    <t>CF5 5JR</t>
  </si>
  <si>
    <t>CBDL12247</t>
  </si>
  <si>
    <t>Greenacres Rhostrehwfa</t>
  </si>
  <si>
    <t>LL77 7AX</t>
  </si>
  <si>
    <t>CBDU12248</t>
  </si>
  <si>
    <t>Brecon Court Norman Way</t>
  </si>
  <si>
    <t>NP26 5PT</t>
  </si>
  <si>
    <t>CBDU12249</t>
  </si>
  <si>
    <t>2 Clos Banc Y Berllan Pontarddulais</t>
  </si>
  <si>
    <t>SA4 8JR</t>
  </si>
  <si>
    <t>CBDL12250</t>
  </si>
  <si>
    <t xml:space="preserve">28 Bwlchygwynt </t>
  </si>
  <si>
    <t>SA15 2AQ</t>
  </si>
  <si>
    <t>CBDU12254</t>
  </si>
  <si>
    <t>CBDU12255</t>
  </si>
  <si>
    <t xml:space="preserve">130-132 Upper Richmond Road </t>
  </si>
  <si>
    <t>SW15 2SP</t>
  </si>
  <si>
    <t>CBDL12256</t>
  </si>
  <si>
    <t>Tondu House Farm Tondu</t>
  </si>
  <si>
    <t>CF32 9HF</t>
  </si>
  <si>
    <t>CBDL12257</t>
  </si>
  <si>
    <t xml:space="preserve">8 Station Road </t>
  </si>
  <si>
    <t>SA15 1AL</t>
  </si>
  <si>
    <t>CBDL12259</t>
  </si>
  <si>
    <t xml:space="preserve">Cowbridge Road </t>
  </si>
  <si>
    <t>CF72 9EE</t>
  </si>
  <si>
    <t>CBDU12466</t>
  </si>
  <si>
    <t>Unit 1A BT Buildings Pant Industrial Estate</t>
  </si>
  <si>
    <t>CBDU12468</t>
  </si>
  <si>
    <t>Leadbrook Hall Barn Leadbrook Drive</t>
  </si>
  <si>
    <t>CH6 5ST</t>
  </si>
  <si>
    <t>CBDL12471</t>
  </si>
  <si>
    <t>Flat 2K Shillington Old School</t>
  </si>
  <si>
    <t>181 Este Road</t>
  </si>
  <si>
    <t>SW11 2TB</t>
  </si>
  <si>
    <t>CBDU12473</t>
  </si>
  <si>
    <t>5 Heol Spencer Coity</t>
  </si>
  <si>
    <t>CF35 6FB</t>
  </si>
  <si>
    <t>CBDL12474</t>
  </si>
  <si>
    <t xml:space="preserve">Penally </t>
  </si>
  <si>
    <t>SA70 7PS</t>
  </si>
  <si>
    <t>CBDL12475</t>
  </si>
  <si>
    <t>20 Laurel Park St. Arvans</t>
  </si>
  <si>
    <t>NP16 6ED</t>
  </si>
  <si>
    <t>CBDL12477</t>
  </si>
  <si>
    <t xml:space="preserve">78 Westcombe Hill </t>
  </si>
  <si>
    <t>blackheath</t>
  </si>
  <si>
    <t>SE3 7DT</t>
  </si>
  <si>
    <t>CBDU12478</t>
  </si>
  <si>
    <t>Unit 6 Delta Lakes Enterprise Centre</t>
  </si>
  <si>
    <t>CBDU12480</t>
  </si>
  <si>
    <t>Caerllwyn Ganol Farm Twyn-Gwyn Road</t>
  </si>
  <si>
    <t>NP11 7AY</t>
  </si>
  <si>
    <t>CBDU12802</t>
  </si>
  <si>
    <t>Mountain View Nant Mawr Road</t>
  </si>
  <si>
    <t>CH7 2BS</t>
  </si>
  <si>
    <t>CBDU12803</t>
  </si>
  <si>
    <t>CBDL12806</t>
  </si>
  <si>
    <t xml:space="preserve">27 Cyncoed Road </t>
  </si>
  <si>
    <t>CF23 5SA</t>
  </si>
  <si>
    <t>CBDL12808</t>
  </si>
  <si>
    <t xml:space="preserve">20 George Street </t>
  </si>
  <si>
    <t>SA15 2NB</t>
  </si>
  <si>
    <t>CBDU12810</t>
  </si>
  <si>
    <t>LL13 9UF</t>
  </si>
  <si>
    <t>CBDU12811</t>
  </si>
  <si>
    <t>Gerynant Penegoes</t>
  </si>
  <si>
    <t>SY20 8UN</t>
  </si>
  <si>
    <t>CBDU12812</t>
  </si>
  <si>
    <t>Ty Bryn Havard Road</t>
  </si>
  <si>
    <t>SA14 8SA</t>
  </si>
  <si>
    <t>CBDU12813</t>
  </si>
  <si>
    <t>1 Penybanc Lane Gorseinon</t>
  </si>
  <si>
    <t>SA4 4FZ</t>
  </si>
  <si>
    <t>CBDU12816</t>
  </si>
  <si>
    <t>Unit 11 Gripoly Mills</t>
  </si>
  <si>
    <t>Sloper Road</t>
  </si>
  <si>
    <t>CF11 8AA</t>
  </si>
  <si>
    <t>CBDU12817</t>
  </si>
  <si>
    <t>CBDU12818</t>
  </si>
  <si>
    <t>Ty Peniel Penygroes Road</t>
  </si>
  <si>
    <t>Caerbryn</t>
  </si>
  <si>
    <t>SA18 3DQ</t>
  </si>
  <si>
    <t>CBDL12596</t>
  </si>
  <si>
    <t>43 Upper Aston Hall Lane Hawarden</t>
  </si>
  <si>
    <t>CH5 3EN</t>
  </si>
  <si>
    <t>CBDU12597</t>
  </si>
  <si>
    <t>37 Welsh Road Garden City</t>
  </si>
  <si>
    <t>CBDL12602</t>
  </si>
  <si>
    <t xml:space="preserve">113 High Street </t>
  </si>
  <si>
    <t>CF47 8AP</t>
  </si>
  <si>
    <t>CBDU12607</t>
  </si>
  <si>
    <t>Halfway House Popehill</t>
  </si>
  <si>
    <t>SA62 3NX</t>
  </si>
  <si>
    <t>CBDL12609</t>
  </si>
  <si>
    <t>oakwood gwystre</t>
  </si>
  <si>
    <t>LD1 6RN</t>
  </si>
  <si>
    <t>CBDL13024</t>
  </si>
  <si>
    <t>Glyn Garth Llidiartywaun</t>
  </si>
  <si>
    <t>SY18 6JX</t>
  </si>
  <si>
    <t>CBDU13027</t>
  </si>
  <si>
    <t xml:space="preserve">18 Stapley Road </t>
  </si>
  <si>
    <t>Hove</t>
  </si>
  <si>
    <t>BN3 7FD</t>
  </si>
  <si>
    <t>CBDU13029</t>
  </si>
  <si>
    <t xml:space="preserve">14 Charles Avenue </t>
  </si>
  <si>
    <t>Whitley Bay</t>
  </si>
  <si>
    <t>NE26 1AG</t>
  </si>
  <si>
    <t>CBDL13033</t>
  </si>
  <si>
    <t>Unit 2 Crown Point House</t>
  </si>
  <si>
    <t>Butterley Street</t>
  </si>
  <si>
    <t>LS10 1AW</t>
  </si>
  <si>
    <t>CBDL13036</t>
  </si>
  <si>
    <t xml:space="preserve">176 Ingrave Road </t>
  </si>
  <si>
    <t>CM13 2AG</t>
  </si>
  <si>
    <t>CBDU13038</t>
  </si>
  <si>
    <t>35 Brake Close Bradley Stoke</t>
  </si>
  <si>
    <t>BS32 8BA</t>
  </si>
  <si>
    <t>CBDL13184</t>
  </si>
  <si>
    <t>Archies recovery  Albion parade l</t>
  </si>
  <si>
    <t>Canal basin</t>
  </si>
  <si>
    <t>Gravsend</t>
  </si>
  <si>
    <t>Da122rn</t>
  </si>
  <si>
    <t>CBDL13187</t>
  </si>
  <si>
    <t>High Street Lyminge</t>
  </si>
  <si>
    <t>CT18 8EL</t>
  </si>
  <si>
    <t>CBDU13191</t>
  </si>
  <si>
    <t xml:space="preserve">Jubilee Road </t>
  </si>
  <si>
    <t>CH7 2BF</t>
  </si>
  <si>
    <t>CBDU13193</t>
  </si>
  <si>
    <t>Ashburnham Works Derwydd Road</t>
  </si>
  <si>
    <t>SA16 0ET</t>
  </si>
  <si>
    <t>CBDU13388</t>
  </si>
  <si>
    <t>Dovah 67 Bangor Road</t>
  </si>
  <si>
    <t>LL14 2SR</t>
  </si>
  <si>
    <t>CBDU13391</t>
  </si>
  <si>
    <t>Isfryn Bush Road</t>
  </si>
  <si>
    <t>LL56 4UJ</t>
  </si>
  <si>
    <t>CBDL13392</t>
  </si>
  <si>
    <t>Western Slade Farm Slade</t>
  </si>
  <si>
    <t>Oxwich</t>
  </si>
  <si>
    <t>SA3 1NA</t>
  </si>
  <si>
    <t>CBDL141</t>
  </si>
  <si>
    <t>6 Castle Street</t>
  </si>
  <si>
    <t>CBDL143</t>
  </si>
  <si>
    <t>The Old School Hereford Street</t>
  </si>
  <si>
    <t>LD82AT</t>
  </si>
  <si>
    <t>CBDL145</t>
  </si>
  <si>
    <t>Guildfield Welshpool</t>
  </si>
  <si>
    <t>SY21 9PH</t>
  </si>
  <si>
    <t>CBDL146</t>
  </si>
  <si>
    <t>Unit 3 Talgarth Business Park</t>
  </si>
  <si>
    <t>LB3 0PQ</t>
  </si>
  <si>
    <t>CBDL147</t>
  </si>
  <si>
    <t>CBDL149</t>
  </si>
  <si>
    <t>42A Madoc Street</t>
  </si>
  <si>
    <t>LL30 2TW</t>
  </si>
  <si>
    <t>CBDL152</t>
  </si>
  <si>
    <t>87 Lammas Street</t>
  </si>
  <si>
    <t>CBDL153</t>
  </si>
  <si>
    <t>14 Colwyn Avenue</t>
  </si>
  <si>
    <t>Rhos on sea</t>
  </si>
  <si>
    <t>LL28 4RB</t>
  </si>
  <si>
    <t>CBDL154</t>
  </si>
  <si>
    <t>CBDL155</t>
  </si>
  <si>
    <t>The Salvation Army Eastmoors Road</t>
  </si>
  <si>
    <t>CF24 5SA</t>
  </si>
  <si>
    <t>CBDL156</t>
  </si>
  <si>
    <t>CBDL642</t>
  </si>
  <si>
    <t>Unit 5 Parc Ffordd Las</t>
  </si>
  <si>
    <t>CBDL645</t>
  </si>
  <si>
    <t>Coed Isaf Nursing Home Bryn Lupus Road</t>
  </si>
  <si>
    <t>LL30 1SR</t>
  </si>
  <si>
    <t>CBDL646</t>
  </si>
  <si>
    <t>CBDL649</t>
  </si>
  <si>
    <t>Unit 3 Ffordd Sam Pari</t>
  </si>
  <si>
    <t>Conwy Morfa</t>
  </si>
  <si>
    <t>CBDL650</t>
  </si>
  <si>
    <t>Public Protection Service Vale of Glamorgan Council</t>
  </si>
  <si>
    <t>CF63 4RN</t>
  </si>
  <si>
    <t>CBDL651</t>
  </si>
  <si>
    <t>The Kennels Itton</t>
  </si>
  <si>
    <t>NP16 7LX</t>
  </si>
  <si>
    <t>CBDL652</t>
  </si>
  <si>
    <t>Unit 4 Navagation Park</t>
  </si>
  <si>
    <t>CBDL653</t>
  </si>
  <si>
    <t>St Cadocs Hospital  -   Lodge Road</t>
  </si>
  <si>
    <t xml:space="preserve">Caerleon </t>
  </si>
  <si>
    <t>NP18 3XQ</t>
  </si>
  <si>
    <t>CBDL655</t>
  </si>
  <si>
    <t>Unit 1 Mochdre Creamery Trade Parc Station Road</t>
  </si>
  <si>
    <t>CBDL656</t>
  </si>
  <si>
    <t>60 Wyverne Road</t>
  </si>
  <si>
    <t>CF24 4BH</t>
  </si>
  <si>
    <t>CBDL837</t>
  </si>
  <si>
    <t>Plantagenet House Quay hill</t>
  </si>
  <si>
    <t>SA707BX</t>
  </si>
  <si>
    <t>CBDL838</t>
  </si>
  <si>
    <t>CBDL840</t>
  </si>
  <si>
    <t>The Old School High Street</t>
  </si>
  <si>
    <t>Defynnog</t>
  </si>
  <si>
    <t>LD3 8SL</t>
  </si>
  <si>
    <t>CBDL841</t>
  </si>
  <si>
    <t>Aberconwy Car Hire Building Maesdu Road</t>
  </si>
  <si>
    <t>LL301HP</t>
  </si>
  <si>
    <t>CBDL845</t>
  </si>
  <si>
    <t>Oakfield Nant GLas</t>
  </si>
  <si>
    <t>CBDL846</t>
  </si>
  <si>
    <t>CBDL848</t>
  </si>
  <si>
    <t xml:space="preserve">Tyntyla Farm Ystrad </t>
  </si>
  <si>
    <t>CF41 7SP</t>
  </si>
  <si>
    <t>CBDL849</t>
  </si>
  <si>
    <t>19 Lincoln Ave</t>
  </si>
  <si>
    <t>Rush Green</t>
  </si>
  <si>
    <t>RM7 0SR</t>
  </si>
  <si>
    <t>CBDL850</t>
  </si>
  <si>
    <t xml:space="preserve">The Royal Mint Llantrisant Buisness Park </t>
  </si>
  <si>
    <t xml:space="preserve">Llantrisant </t>
  </si>
  <si>
    <t>CF72 8YT</t>
  </si>
  <si>
    <t>CBDL1081</t>
  </si>
  <si>
    <t>Unit 16 Milland Road Industrial Est</t>
  </si>
  <si>
    <t>CBDL1085</t>
  </si>
  <si>
    <t>7 Car Pwll</t>
  </si>
  <si>
    <t>DinasPowys</t>
  </si>
  <si>
    <t>CF64 4UJ</t>
  </si>
  <si>
    <t>CBDL1088</t>
  </si>
  <si>
    <t>59 Jim Driscoll Way</t>
  </si>
  <si>
    <t>CF11 7JL</t>
  </si>
  <si>
    <t>CBDL1089</t>
  </si>
  <si>
    <t>Brecon bowling Club Mill lane</t>
  </si>
  <si>
    <t>Kensington</t>
  </si>
  <si>
    <t>LD3 9BA</t>
  </si>
  <si>
    <t>CBDL1091</t>
  </si>
  <si>
    <t>Marle Hall Marl Lane</t>
  </si>
  <si>
    <t>Llandudno junction</t>
  </si>
  <si>
    <t>LL319ja</t>
  </si>
  <si>
    <t>CBDL1092</t>
  </si>
  <si>
    <t>Dragon Works Henfaes Lane</t>
  </si>
  <si>
    <t>CBDL1093</t>
  </si>
  <si>
    <t>CBDL1324</t>
  </si>
  <si>
    <t>1a Church Lane</t>
  </si>
  <si>
    <t>CBDL1325</t>
  </si>
  <si>
    <t>Ty Silyn Y Sgwar</t>
  </si>
  <si>
    <t>LL54 6LY</t>
  </si>
  <si>
    <t>CBDL1326</t>
  </si>
  <si>
    <t>Green Meadows Heol Creigiau</t>
  </si>
  <si>
    <t>Efailisaf</t>
  </si>
  <si>
    <t>CF38 1BG</t>
  </si>
  <si>
    <t>CBDL1329</t>
  </si>
  <si>
    <t>77  Conway Road</t>
  </si>
  <si>
    <t>LL29 7LN</t>
  </si>
  <si>
    <t>CBDL1330</t>
  </si>
  <si>
    <t>31 Cedar Way</t>
  </si>
  <si>
    <t>CF82 7DR</t>
  </si>
  <si>
    <t>CBDL1332</t>
  </si>
  <si>
    <t>LLANTRISANT BUSINESS PARK LLANTRISANT</t>
  </si>
  <si>
    <t>CBDL1333</t>
  </si>
  <si>
    <t>CBDL1335</t>
  </si>
  <si>
    <t>Station garage Bryb Road</t>
  </si>
  <si>
    <t>BRYNMENYN</t>
  </si>
  <si>
    <t>Cf31 9la</t>
  </si>
  <si>
    <t>CBDL1336</t>
  </si>
  <si>
    <t>7 Merthyr Tydfil Industrial Estate</t>
  </si>
  <si>
    <t>CF47 4DR</t>
  </si>
  <si>
    <t>CBDL1338</t>
  </si>
  <si>
    <t>80 station road</t>
  </si>
  <si>
    <t>sa151an</t>
  </si>
  <si>
    <t>CBDL1564</t>
  </si>
  <si>
    <t>unit 7  Thomas Gilchrist Industrial Estate</t>
  </si>
  <si>
    <t>CBDL1565</t>
  </si>
  <si>
    <t xml:space="preserve">89 Lon brynawel </t>
  </si>
  <si>
    <t>Sa7 9sy</t>
  </si>
  <si>
    <t>CBDL1572</t>
  </si>
  <si>
    <t>Felinycoed Taliaris</t>
  </si>
  <si>
    <t>SA197BY</t>
  </si>
  <si>
    <t>CBDL1574</t>
  </si>
  <si>
    <t>539 Cowbridge Road east</t>
  </si>
  <si>
    <t>Victoria Park</t>
  </si>
  <si>
    <t>CF5 1BD</t>
  </si>
  <si>
    <t>CBDL1576</t>
  </si>
  <si>
    <t>2c Queens Lane</t>
  </si>
  <si>
    <t>CBDL1577</t>
  </si>
  <si>
    <t>Viscount House Saltney</t>
  </si>
  <si>
    <t>CBDL1578</t>
  </si>
  <si>
    <t>Morfa Bay Adventure West Park</t>
  </si>
  <si>
    <t>sa33 4ph</t>
  </si>
  <si>
    <t>CBDL1579</t>
  </si>
  <si>
    <t>CBDU1776</t>
  </si>
  <si>
    <t>Unit 5 Oakwood Close</t>
  </si>
  <si>
    <t>CBDL1780</t>
  </si>
  <si>
    <t>Arvon House Temple Street</t>
  </si>
  <si>
    <t>LD1 5DP</t>
  </si>
  <si>
    <t>CBDL1789</t>
  </si>
  <si>
    <t xml:space="preserve">Ffrwdgrech Industrial Estate </t>
  </si>
  <si>
    <t>CBDL1793</t>
  </si>
  <si>
    <t>Unit 38 Enterprise Way</t>
  </si>
  <si>
    <t>CBDL2026</t>
  </si>
  <si>
    <t>Network House Conway Road</t>
  </si>
  <si>
    <t>CBDL2423</t>
  </si>
  <si>
    <t>Oernant Caemorgan Road</t>
  </si>
  <si>
    <t>SA43 1QU</t>
  </si>
  <si>
    <t>CBDL2425</t>
  </si>
  <si>
    <t>Ty Elusen Bay Studios Business Park</t>
  </si>
  <si>
    <t>Fabian Way</t>
  </si>
  <si>
    <t>SA1 8QJ</t>
  </si>
  <si>
    <t>CBDL2426</t>
  </si>
  <si>
    <t>CBDL2427</t>
  </si>
  <si>
    <t>13 Fardre Crescent Pentre'r Eglwys</t>
  </si>
  <si>
    <t>CF38 1DU</t>
  </si>
  <si>
    <t>CBDL2429</t>
  </si>
  <si>
    <t>Tir Bont Cefneithin</t>
  </si>
  <si>
    <t>SA14 7HL</t>
  </si>
  <si>
    <t>CBDL2217</t>
  </si>
  <si>
    <t>The Albert Hall Ithon Road</t>
  </si>
  <si>
    <t>LLandrindod Wells</t>
  </si>
  <si>
    <t>LD1 6AS</t>
  </si>
  <si>
    <t>CBDL2682</t>
  </si>
  <si>
    <t>Main Road Y Creunant</t>
  </si>
  <si>
    <t>CBDL2684</t>
  </si>
  <si>
    <t>Caerphilly County Borough Council Environmental Health Department</t>
  </si>
  <si>
    <t>Ty Penallta Tredomen Park</t>
  </si>
  <si>
    <t>CF82 7PG</t>
  </si>
  <si>
    <t>CBDL2686</t>
  </si>
  <si>
    <t xml:space="preserve">62 Broadway </t>
  </si>
  <si>
    <t>NP4 6HW</t>
  </si>
  <si>
    <t>CBDL2692</t>
  </si>
  <si>
    <t>Unit 5 Cambrian Court</t>
  </si>
  <si>
    <t>CBDL3112</t>
  </si>
  <si>
    <t>2 Craig Y Don</t>
  </si>
  <si>
    <t>LL22 7RL</t>
  </si>
  <si>
    <t>CBDL3113</t>
  </si>
  <si>
    <t>11D Dock Road Connah's Quay</t>
  </si>
  <si>
    <t>CBDL3121</t>
  </si>
  <si>
    <t xml:space="preserve">Cae Einion </t>
  </si>
  <si>
    <t>LL21 9BY</t>
  </si>
  <si>
    <t>CBDL2888</t>
  </si>
  <si>
    <t>Chester Road Bretton</t>
  </si>
  <si>
    <t>CH4 0DF</t>
  </si>
  <si>
    <t>CBDL2893</t>
  </si>
  <si>
    <t>Unit 11 Mardon Park</t>
  </si>
  <si>
    <t>CBDL3354</t>
  </si>
  <si>
    <t>Alfred Cook Building Canal Parade</t>
  </si>
  <si>
    <t>CF10 5RD</t>
  </si>
  <si>
    <t>CBDL3355</t>
  </si>
  <si>
    <t>Myrick House Hen-Domen</t>
  </si>
  <si>
    <t>CBDL3852</t>
  </si>
  <si>
    <t>CBDL3854</t>
  </si>
  <si>
    <t>6 Malford Grove Gilwern</t>
  </si>
  <si>
    <t>NP7 0RN</t>
  </si>
  <si>
    <t>CBDL3855</t>
  </si>
  <si>
    <t>Rear Of 75 - 80 Bailey Street</t>
  </si>
  <si>
    <t>CF41 7EN</t>
  </si>
  <si>
    <t>CBDL3857</t>
  </si>
  <si>
    <t>Unit 21-27 Fort Industrial Park</t>
  </si>
  <si>
    <t>Castle Vale</t>
  </si>
  <si>
    <t>B35 7AR</t>
  </si>
  <si>
    <t>CBDL3860</t>
  </si>
  <si>
    <t>11-13 Dingle Road Upholland</t>
  </si>
  <si>
    <t>Skelmersdale</t>
  </si>
  <si>
    <t>WN8 0EN</t>
  </si>
  <si>
    <t>CBDL3861</t>
  </si>
  <si>
    <t xml:space="preserve">39 Broad Street </t>
  </si>
  <si>
    <t>SY21 7RR</t>
  </si>
  <si>
    <t>CBDL4357</t>
  </si>
  <si>
    <t>CBDL4589</t>
  </si>
  <si>
    <t>37 Lower Street Great Doddington</t>
  </si>
  <si>
    <t>NN29 7TL</t>
  </si>
  <si>
    <t>CBDL4593</t>
  </si>
  <si>
    <t>Pembroke House Ellice way</t>
  </si>
  <si>
    <t>Wrexham Technology Park</t>
  </si>
  <si>
    <t>LL13 7YT</t>
  </si>
  <si>
    <t>CBDL5018</t>
  </si>
  <si>
    <t>Unit B4 Garth Works</t>
  </si>
  <si>
    <t>CF15 7RN</t>
  </si>
  <si>
    <t>CBDL5024</t>
  </si>
  <si>
    <t>WORKSHOP 1 AND 2 OPP 21 BERTH PERIMTER ROAD</t>
  </si>
  <si>
    <t>TILBURY FREEPORT</t>
  </si>
  <si>
    <t>TILBURY</t>
  </si>
  <si>
    <t>RM18 7JJ</t>
  </si>
  <si>
    <t>CBDL4115</t>
  </si>
  <si>
    <t>Ganol Yr Aran Llangedwyn</t>
  </si>
  <si>
    <t>SY10 9LB</t>
  </si>
  <si>
    <t>CBDL4782</t>
  </si>
  <si>
    <t>Riverside Farm Pool Road</t>
  </si>
  <si>
    <t>Otley</t>
  </si>
  <si>
    <t>LS21 1EA</t>
  </si>
  <si>
    <t>CBDL4787</t>
  </si>
  <si>
    <t>Biwmares</t>
  </si>
  <si>
    <t>CBDL5246</t>
  </si>
  <si>
    <t>224 Neath Road Landore</t>
  </si>
  <si>
    <t>CBDU5538</t>
  </si>
  <si>
    <t>LD7 1DS</t>
  </si>
  <si>
    <t>CBDU5544</t>
  </si>
  <si>
    <t>Unit 9 Newtown Industrial Estate</t>
  </si>
  <si>
    <t>NP11 7PZ</t>
  </si>
  <si>
    <t>CBDL5546</t>
  </si>
  <si>
    <t>Green Acres Underhill</t>
  </si>
  <si>
    <t>YO21 2PF</t>
  </si>
  <si>
    <t>CBDU5548</t>
  </si>
  <si>
    <t>Tower house Castle street</t>
  </si>
  <si>
    <t>CBDL5551</t>
  </si>
  <si>
    <t>Morley House 539 Woodborough Road</t>
  </si>
  <si>
    <t>NG3 5FR</t>
  </si>
  <si>
    <t>CBDU5553</t>
  </si>
  <si>
    <t>CBDL5782</t>
  </si>
  <si>
    <t>Heart Of Wales SSTN Station Road</t>
  </si>
  <si>
    <t>LD2 3SS</t>
  </si>
  <si>
    <t>CBDL5785</t>
  </si>
  <si>
    <t>15 High Street</t>
  </si>
  <si>
    <t>Overton</t>
  </si>
  <si>
    <t>LL13 0ED</t>
  </si>
  <si>
    <t>CBDU5787</t>
  </si>
  <si>
    <t>CBDU5788</t>
  </si>
  <si>
    <t>Nant Newwydd Caravan Park  Brynteg</t>
  </si>
  <si>
    <t xml:space="preserve">Anglesey </t>
  </si>
  <si>
    <t xml:space="preserve">North Wales </t>
  </si>
  <si>
    <t>LL78 7JH</t>
  </si>
  <si>
    <t>CBDU5791</t>
  </si>
  <si>
    <t xml:space="preserve">Pensarn Industrial Estate </t>
  </si>
  <si>
    <t>LL22 7SF</t>
  </si>
  <si>
    <t>CBDL5792</t>
  </si>
  <si>
    <t>James Jones and Sons Limited Oak Road</t>
  </si>
  <si>
    <t>CBDU5793</t>
  </si>
  <si>
    <t>1 Glan Pelenna Pontrhydyfen</t>
  </si>
  <si>
    <t>SA12 9UA</t>
  </si>
  <si>
    <t>CBDU5794</t>
  </si>
  <si>
    <t>Kingspan Light + Air (UK &amp; Ireland) Limited Unit 7 Mellyn Mair Business Centre</t>
  </si>
  <si>
    <t>CBDU5796</t>
  </si>
  <si>
    <t xml:space="preserve">31A Coronation Road </t>
  </si>
  <si>
    <t>CF14 4QY</t>
  </si>
  <si>
    <t>CBDU5798</t>
  </si>
  <si>
    <t>Yew Tree House Stryt Isa</t>
  </si>
  <si>
    <t>CH4 0JY</t>
  </si>
  <si>
    <t>CBDU5799</t>
  </si>
  <si>
    <t>Unit 27 Heol Stanllyd</t>
  </si>
  <si>
    <t>CBDU5800</t>
  </si>
  <si>
    <t xml:space="preserve">9 Market Street </t>
  </si>
  <si>
    <t>LL68 9ET</t>
  </si>
  <si>
    <t>CBDU5802</t>
  </si>
  <si>
    <t>12 Dunster Court Furzton</t>
  </si>
  <si>
    <t>Milton Keynes</t>
  </si>
  <si>
    <t>MK4 1DG</t>
  </si>
  <si>
    <t>CBDL5262</t>
  </si>
  <si>
    <t>Tralee New Mill</t>
  </si>
  <si>
    <t>SA33 4HZ</t>
  </si>
  <si>
    <t>CBDL5268</t>
  </si>
  <si>
    <t>20 Stryd Yr Wyddfa Llanberis</t>
  </si>
  <si>
    <t>LL55 4HE</t>
  </si>
  <si>
    <t>CBDU6291</t>
  </si>
  <si>
    <t>1 Aman Place Cwmaman</t>
  </si>
  <si>
    <t>CF44 6PE</t>
  </si>
  <si>
    <t>CBDU6295</t>
  </si>
  <si>
    <t>The Hafod Garage Old Abergavenny Road</t>
  </si>
  <si>
    <t>NP23 4GU</t>
  </si>
  <si>
    <t>CBDU6297</t>
  </si>
  <si>
    <t>Foundry Works Dc Griffiths Way</t>
  </si>
  <si>
    <t>SA11 1AU</t>
  </si>
  <si>
    <t>CBDU6300</t>
  </si>
  <si>
    <t>9 WATERSTON IND. ESTATE</t>
  </si>
  <si>
    <t xml:space="preserve">MILFORD HAVEN </t>
  </si>
  <si>
    <t>CBDU6301</t>
  </si>
  <si>
    <t>CBDU6302</t>
  </si>
  <si>
    <t>Unit 1 Guest Road</t>
  </si>
  <si>
    <t>CBDU6303</t>
  </si>
  <si>
    <t>CBDU6304</t>
  </si>
  <si>
    <t>Bryn Y Grog Fagl Lane</t>
  </si>
  <si>
    <t>Yr Hob</t>
  </si>
  <si>
    <t>LL12 9RB</t>
  </si>
  <si>
    <t>CBDL6305</t>
  </si>
  <si>
    <t xml:space="preserve">63 Medway Road </t>
  </si>
  <si>
    <t>Ferndown</t>
  </si>
  <si>
    <t>BH22 8UU</t>
  </si>
  <si>
    <t>CBDU6307</t>
  </si>
  <si>
    <t>The sawmills Garthmyl</t>
  </si>
  <si>
    <t xml:space="preserve">Montgomery </t>
  </si>
  <si>
    <t>Sy15 6rr</t>
  </si>
  <si>
    <t>CBDU6308</t>
  </si>
  <si>
    <t>Brohedydd Pont Henri</t>
  </si>
  <si>
    <t>SA15 5PF</t>
  </si>
  <si>
    <t>CBDU6309</t>
  </si>
  <si>
    <t xml:space="preserve">63 Ffordd Abergele </t>
  </si>
  <si>
    <t>CBDU6035</t>
  </si>
  <si>
    <t>Unit 3 Vale Enterprise Centre</t>
  </si>
  <si>
    <t>Hayes Road</t>
  </si>
  <si>
    <t>CF64 5SY</t>
  </si>
  <si>
    <t>CBDU6036</t>
  </si>
  <si>
    <t xml:space="preserve">62 Fishguard Road </t>
  </si>
  <si>
    <t>SA61 2QA</t>
  </si>
  <si>
    <t>CBDL6037</t>
  </si>
  <si>
    <t>Meadow Street Townhill</t>
  </si>
  <si>
    <t>SA1 6RZ</t>
  </si>
  <si>
    <t>CBDU6040</t>
  </si>
  <si>
    <t xml:space="preserve">Glassworks Cottages </t>
  </si>
  <si>
    <t>NP20 5NL</t>
  </si>
  <si>
    <t>CBDU6042</t>
  </si>
  <si>
    <t>8 Ffordd Dyfed Rhosllanerchrugog</t>
  </si>
  <si>
    <t>LL14 2ES</t>
  </si>
  <si>
    <t>CBDU6043</t>
  </si>
  <si>
    <t>The Firs Llanvaches</t>
  </si>
  <si>
    <t>NP26 3BA</t>
  </si>
  <si>
    <t>CBDU6044</t>
  </si>
  <si>
    <t xml:space="preserve">124 Rhosnesni Lane </t>
  </si>
  <si>
    <t>LL12 7NB</t>
  </si>
  <si>
    <t>CBDU6046</t>
  </si>
  <si>
    <t>Unit 10 Newtown Industrial Estate</t>
  </si>
  <si>
    <t>Llanilltud Faerdref</t>
  </si>
  <si>
    <t>CBDL6048</t>
  </si>
  <si>
    <t>Furman House Shap Road</t>
  </si>
  <si>
    <t>LA9 6RU</t>
  </si>
  <si>
    <t>CBDU6050</t>
  </si>
  <si>
    <t>TY CARREG MAWR LLANDEGVETH</t>
  </si>
  <si>
    <t>CAERLEON</t>
  </si>
  <si>
    <t>NP18 1HX</t>
  </si>
  <si>
    <t>CBDU6052</t>
  </si>
  <si>
    <t>81 Dillwyn Road Sketty</t>
  </si>
  <si>
    <t>SA2 9AH</t>
  </si>
  <si>
    <t>CBDU6054</t>
  </si>
  <si>
    <t>CBDU6057</t>
  </si>
  <si>
    <t>Croes Foel Farm Wrexham Road</t>
  </si>
  <si>
    <t>LL14 4DR</t>
  </si>
  <si>
    <t>CBDU6059</t>
  </si>
  <si>
    <t>1 Gilfach Maen Isaf Cottages Trelewis</t>
  </si>
  <si>
    <t>CF46 6BD</t>
  </si>
  <si>
    <t>CBDL6831</t>
  </si>
  <si>
    <t>51 Nun Street Tyddewi</t>
  </si>
  <si>
    <t>SA62 6NU</t>
  </si>
  <si>
    <t>CBDU6832</t>
  </si>
  <si>
    <t xml:space="preserve">31 Jellicoe Avenue </t>
  </si>
  <si>
    <t>DA12 5HU</t>
  </si>
  <si>
    <t>CBDU6840</t>
  </si>
  <si>
    <t xml:space="preserve">37 Church Road </t>
  </si>
  <si>
    <t>CF63 1JX</t>
  </si>
  <si>
    <t>CBDU6841</t>
  </si>
  <si>
    <t>SA45 9TY</t>
  </si>
  <si>
    <t>CBDU6842</t>
  </si>
  <si>
    <t xml:space="preserve">35 Grove Park Drive </t>
  </si>
  <si>
    <t>NP20 6YE</t>
  </si>
  <si>
    <t>CBDU6844</t>
  </si>
  <si>
    <t>CBDU6846</t>
  </si>
  <si>
    <t>Pen Mynydd Llanfairynghornwy</t>
  </si>
  <si>
    <t>LL65 4LY</t>
  </si>
  <si>
    <t>CBDU6847</t>
  </si>
  <si>
    <t>Unit 1 Pinner Parc</t>
  </si>
  <si>
    <t>SA34 0RA</t>
  </si>
  <si>
    <t>CBDU6848</t>
  </si>
  <si>
    <t>2 Hawtin Park Gellihaf</t>
  </si>
  <si>
    <t>NP12 2EU</t>
  </si>
  <si>
    <t>SC146277</t>
  </si>
  <si>
    <t>CBDU6849</t>
  </si>
  <si>
    <t xml:space="preserve">320 Monkmoor Road </t>
  </si>
  <si>
    <t>Shrewsbury</t>
  </si>
  <si>
    <t>SY2 5TL</t>
  </si>
  <si>
    <t>CBDU6850</t>
  </si>
  <si>
    <t xml:space="preserve">40 Penygarn Road </t>
  </si>
  <si>
    <t>SA18 3PB</t>
  </si>
  <si>
    <t>CBDU6594</t>
  </si>
  <si>
    <t>Villiers Road Sgiwen</t>
  </si>
  <si>
    <t>SA10 6AU</t>
  </si>
  <si>
    <t>CBDU6595</t>
  </si>
  <si>
    <t>Pantyrathro Manor Llangain</t>
  </si>
  <si>
    <t>SA33 5AJ</t>
  </si>
  <si>
    <t>CBDU6596</t>
  </si>
  <si>
    <t>5 View Street Eccleston</t>
  </si>
  <si>
    <t>PR7 5SP</t>
  </si>
  <si>
    <t>CBDL6598</t>
  </si>
  <si>
    <t>St. Marys House 47 Penarth Road</t>
  </si>
  <si>
    <t>CF10 5DJ</t>
  </si>
  <si>
    <t>CBDU6599</t>
  </si>
  <si>
    <t>CBDU6600</t>
  </si>
  <si>
    <t>23 Ramsey Road Clydach</t>
  </si>
  <si>
    <t>SA6 5JU</t>
  </si>
  <si>
    <t>CBDL6603</t>
  </si>
  <si>
    <t>Llety Tirion Garth Mountain Road</t>
  </si>
  <si>
    <t>CF34 0DQ</t>
  </si>
  <si>
    <t>CBDL6608</t>
  </si>
  <si>
    <t>67 Trewyddfa Road Morriston</t>
  </si>
  <si>
    <t>SA6 8NY</t>
  </si>
  <si>
    <t>CBDU6609</t>
  </si>
  <si>
    <t>Tydu Farm Tydu Road</t>
  </si>
  <si>
    <t>CF46 6PH</t>
  </si>
  <si>
    <t>CBDU6610</t>
  </si>
  <si>
    <t>9 New Street Aberafan</t>
  </si>
  <si>
    <t>SA12 6HG</t>
  </si>
  <si>
    <t>CBDU6611</t>
  </si>
  <si>
    <t>13 Trinity Square</t>
  </si>
  <si>
    <t>LL30 2RB</t>
  </si>
  <si>
    <t>CBDL6612</t>
  </si>
  <si>
    <t>Unit 14 Former Burberry Factory</t>
  </si>
  <si>
    <t xml:space="preserve">abergorki Ind estate </t>
  </si>
  <si>
    <t>CF41 6DL</t>
  </si>
  <si>
    <t>CBDU7423</t>
  </si>
  <si>
    <t>Unit 13 51 Village Farm Road</t>
  </si>
  <si>
    <t>CBDU7425</t>
  </si>
  <si>
    <t>Sunnyside Kingcoed</t>
  </si>
  <si>
    <t>NP15 1DS</t>
  </si>
  <si>
    <t>CBDU7426</t>
  </si>
  <si>
    <t>Unit 6 Esperanto Way</t>
  </si>
  <si>
    <t>CBDU7427</t>
  </si>
  <si>
    <t>Unit 5 Lawrence Court</t>
  </si>
  <si>
    <t>Greenway</t>
  </si>
  <si>
    <t>CBDU7428</t>
  </si>
  <si>
    <t>CBDL7429</t>
  </si>
  <si>
    <t>18 Waterside Business Park Lamby Way</t>
  </si>
  <si>
    <t>CBDL7431</t>
  </si>
  <si>
    <t>The Garage Llanrhaeadr Ym Mochnant</t>
  </si>
  <si>
    <t>SY10 0AD</t>
  </si>
  <si>
    <t>CBDL7432</t>
  </si>
  <si>
    <t xml:space="preserve">Norwich Road </t>
  </si>
  <si>
    <t>CF23 9AB</t>
  </si>
  <si>
    <t>CBDL7433</t>
  </si>
  <si>
    <t xml:space="preserve">17-21 Wharf Road </t>
  </si>
  <si>
    <t>NP19 8ET</t>
  </si>
  <si>
    <t>CBDL7434</t>
  </si>
  <si>
    <t>Unit 5 Davids Close</t>
  </si>
  <si>
    <t>David Street</t>
  </si>
  <si>
    <t>CBDU7189</t>
  </si>
  <si>
    <t xml:space="preserve">9 Lombard Road </t>
  </si>
  <si>
    <t>SW19 3UP</t>
  </si>
  <si>
    <t>CBDU7191</t>
  </si>
  <si>
    <t>305 Abergele Road Old Colwyn</t>
  </si>
  <si>
    <t>LL29 9YF</t>
  </si>
  <si>
    <t>CBDU7192</t>
  </si>
  <si>
    <t>Stubb Farm Ffordun</t>
  </si>
  <si>
    <t>SY21 8LE</t>
  </si>
  <si>
    <t>CBDL7195</t>
  </si>
  <si>
    <t>45 High Park</t>
  </si>
  <si>
    <t>CH5 3EF</t>
  </si>
  <si>
    <t>CBDU7196</t>
  </si>
  <si>
    <t>CBDL7197</t>
  </si>
  <si>
    <t xml:space="preserve">15 Havering Street </t>
  </si>
  <si>
    <t>E1 0LP</t>
  </si>
  <si>
    <t>CBDU7199</t>
  </si>
  <si>
    <t>Hywelfan Cwmrheidol</t>
  </si>
  <si>
    <t>SY23 3NB</t>
  </si>
  <si>
    <t>CBDL7202</t>
  </si>
  <si>
    <t xml:space="preserve">Heol Mary Ann </t>
  </si>
  <si>
    <t>CF10 2EQ</t>
  </si>
  <si>
    <t>CBDU7203</t>
  </si>
  <si>
    <t>71 Lancaster Street Six Bells</t>
  </si>
  <si>
    <t>NP13 2NS</t>
  </si>
  <si>
    <t>CBDU8086</t>
  </si>
  <si>
    <t>1 Waterside Business Park Lamby Way</t>
  </si>
  <si>
    <t>CBDU8089</t>
  </si>
  <si>
    <t>1 Heol Y Maes Coelbren</t>
  </si>
  <si>
    <t>SA10 9PT</t>
  </si>
  <si>
    <t>CBDU8090</t>
  </si>
  <si>
    <t>10 Newhouse Farm Industrial Estate</t>
  </si>
  <si>
    <t>NP16 6UD</t>
  </si>
  <si>
    <t>CBDU8092</t>
  </si>
  <si>
    <t xml:space="preserve">2A St. Brigid Road </t>
  </si>
  <si>
    <t>CF14 4LB</t>
  </si>
  <si>
    <t>CBDU8093</t>
  </si>
  <si>
    <t>14 Llys Ael Y Bryn Birchgrove</t>
  </si>
  <si>
    <t>SA7 0HB</t>
  </si>
  <si>
    <t>CBDU8094</t>
  </si>
  <si>
    <t>15 Beech Grove Victoria</t>
  </si>
  <si>
    <t>NP23 8WQ</t>
  </si>
  <si>
    <t>CBDU8095</t>
  </si>
  <si>
    <t>Waste Services Environment Dept</t>
  </si>
  <si>
    <t>Parc Myrddin</t>
  </si>
  <si>
    <t>SA31 1HQ</t>
  </si>
  <si>
    <t>CBDU8099</t>
  </si>
  <si>
    <t>3 Logan Court Brookfield Lane</t>
  </si>
  <si>
    <t>CF37 4DX</t>
  </si>
  <si>
    <t>CBDU8101</t>
  </si>
  <si>
    <t>Clwyd Close Manor Lane</t>
  </si>
  <si>
    <t>CBDU8102</t>
  </si>
  <si>
    <t>Pwllgwilym Cilmery</t>
  </si>
  <si>
    <t>LD2 3NY</t>
  </si>
  <si>
    <t>CBDL8103</t>
  </si>
  <si>
    <t>11 Blackthorn Road South Wootton</t>
  </si>
  <si>
    <t>King's Lynn</t>
  </si>
  <si>
    <t>PE30 3WU</t>
  </si>
  <si>
    <t>CBDU8104</t>
  </si>
  <si>
    <t>86 Marlas Road Pil</t>
  </si>
  <si>
    <t>CF33 6AT</t>
  </si>
  <si>
    <t>CBDU7838</t>
  </si>
  <si>
    <t>Dunroaming Cadno Hill</t>
  </si>
  <si>
    <t>Carmartheshire</t>
  </si>
  <si>
    <t>SA334PQ</t>
  </si>
  <si>
    <t>CBDL7841</t>
  </si>
  <si>
    <t xml:space="preserve">125 Cambuslang Road </t>
  </si>
  <si>
    <t>Glasgow</t>
  </si>
  <si>
    <t>G32 8NB</t>
  </si>
  <si>
    <t>CBDU7843</t>
  </si>
  <si>
    <t>Mwyndy Industrial Estate Mwyndy</t>
  </si>
  <si>
    <t>CBDU7844</t>
  </si>
  <si>
    <t xml:space="preserve">National Park Offices </t>
  </si>
  <si>
    <t>LL48 6LF</t>
  </si>
  <si>
    <t>CBDU7845</t>
  </si>
  <si>
    <t>the old fire station bryndulais row</t>
  </si>
  <si>
    <t>seven sisters</t>
  </si>
  <si>
    <t>neat</t>
  </si>
  <si>
    <t>sa10 9eb</t>
  </si>
  <si>
    <t>CBDU8490</t>
  </si>
  <si>
    <t>Units 10 -11 Manor Industrial Estate</t>
  </si>
  <si>
    <t>CBDL8491</t>
  </si>
  <si>
    <t>Fanhalog Farm Ynys-y-Bwl</t>
  </si>
  <si>
    <t>CF37 3NS</t>
  </si>
  <si>
    <t>CBDL8493</t>
  </si>
  <si>
    <t xml:space="preserve">4 Riverside Terrace </t>
  </si>
  <si>
    <t>CF5 5AR</t>
  </si>
  <si>
    <t>CBDL8494</t>
  </si>
  <si>
    <t xml:space="preserve">258-260 The Broadway </t>
  </si>
  <si>
    <t>SW19 1SB</t>
  </si>
  <si>
    <t>CBDU8496</t>
  </si>
  <si>
    <t xml:space="preserve">Cibyn Industrial Estate </t>
  </si>
  <si>
    <t>LL55 2BF</t>
  </si>
  <si>
    <t>CBDU8497</t>
  </si>
  <si>
    <t>156 Dulais Road Blaendulais</t>
  </si>
  <si>
    <t>SA10 9EY</t>
  </si>
  <si>
    <t>CBDU8498</t>
  </si>
  <si>
    <t>8 Oaklands Terrace Cas-Wis</t>
  </si>
  <si>
    <t>SA62 4PR</t>
  </si>
  <si>
    <t>CBDU8499</t>
  </si>
  <si>
    <t>135-136 Walter Road Swansea</t>
  </si>
  <si>
    <t>SA15RQ</t>
  </si>
  <si>
    <t>CBDU8252</t>
  </si>
  <si>
    <t>Albion House Jones Street</t>
  </si>
  <si>
    <t>CF37 4EP</t>
  </si>
  <si>
    <t>CBDL8255</t>
  </si>
  <si>
    <t>CBDL8258</t>
  </si>
  <si>
    <t>Springbank Resource Centre Springbank Way</t>
  </si>
  <si>
    <t>GL51 0LG</t>
  </si>
  <si>
    <t>CBDL8261</t>
  </si>
  <si>
    <t xml:space="preserve">9 Porset Row </t>
  </si>
  <si>
    <t>CF83 3BJ</t>
  </si>
  <si>
    <t>CBDU8263</t>
  </si>
  <si>
    <t>Unit B1 The Laurels</t>
  </si>
  <si>
    <t>Heol y Rhosog</t>
  </si>
  <si>
    <t>Cf3 2EW</t>
  </si>
  <si>
    <t>CBDL8740</t>
  </si>
  <si>
    <t xml:space="preserve">45 Park Place </t>
  </si>
  <si>
    <t>CF81 8LX</t>
  </si>
  <si>
    <t>CBDL8741</t>
  </si>
  <si>
    <t>Unit 1 The Square Buildings</t>
  </si>
  <si>
    <t>Merthyr Road</t>
  </si>
  <si>
    <t>Troedyrhiw</t>
  </si>
  <si>
    <t>CF48 4AN</t>
  </si>
  <si>
    <t>CBDL8742</t>
  </si>
  <si>
    <t>Trafalgar House 4 Trafalgar Square</t>
  </si>
  <si>
    <t>Fowey</t>
  </si>
  <si>
    <t>PL23 1AZ</t>
  </si>
  <si>
    <t>CBDL8743</t>
  </si>
  <si>
    <t>CBDL8746</t>
  </si>
  <si>
    <t xml:space="preserve">The Parrog </t>
  </si>
  <si>
    <t>SA64 0DE</t>
  </si>
  <si>
    <t>CBDU8749</t>
  </si>
  <si>
    <t>2 Goetre Fach Road Killay</t>
  </si>
  <si>
    <t>SA2 7SG</t>
  </si>
  <si>
    <t>CBDL9120</t>
  </si>
  <si>
    <t xml:space="preserve">Rhodfa Mozart </t>
  </si>
  <si>
    <t>SA12 7UA</t>
  </si>
  <si>
    <t>CBDU9121</t>
  </si>
  <si>
    <t xml:space="preserve">Tanychwarel </t>
  </si>
  <si>
    <t>SY22 6HP</t>
  </si>
  <si>
    <t>CBDU9125</t>
  </si>
  <si>
    <t xml:space="preserve">43 Alicia Avenue </t>
  </si>
  <si>
    <t>SS11 8PH</t>
  </si>
  <si>
    <t>CBDL9127</t>
  </si>
  <si>
    <t xml:space="preserve">19 Chilthorne Close </t>
  </si>
  <si>
    <t>SE6 4YW</t>
  </si>
  <si>
    <t>CBDU9129</t>
  </si>
  <si>
    <t>5 Walk Farm Drive Castleton</t>
  </si>
  <si>
    <t>CF3 2UY</t>
  </si>
  <si>
    <t>CBDL9131</t>
  </si>
  <si>
    <t xml:space="preserve">1 Howell Street </t>
  </si>
  <si>
    <t>CF37 4NR</t>
  </si>
  <si>
    <t>CBDU9132</t>
  </si>
  <si>
    <t>Unit 1 Charnwood Park</t>
  </si>
  <si>
    <t>CBDU9134</t>
  </si>
  <si>
    <t>31 Main Road Aberogwr</t>
  </si>
  <si>
    <t>CF32 0PD</t>
  </si>
  <si>
    <t>CBDL9136</t>
  </si>
  <si>
    <t>40 - 42 Stocks Street</t>
  </si>
  <si>
    <t>M8 8QJ</t>
  </si>
  <si>
    <t>CBDL9137</t>
  </si>
  <si>
    <t>50 Bridge st</t>
  </si>
  <si>
    <t>Merthyr tydfyl</t>
  </si>
  <si>
    <t>Cf48 4dx</t>
  </si>
  <si>
    <t>CBDU9139</t>
  </si>
  <si>
    <t xml:space="preserve">73 Walsingham Gardens </t>
  </si>
  <si>
    <t>Epsom</t>
  </si>
  <si>
    <t>KT19 0LT</t>
  </si>
  <si>
    <t>CBDU9140</t>
  </si>
  <si>
    <t>Waterloo House Penydarren</t>
  </si>
  <si>
    <t>CF47 0SX</t>
  </si>
  <si>
    <t>CBDL9141</t>
  </si>
  <si>
    <t>Unit G Vastre Enterprise Park</t>
  </si>
  <si>
    <t>CBDL8866</t>
  </si>
  <si>
    <t>50 Pentwyn Terrace Marshfield</t>
  </si>
  <si>
    <t>CF3 2UL</t>
  </si>
  <si>
    <t>CBDU8872</t>
  </si>
  <si>
    <t>The Old Barn Llanddarog Road</t>
  </si>
  <si>
    <t>CBDU8873</t>
  </si>
  <si>
    <t>Allington Hall Vicarage Lane</t>
  </si>
  <si>
    <t>LL12 8UW</t>
  </si>
  <si>
    <t>CBDU8875</t>
  </si>
  <si>
    <t>Cae Gors Llangwyllog</t>
  </si>
  <si>
    <t>LL77 7HJ</t>
  </si>
  <si>
    <t>CBDU8876</t>
  </si>
  <si>
    <t>Block 4 Maerdy Industrial Estate North</t>
  </si>
  <si>
    <t>NP22 5PY</t>
  </si>
  <si>
    <t>CBDL8878</t>
  </si>
  <si>
    <t>6 Sturmi Way Village Farm Industrial Estate</t>
  </si>
  <si>
    <t>CBDU8879</t>
  </si>
  <si>
    <t>Unit 6-8 St. Katherines Court</t>
  </si>
  <si>
    <t>Clarke Way</t>
  </si>
  <si>
    <t>Winch Wen Industrial Estate</t>
  </si>
  <si>
    <t>SA1 7ER</t>
  </si>
  <si>
    <t>CBDU8880</t>
  </si>
  <si>
    <t xml:space="preserve">12 Clarence Street </t>
  </si>
  <si>
    <t>NP4 6LG</t>
  </si>
  <si>
    <t>CBDU8881</t>
  </si>
  <si>
    <t>CBDU9386</t>
  </si>
  <si>
    <t xml:space="preserve">4 Plantagenet Street </t>
  </si>
  <si>
    <t>CF11 6AP</t>
  </si>
  <si>
    <t>CBDU9387</t>
  </si>
  <si>
    <t xml:space="preserve">24 Brynygog </t>
  </si>
  <si>
    <t>SY20 8HL</t>
  </si>
  <si>
    <t>CBDU9388</t>
  </si>
  <si>
    <t xml:space="preserve">591 Chepstow Road </t>
  </si>
  <si>
    <t>NP19 9BN</t>
  </si>
  <si>
    <t>CBDL9393</t>
  </si>
  <si>
    <t>Kingsway Fforestfach</t>
  </si>
  <si>
    <t>CBDU9394</t>
  </si>
  <si>
    <t>Phoenix Way Garngoch Industrial Estate</t>
  </si>
  <si>
    <t>CBDU9395</t>
  </si>
  <si>
    <t>Unit B3 Spectrum Business Estate</t>
  </si>
  <si>
    <t>Anthonys Way</t>
  </si>
  <si>
    <t>Medway City Estate</t>
  </si>
  <si>
    <t>ME2 4NP</t>
  </si>
  <si>
    <t>CBDU9397</t>
  </si>
  <si>
    <t>CBDL9398</t>
  </si>
  <si>
    <t xml:space="preserve">Cei Banc </t>
  </si>
  <si>
    <t>LL55 1SU</t>
  </si>
  <si>
    <t>CBDL9399</t>
  </si>
  <si>
    <t xml:space="preserve">24 Wensum Street </t>
  </si>
  <si>
    <t>NR3 1HY</t>
  </si>
  <si>
    <t>CBDL9400</t>
  </si>
  <si>
    <t>9 Wood End Pentwyn</t>
  </si>
  <si>
    <t>SA33 4UG</t>
  </si>
  <si>
    <t>CBDU9403</t>
  </si>
  <si>
    <t>Darland House Chester Road</t>
  </si>
  <si>
    <t>Yr Orsedd</t>
  </si>
  <si>
    <t>LL12 0DL</t>
  </si>
  <si>
    <t>CBDU9818</t>
  </si>
  <si>
    <t>OFFICE 7 35-37  LUDGATE HILL</t>
  </si>
  <si>
    <t>EC4M 7JN</t>
  </si>
  <si>
    <t>CBDU9819</t>
  </si>
  <si>
    <t>CBDU9820</t>
  </si>
  <si>
    <t>11 Wern Isaf Dowlais</t>
  </si>
  <si>
    <t>CF48 3NY</t>
  </si>
  <si>
    <t>CBDU9821</t>
  </si>
  <si>
    <t>Atlas Yard Ffordd Corwen</t>
  </si>
  <si>
    <t>Pontybodkin</t>
  </si>
  <si>
    <t>CH7 4TG</t>
  </si>
  <si>
    <t>CBDL9829</t>
  </si>
  <si>
    <t>Town Hall Iscennen Road</t>
  </si>
  <si>
    <t>sa183be</t>
  </si>
  <si>
    <t>CBDL9830</t>
  </si>
  <si>
    <t>Ammanford Town Council Ammanford Town Hall</t>
  </si>
  <si>
    <t>Iscennen Road</t>
  </si>
  <si>
    <t>SA18 3BE</t>
  </si>
  <si>
    <t>CBDU9593</t>
  </si>
  <si>
    <t xml:space="preserve">14A Airfield Road </t>
  </si>
  <si>
    <t>BH23 3TG</t>
  </si>
  <si>
    <t>CBDU9596</t>
  </si>
  <si>
    <t xml:space="preserve">61 Marine Road </t>
  </si>
  <si>
    <t>LL19 7HA</t>
  </si>
  <si>
    <t>CBDL9598</t>
  </si>
  <si>
    <t>Unit 6A Block A</t>
  </si>
  <si>
    <t>CBDL9606</t>
  </si>
  <si>
    <t xml:space="preserve">Hafod Y Bryn </t>
  </si>
  <si>
    <t>SA43 3NR</t>
  </si>
  <si>
    <t>CBDL10054</t>
  </si>
  <si>
    <t xml:space="preserve">Manchester Square </t>
  </si>
  <si>
    <t>SA73 2JW</t>
  </si>
  <si>
    <t>CBDL10055</t>
  </si>
  <si>
    <t>Plas Bellin Hall Oakenholt Lane</t>
  </si>
  <si>
    <t>CH7 6DF</t>
  </si>
  <si>
    <t>CBDU10056</t>
  </si>
  <si>
    <t>Unit 3A- 3C Broughton Industrial Estate</t>
  </si>
  <si>
    <t>Broughton Mills Road</t>
  </si>
  <si>
    <t>CBDU10058</t>
  </si>
  <si>
    <t>CBDU10060</t>
  </si>
  <si>
    <t>Unit 2 Charnwood Park</t>
  </si>
  <si>
    <t>CBDU10386</t>
  </si>
  <si>
    <t>CBDU10388</t>
  </si>
  <si>
    <t>2 Llys Rhyd Clarach</t>
  </si>
  <si>
    <t>SY23 3DT</t>
  </si>
  <si>
    <t>CBDU10389</t>
  </si>
  <si>
    <t>13 Nelson Drive Ince</t>
  </si>
  <si>
    <t>Wigan</t>
  </si>
  <si>
    <t>WN2 2EU</t>
  </si>
  <si>
    <t>CBDL10394</t>
  </si>
  <si>
    <t xml:space="preserve">16 Grant Avenue </t>
  </si>
  <si>
    <t>SL1 3NB</t>
  </si>
  <si>
    <t>CBDU10397</t>
  </si>
  <si>
    <t xml:space="preserve">Folkestone Road </t>
  </si>
  <si>
    <t>E6 6BX</t>
  </si>
  <si>
    <t>CBDU10398</t>
  </si>
  <si>
    <t xml:space="preserve">55 Winllan Avenue </t>
  </si>
  <si>
    <t>LL30 2YJ</t>
  </si>
  <si>
    <t>CBDU10401</t>
  </si>
  <si>
    <t>Unit 12 Gilchrist Thomas Industrial Estate</t>
  </si>
  <si>
    <t>CBDU10402</t>
  </si>
  <si>
    <t>6 Bramblewood Court Pengam</t>
  </si>
  <si>
    <t>NP12 3QW</t>
  </si>
  <si>
    <t>CBDU10148</t>
  </si>
  <si>
    <t xml:space="preserve">77 Stryd Bangor </t>
  </si>
  <si>
    <t>LL56 4PZ</t>
  </si>
  <si>
    <t>CBDU10150</t>
  </si>
  <si>
    <t>CBDU10154</t>
  </si>
  <si>
    <t>Unit 5  Tower Road Business Park</t>
  </si>
  <si>
    <t>Redearth Road</t>
  </si>
  <si>
    <t>Darwen</t>
  </si>
  <si>
    <t>bb3 2du</t>
  </si>
  <si>
    <t>CBDL10618</t>
  </si>
  <si>
    <t>77 Cefn Fforest Avenue Cefn Fforest</t>
  </si>
  <si>
    <t>NP12 3JX</t>
  </si>
  <si>
    <t>CBDU10619</t>
  </si>
  <si>
    <t>49 Erw Goch Waunfawr</t>
  </si>
  <si>
    <t>SY23 3AZ</t>
  </si>
  <si>
    <t>CBDU10621</t>
  </si>
  <si>
    <t>4 Dan-yr-Eglwys Bettws</t>
  </si>
  <si>
    <t>CF32 8TJ</t>
  </si>
  <si>
    <t>CBDU10622</t>
  </si>
  <si>
    <t xml:space="preserve">22 Beckenshaw Gardens </t>
  </si>
  <si>
    <t>Banstead</t>
  </si>
  <si>
    <t>SM7 3NB</t>
  </si>
  <si>
    <t>CBDU10623</t>
  </si>
  <si>
    <t>Unit 17 Pentraeth Industrial Estate</t>
  </si>
  <si>
    <t>CBDU10626</t>
  </si>
  <si>
    <t xml:space="preserve">East Moors Road </t>
  </si>
  <si>
    <t>CBDL10627</t>
  </si>
  <si>
    <t>20 Lindred Road Brierfield</t>
  </si>
  <si>
    <t>BB9 5SR</t>
  </si>
  <si>
    <t>CBDU10986</t>
  </si>
  <si>
    <t>unit 1 LLANTRISANT BUSINESS PARK</t>
  </si>
  <si>
    <t>LLANTRISANT</t>
  </si>
  <si>
    <t>CBDU10991</t>
  </si>
  <si>
    <t>Alta Vista Railway View</t>
  </si>
  <si>
    <t>Sirhowy</t>
  </si>
  <si>
    <t>NP22 4PX</t>
  </si>
  <si>
    <t>CBDU10992</t>
  </si>
  <si>
    <t>Candwr Farm Candwr Road</t>
  </si>
  <si>
    <t>NP18 1HU</t>
  </si>
  <si>
    <t>CBDU10995</t>
  </si>
  <si>
    <t>Unit 14 E F I Industrial Estate</t>
  </si>
  <si>
    <t>CBDU10996</t>
  </si>
  <si>
    <t>Fairacre Sandy Lane</t>
  </si>
  <si>
    <t>CH4 8UB</t>
  </si>
  <si>
    <t>CBDU10997</t>
  </si>
  <si>
    <t>Pendell Buildings Withithybush Industrial Estate</t>
  </si>
  <si>
    <t>SA624BW</t>
  </si>
  <si>
    <t>CBDL11001</t>
  </si>
  <si>
    <t>Nexus House Mission Court</t>
  </si>
  <si>
    <t>NP20 2DW</t>
  </si>
  <si>
    <t>CBDU10738</t>
  </si>
  <si>
    <t>Unit 3 Llywna Farm</t>
  </si>
  <si>
    <t>Llanharry Road</t>
  </si>
  <si>
    <t>Brynsadler</t>
  </si>
  <si>
    <t>CF72 9DB</t>
  </si>
  <si>
    <t>CBDU10740</t>
  </si>
  <si>
    <t>Gwynedd Skip and Plant Hire Ltd Lon Hen Felin</t>
  </si>
  <si>
    <t>Cibyn Industrial Estate</t>
  </si>
  <si>
    <t>CBDL10742</t>
  </si>
  <si>
    <t>15 Broad Street</t>
  </si>
  <si>
    <t>LD7 1BL</t>
  </si>
  <si>
    <t>CBDU10743</t>
  </si>
  <si>
    <t>Unit 16 Heritage Court</t>
  </si>
  <si>
    <t>Gilchrist Thomas Industrial Estate</t>
  </si>
  <si>
    <t>CBDL10745</t>
  </si>
  <si>
    <t>A12 Britannia House</t>
  </si>
  <si>
    <t>CBDU10746</t>
  </si>
  <si>
    <t>13 Caeracca Villas Pant</t>
  </si>
  <si>
    <t>CF48 2AS</t>
  </si>
  <si>
    <t>CBDU10747</t>
  </si>
  <si>
    <t>Unit 4 Mercury Units</t>
  </si>
  <si>
    <t>CBDU11254</t>
  </si>
  <si>
    <t>Pen Y Coed Hall Lane</t>
  </si>
  <si>
    <t>CBDU11262</t>
  </si>
  <si>
    <t>unit 1 Dynea Road</t>
  </si>
  <si>
    <t>CF37 5DN</t>
  </si>
  <si>
    <t>CBDU11264</t>
  </si>
  <si>
    <t xml:space="preserve">9 Walsingham Place </t>
  </si>
  <si>
    <t>Truro</t>
  </si>
  <si>
    <t>TR1 2RP</t>
  </si>
  <si>
    <t>CBDU11265</t>
  </si>
  <si>
    <t>Baiden Farm Ffordd-y-Gyfraith</t>
  </si>
  <si>
    <t>Cefn Cribwr</t>
  </si>
  <si>
    <t>CF32 0BS</t>
  </si>
  <si>
    <t>CBDL12058</t>
  </si>
  <si>
    <t xml:space="preserve">28 Thomas Street </t>
  </si>
  <si>
    <t>LL65 1RR</t>
  </si>
  <si>
    <t>CBDL12059</t>
  </si>
  <si>
    <t>Unit 2 Westland Business Centre</t>
  </si>
  <si>
    <t>Winterstoke Road</t>
  </si>
  <si>
    <t>BS24 9AD</t>
  </si>
  <si>
    <t>CBDU12060</t>
  </si>
  <si>
    <t>54 Conway Road Penlan</t>
  </si>
  <si>
    <t>SA5 7AU</t>
  </si>
  <si>
    <t>CBDL12067</t>
  </si>
  <si>
    <t>Unit C2-C3 De Clare House</t>
  </si>
  <si>
    <t>4 Sir Alfred Owen Way</t>
  </si>
  <si>
    <t>CBDL11521</t>
  </si>
  <si>
    <t xml:space="preserve">30B Cowbridge Road </t>
  </si>
  <si>
    <t>CBDU11522</t>
  </si>
  <si>
    <t>Unit 6 Swift Business Centre</t>
  </si>
  <si>
    <t>East Moors Industrial Estate</t>
  </si>
  <si>
    <t>CF24 5JR</t>
  </si>
  <si>
    <t>CBDU11523</t>
  </si>
  <si>
    <t>Brookside Office Rassau Road</t>
  </si>
  <si>
    <t>NP23 5BL</t>
  </si>
  <si>
    <t>CBDU11524</t>
  </si>
  <si>
    <t>54 The Meadows Marshfield</t>
  </si>
  <si>
    <t>CF3 2AY</t>
  </si>
  <si>
    <t>CBDU11528</t>
  </si>
  <si>
    <t>Unit 3 Antelope Ind Estate Rhydymwyn</t>
  </si>
  <si>
    <t>CH7 5JH</t>
  </si>
  <si>
    <t>CBDL11529</t>
  </si>
  <si>
    <t>4 Glan Yr Afon Berriew</t>
  </si>
  <si>
    <t>SY21 8PN</t>
  </si>
  <si>
    <t>CBDU11746</t>
  </si>
  <si>
    <t xml:space="preserve">5 Brodawel </t>
  </si>
  <si>
    <t>SA11 3YB</t>
  </si>
  <si>
    <t>CBDU11749</t>
  </si>
  <si>
    <t xml:space="preserve">54-56 Kinmel Street </t>
  </si>
  <si>
    <t>LL18 1AW</t>
  </si>
  <si>
    <t>CBDL11750</t>
  </si>
  <si>
    <t>Victoria House North Mersey Business Centre</t>
  </si>
  <si>
    <t>Woodward Road</t>
  </si>
  <si>
    <t>Knowsley</t>
  </si>
  <si>
    <t>L33 7UY</t>
  </si>
  <si>
    <t>CBDU11751</t>
  </si>
  <si>
    <t>27 Maesygarreg Cefn Coed</t>
  </si>
  <si>
    <t>CF48 2RG</t>
  </si>
  <si>
    <t>CBDL11752</t>
  </si>
  <si>
    <t>Isca Works Mill Parade</t>
  </si>
  <si>
    <t>CBDU11755</t>
  </si>
  <si>
    <t>UNIT J SPRINGVALE INDUSTRIAL ESTATE</t>
  </si>
  <si>
    <t>CWNBRAN</t>
  </si>
  <si>
    <t>CBDL11758</t>
  </si>
  <si>
    <t>MSS Group Galdames Place</t>
  </si>
  <si>
    <t>Ocean Way</t>
  </si>
  <si>
    <t>CBDU11759</t>
  </si>
  <si>
    <t>Aelybryn Bancycapel</t>
  </si>
  <si>
    <t>SA32 8EB</t>
  </si>
  <si>
    <t>CBDU12260</t>
  </si>
  <si>
    <t>CBDU12262</t>
  </si>
  <si>
    <t xml:space="preserve">109 Holly Lane </t>
  </si>
  <si>
    <t>B67 7LA</t>
  </si>
  <si>
    <t>CBDL12263</t>
  </si>
  <si>
    <t>CBDU12264</t>
  </si>
  <si>
    <t>75 Summerfields Rhostyllen</t>
  </si>
  <si>
    <t>LL14 4EU</t>
  </si>
  <si>
    <t>CBDU12266</t>
  </si>
  <si>
    <t xml:space="preserve">17 Mitchell Crescent </t>
  </si>
  <si>
    <t>CF47 9JB</t>
  </si>
  <si>
    <t>CBDU12270</t>
  </si>
  <si>
    <t>Unit B Ocean Park</t>
  </si>
  <si>
    <t>3 Pantglas Industrial Estate</t>
  </si>
  <si>
    <t>CBDL12272</t>
  </si>
  <si>
    <t>Newhaven Victoria Avenue</t>
  </si>
  <si>
    <t>LL14 1NW</t>
  </si>
  <si>
    <t>CBDU12273</t>
  </si>
  <si>
    <t>Dolhendre Isa Llanuwchllyn</t>
  </si>
  <si>
    <t>LL23 7TD</t>
  </si>
  <si>
    <t>CBDL12486</t>
  </si>
  <si>
    <t>Unit 1 Sunset Business Park Brunel Road</t>
  </si>
  <si>
    <t>Calmore Industrial Estate</t>
  </si>
  <si>
    <t>Totton</t>
  </si>
  <si>
    <t>SO40 3WX</t>
  </si>
  <si>
    <t>CBDU12488</t>
  </si>
  <si>
    <t>Dairy House Wookey</t>
  </si>
  <si>
    <t>Wells</t>
  </si>
  <si>
    <t>BA5 1JU</t>
  </si>
  <si>
    <t>CBDL12489</t>
  </si>
  <si>
    <t>Yard 1 Shaw Road</t>
  </si>
  <si>
    <t>Dudley</t>
  </si>
  <si>
    <t>DY2 8TP</t>
  </si>
  <si>
    <t>CBDU12492</t>
  </si>
  <si>
    <t>Unit 8 Star trading est Ponthir</t>
  </si>
  <si>
    <t>np18 1pq</t>
  </si>
  <si>
    <t>CBDU12819</t>
  </si>
  <si>
    <t>Glanafon Dolgran</t>
  </si>
  <si>
    <t>SA39 9BX</t>
  </si>
  <si>
    <t>CBDU12820</t>
  </si>
  <si>
    <t>6 Fernfield Baglan</t>
  </si>
  <si>
    <t>SA12 8AL</t>
  </si>
  <si>
    <t>CBDU12822</t>
  </si>
  <si>
    <t xml:space="preserve">5 Rawlston Way </t>
  </si>
  <si>
    <t>NE5 3XX</t>
  </si>
  <si>
    <t>CBDU12826</t>
  </si>
  <si>
    <t>364 COWBRIDGE ROAD EAST</t>
  </si>
  <si>
    <t>LOWER COMPTON ROAD</t>
  </si>
  <si>
    <t>CBDL12830</t>
  </si>
  <si>
    <t xml:space="preserve">211 Croydon Road </t>
  </si>
  <si>
    <t>Caterham</t>
  </si>
  <si>
    <t>CR3 6PH</t>
  </si>
  <si>
    <t>CBDU12831</t>
  </si>
  <si>
    <t>The Warren Heol Y Cawl Lane</t>
  </si>
  <si>
    <t>CF38 1SR</t>
  </si>
  <si>
    <t>CBDU12613</t>
  </si>
  <si>
    <t>Greenways High Street</t>
  </si>
  <si>
    <t>LL49 9LW</t>
  </si>
  <si>
    <t>CBDL12614</t>
  </si>
  <si>
    <t>CBDU12616</t>
  </si>
  <si>
    <t>48 Pennard Road Kittle</t>
  </si>
  <si>
    <t>SA3 3JY</t>
  </si>
  <si>
    <t>CBDL12617</t>
  </si>
  <si>
    <t>Gwalia Shop West Street</t>
  </si>
  <si>
    <t>LD6 5AB</t>
  </si>
  <si>
    <t>CBDU12618</t>
  </si>
  <si>
    <t>Y Bwythyn Pontfaen</t>
  </si>
  <si>
    <t>CBDU12620</t>
  </si>
  <si>
    <t>Unit 2 Glyntaff Sidings</t>
  </si>
  <si>
    <t>Pentrebach Road</t>
  </si>
  <si>
    <t>CBDU12622</t>
  </si>
  <si>
    <t xml:space="preserve">58 Winterscroft Road </t>
  </si>
  <si>
    <t>Hoddesdon</t>
  </si>
  <si>
    <t>EN11 8RJ</t>
  </si>
  <si>
    <t>CBDU12623</t>
  </si>
  <si>
    <t>Unit 7F Colomendy Industrial Estate</t>
  </si>
  <si>
    <t>CBDU12624</t>
  </si>
  <si>
    <t>Unit 6 Parc Amanwy</t>
  </si>
  <si>
    <t>New Road</t>
  </si>
  <si>
    <t>SA18 3EZ</t>
  </si>
  <si>
    <t>CBDU12625</t>
  </si>
  <si>
    <t>Unit G3 Chaucer Business Park Watery Lane</t>
  </si>
  <si>
    <t>Kemsing</t>
  </si>
  <si>
    <t>TN15 6HU</t>
  </si>
  <si>
    <t>CBDL13039</t>
  </si>
  <si>
    <t xml:space="preserve">548 Streatham High Road </t>
  </si>
  <si>
    <t>SW16 3QF</t>
  </si>
  <si>
    <t>CBDU13040</t>
  </si>
  <si>
    <t xml:space="preserve">19 Pen Y Bryn Road </t>
  </si>
  <si>
    <t>LL29 6AF</t>
  </si>
  <si>
    <t>CBDU13042</t>
  </si>
  <si>
    <t>CBDL13044</t>
  </si>
  <si>
    <t>Unit 7 Bay Trading Estate</t>
  </si>
  <si>
    <t>CBDL13047</t>
  </si>
  <si>
    <t xml:space="preserve">20 Morgan Street </t>
  </si>
  <si>
    <t>CF47 8TP</t>
  </si>
  <si>
    <t>CBDU13049</t>
  </si>
  <si>
    <t>CBDL13051</t>
  </si>
  <si>
    <t xml:space="preserve">6 Hamilton Street </t>
  </si>
  <si>
    <t>SA65 9HL</t>
  </si>
  <si>
    <t>CBDU13052</t>
  </si>
  <si>
    <t xml:space="preserve">54 Highmead Road </t>
  </si>
  <si>
    <t>CF5 4GX</t>
  </si>
  <si>
    <t>CBDU13054</t>
  </si>
  <si>
    <t>12 Violet Walk Rogerstone</t>
  </si>
  <si>
    <t>NP10 9SD</t>
  </si>
  <si>
    <t>CBDU13197</t>
  </si>
  <si>
    <t>New House Bwlch-y-Ffridd</t>
  </si>
  <si>
    <t>SY16 3JE</t>
  </si>
  <si>
    <t>CBDU13198</t>
  </si>
  <si>
    <t>Connies House Rhymney River Bridge Rd</t>
  </si>
  <si>
    <t>CBDU13199</t>
  </si>
  <si>
    <t>Compass House Baldwins Crescent</t>
  </si>
  <si>
    <t>SA1 8QE</t>
  </si>
  <si>
    <t>CBDL13200</t>
  </si>
  <si>
    <t xml:space="preserve">34 Ffordd Y Maes </t>
  </si>
  <si>
    <t>CF83 2AU</t>
  </si>
  <si>
    <t>CBDU13206</t>
  </si>
  <si>
    <t xml:space="preserve">217 Holdenhurst Road </t>
  </si>
  <si>
    <t>BH8 8DE</t>
  </si>
  <si>
    <t>CBDL13208</t>
  </si>
  <si>
    <t>Unit 6 Lonlas Business Park Skewen</t>
  </si>
  <si>
    <t>SA10 6SN</t>
  </si>
  <si>
    <t>CBDU13209</t>
  </si>
  <si>
    <t>5 Heol Rhyd Craig-Cefn-Parc</t>
  </si>
  <si>
    <t>SA6 5SZ</t>
  </si>
  <si>
    <t>CBDU13214</t>
  </si>
  <si>
    <t>Great Frenches Barn Snow Hill</t>
  </si>
  <si>
    <t>Crawley Down</t>
  </si>
  <si>
    <t>RH10 3EE</t>
  </si>
  <si>
    <t>CBDU13215</t>
  </si>
  <si>
    <t>Laurel Cottage Rhosesmor Road</t>
  </si>
  <si>
    <t>Halkyn</t>
  </si>
  <si>
    <t>CBDU13401</t>
  </si>
  <si>
    <t>2 Alexandra Gate Ffordd Pengam</t>
  </si>
  <si>
    <t>CBDL13402</t>
  </si>
  <si>
    <t>College House King George V Drive East</t>
  </si>
  <si>
    <t>Heath Park</t>
  </si>
  <si>
    <t>CF14 4ep</t>
  </si>
  <si>
    <t>CBDL157</t>
  </si>
  <si>
    <t>SY20 8UT</t>
  </si>
  <si>
    <t>CBDL159</t>
  </si>
  <si>
    <t>139 Trinity Avenue</t>
  </si>
  <si>
    <t>Llandidno</t>
  </si>
  <si>
    <t>LL30 2UR</t>
  </si>
  <si>
    <t>CBDL160</t>
  </si>
  <si>
    <t>Dragon Works Hensaes Lane</t>
  </si>
  <si>
    <t>SY21 6SF</t>
  </si>
  <si>
    <t>CBDL162</t>
  </si>
  <si>
    <t>Haverford West</t>
  </si>
  <si>
    <t>CBDL163</t>
  </si>
  <si>
    <t>JP Operator Recruitment Wimbourne Road</t>
  </si>
  <si>
    <t>Barry Docks</t>
  </si>
  <si>
    <t>CF63 3DH</t>
  </si>
  <si>
    <t>CBDL164</t>
  </si>
  <si>
    <t>4 Maes Hyfryd</t>
  </si>
  <si>
    <t>LL14 5AQ</t>
  </si>
  <si>
    <t>CBDL165</t>
  </si>
  <si>
    <t>CBDL168</t>
  </si>
  <si>
    <t>Unit J Station Workshop</t>
  </si>
  <si>
    <t>Station Approach</t>
  </si>
  <si>
    <t>SY18 6EB</t>
  </si>
  <si>
    <t>CBDL169</t>
  </si>
  <si>
    <t>CBDL170</t>
  </si>
  <si>
    <t>Abernant Troed y Garth</t>
  </si>
  <si>
    <t>Y Fan</t>
  </si>
  <si>
    <t>SY18 6NA</t>
  </si>
  <si>
    <t>CBDL171</t>
  </si>
  <si>
    <t>CBDL172</t>
  </si>
  <si>
    <t>CBDL173</t>
  </si>
  <si>
    <t>CBDL658</t>
  </si>
  <si>
    <t>Hafoneddyn Llandeilo</t>
  </si>
  <si>
    <t>SA19 7AE</t>
  </si>
  <si>
    <t>CBDL659</t>
  </si>
  <si>
    <t>Hafodneddyn Llandeilo</t>
  </si>
  <si>
    <t>CBDL663</t>
  </si>
  <si>
    <t>Tunnel Site Cefn Llewelyn</t>
  </si>
  <si>
    <t>Cilmeky</t>
  </si>
  <si>
    <t>LD2 3FL</t>
  </si>
  <si>
    <t>CBDL664</t>
  </si>
  <si>
    <t>Pensarn Trading Estate Pensarn</t>
  </si>
  <si>
    <t>CBDL666</t>
  </si>
  <si>
    <t>Plas Carw</t>
  </si>
  <si>
    <t>Llanfair Road</t>
  </si>
  <si>
    <t>LL22 8PD</t>
  </si>
  <si>
    <t>CBDL667</t>
  </si>
  <si>
    <t>Unit 12 Block H</t>
  </si>
  <si>
    <t>Penmaen Industrial Estate</t>
  </si>
  <si>
    <t>CBDL669</t>
  </si>
  <si>
    <t>22 Cae Garw</t>
  </si>
  <si>
    <t>CBDL670</t>
  </si>
  <si>
    <t>Cowindale Feeds Ltd Penbontbren Lane</t>
  </si>
  <si>
    <t>Llysonnen Road</t>
  </si>
  <si>
    <t>SA33 5ED</t>
  </si>
  <si>
    <t>CBDL671</t>
  </si>
  <si>
    <t>294 Conway Road</t>
  </si>
  <si>
    <t>Mochore</t>
  </si>
  <si>
    <t>LL28 5DS</t>
  </si>
  <si>
    <t>CBDL672</t>
  </si>
  <si>
    <t>Hillcroft Pollard Close</t>
  </si>
  <si>
    <t>Caerleon</t>
  </si>
  <si>
    <t>NP183SS</t>
  </si>
  <si>
    <t>CBDL853</t>
  </si>
  <si>
    <t>8b Leighton Centre</t>
  </si>
  <si>
    <t>Nr welshpool</t>
  </si>
  <si>
    <t>sy218hj</t>
  </si>
  <si>
    <t>CBDL862</t>
  </si>
  <si>
    <t>berthela creuddyn bridge</t>
  </si>
  <si>
    <t>lampeter</t>
  </si>
  <si>
    <t>sa488bl</t>
  </si>
  <si>
    <t>CBDL863</t>
  </si>
  <si>
    <t>Unit 14 Polo grounds Ind Estate</t>
  </si>
  <si>
    <t>CBDL865</t>
  </si>
  <si>
    <t>KPC Youth Off Pyle Inn Way</t>
  </si>
  <si>
    <t>CF33 6AB</t>
  </si>
  <si>
    <t>CBDL866</t>
  </si>
  <si>
    <t>Tremains Business Park Tremains Road</t>
  </si>
  <si>
    <t>CF31 1TZ</t>
  </si>
  <si>
    <t>CBDL867</t>
  </si>
  <si>
    <t>Brynheulog Lon Maes Du</t>
  </si>
  <si>
    <t>Cefn Coed y Cymmer</t>
  </si>
  <si>
    <t>CF48 2HH</t>
  </si>
  <si>
    <t>CBDL868</t>
  </si>
  <si>
    <t>1 New York Cottages Bangor Road</t>
  </si>
  <si>
    <t>CBDL1098</t>
  </si>
  <si>
    <t>bay studios bussines park fabian way</t>
  </si>
  <si>
    <t>sa1 8qb</t>
  </si>
  <si>
    <t>CBDL1102</t>
  </si>
  <si>
    <t>Warwick House High Street</t>
  </si>
  <si>
    <t>CBDL1103</t>
  </si>
  <si>
    <t>CBDL1106</t>
  </si>
  <si>
    <t>4 littledene</t>
  </si>
  <si>
    <t>greenmeadow</t>
  </si>
  <si>
    <t>cwmbran</t>
  </si>
  <si>
    <t>np444su</t>
  </si>
  <si>
    <t>CBDL1110</t>
  </si>
  <si>
    <t>5 Bettwys Y Coed</t>
  </si>
  <si>
    <t>Cyncoed</t>
  </si>
  <si>
    <t>CF23 6PH</t>
  </si>
  <si>
    <t>CBDL1112</t>
  </si>
  <si>
    <t>Blaenige Blaen y Coed Road</t>
  </si>
  <si>
    <t>SA33 6EL</t>
  </si>
  <si>
    <t>CBDL1344</t>
  </si>
  <si>
    <t>4 - 6 Corporation Road</t>
  </si>
  <si>
    <t>CF11 7AT</t>
  </si>
  <si>
    <t>CBDL1346</t>
  </si>
  <si>
    <t>unit 18 balderton court</t>
  </si>
  <si>
    <t>Balthane ind est</t>
  </si>
  <si>
    <t>ballasalla</t>
  </si>
  <si>
    <t>im92aj</t>
  </si>
  <si>
    <t>CBDL1348</t>
  </si>
  <si>
    <t>55 Hawthorn avenue</t>
  </si>
  <si>
    <t>np199ag</t>
  </si>
  <si>
    <t>CBDL1349</t>
  </si>
  <si>
    <t>Coleg Ceredigion Limited Park Place</t>
  </si>
  <si>
    <t>SA43 1AB</t>
  </si>
  <si>
    <t>CBDL1351</t>
  </si>
  <si>
    <t>Alwyn Jones Ltd Cae Rhedyn</t>
  </si>
  <si>
    <t>Rowen</t>
  </si>
  <si>
    <t>LL32 8YN</t>
  </si>
  <si>
    <t>CBDL1352</t>
  </si>
  <si>
    <t>180 Kings Road</t>
  </si>
  <si>
    <t>Cf11 9DQ</t>
  </si>
  <si>
    <t>CBDL1354</t>
  </si>
  <si>
    <t xml:space="preserve"> 25 Mill Street</t>
  </si>
  <si>
    <t>Herefordshire hr1 2nx</t>
  </si>
  <si>
    <t>CBDL1355</t>
  </si>
  <si>
    <t>np152er</t>
  </si>
  <si>
    <t>CBDL1581</t>
  </si>
  <si>
    <t>3 Oaktree Close</t>
  </si>
  <si>
    <t>Brynna Road</t>
  </si>
  <si>
    <t>CBDL1794</t>
  </si>
  <si>
    <t>Unit 5 Jubilee Trading Estate</t>
  </si>
  <si>
    <t>East Tyndall Street</t>
  </si>
  <si>
    <t>CF24 5EF</t>
  </si>
  <si>
    <t>CBDL2058</t>
  </si>
  <si>
    <t>Ty Clyd Independent Living Centre</t>
  </si>
  <si>
    <t>Heol Fargoed</t>
  </si>
  <si>
    <t>CF81 8PP</t>
  </si>
  <si>
    <t>CBDL2445</t>
  </si>
  <si>
    <t>2 Orme Road Mochdre</t>
  </si>
  <si>
    <t>LL28 5DY</t>
  </si>
  <si>
    <t>CBDL2230</t>
  </si>
  <si>
    <t>119 Pentre Treharne Road Landore</t>
  </si>
  <si>
    <t>SA1 2PX</t>
  </si>
  <si>
    <t>CBDL2703</t>
  </si>
  <si>
    <t>Penymorfa Sancler</t>
  </si>
  <si>
    <t>SA33 4JP</t>
  </si>
  <si>
    <t>CBDL2707</t>
  </si>
  <si>
    <t>The Old Garage West Street</t>
  </si>
  <si>
    <t>CBDL2709</t>
  </si>
  <si>
    <t xml:space="preserve">Heather Way </t>
  </si>
  <si>
    <t>CF39 9TL</t>
  </si>
  <si>
    <t>CBDL3131</t>
  </si>
  <si>
    <t xml:space="preserve"> Stavitelska 1B</t>
  </si>
  <si>
    <t>831 04 Bratislava</t>
  </si>
  <si>
    <t>Slovakia</t>
  </si>
  <si>
    <t>CBDL2902</t>
  </si>
  <si>
    <t>Albion House Temple Street</t>
  </si>
  <si>
    <t>CBDL2904</t>
  </si>
  <si>
    <t>Pendre Road Ochr Penrhyn</t>
  </si>
  <si>
    <t>LL30 3DD</t>
  </si>
  <si>
    <t>CBDL2906</t>
  </si>
  <si>
    <t>Unit 1 Block C</t>
  </si>
  <si>
    <t>CBDL2910</t>
  </si>
  <si>
    <t xml:space="preserve">12 Park Street </t>
  </si>
  <si>
    <t>YO8 4PW</t>
  </si>
  <si>
    <t>CBDL2914</t>
  </si>
  <si>
    <t>Tyn Y Ffordd Isa Bodfari</t>
  </si>
  <si>
    <t>LL16 4DB</t>
  </si>
  <si>
    <t>CBDL2919</t>
  </si>
  <si>
    <t>County Offices Lon Y Capel</t>
  </si>
  <si>
    <t>CH6 5BD</t>
  </si>
  <si>
    <t>CBDL3630</t>
  </si>
  <si>
    <t xml:space="preserve">Thornton Industrial Trading Estate </t>
  </si>
  <si>
    <t>SA73 2RT</t>
  </si>
  <si>
    <t>CBDL3631</t>
  </si>
  <si>
    <t xml:space="preserve">18 Heolddu Crescent </t>
  </si>
  <si>
    <t>CF81 8UQ</t>
  </si>
  <si>
    <t>CBDL3632</t>
  </si>
  <si>
    <t>Systems House Unit 8 Trostre Business Park</t>
  </si>
  <si>
    <t>SA149UU</t>
  </si>
  <si>
    <t>CBDL3642</t>
  </si>
  <si>
    <t>712 Carmarthen Road Gendros</t>
  </si>
  <si>
    <t>CBDL3863</t>
  </si>
  <si>
    <t>Unit F2a Nasmyth Business Centre</t>
  </si>
  <si>
    <t>Patricroft Road</t>
  </si>
  <si>
    <t>Eccles</t>
  </si>
  <si>
    <t>M30 0SN</t>
  </si>
  <si>
    <t>CBDL3866</t>
  </si>
  <si>
    <t xml:space="preserve">Cefn Uchaf Farm </t>
  </si>
  <si>
    <t>LL45 2PL</t>
  </si>
  <si>
    <t>CBDL3874</t>
  </si>
  <si>
    <t>Caer Enlli Rhewl</t>
  </si>
  <si>
    <t>LL15 1TN</t>
  </si>
  <si>
    <t>CBDL3875</t>
  </si>
  <si>
    <t xml:space="preserve">1 Heolddu Road </t>
  </si>
  <si>
    <t>CF81 8RQ</t>
  </si>
  <si>
    <t>CBDL3877</t>
  </si>
  <si>
    <t>Red Lion House West Street</t>
  </si>
  <si>
    <t>CBDL4611</t>
  </si>
  <si>
    <t xml:space="preserve">145-151 Parker Drive </t>
  </si>
  <si>
    <t>LE4 0JP</t>
  </si>
  <si>
    <t>CBDL4615</t>
  </si>
  <si>
    <t>Unit 18 Dyffryn Industrial Estate</t>
  </si>
  <si>
    <t>CBDL5038</t>
  </si>
  <si>
    <t xml:space="preserve">10 Heol Yr Orsaf </t>
  </si>
  <si>
    <t>CBDL5039</t>
  </si>
  <si>
    <t>Units 1 to 4 Enterprise Workshops 100 Trostre Rd</t>
  </si>
  <si>
    <t>CBDL5042</t>
  </si>
  <si>
    <t xml:space="preserve">17 Middleton Gardens </t>
  </si>
  <si>
    <t>B30 1BB</t>
  </si>
  <si>
    <t>CBDL5044</t>
  </si>
  <si>
    <t xml:space="preserve">Nithsdale House  159 Cambridge Street </t>
  </si>
  <si>
    <t xml:space="preserve">Aylesbury </t>
  </si>
  <si>
    <t>HP20 1BQ</t>
  </si>
  <si>
    <t>CBDL4128</t>
  </si>
  <si>
    <t>85  Papyrus Road</t>
  </si>
  <si>
    <t>Peterborough</t>
  </si>
  <si>
    <t>PE4 5HG</t>
  </si>
  <si>
    <t>CBDL4132</t>
  </si>
  <si>
    <t>Camco House 40 Stockport Road</t>
  </si>
  <si>
    <t>SK3 0HZ</t>
  </si>
  <si>
    <t>CBDL4797</t>
  </si>
  <si>
    <t xml:space="preserve">40 Hitherfield Road </t>
  </si>
  <si>
    <t>SW16 2LN</t>
  </si>
  <si>
    <t>CBDU4804</t>
  </si>
  <si>
    <t>Unit 55 Mochdre Industrial Estate</t>
  </si>
  <si>
    <t>CBDL4807</t>
  </si>
  <si>
    <t xml:space="preserve">21A Park Crescent </t>
  </si>
  <si>
    <t>CF62 6HD</t>
  </si>
  <si>
    <t>CBDL4808</t>
  </si>
  <si>
    <t>Caerbont Abercraf</t>
  </si>
  <si>
    <t>SA9 1SH</t>
  </si>
  <si>
    <t>CBDU5554</t>
  </si>
  <si>
    <t>Unit 4 Tonypandy Enterprise Park Llwynypia Road</t>
  </si>
  <si>
    <t>CBDL5556</t>
  </si>
  <si>
    <t xml:space="preserve">Salutation Square </t>
  </si>
  <si>
    <t>SA61 2LG</t>
  </si>
  <si>
    <t>CBDL5559</t>
  </si>
  <si>
    <t>Geniefa Hawarden Road</t>
  </si>
  <si>
    <t>LL12 9BS</t>
  </si>
  <si>
    <t>CBDU5564</t>
  </si>
  <si>
    <t>Unit 5 Llanwnda</t>
  </si>
  <si>
    <t>LL54 5TG</t>
  </si>
  <si>
    <t>CBDU5566</t>
  </si>
  <si>
    <t>Transport Office Wern Garage</t>
  </si>
  <si>
    <t>Saron</t>
  </si>
  <si>
    <t>SA44 5DY</t>
  </si>
  <si>
    <t>CBDL5804</t>
  </si>
  <si>
    <t>SY25 6HX</t>
  </si>
  <si>
    <t>CBDU5806</t>
  </si>
  <si>
    <t>Derwent Penparc</t>
  </si>
  <si>
    <t>SA43 1RE</t>
  </si>
  <si>
    <t>CBDU5807</t>
  </si>
  <si>
    <t xml:space="preserve">18 Ffordd Y Frenhines </t>
  </si>
  <si>
    <t>SA20 0BH</t>
  </si>
  <si>
    <t>CBDU5811</t>
  </si>
  <si>
    <t>Gwrych Y Dryw Botwnnog</t>
  </si>
  <si>
    <t>LL53 8RG</t>
  </si>
  <si>
    <t>CBDL5812</t>
  </si>
  <si>
    <t>Unit 7 Goodwick Industrial Estate</t>
  </si>
  <si>
    <t>CBDU5815</t>
  </si>
  <si>
    <t xml:space="preserve">107 Bryn Awelon </t>
  </si>
  <si>
    <t>CH7 2QF</t>
  </si>
  <si>
    <t>CBDU5816</t>
  </si>
  <si>
    <t>Farnham Lodge Lower Britwell Road</t>
  </si>
  <si>
    <t>SL2 2NQ</t>
  </si>
  <si>
    <t>CBDU5819</t>
  </si>
  <si>
    <t xml:space="preserve">23 Horsa Road </t>
  </si>
  <si>
    <t>BH6 3AL</t>
  </si>
  <si>
    <t>CBDU5822</t>
  </si>
  <si>
    <t xml:space="preserve">Usk Road </t>
  </si>
  <si>
    <t>CBDU5823</t>
  </si>
  <si>
    <t>Roperhurst Ty Verlon Industrial Estate</t>
  </si>
  <si>
    <t>CBDU5824</t>
  </si>
  <si>
    <t>Unit A6 Peblig Mill</t>
  </si>
  <si>
    <t>Ffordd Llanbeblig</t>
  </si>
  <si>
    <t>CBDU5825</t>
  </si>
  <si>
    <t>MULBERRY HOUSE BANGOR ROAD</t>
  </si>
  <si>
    <t>CROSS LANES</t>
  </si>
  <si>
    <t>ll130tf</t>
  </si>
  <si>
    <t>CBDL5826</t>
  </si>
  <si>
    <t>Tanybryn Glandwr</t>
  </si>
  <si>
    <t>SA34 0UA</t>
  </si>
  <si>
    <t>CBDU5827</t>
  </si>
  <si>
    <t>32 Maeshendre Waunfawr</t>
  </si>
  <si>
    <t>SY23 3PR</t>
  </si>
  <si>
    <t>CBDU6314</t>
  </si>
  <si>
    <t>CBDL6317</t>
  </si>
  <si>
    <t>Station Garage 17 Audley Road</t>
  </si>
  <si>
    <t>Alsager</t>
  </si>
  <si>
    <t>ST7 2QL</t>
  </si>
  <si>
    <t>CBDU6320</t>
  </si>
  <si>
    <t>The Mount 38 Chester Road</t>
  </si>
  <si>
    <t>CBDU6321</t>
  </si>
  <si>
    <t>solbury mountain farm solbury</t>
  </si>
  <si>
    <t>dale road</t>
  </si>
  <si>
    <t>sa623sb</t>
  </si>
  <si>
    <t>CBDU6322</t>
  </si>
  <si>
    <t>Llys Derwen Dolwen Road</t>
  </si>
  <si>
    <t>LL29 8SS</t>
  </si>
  <si>
    <t>CBDU6064</t>
  </si>
  <si>
    <t>Pen Y Wain Farm Ty Mawr Lane</t>
  </si>
  <si>
    <t>CBDL6065</t>
  </si>
  <si>
    <t>Unit 10 Colne Way Court</t>
  </si>
  <si>
    <t>Colne Way</t>
  </si>
  <si>
    <t>WD24 7NE</t>
  </si>
  <si>
    <t>CBDL6066</t>
  </si>
  <si>
    <t>75 Village Farm Road Village Farm Industrial Estate</t>
  </si>
  <si>
    <t>CBDU6069</t>
  </si>
  <si>
    <t xml:space="preserve">Bron Y Nant </t>
  </si>
  <si>
    <t>CBDU6070</t>
  </si>
  <si>
    <t>Bron Haul Abercraf</t>
  </si>
  <si>
    <t>SA9 1XT</t>
  </si>
  <si>
    <t>CBDU6072</t>
  </si>
  <si>
    <t xml:space="preserve">6 Briar Close </t>
  </si>
  <si>
    <t>BH15 3PR</t>
  </si>
  <si>
    <t>CBDU6073</t>
  </si>
  <si>
    <t>235 Bury New Road Whitefield</t>
  </si>
  <si>
    <t>M45 8QP</t>
  </si>
  <si>
    <t>CBDU6076</t>
  </si>
  <si>
    <t>5 Heol Iscoed Fforestfach</t>
  </si>
  <si>
    <t>SA5 4NG</t>
  </si>
  <si>
    <t>CBDU6078</t>
  </si>
  <si>
    <t>Unit E2 Neath Vale Supplier Park</t>
  </si>
  <si>
    <t>Resolfen</t>
  </si>
  <si>
    <t>SA11 4SR</t>
  </si>
  <si>
    <t>CBDU6854</t>
  </si>
  <si>
    <t>83 Bison Place Moss Side Industrial Estate</t>
  </si>
  <si>
    <t>Leyland</t>
  </si>
  <si>
    <t>PR26 7QR</t>
  </si>
  <si>
    <t>CBDU6855</t>
  </si>
  <si>
    <t>Farmyard Bryn Seiri Road</t>
  </si>
  <si>
    <t>LL32 8UD</t>
  </si>
  <si>
    <t>CBDU6856</t>
  </si>
  <si>
    <t>Unit 3A Kenfig Industrial Estate</t>
  </si>
  <si>
    <t>Margam</t>
  </si>
  <si>
    <t>CBDU6857</t>
  </si>
  <si>
    <t xml:space="preserve">74 Romilly Park Road </t>
  </si>
  <si>
    <t>CF62 6RR</t>
  </si>
  <si>
    <t>CBDU6858</t>
  </si>
  <si>
    <t xml:space="preserve">29A Station Road </t>
  </si>
  <si>
    <t>CBDL6861</t>
  </si>
  <si>
    <t>unit 1a foxholes avenue</t>
  </si>
  <si>
    <t>stanstead road</t>
  </si>
  <si>
    <t>hertford</t>
  </si>
  <si>
    <t>al8 7rd</t>
  </si>
  <si>
    <t>CBDU6862</t>
  </si>
  <si>
    <t>Unit 12 St. Davids Industrial Estate</t>
  </si>
  <si>
    <t>NP12 3SW</t>
  </si>
  <si>
    <t>CBDU6866</t>
  </si>
  <si>
    <t xml:space="preserve">239 Penybanc Road </t>
  </si>
  <si>
    <t>SA18 3QW</t>
  </si>
  <si>
    <t>CBDU6614</t>
  </si>
  <si>
    <t>Bont Newydd Cwm Cynfal</t>
  </si>
  <si>
    <t>LL41 4PT</t>
  </si>
  <si>
    <t>CBDU6615</t>
  </si>
  <si>
    <t xml:space="preserve">15 Mansel Street </t>
  </si>
  <si>
    <t>SA13 1BL</t>
  </si>
  <si>
    <t>CBDU6616</t>
  </si>
  <si>
    <t>Unit 1B Broughton Industrial Estate</t>
  </si>
  <si>
    <t>CBDU6617</t>
  </si>
  <si>
    <t>Lon Parcwr Ruthin</t>
  </si>
  <si>
    <t>CBDU6619</t>
  </si>
  <si>
    <t xml:space="preserve">4 Gloddaeth Villas </t>
  </si>
  <si>
    <t>LL16 5SY</t>
  </si>
  <si>
    <t>CBDU6620</t>
  </si>
  <si>
    <t xml:space="preserve">Graig Road </t>
  </si>
  <si>
    <t>CBDU6621</t>
  </si>
  <si>
    <t>Eastern Dry Dock Corporation Road</t>
  </si>
  <si>
    <t>NP19 4RE</t>
  </si>
  <si>
    <t>CBDU6622</t>
  </si>
  <si>
    <t>Ty Newydd Clawddnewydd</t>
  </si>
  <si>
    <t>LL15 2NE</t>
  </si>
  <si>
    <t>CBDU6627</t>
  </si>
  <si>
    <t>CBDU6629</t>
  </si>
  <si>
    <t>Allansbank Leigh Road</t>
  </si>
  <si>
    <t>NP4 8HZ</t>
  </si>
  <si>
    <t>CBDL6631</t>
  </si>
  <si>
    <t>10 Brighton Road Gorseinon</t>
  </si>
  <si>
    <t>SA4 4BN</t>
  </si>
  <si>
    <t>CBDU7438</t>
  </si>
  <si>
    <t>CBDU7442</t>
  </si>
  <si>
    <t xml:space="preserve">21 Heol Strauss </t>
  </si>
  <si>
    <t>SA12 7TN</t>
  </si>
  <si>
    <t>CBDU7443</t>
  </si>
  <si>
    <t>5 Ball Road Llanrumney</t>
  </si>
  <si>
    <t>CF3 4BW</t>
  </si>
  <si>
    <t>CBDL7444</t>
  </si>
  <si>
    <t>Unit 5 Bess Park Road</t>
  </si>
  <si>
    <t>Trenant Industrial Estate</t>
  </si>
  <si>
    <t>Wadebridge</t>
  </si>
  <si>
    <t>PL27 6HB</t>
  </si>
  <si>
    <t>CBDU7206</t>
  </si>
  <si>
    <t>Unit 4-6 Ty Coch Distribution Centre</t>
  </si>
  <si>
    <t>CBDL7209</t>
  </si>
  <si>
    <t>CBDU7210</t>
  </si>
  <si>
    <t>Ty Newydd Henryd Henryd</t>
  </si>
  <si>
    <t>LL32 8YD</t>
  </si>
  <si>
    <t>CBDL7214</t>
  </si>
  <si>
    <t xml:space="preserve">Main Street </t>
  </si>
  <si>
    <t>SA64 0BN</t>
  </si>
  <si>
    <t>CBDL7215</t>
  </si>
  <si>
    <t xml:space="preserve"> Strada Ciresoaia nr 23</t>
  </si>
  <si>
    <t>CBDL7216</t>
  </si>
  <si>
    <t>CBDL8105</t>
  </si>
  <si>
    <t>Sunnyside Nurseries Chepstow Road</t>
  </si>
  <si>
    <t>NP18 2JN</t>
  </si>
  <si>
    <t>CBDU8109</t>
  </si>
  <si>
    <t xml:space="preserve">243 St. Fagans Road </t>
  </si>
  <si>
    <t>CF5 3DL</t>
  </si>
  <si>
    <t>CBDU8113</t>
  </si>
  <si>
    <t>Gelli Uchaf Farm Greys Place</t>
  </si>
  <si>
    <t>CF44 0BJ</t>
  </si>
  <si>
    <t>CBDU7850</t>
  </si>
  <si>
    <t>Old Foundry Yard Rockhill Road</t>
  </si>
  <si>
    <t>NP4 8AN</t>
  </si>
  <si>
    <t>CBDU7851</t>
  </si>
  <si>
    <t>CBDU7854</t>
  </si>
  <si>
    <t xml:space="preserve">9 Madoc Road </t>
  </si>
  <si>
    <t>CF24 2SY</t>
  </si>
  <si>
    <t>CBDL7855</t>
  </si>
  <si>
    <t>CBDU7856</t>
  </si>
  <si>
    <t>Oak View Ffordun</t>
  </si>
  <si>
    <t>SY21 8NB</t>
  </si>
  <si>
    <t>CBDU7857</t>
  </si>
  <si>
    <t>Ty Canol Farm Penycae</t>
  </si>
  <si>
    <t>LL14 1UN</t>
  </si>
  <si>
    <t>CBDU7858</t>
  </si>
  <si>
    <t>226 Peniel Green Road Peniel Green</t>
  </si>
  <si>
    <t>SA7 9BD</t>
  </si>
  <si>
    <t>CBDU7859</t>
  </si>
  <si>
    <t>98 James Street Trethomas</t>
  </si>
  <si>
    <t>CF83 8FY</t>
  </si>
  <si>
    <t>CBDU7860</t>
  </si>
  <si>
    <t>97 Glanrhyd Coed Eva</t>
  </si>
  <si>
    <t>NP44 6TZ</t>
  </si>
  <si>
    <t>CBDU7863</t>
  </si>
  <si>
    <t xml:space="preserve">9 St. Georges Road </t>
  </si>
  <si>
    <t>Halifax</t>
  </si>
  <si>
    <t>HX3 5BU</t>
  </si>
  <si>
    <t>CBDU7864</t>
  </si>
  <si>
    <t>Electroimpact Technology Park Manor Lane</t>
  </si>
  <si>
    <t>CH5 3ST</t>
  </si>
  <si>
    <t>CBDU7865</t>
  </si>
  <si>
    <t>Hadleigh Buildings Bangor Road</t>
  </si>
  <si>
    <t>LL32 8DN</t>
  </si>
  <si>
    <t>CBDL8502</t>
  </si>
  <si>
    <t>Strathmore Five Lanes</t>
  </si>
  <si>
    <t>NP26 5PG</t>
  </si>
  <si>
    <t>CBDU8503</t>
  </si>
  <si>
    <t>CBDU8504</t>
  </si>
  <si>
    <t>Plas Buckley Llannefydd</t>
  </si>
  <si>
    <t>LL16 5DP</t>
  </si>
  <si>
    <t>CBDU8507</t>
  </si>
  <si>
    <t>CAREW CAR DISMANTLERS CAREW AIRFIELD</t>
  </si>
  <si>
    <t>CAREW</t>
  </si>
  <si>
    <t>SA708SX</t>
  </si>
  <si>
    <t>CBDL8508</t>
  </si>
  <si>
    <t xml:space="preserve">33A Chester Street </t>
  </si>
  <si>
    <t>CF11 6PY</t>
  </si>
  <si>
    <t>CBDL8509</t>
  </si>
  <si>
    <t>Beacon Court Norman Way</t>
  </si>
  <si>
    <t>CBDU8512</t>
  </si>
  <si>
    <t>1 Coedwig Place Gendros</t>
  </si>
  <si>
    <t>SA5 8DT</t>
  </si>
  <si>
    <t>CBDU8513</t>
  </si>
  <si>
    <t>47A Millers Avenue Brynmenyn Industrial Estate</t>
  </si>
  <si>
    <t>CBDU8515</t>
  </si>
  <si>
    <t>Penrhos Cwttir Lane</t>
  </si>
  <si>
    <t>LL17 0LF</t>
  </si>
  <si>
    <t>CBDU8521</t>
  </si>
  <si>
    <t>Unit 7 Glan-y-Llyn Industrial Estate</t>
  </si>
  <si>
    <t>CBDU8522</t>
  </si>
  <si>
    <t>Old Star Motel Star</t>
  </si>
  <si>
    <t>LL60 6AH</t>
  </si>
  <si>
    <t>CBDU8265</t>
  </si>
  <si>
    <t xml:space="preserve">61 Trealaw Road </t>
  </si>
  <si>
    <t>CF40 2NR</t>
  </si>
  <si>
    <t>CBDU8269</t>
  </si>
  <si>
    <t>Y Bracty Llantwit Road</t>
  </si>
  <si>
    <t>CF71 7QD</t>
  </si>
  <si>
    <t>CBDL8271</t>
  </si>
  <si>
    <t xml:space="preserve">Winch Lane </t>
  </si>
  <si>
    <t>SA61 1RN</t>
  </si>
  <si>
    <t>CBDL8272</t>
  </si>
  <si>
    <t>18 The Haldens Fairwater</t>
  </si>
  <si>
    <t>NP44 4EQ</t>
  </si>
  <si>
    <t>CBDU8764</t>
  </si>
  <si>
    <t>26 Greenmeadow Drive Parc Seymour</t>
  </si>
  <si>
    <t>Penhow</t>
  </si>
  <si>
    <t>NP26 3AW</t>
  </si>
  <si>
    <t>CBDL8765</t>
  </si>
  <si>
    <t>Forge Industrial Estate Nantyffyllon</t>
  </si>
  <si>
    <t>CF34 0AH</t>
  </si>
  <si>
    <t>CBDL9144</t>
  </si>
  <si>
    <t>135 Peulwys Lane Old Colwyn</t>
  </si>
  <si>
    <t>LL29 8YF</t>
  </si>
  <si>
    <t>CBDU9146</t>
  </si>
  <si>
    <t xml:space="preserve">2 Rhydyfro </t>
  </si>
  <si>
    <t>SA19 9HW</t>
  </si>
  <si>
    <t>CBDU9151</t>
  </si>
  <si>
    <t>Parc Tredomen Ystrad Mynach</t>
  </si>
  <si>
    <t>CF82 7FQ</t>
  </si>
  <si>
    <t>CBDU9154</t>
  </si>
  <si>
    <t>Ardudwy Brynsiencyn</t>
  </si>
  <si>
    <t>LL61 6NJ</t>
  </si>
  <si>
    <t>CBDU9155</t>
  </si>
  <si>
    <t>Rising Sun Cottage Denbigh Road</t>
  </si>
  <si>
    <t>Nannerch</t>
  </si>
  <si>
    <t>CH7 5RH</t>
  </si>
  <si>
    <t>CBDU9157</t>
  </si>
  <si>
    <t>Brymau House River Lane</t>
  </si>
  <si>
    <t>CBDU9158</t>
  </si>
  <si>
    <t>24 Alexandra Road Ynysddu</t>
  </si>
  <si>
    <t>NP11 7JZ</t>
  </si>
  <si>
    <t>CBDL9159</t>
  </si>
  <si>
    <t>CBDU9160</t>
  </si>
  <si>
    <t xml:space="preserve">Pencoed Technology Park </t>
  </si>
  <si>
    <t>CF35 5HZ</t>
  </si>
  <si>
    <t>CBDU9161</t>
  </si>
  <si>
    <t xml:space="preserve">7 Broad Street </t>
  </si>
  <si>
    <t>Kingswinford</t>
  </si>
  <si>
    <t>DY6 9LP</t>
  </si>
  <si>
    <t>CBDU8885</t>
  </si>
  <si>
    <t>Ty Cerrig Llandruidion</t>
  </si>
  <si>
    <t>Pencaer</t>
  </si>
  <si>
    <t>SA64 0JQ</t>
  </si>
  <si>
    <t>CBDU8886</t>
  </si>
  <si>
    <t>8 Coed Y Brain Road Llanbradach</t>
  </si>
  <si>
    <t>CF83 3JS</t>
  </si>
  <si>
    <t>CBDU8887</t>
  </si>
  <si>
    <t>Ffordd Corwen Pontybodkin</t>
  </si>
  <si>
    <t>CBDU8888</t>
  </si>
  <si>
    <t xml:space="preserve">Llanaber </t>
  </si>
  <si>
    <t>LL42 1RR</t>
  </si>
  <si>
    <t>CBDU8889</t>
  </si>
  <si>
    <t xml:space="preserve">Nantanog </t>
  </si>
  <si>
    <t>LL71 7BP</t>
  </si>
  <si>
    <t>CBDU8890</t>
  </si>
  <si>
    <t>The Old Wagon Works Shands Road</t>
  </si>
  <si>
    <t>CBDU8891</t>
  </si>
  <si>
    <t>47 Cherry Tree Close Bedwas</t>
  </si>
  <si>
    <t>CF83 8HB</t>
  </si>
  <si>
    <t>CBDU8892</t>
  </si>
  <si>
    <t>CBDU8896</t>
  </si>
  <si>
    <t xml:space="preserve">3 Bailey Street </t>
  </si>
  <si>
    <t>SA17 5AZ</t>
  </si>
  <si>
    <t>CBDU8897</t>
  </si>
  <si>
    <t>UNIT 6 AND 7 GORSEINON BUSINESS PARK</t>
  </si>
  <si>
    <t>CBDU8899</t>
  </si>
  <si>
    <t>Unit 8 Heol Ty Gwyn Industrial Estate</t>
  </si>
  <si>
    <t>CBDU8902</t>
  </si>
  <si>
    <t>Rhedyn Coch Niwbwrch</t>
  </si>
  <si>
    <t>CBDU8904</t>
  </si>
  <si>
    <t>Unit 15 Palmers Vale Business Centre</t>
  </si>
  <si>
    <t>CBDL8905</t>
  </si>
  <si>
    <t>Unit 2 Ringside Business Park</t>
  </si>
  <si>
    <t>CBDL179</t>
  </si>
  <si>
    <t>53 cae crwn</t>
  </si>
  <si>
    <t>sy20 8hg</t>
  </si>
  <si>
    <t>CBDL180</t>
  </si>
  <si>
    <t>CBDL183</t>
  </si>
  <si>
    <t>16 Woodham Park</t>
  </si>
  <si>
    <t>CF62 8JF</t>
  </si>
  <si>
    <t>CBDL184</t>
  </si>
  <si>
    <t>Unit A-C Station Building</t>
  </si>
  <si>
    <t>CBDL185</t>
  </si>
  <si>
    <t>6 Beechwood Drive</t>
  </si>
  <si>
    <t>Barnsfield</t>
  </si>
  <si>
    <t>SY16 2QA</t>
  </si>
  <si>
    <t>CBDL187</t>
  </si>
  <si>
    <t>13 Watergate</t>
  </si>
  <si>
    <t>LD3 9AL</t>
  </si>
  <si>
    <t>CBDL429</t>
  </si>
  <si>
    <t>9 South Park Road</t>
  </si>
  <si>
    <t>CF24 2LU</t>
  </si>
  <si>
    <t>CBDL674</t>
  </si>
  <si>
    <t>3 Pentwyn</t>
  </si>
  <si>
    <t>Castle View</t>
  </si>
  <si>
    <t>CF15 8RT</t>
  </si>
  <si>
    <t>CBDL675</t>
  </si>
  <si>
    <t>Unit 16 Swift Business Centre</t>
  </si>
  <si>
    <t>Keen Rd  Ocean Park</t>
  </si>
  <si>
    <t>CBDL676</t>
  </si>
  <si>
    <t>6 Princess Road</t>
  </si>
  <si>
    <t>LL29 9PS</t>
  </si>
  <si>
    <t>CBDL678</t>
  </si>
  <si>
    <t>Blagdon house Greenfield ave</t>
  </si>
  <si>
    <t>Cf644bx</t>
  </si>
  <si>
    <t>CBDL679</t>
  </si>
  <si>
    <t>122 heol graigfelen</t>
  </si>
  <si>
    <t>clydach</t>
  </si>
  <si>
    <t>sa6 5dj</t>
  </si>
  <si>
    <t>CBDL680</t>
  </si>
  <si>
    <t>Bay view Main Street</t>
  </si>
  <si>
    <t>Good wick</t>
  </si>
  <si>
    <t>Sa640bn</t>
  </si>
  <si>
    <t>CBDL681</t>
  </si>
  <si>
    <t>CBDL869</t>
  </si>
  <si>
    <t>7 Madoc Street</t>
  </si>
  <si>
    <t>LL30 2TL</t>
  </si>
  <si>
    <t>CBDL876</t>
  </si>
  <si>
    <t>31 bryntirion drive</t>
  </si>
  <si>
    <t>prestatyn</t>
  </si>
  <si>
    <t>ll19 9nt</t>
  </si>
  <si>
    <t>CBDL878</t>
  </si>
  <si>
    <t>67 Glanmor Park Road</t>
  </si>
  <si>
    <t>SA2 0QE</t>
  </si>
  <si>
    <t>CBDL879</t>
  </si>
  <si>
    <t>Oakwood House Hang Hill Road</t>
  </si>
  <si>
    <t>Bream</t>
  </si>
  <si>
    <t>Lydney</t>
  </si>
  <si>
    <t>GL15 6LQ</t>
  </si>
  <si>
    <t>CBDL881</t>
  </si>
  <si>
    <t>3 maes cyttir</t>
  </si>
  <si>
    <t>holyhead</t>
  </si>
  <si>
    <t>ll652th</t>
  </si>
  <si>
    <t>CBDL1113</t>
  </si>
  <si>
    <t>Basement Flat 40 Carlton Terrace</t>
  </si>
  <si>
    <t>SA1 6AE</t>
  </si>
  <si>
    <t>CBDL1114</t>
  </si>
  <si>
    <t>12A Market Arcade High Street</t>
  </si>
  <si>
    <t>LD3 9DA</t>
  </si>
  <si>
    <t>CBDL1115</t>
  </si>
  <si>
    <t>2 Britannia Terrace</t>
  </si>
  <si>
    <t>LL61 5UX</t>
  </si>
  <si>
    <t>CBDL1119</t>
  </si>
  <si>
    <t>cwmffordd goch broad way</t>
  </si>
  <si>
    <t>ferryside</t>
  </si>
  <si>
    <t>sa17 5yr</t>
  </si>
  <si>
    <t>CBDL1120</t>
  </si>
  <si>
    <t>9 King Street</t>
  </si>
  <si>
    <t>Abertridwr</t>
  </si>
  <si>
    <t>cf834be</t>
  </si>
  <si>
    <t>CBDL1123</t>
  </si>
  <si>
    <t>Tyn Parc Llandre</t>
  </si>
  <si>
    <t>SY24 5BU</t>
  </si>
  <si>
    <t>CBDL1124</t>
  </si>
  <si>
    <t>Upper Wenallt Farm Risca</t>
  </si>
  <si>
    <t>NP11 6JD</t>
  </si>
  <si>
    <t>CBDL1125</t>
  </si>
  <si>
    <t>The New Warehouse Glyndwr Street</t>
  </si>
  <si>
    <t>LL40 1BD</t>
  </si>
  <si>
    <t>CBDL1357</t>
  </si>
  <si>
    <t>5 Cornewall Close</t>
  </si>
  <si>
    <t>Moccas</t>
  </si>
  <si>
    <t>HR2 9LG</t>
  </si>
  <si>
    <t>CBDL1358</t>
  </si>
  <si>
    <t>50 Glantwrch</t>
  </si>
  <si>
    <t>SA9 2JW</t>
  </si>
  <si>
    <t>CBDL1362</t>
  </si>
  <si>
    <t>4 dee view</t>
  </si>
  <si>
    <t>flintshire</t>
  </si>
  <si>
    <t>ch53an</t>
  </si>
  <si>
    <t>CBDL1367</t>
  </si>
  <si>
    <t>125 Cwrt yr Ala Road</t>
  </si>
  <si>
    <t>Ely</t>
  </si>
  <si>
    <t>CF5 5QR</t>
  </si>
  <si>
    <t>CBDL1586</t>
  </si>
  <si>
    <t>OLD TOWN HALL BROAD STREET</t>
  </si>
  <si>
    <t>LD82SN</t>
  </si>
  <si>
    <t>CBDL1588</t>
  </si>
  <si>
    <t>The Sally Inn Tranch Road</t>
  </si>
  <si>
    <t>NP4 6BW</t>
  </si>
  <si>
    <t>CBDL1594</t>
  </si>
  <si>
    <t>45 Fford dryden</t>
  </si>
  <si>
    <t>Killay</t>
  </si>
  <si>
    <t>Sa2 7pd</t>
  </si>
  <si>
    <t>CBDL1595</t>
  </si>
  <si>
    <t>CBDL1597</t>
  </si>
  <si>
    <t>The Meadows Medical Practice Penybont Road</t>
  </si>
  <si>
    <t>LD7 1HB</t>
  </si>
  <si>
    <t>CBDL1599</t>
  </si>
  <si>
    <t>21 cornwall road williamstown</t>
  </si>
  <si>
    <t>rct</t>
  </si>
  <si>
    <t>cf40 1pr</t>
  </si>
  <si>
    <t>CBDL1600</t>
  </si>
  <si>
    <t>89 glebe street</t>
  </si>
  <si>
    <t>penarth</t>
  </si>
  <si>
    <t>cf64 1ee</t>
  </si>
  <si>
    <t>CBDL2069</t>
  </si>
  <si>
    <t>The Brunett Tybroughton</t>
  </si>
  <si>
    <t>SY13 3BA</t>
  </si>
  <si>
    <t>CBDL2233</t>
  </si>
  <si>
    <t>2 Clos-y-Bont Faen Cwmrhydyceirw</t>
  </si>
  <si>
    <t>SA6 6PT</t>
  </si>
  <si>
    <t>CBDL2248</t>
  </si>
  <si>
    <t xml:space="preserve">Foel </t>
  </si>
  <si>
    <t>SY21 0NU</t>
  </si>
  <si>
    <t>CBDL2467</t>
  </si>
  <si>
    <t>Parish Sands Bryn</t>
  </si>
  <si>
    <t>SA13 2RP</t>
  </si>
  <si>
    <t>CBDL2471</t>
  </si>
  <si>
    <t xml:space="preserve">16 Forest Farm Road </t>
  </si>
  <si>
    <t>CF14 7JN</t>
  </si>
  <si>
    <t>CBDL2472</t>
  </si>
  <si>
    <t xml:space="preserve">1 Caemawr Terrace </t>
  </si>
  <si>
    <t>CF40 1RZ</t>
  </si>
  <si>
    <t>CBDL2714</t>
  </si>
  <si>
    <t>6 Blaen-y-Cwm Road Blaencwm</t>
  </si>
  <si>
    <t>CF42 5DG</t>
  </si>
  <si>
    <t>CBDL2715</t>
  </si>
  <si>
    <t xml:space="preserve">11 Sussex Gardens </t>
  </si>
  <si>
    <t>LL11 2YB</t>
  </si>
  <si>
    <t>CBDL2717</t>
  </si>
  <si>
    <t xml:space="preserve">Mantura </t>
  </si>
  <si>
    <t>SY23 5HT</t>
  </si>
  <si>
    <t>CBDL2722</t>
  </si>
  <si>
    <t>5 Llys Aaron Pontarddulais</t>
  </si>
  <si>
    <t>SA4 8RF</t>
  </si>
  <si>
    <t>CBDL2728</t>
  </si>
  <si>
    <t xml:space="preserve">6 Burnham Gardens </t>
  </si>
  <si>
    <t>LL13 9LU</t>
  </si>
  <si>
    <t>CBDL2932</t>
  </si>
  <si>
    <t>15 Heol Maelor Coedpoeth</t>
  </si>
  <si>
    <t>LL11 3LR</t>
  </si>
  <si>
    <t>CBDL3139</t>
  </si>
  <si>
    <t>Dwylan Rhydyfelin</t>
  </si>
  <si>
    <t>SY23 4PY</t>
  </si>
  <si>
    <t>CBDL3141</t>
  </si>
  <si>
    <t xml:space="preserve">33 Beech Grove </t>
  </si>
  <si>
    <t>LD3 9ET</t>
  </si>
  <si>
    <t>CBDL3145</t>
  </si>
  <si>
    <t>1A Clive Place Severn Road</t>
  </si>
  <si>
    <t>SY21 7AN</t>
  </si>
  <si>
    <t>CBDL3152</t>
  </si>
  <si>
    <t xml:space="preserve">28 Bendrick Road </t>
  </si>
  <si>
    <t>CF63 3RE</t>
  </si>
  <si>
    <t>CBDL3370</t>
  </si>
  <si>
    <t>15 Thistle Court Ty Canol</t>
  </si>
  <si>
    <t>NP44 6JD</t>
  </si>
  <si>
    <t>CBDL3375</t>
  </si>
  <si>
    <t>Caertaf Sancler</t>
  </si>
  <si>
    <t>SA33 4EJ</t>
  </si>
  <si>
    <t>CBDL3437</t>
  </si>
  <si>
    <t>Unit 3 Pontnewynydd Small Business Centre</t>
  </si>
  <si>
    <t>Pontnewynydd Industrial Estate</t>
  </si>
  <si>
    <t>NP4 6AD</t>
  </si>
  <si>
    <t>CBDL3444</t>
  </si>
  <si>
    <t xml:space="preserve">27 Nuns Moor Road </t>
  </si>
  <si>
    <t>NE4 9AU</t>
  </si>
  <si>
    <t>CBDL3647</t>
  </si>
  <si>
    <t>Ty Gwyn Commins Coch</t>
  </si>
  <si>
    <t>SY20 8LG</t>
  </si>
  <si>
    <t>CBDL3648</t>
  </si>
  <si>
    <t xml:space="preserve">9 Clos Ynysddu </t>
  </si>
  <si>
    <t>CBDL3656</t>
  </si>
  <si>
    <t>1 Llangeinor Road Brynmenyn</t>
  </si>
  <si>
    <t>CF32 9LY</t>
  </si>
  <si>
    <t>CBDL3658</t>
  </si>
  <si>
    <t>Red Rose Cottage 37 High Street</t>
  </si>
  <si>
    <t>Great Limber</t>
  </si>
  <si>
    <t>DN37 8JL</t>
  </si>
  <si>
    <t>CBDL3883</t>
  </si>
  <si>
    <t xml:space="preserve">7 Landseer Close </t>
  </si>
  <si>
    <t>S14 1BT</t>
  </si>
  <si>
    <t>CBDL3888</t>
  </si>
  <si>
    <t>Caerwent Training Area Dinham Road</t>
  </si>
  <si>
    <t>NP26 5XL</t>
  </si>
  <si>
    <t>CBDL3891</t>
  </si>
  <si>
    <t>Rock Cottage Monmouth Road</t>
  </si>
  <si>
    <t>Trelleck</t>
  </si>
  <si>
    <t>NP25 4AF</t>
  </si>
  <si>
    <t>CBDL3892</t>
  </si>
  <si>
    <t>Awelfor Talysarn</t>
  </si>
  <si>
    <t>LL54 6LD</t>
  </si>
  <si>
    <t>CBDL3893</t>
  </si>
  <si>
    <t>Blaenffynnonau Farm Redstone Road</t>
  </si>
  <si>
    <t>CBDL4141</t>
  </si>
  <si>
    <t xml:space="preserve">90 Victoria Road </t>
  </si>
  <si>
    <t>SO19 9EF</t>
  </si>
  <si>
    <t>CBDL4143</t>
  </si>
  <si>
    <t>Orchard House Broadwell Hayes</t>
  </si>
  <si>
    <t>SA70 8DQ</t>
  </si>
  <si>
    <t>CBDL4145</t>
  </si>
  <si>
    <t xml:space="preserve">24 Portesham Gardens </t>
  </si>
  <si>
    <t>BH9 3QN</t>
  </si>
  <si>
    <t>CBDL4148</t>
  </si>
  <si>
    <t>12 Penymorfa Llangynnwr</t>
  </si>
  <si>
    <t>SA31 2NP</t>
  </si>
  <si>
    <t>CBDL4387</t>
  </si>
  <si>
    <t xml:space="preserve">40 Crest Avenue </t>
  </si>
  <si>
    <t>SS13 2EF</t>
  </si>
  <si>
    <t>CBDL4395</t>
  </si>
  <si>
    <t xml:space="preserve">Francis Street </t>
  </si>
  <si>
    <t>SA1 4NH</t>
  </si>
  <si>
    <t>CBDL4629</t>
  </si>
  <si>
    <t>Graig-yr-Hufen Farm Graig-yr-Hufen Road</t>
  </si>
  <si>
    <t>CBDL4631</t>
  </si>
  <si>
    <t>Cefnllidiart Penllwyn</t>
  </si>
  <si>
    <t>CBDL4812</t>
  </si>
  <si>
    <t xml:space="preserve">12 Garnwen Road </t>
  </si>
  <si>
    <t>CF34 0EY</t>
  </si>
  <si>
    <t>CBDL5046</t>
  </si>
  <si>
    <t>12 St. Dogmaels Avenue Llanishen</t>
  </si>
  <si>
    <t>CBDL5050</t>
  </si>
  <si>
    <t>2b Dillwyn street</t>
  </si>
  <si>
    <t xml:space="preserve">Llaneli </t>
  </si>
  <si>
    <t>Sa15 1bu</t>
  </si>
  <si>
    <t>CBDL5056</t>
  </si>
  <si>
    <t xml:space="preserve">8 Trinity Terrace </t>
  </si>
  <si>
    <t>NP7 5BE</t>
  </si>
  <si>
    <t>CBDL5061</t>
  </si>
  <si>
    <t>Alexander Heights Court Road</t>
  </si>
  <si>
    <t>CF83 2LU</t>
  </si>
  <si>
    <t>CBDU5570</t>
  </si>
  <si>
    <t>Bryn Llefrith Farm Caerau</t>
  </si>
  <si>
    <t>CF34 0TN</t>
  </si>
  <si>
    <t>CBDU5571</t>
  </si>
  <si>
    <t xml:space="preserve">21 Deans Gate </t>
  </si>
  <si>
    <t>Willenhall</t>
  </si>
  <si>
    <t>WV13 3NH</t>
  </si>
  <si>
    <t>CBDU5576</t>
  </si>
  <si>
    <t xml:space="preserve">2 Station Terrace </t>
  </si>
  <si>
    <t>CF34 0HR</t>
  </si>
  <si>
    <t>CBDU5577</t>
  </si>
  <si>
    <t>Wern Farm Llanbedr Dyffryn Clwyd</t>
  </si>
  <si>
    <t>LL15 1UN</t>
  </si>
  <si>
    <t>CBDU5578</t>
  </si>
  <si>
    <t>Wyndham Court Fairways</t>
  </si>
  <si>
    <t>North Cornelly</t>
  </si>
  <si>
    <t>CBDU5579</t>
  </si>
  <si>
    <t xml:space="preserve">60 Pengarth </t>
  </si>
  <si>
    <t>LL32 8RP</t>
  </si>
  <si>
    <t>CBDU5580</t>
  </si>
  <si>
    <t xml:space="preserve">10 The Avenue </t>
  </si>
  <si>
    <t>CF45 4DT</t>
  </si>
  <si>
    <t>CBDU5581</t>
  </si>
  <si>
    <t xml:space="preserve">23 Teras Cwrtucha </t>
  </si>
  <si>
    <t>SA13 1LD</t>
  </si>
  <si>
    <t>CBDU5583</t>
  </si>
  <si>
    <t xml:space="preserve">87 Field Street </t>
  </si>
  <si>
    <t>PE21 6TR</t>
  </si>
  <si>
    <t>CBDU5584</t>
  </si>
  <si>
    <t>Bryn Ysgol Penrhiwfer Road</t>
  </si>
  <si>
    <t>CF40 1SJ</t>
  </si>
  <si>
    <t>CBDL5585</t>
  </si>
  <si>
    <t xml:space="preserve">85-87 Preston Street </t>
  </si>
  <si>
    <t>Brighton</t>
  </si>
  <si>
    <t>BN1 2HG</t>
  </si>
  <si>
    <t>CBDU5832</t>
  </si>
  <si>
    <t xml:space="preserve">106 Aberporth Road </t>
  </si>
  <si>
    <t>CF14 2RY</t>
  </si>
  <si>
    <t>CBDU5834</t>
  </si>
  <si>
    <t>CBDU5835</t>
  </si>
  <si>
    <t xml:space="preserve">20 Alexandra Road </t>
  </si>
  <si>
    <t>NP7 5RW</t>
  </si>
  <si>
    <t>CBDU5836</t>
  </si>
  <si>
    <t>Pensarnddu Uchaf Farm Tanygroes</t>
  </si>
  <si>
    <t>SA43 2JT</t>
  </si>
  <si>
    <t>CBDU6081</t>
  </si>
  <si>
    <t>14 St. Marks Close Merlins Bridge</t>
  </si>
  <si>
    <t>SA61 1NN</t>
  </si>
  <si>
    <t>CBDU6083</t>
  </si>
  <si>
    <t>29 Gwili Terrace Mayhill</t>
  </si>
  <si>
    <t>SA1 6TW</t>
  </si>
  <si>
    <t>CBDU6085</t>
  </si>
  <si>
    <t>Kings Head Hill Street</t>
  </si>
  <si>
    <t>LL14 1LN</t>
  </si>
  <si>
    <t>CBDU6086</t>
  </si>
  <si>
    <t>3 Stryt Yr Allt Rhosllanerchrugog</t>
  </si>
  <si>
    <t>CBDU6089</t>
  </si>
  <si>
    <t>7 Hafod Wen Johnstown</t>
  </si>
  <si>
    <t>LL14 2AT</t>
  </si>
  <si>
    <t>CBDU6091</t>
  </si>
  <si>
    <t>CBDU6092</t>
  </si>
  <si>
    <t>Bodfan 9D Craig Madog</t>
  </si>
  <si>
    <t>Tremadog</t>
  </si>
  <si>
    <t>LL49 9TG</t>
  </si>
  <si>
    <t>CBDU6094</t>
  </si>
  <si>
    <t>1 Greenfield Terrace Park Street</t>
  </si>
  <si>
    <t>LL14 2AB</t>
  </si>
  <si>
    <t>CBDL6327</t>
  </si>
  <si>
    <t>CBDU6328</t>
  </si>
  <si>
    <t>Yew Tree Cottage Yew Tree Terrace</t>
  </si>
  <si>
    <t>NP44 3NU</t>
  </si>
  <si>
    <t>CBDU6331</t>
  </si>
  <si>
    <t>Oxwich Camping Park Gower</t>
  </si>
  <si>
    <t>SA3 1LS</t>
  </si>
  <si>
    <t>CBDL6336</t>
  </si>
  <si>
    <t>Bennah Farm Christow</t>
  </si>
  <si>
    <t>EX6 7NW</t>
  </si>
  <si>
    <t>CBDU6635</t>
  </si>
  <si>
    <t>60 Walters Road Ogmore Vale</t>
  </si>
  <si>
    <t>CF32 7DN</t>
  </si>
  <si>
    <t>CBDU6636</t>
  </si>
  <si>
    <t>29 Bush Bach Nantybwch</t>
  </si>
  <si>
    <t>NP22 3SR</t>
  </si>
  <si>
    <t>CBDU6638</t>
  </si>
  <si>
    <t xml:space="preserve">30 Nant Y Berllan </t>
  </si>
  <si>
    <t>LL33 0SN</t>
  </si>
  <si>
    <t>CBDU6641</t>
  </si>
  <si>
    <t xml:space="preserve">1 Garn Wnda </t>
  </si>
  <si>
    <t>SA65 9JR</t>
  </si>
  <si>
    <t>CBDL6646</t>
  </si>
  <si>
    <t xml:space="preserve">7 Dinas Road </t>
  </si>
  <si>
    <t>CF64 3PH</t>
  </si>
  <si>
    <t>CBDU6648</t>
  </si>
  <si>
    <t xml:space="preserve">11 Hafod Cwnin </t>
  </si>
  <si>
    <t>SA31 2AU</t>
  </si>
  <si>
    <t>CBDU6869</t>
  </si>
  <si>
    <t>22 Parc Y Nant Nantgarw</t>
  </si>
  <si>
    <t>CBDL6871</t>
  </si>
  <si>
    <t>Noddfa Llanddowror</t>
  </si>
  <si>
    <t>SA33 4HJ</t>
  </si>
  <si>
    <t>CBDU6872</t>
  </si>
  <si>
    <t xml:space="preserve">51 Rosehill Road </t>
  </si>
  <si>
    <t>LL18 4TN</t>
  </si>
  <si>
    <t>CBDL6873</t>
  </si>
  <si>
    <t>44 Lyndhurst Road Chilton</t>
  </si>
  <si>
    <t>Ferryhill</t>
  </si>
  <si>
    <t>DL17 0PN</t>
  </si>
  <si>
    <t>CBDL6875</t>
  </si>
  <si>
    <t xml:space="preserve">2 Pencisely Crescent </t>
  </si>
  <si>
    <t>CF5 1DU</t>
  </si>
  <si>
    <t>CBDU6877</t>
  </si>
  <si>
    <t>Tanyffordd Conway Road</t>
  </si>
  <si>
    <t>Dolgarrog</t>
  </si>
  <si>
    <t>LL32 8JT</t>
  </si>
  <si>
    <t>CBDL7223</t>
  </si>
  <si>
    <t>NP8 1AY</t>
  </si>
  <si>
    <t>CBDU7226</t>
  </si>
  <si>
    <t xml:space="preserve">11 Lakelands Close </t>
  </si>
  <si>
    <t>Macclesfield</t>
  </si>
  <si>
    <t>SK10 1RF</t>
  </si>
  <si>
    <t>CBDU7227</t>
  </si>
  <si>
    <t>Bryniestyn Tirycoed Road</t>
  </si>
  <si>
    <t>SA18 2YL</t>
  </si>
  <si>
    <t>CBDL7228</t>
  </si>
  <si>
    <t xml:space="preserve">13 Leamington Grove </t>
  </si>
  <si>
    <t>SN3 1NU</t>
  </si>
  <si>
    <t>CBDU7231</t>
  </si>
  <si>
    <t xml:space="preserve">Ty Mawr Farm </t>
  </si>
  <si>
    <t>LL63 5UR</t>
  </si>
  <si>
    <t>CBDL7232</t>
  </si>
  <si>
    <t>Flat 6 37 Clifton Road</t>
  </si>
  <si>
    <t>LL30 2YH</t>
  </si>
  <si>
    <t>CBDU7234</t>
  </si>
  <si>
    <t xml:space="preserve">25 Chapel Lands </t>
  </si>
  <si>
    <t>Alnwick</t>
  </si>
  <si>
    <t>NE66 1EN</t>
  </si>
  <si>
    <t>CBDL7236</t>
  </si>
  <si>
    <t>5 Martins Rise Whiteparish</t>
  </si>
  <si>
    <t>SP5 2EX</t>
  </si>
  <si>
    <t>CBDU7447</t>
  </si>
  <si>
    <t>Hafod Y Perthi Pontrug</t>
  </si>
  <si>
    <t>LL55 2SR</t>
  </si>
  <si>
    <t>CBDU7449</t>
  </si>
  <si>
    <t>Ceunant St. Dogmaels</t>
  </si>
  <si>
    <t>SA43 3JJ</t>
  </si>
  <si>
    <t>CBDL7453</t>
  </si>
  <si>
    <t>103 Crymlyn Road Llansamlet</t>
  </si>
  <si>
    <t>SA7 9XY</t>
  </si>
  <si>
    <t>CBDU7461</t>
  </si>
  <si>
    <t>7 The Square Y Creunant</t>
  </si>
  <si>
    <t>SA10 8RR</t>
  </si>
  <si>
    <t>CBDL7465</t>
  </si>
  <si>
    <t>83 Gainsborough Road Cefn Golau</t>
  </si>
  <si>
    <t>NP22 3TQ</t>
  </si>
  <si>
    <t>CBDU7874</t>
  </si>
  <si>
    <t>Garnfoel House Garnfoel</t>
  </si>
  <si>
    <t>SA14 7PS</t>
  </si>
  <si>
    <t>CBDL7879</t>
  </si>
  <si>
    <t>86-88 Risca Road Cross Keys</t>
  </si>
  <si>
    <t>NP11 7DG</t>
  </si>
  <si>
    <t>CBDU7886</t>
  </si>
  <si>
    <t>26 The Ridgeway Marchwiel</t>
  </si>
  <si>
    <t>LL13 0SB</t>
  </si>
  <si>
    <t>CBDL7887</t>
  </si>
  <si>
    <t>Select and Save 53 Pen-y-Wain Road</t>
  </si>
  <si>
    <t>Roath Park</t>
  </si>
  <si>
    <t>CF24 4GF</t>
  </si>
  <si>
    <t>CBDL8121</t>
  </si>
  <si>
    <t xml:space="preserve">10 Montpelier Terrace </t>
  </si>
  <si>
    <t>SA1 6JW</t>
  </si>
  <si>
    <t>CBDU8124</t>
  </si>
  <si>
    <t>Seibiant Talysarn</t>
  </si>
  <si>
    <t>CBDU8126</t>
  </si>
  <si>
    <t xml:space="preserve">54 Dyfrig Road </t>
  </si>
  <si>
    <t>CBDL8128</t>
  </si>
  <si>
    <t xml:space="preserve">2 Cwrt David Williams </t>
  </si>
  <si>
    <t>SY20 8JU</t>
  </si>
  <si>
    <t>CBDL8274</t>
  </si>
  <si>
    <t>first floor hsbc high street</t>
  </si>
  <si>
    <t>penrhyndeudraeth</t>
  </si>
  <si>
    <t>ll486bn</t>
  </si>
  <si>
    <t>CBDL8276</t>
  </si>
  <si>
    <t>Rakefoot Bronhaul</t>
  </si>
  <si>
    <t>Cynghordy</t>
  </si>
  <si>
    <t>SA20 0LT</t>
  </si>
  <si>
    <t>CBDU8283</t>
  </si>
  <si>
    <t>82 Chester Road West Shotton</t>
  </si>
  <si>
    <t>CH5 1BZ</t>
  </si>
  <si>
    <t>CBDL8285</t>
  </si>
  <si>
    <t>132 Maple Avenue Bulwark</t>
  </si>
  <si>
    <t>NP16 5RT</t>
  </si>
  <si>
    <t>CBDU8524</t>
  </si>
  <si>
    <t xml:space="preserve">6 St. Michaels Avenue </t>
  </si>
  <si>
    <t>CF37 1NS</t>
  </si>
  <si>
    <t>CBDU8526</t>
  </si>
  <si>
    <t xml:space="preserve">10 Heol Rhydychen </t>
  </si>
  <si>
    <t>LL41 3UB</t>
  </si>
  <si>
    <t>CBDU8528</t>
  </si>
  <si>
    <t xml:space="preserve">9 Velindre Road </t>
  </si>
  <si>
    <t>CF14 2TE</t>
  </si>
  <si>
    <t>CBDL8532</t>
  </si>
  <si>
    <t>15 Castletown Road Moss</t>
  </si>
  <si>
    <t>LL11 6DW</t>
  </si>
  <si>
    <t>CBDU8767</t>
  </si>
  <si>
    <t>3 Green Park Pentlepoir</t>
  </si>
  <si>
    <t>SA69 9BL</t>
  </si>
  <si>
    <t>CBDU8770</t>
  </si>
  <si>
    <t>1 Durrant Green High Halden</t>
  </si>
  <si>
    <t>Ashford</t>
  </si>
  <si>
    <t>TN26 3BU</t>
  </si>
  <si>
    <t>CBDL8773</t>
  </si>
  <si>
    <t>5 Clos Pinwydden Llanhari</t>
  </si>
  <si>
    <t>CF72 9GG</t>
  </si>
  <si>
    <t>CBDL8774</t>
  </si>
  <si>
    <t xml:space="preserve">Park View </t>
  </si>
  <si>
    <t>CF81 8QN</t>
  </si>
  <si>
    <t>CBDU8776</t>
  </si>
  <si>
    <t>CBDU8779</t>
  </si>
  <si>
    <t>CBDU8780</t>
  </si>
  <si>
    <t>15 Garthorpe Avenue Connah's Quay</t>
  </si>
  <si>
    <t>CH5 4AE</t>
  </si>
  <si>
    <t>CBDU8912</t>
  </si>
  <si>
    <t xml:space="preserve">9 St. Davids Park </t>
  </si>
  <si>
    <t>NP24 6BJ</t>
  </si>
  <si>
    <t>CBDU8914</t>
  </si>
  <si>
    <t xml:space="preserve">54 Tren Y Felin </t>
  </si>
  <si>
    <t>CF83 3SJ</t>
  </si>
  <si>
    <t>CBDU8915</t>
  </si>
  <si>
    <t xml:space="preserve">14 Arngask Road </t>
  </si>
  <si>
    <t>SE6 1XU</t>
  </si>
  <si>
    <t>CBDU8916</t>
  </si>
  <si>
    <t xml:space="preserve">29 Ceri Avenue </t>
  </si>
  <si>
    <t>LL19 7YN</t>
  </si>
  <si>
    <t>CBDL8917</t>
  </si>
  <si>
    <t>Tanglewood Mountain Road</t>
  </si>
  <si>
    <t>CF15 9QP</t>
  </si>
  <si>
    <t>CBDU8918</t>
  </si>
  <si>
    <t xml:space="preserve">6 Carmen Street </t>
  </si>
  <si>
    <t>CF34 0RL</t>
  </si>
  <si>
    <t>CBDU8922</t>
  </si>
  <si>
    <t>Ton Pyrddin Cottage  Banwen</t>
  </si>
  <si>
    <t xml:space="preserve">Neath </t>
  </si>
  <si>
    <t>SA10 9LU</t>
  </si>
  <si>
    <t>CBDU9162</t>
  </si>
  <si>
    <t>59 Stanhorn Grove Felpham</t>
  </si>
  <si>
    <t>Bognor Regis</t>
  </si>
  <si>
    <t>PO22 8FP</t>
  </si>
  <si>
    <t>CBDU9163</t>
  </si>
  <si>
    <t>Cerrigllwydion Farm Golftyn Lane</t>
  </si>
  <si>
    <t>CBDL9167</t>
  </si>
  <si>
    <t>CBDU9168</t>
  </si>
  <si>
    <t xml:space="preserve">Unit 6 Phoenix way </t>
  </si>
  <si>
    <t xml:space="preserve">Swansea enterprise park </t>
  </si>
  <si>
    <t xml:space="preserve">Sa7 9fu </t>
  </si>
  <si>
    <t>CBDU9171</t>
  </si>
  <si>
    <t>Eilian House Ffordd Glandwr</t>
  </si>
  <si>
    <t>LL77 7EF</t>
  </si>
  <si>
    <t>CBDL9175</t>
  </si>
  <si>
    <t xml:space="preserve">18 Cosmeston Street </t>
  </si>
  <si>
    <t>CF24 4LP</t>
  </si>
  <si>
    <t>CBDL9404</t>
  </si>
  <si>
    <t>32 Newport Road Cwmcarn</t>
  </si>
  <si>
    <t>NP11 7ND</t>
  </si>
  <si>
    <t>CBDL9405</t>
  </si>
  <si>
    <t xml:space="preserve">51 Birch Walk </t>
  </si>
  <si>
    <t>CF36 5AN</t>
  </si>
  <si>
    <t>CBDL9406</t>
  </si>
  <si>
    <t>123 Kings road</t>
  </si>
  <si>
    <t>Kings heath</t>
  </si>
  <si>
    <t>B146tn</t>
  </si>
  <si>
    <t>CBDU9410</t>
  </si>
  <si>
    <t>19 Strand Court Strand</t>
  </si>
  <si>
    <t>SA1 2BJ</t>
  </si>
  <si>
    <t>CBDU9411</t>
  </si>
  <si>
    <t xml:space="preserve">29 Rugby Avenue </t>
  </si>
  <si>
    <t>SA11 1YT</t>
  </si>
  <si>
    <t>CBDL9416</t>
  </si>
  <si>
    <t xml:space="preserve">28 Collier Close </t>
  </si>
  <si>
    <t>KT19 9JG</t>
  </si>
  <si>
    <t>CBDU9417</t>
  </si>
  <si>
    <t>2 Wyebeeches Beech Road</t>
  </si>
  <si>
    <t>NP25 5EJ</t>
  </si>
  <si>
    <t>CBDU9610</t>
  </si>
  <si>
    <t>4 Leechpool Holdings Portskewett</t>
  </si>
  <si>
    <t>NP26 5UU</t>
  </si>
  <si>
    <t>CBDU9611</t>
  </si>
  <si>
    <t>9 Shepherds Hill Caravan Site Lower Race</t>
  </si>
  <si>
    <t>CBDL9613</t>
  </si>
  <si>
    <t xml:space="preserve">15 Thornbury Close </t>
  </si>
  <si>
    <t>CF14 1UT</t>
  </si>
  <si>
    <t>CBDL9615</t>
  </si>
  <si>
    <t>CBDL9620</t>
  </si>
  <si>
    <t xml:space="preserve">77 Priory Avenue </t>
  </si>
  <si>
    <t>SA61 1SG</t>
  </si>
  <si>
    <t>CBDL9621</t>
  </si>
  <si>
    <t>CBDL9622</t>
  </si>
  <si>
    <t xml:space="preserve">23 Heol Erw Y Rhos </t>
  </si>
  <si>
    <t>CF83 3QX</t>
  </si>
  <si>
    <t>CBDU9623</t>
  </si>
  <si>
    <t>Parciau Farm Llanfair Is Gaer</t>
  </si>
  <si>
    <t>LL55 1TS</t>
  </si>
  <si>
    <t>CBDU9624</t>
  </si>
  <si>
    <t>49 Nicander Parade Mayhill</t>
  </si>
  <si>
    <t>SA1 6TY</t>
  </si>
  <si>
    <t>CBDU9833</t>
  </si>
  <si>
    <t>54 Trinant Terrace Pentwyn Crumlin</t>
  </si>
  <si>
    <t>NP11 3JH</t>
  </si>
  <si>
    <t>CBDU9835</t>
  </si>
  <si>
    <t>26 Berw Road Mayhill</t>
  </si>
  <si>
    <t>SA1 6UD</t>
  </si>
  <si>
    <t>CBDU9837</t>
  </si>
  <si>
    <t>Y Winllan Carmel</t>
  </si>
  <si>
    <t>LL71 7DG</t>
  </si>
  <si>
    <t>CBDL9846</t>
  </si>
  <si>
    <t xml:space="preserve">Unit 4 Dolfor Road </t>
  </si>
  <si>
    <t xml:space="preserve">Ffrydd -y-vaughan </t>
  </si>
  <si>
    <t xml:space="preserve">SY16 4bq </t>
  </si>
  <si>
    <t>CBDU9847</t>
  </si>
  <si>
    <t>Unit 4 dolfor Road</t>
  </si>
  <si>
    <t>Ffrydd-y-vaughan</t>
  </si>
  <si>
    <t>SY16 4bq</t>
  </si>
  <si>
    <t>CBDU10067</t>
  </si>
  <si>
    <t>Aysgarth Holway Road</t>
  </si>
  <si>
    <t>CH8 7NN</t>
  </si>
  <si>
    <t>CBDU10068</t>
  </si>
  <si>
    <t xml:space="preserve">232 New Road </t>
  </si>
  <si>
    <t>CF36 5BA</t>
  </si>
  <si>
    <t>CBDU10071</t>
  </si>
  <si>
    <t>Llechwedd Capel Iwan</t>
  </si>
  <si>
    <t>SA38 9NW</t>
  </si>
  <si>
    <t>CBDU10072</t>
  </si>
  <si>
    <t>Unit 6-7 Coed Park</t>
  </si>
  <si>
    <t>CBDL10073</t>
  </si>
  <si>
    <t>13 Brook Street Stogumber</t>
  </si>
  <si>
    <t>TA4 3SZ</t>
  </si>
  <si>
    <t>CBDL10074</t>
  </si>
  <si>
    <t xml:space="preserve">39 Dane Road </t>
  </si>
  <si>
    <t>Luton</t>
  </si>
  <si>
    <t>LU3 1JW</t>
  </si>
  <si>
    <t>CBDU10075</t>
  </si>
  <si>
    <t>25 Ravenhill Road Ravenhill</t>
  </si>
  <si>
    <t>SA5 5AW</t>
  </si>
  <si>
    <t>CBDU10076</t>
  </si>
  <si>
    <t>21 Pinewood Square Saint Tathan</t>
  </si>
  <si>
    <t>CF62 4JR</t>
  </si>
  <si>
    <t>CBDL10077</t>
  </si>
  <si>
    <t>12 Pantycefn Road Markham</t>
  </si>
  <si>
    <t>NP12 0QD</t>
  </si>
  <si>
    <t>CBDL10078</t>
  </si>
  <si>
    <t>47 Neath Road Pontardawe</t>
  </si>
  <si>
    <t>SA8 3EB</t>
  </si>
  <si>
    <t>CBDU10080</t>
  </si>
  <si>
    <t xml:space="preserve">21 Dyfnallt Road </t>
  </si>
  <si>
    <t>CF63 1RL</t>
  </si>
  <si>
    <t>CBDU10083</t>
  </si>
  <si>
    <t>26 Fairway Gardens Gwersyllt</t>
  </si>
  <si>
    <t>LL11 4XB</t>
  </si>
  <si>
    <t>CBDU10160</t>
  </si>
  <si>
    <t xml:space="preserve">4 Tan Y Fan </t>
  </si>
  <si>
    <t>SA18 3SG</t>
  </si>
  <si>
    <t>CBDU10161</t>
  </si>
  <si>
    <t>60 Brynheulog Pentwyn</t>
  </si>
  <si>
    <t>CF23 7JB</t>
  </si>
  <si>
    <t>CBDL10162</t>
  </si>
  <si>
    <t xml:space="preserve">21 Alan Road </t>
  </si>
  <si>
    <t>IP3 8EQ</t>
  </si>
  <si>
    <t>CBDU10163</t>
  </si>
  <si>
    <t>52 Pen Y Bryn Cwmllynfell</t>
  </si>
  <si>
    <t>SA9 2FL</t>
  </si>
  <si>
    <t>CBDU10164</t>
  </si>
  <si>
    <t>84 Gendros Avenue East Gendros</t>
  </si>
  <si>
    <t>SA5 8DP</t>
  </si>
  <si>
    <t>CBDU10167</t>
  </si>
  <si>
    <t>The Old School Stryd Wesla</t>
  </si>
  <si>
    <t>LL49 9DS</t>
  </si>
  <si>
    <t>CBDU10168</t>
  </si>
  <si>
    <t>15 Markham Crescent Oakdale</t>
  </si>
  <si>
    <t>NP12 0JN</t>
  </si>
  <si>
    <t>CBDL10403</t>
  </si>
  <si>
    <t>5 Fron Road Old Colwyn</t>
  </si>
  <si>
    <t>LL29 8AG</t>
  </si>
  <si>
    <t>CBDU10406</t>
  </si>
  <si>
    <t>35 Church Street Briton Ferry</t>
  </si>
  <si>
    <t>SA11 2JG</t>
  </si>
  <si>
    <t>CBDL10407</t>
  </si>
  <si>
    <t>9 Pencefnarda Road Gorseinon</t>
  </si>
  <si>
    <t>CBDU10408</t>
  </si>
  <si>
    <t>CBDU10411</t>
  </si>
  <si>
    <t>Unit 9 Cillefwr Industrial Estate</t>
  </si>
  <si>
    <t>CBDU10415</t>
  </si>
  <si>
    <t xml:space="preserve">155 Maesglas Crescent </t>
  </si>
  <si>
    <t>NP20 3DA</t>
  </si>
  <si>
    <t>CBDU10417</t>
  </si>
  <si>
    <t xml:space="preserve">9 Pantycelyn </t>
  </si>
  <si>
    <t>SA14 9BS</t>
  </si>
  <si>
    <t>CBDL10418</t>
  </si>
  <si>
    <t xml:space="preserve">Parc Yr Odyn </t>
  </si>
  <si>
    <t>LL75 8UL</t>
  </si>
  <si>
    <t>CBDL10636</t>
  </si>
  <si>
    <t>Pant Yr Yrfa Farm Henllys</t>
  </si>
  <si>
    <t>NP44 6HU</t>
  </si>
  <si>
    <t>CBDU10754</t>
  </si>
  <si>
    <t xml:space="preserve">56 Trafalgar Road </t>
  </si>
  <si>
    <t>SA61 2TP</t>
  </si>
  <si>
    <t>CBDU10763</t>
  </si>
  <si>
    <t>20 Tynewydd Terrace Newbridge</t>
  </si>
  <si>
    <t>NP11 4LU</t>
  </si>
  <si>
    <t>CBDL10765</t>
  </si>
  <si>
    <t>7 Roman Court Blackpill</t>
  </si>
  <si>
    <t>SA3 5BL</t>
  </si>
  <si>
    <t>CBDL10767</t>
  </si>
  <si>
    <t xml:space="preserve">58 Heol Y Fro </t>
  </si>
  <si>
    <t>CF61 2SA</t>
  </si>
  <si>
    <t>CBDU10768</t>
  </si>
  <si>
    <t>The Verlands Beaufort Road</t>
  </si>
  <si>
    <t>CBDU11004</t>
  </si>
  <si>
    <t xml:space="preserve">8 Hastings Place </t>
  </si>
  <si>
    <t>CF64 2TD</t>
  </si>
  <si>
    <t>CBDU11005</t>
  </si>
  <si>
    <t xml:space="preserve">41 Grove Street </t>
  </si>
  <si>
    <t>CF34 0HY</t>
  </si>
  <si>
    <t>CBDU11008</t>
  </si>
  <si>
    <t>36 Rhyd Y Felin Llansamlet</t>
  </si>
  <si>
    <t>SA7 9XH</t>
  </si>
  <si>
    <t>CBDU11018</t>
  </si>
  <si>
    <t>Coed Y Bryn Llanafan</t>
  </si>
  <si>
    <t>SY23 4BA</t>
  </si>
  <si>
    <t>CBDU11269</t>
  </si>
  <si>
    <t>CBDL11271</t>
  </si>
  <si>
    <t>The Airfield Lleweni Parc</t>
  </si>
  <si>
    <t>CBDU11272</t>
  </si>
  <si>
    <t>Ronw Pontgarreg</t>
  </si>
  <si>
    <t>SA44 6AU</t>
  </si>
  <si>
    <t>CBDL11276</t>
  </si>
  <si>
    <t>83 Colonel Road Betws</t>
  </si>
  <si>
    <t>SA18 2HW</t>
  </si>
  <si>
    <t>CBDU11277</t>
  </si>
  <si>
    <t xml:space="preserve">43 Milton Terrace </t>
  </si>
  <si>
    <t>SA72 6BJ</t>
  </si>
  <si>
    <t>CBDU11278</t>
  </si>
  <si>
    <t xml:space="preserve">9-11 Abergele Road </t>
  </si>
  <si>
    <t>LL29 7RS</t>
  </si>
  <si>
    <t>CBDU12070</t>
  </si>
  <si>
    <t>15 Tyla Coch Llanharry</t>
  </si>
  <si>
    <t>CF72 9LS</t>
  </si>
  <si>
    <t>CBDU12078</t>
  </si>
  <si>
    <t>Gelli Deg Garnswllt Road</t>
  </si>
  <si>
    <t>SA4 8QG</t>
  </si>
  <si>
    <t>CBDU11289</t>
  </si>
  <si>
    <t xml:space="preserve">13 Nantydd Terrace </t>
  </si>
  <si>
    <t>CBDL11291</t>
  </si>
  <si>
    <t>Unit 9 Cwmdraw Industrial Estate</t>
  </si>
  <si>
    <t>CBDL11295</t>
  </si>
  <si>
    <t>unit 10 newton road</t>
  </si>
  <si>
    <t>Newton meadow rumney</t>
  </si>
  <si>
    <t>cf32ej</t>
  </si>
  <si>
    <t>CBDL11297</t>
  </si>
  <si>
    <t>19 Cae Marchog Energlyn</t>
  </si>
  <si>
    <t>CF83 2TZ</t>
  </si>
  <si>
    <t>CBDU11298</t>
  </si>
  <si>
    <t>15 Rhestr Fawr Ystradgynlais</t>
  </si>
  <si>
    <t>SA9 1LD</t>
  </si>
  <si>
    <t>CBDL11299</t>
  </si>
  <si>
    <t xml:space="preserve">5 Railway Terrace </t>
  </si>
  <si>
    <t>CBDU11300</t>
  </si>
  <si>
    <t xml:space="preserve">Old Pale </t>
  </si>
  <si>
    <t>SA34 0LY</t>
  </si>
  <si>
    <t>CBDL11301</t>
  </si>
  <si>
    <t xml:space="preserve">92 Park Lane </t>
  </si>
  <si>
    <t>Cottingham</t>
  </si>
  <si>
    <t>HU16 5RX</t>
  </si>
  <si>
    <t>CBDU11531</t>
  </si>
  <si>
    <t>2 Four Winds Brynhoffnant</t>
  </si>
  <si>
    <t>SA44 6DU</t>
  </si>
  <si>
    <t>CBDL11534</t>
  </si>
  <si>
    <t>19 Ffynnon Wen Clydach</t>
  </si>
  <si>
    <t>SA6 5EQ</t>
  </si>
  <si>
    <t>CBDU11539</t>
  </si>
  <si>
    <t xml:space="preserve">49 Langford Crescent </t>
  </si>
  <si>
    <t>CH7 2PR</t>
  </si>
  <si>
    <t>CBDU11544</t>
  </si>
  <si>
    <t xml:space="preserve">74 Yr-Ysfa </t>
  </si>
  <si>
    <t>CF34 9BE</t>
  </si>
  <si>
    <t>CBDL11761</t>
  </si>
  <si>
    <t xml:space="preserve">150 New Road </t>
  </si>
  <si>
    <t>CF36 5BL</t>
  </si>
  <si>
    <t>CBDU11763</t>
  </si>
  <si>
    <t>Ty Cornel Old Mold Road</t>
  </si>
  <si>
    <t>LL11 4SB</t>
  </si>
  <si>
    <t>CBDU11768</t>
  </si>
  <si>
    <t xml:space="preserve">6 Emily Court </t>
  </si>
  <si>
    <t>SA1 8RA</t>
  </si>
  <si>
    <t>CBDU11772</t>
  </si>
  <si>
    <t>Newton Lodge Newton</t>
  </si>
  <si>
    <t>CF71 7RZ</t>
  </si>
  <si>
    <t>CBDL11773</t>
  </si>
  <si>
    <t xml:space="preserve">2 Heol Y Llys </t>
  </si>
  <si>
    <t>LL18 4EE</t>
  </si>
  <si>
    <t>CBDL11775</t>
  </si>
  <si>
    <t>The Paddock Salem</t>
  </si>
  <si>
    <t>SA6 6PG</t>
  </si>
  <si>
    <t>CBDU11776</t>
  </si>
  <si>
    <t>11 Llys Y Pentre Afonwen</t>
  </si>
  <si>
    <t>CH7 5UY</t>
  </si>
  <si>
    <t>CBDU11777</t>
  </si>
  <si>
    <t xml:space="preserve">9 Friars Close </t>
  </si>
  <si>
    <t>SA10 7JB</t>
  </si>
  <si>
    <t>CBDL12280</t>
  </si>
  <si>
    <t>Unit 5 Bettws Shopping Centre</t>
  </si>
  <si>
    <t>NP20 7TN</t>
  </si>
  <si>
    <t>CBDU12282</t>
  </si>
  <si>
    <t>UNIT 23 ALLITTS IND PARK</t>
  </si>
  <si>
    <t>VALE ROAD</t>
  </si>
  <si>
    <t>RHYL</t>
  </si>
  <si>
    <t>LL18  2PD</t>
  </si>
  <si>
    <t>CBDL12292</t>
  </si>
  <si>
    <t xml:space="preserve">112 Ruskin Street </t>
  </si>
  <si>
    <t>SA11 2LD</t>
  </si>
  <si>
    <t>CBDU12496</t>
  </si>
  <si>
    <t>Cwm Machno Old Smelt Road</t>
  </si>
  <si>
    <t>CBDL12497</t>
  </si>
  <si>
    <t xml:space="preserve">Cwm Y Ffynnon </t>
  </si>
  <si>
    <t>SY19 7DY</t>
  </si>
  <si>
    <t>CBDU12499</t>
  </si>
  <si>
    <t>Fferm Cefnfaes Gelliydan</t>
  </si>
  <si>
    <t>LL41 4EY</t>
  </si>
  <si>
    <t>CBDU12628</t>
  </si>
  <si>
    <t>48 Craig Yr Eos Road Ogmore-by-Sea</t>
  </si>
  <si>
    <t>CF32 0PH</t>
  </si>
  <si>
    <t>CBDU12630</t>
  </si>
  <si>
    <t xml:space="preserve">41 Llwyn Y Bryn </t>
  </si>
  <si>
    <t>SA18 2ES</t>
  </si>
  <si>
    <t>CBDL12634</t>
  </si>
  <si>
    <t>39 Birch Grove Llanmartin</t>
  </si>
  <si>
    <t>NP18 2HZ</t>
  </si>
  <si>
    <t>CBDL12638</t>
  </si>
  <si>
    <t>Oxmoor Lodge Stanage</t>
  </si>
  <si>
    <t>LD7 1LT</t>
  </si>
  <si>
    <t>CBDL12639</t>
  </si>
  <si>
    <t xml:space="preserve">30 Westhill Avenue </t>
  </si>
  <si>
    <t>SA73 2RE</t>
  </si>
  <si>
    <t>CBDU12837</t>
  </si>
  <si>
    <t>3 Bryn Ewin Moelfre</t>
  </si>
  <si>
    <t>LL22 9RE</t>
  </si>
  <si>
    <t>CBDL12839</t>
  </si>
  <si>
    <t>Lindisfarne Penuel</t>
  </si>
  <si>
    <t>SA4 3UQ</t>
  </si>
  <si>
    <t>CBDL12840</t>
  </si>
  <si>
    <t>11 Bryn Street</t>
  </si>
  <si>
    <t>SY16 2HN</t>
  </si>
  <si>
    <t>CBDU12841</t>
  </si>
  <si>
    <t>CF32 0NP</t>
  </si>
  <si>
    <t>CBDU12845</t>
  </si>
  <si>
    <t>Pentwyncoch Isaf Glanamman</t>
  </si>
  <si>
    <t>SA18 2YG</t>
  </si>
  <si>
    <t>CBDU13055</t>
  </si>
  <si>
    <t xml:space="preserve">6 Virginia View </t>
  </si>
  <si>
    <t>CF83 3JA</t>
  </si>
  <si>
    <t>CBDL13056</t>
  </si>
  <si>
    <t xml:space="preserve">29 Commercial Street </t>
  </si>
  <si>
    <t>CBDU13059</t>
  </si>
  <si>
    <t xml:space="preserve">15 Windermere Way </t>
  </si>
  <si>
    <t>RH2 0LW</t>
  </si>
  <si>
    <t>CBDL13064</t>
  </si>
  <si>
    <t xml:space="preserve">2 Rushton Street </t>
  </si>
  <si>
    <t>OL13 0DP</t>
  </si>
  <si>
    <t>CBDL13065</t>
  </si>
  <si>
    <t>4 Cwm Bychan Graig</t>
  </si>
  <si>
    <t>SA16 0EA</t>
  </si>
  <si>
    <t>CBDL13217</t>
  </si>
  <si>
    <t>36 High Street Bedlinog</t>
  </si>
  <si>
    <t>CF46 6RP</t>
  </si>
  <si>
    <t>CBDL13225</t>
  </si>
  <si>
    <t>Sunnymead 15 Dolforgan View</t>
  </si>
  <si>
    <t>Kerry</t>
  </si>
  <si>
    <t>SY16 4DZ</t>
  </si>
  <si>
    <t>CBDL13228</t>
  </si>
  <si>
    <t>Bryn Villa Hugmore Lane</t>
  </si>
  <si>
    <t>CBDL13229</t>
  </si>
  <si>
    <t>14 Penllwyn Estate Capel Bangor</t>
  </si>
  <si>
    <t>SY23 3LP</t>
  </si>
  <si>
    <t>CBDL13405</t>
  </si>
  <si>
    <t>7 High Street Coedpoeth</t>
  </si>
  <si>
    <t>LL11 3RY</t>
  </si>
  <si>
    <t>CBDU13412</t>
  </si>
  <si>
    <t>5 Van Terrace Van</t>
  </si>
  <si>
    <t>SY18 6NW</t>
  </si>
  <si>
    <t>CBDL196</t>
  </si>
  <si>
    <t>Bron - Heulog Maenan</t>
  </si>
  <si>
    <t>LL26 0YN</t>
  </si>
  <si>
    <t>CBDL197</t>
  </si>
  <si>
    <t>130 frampton road</t>
  </si>
  <si>
    <t>sa4 4yg</t>
  </si>
  <si>
    <t>CBDL205</t>
  </si>
  <si>
    <t>Bryn Hedydd Abergele</t>
  </si>
  <si>
    <t>LL22 8RG</t>
  </si>
  <si>
    <t>CBDL441</t>
  </si>
  <si>
    <t>5 Yere Street</t>
  </si>
  <si>
    <t>CF63 2HY</t>
  </si>
  <si>
    <t>CBDL442</t>
  </si>
  <si>
    <t>11 Loftus Walk</t>
  </si>
  <si>
    <t>Neport</t>
  </si>
  <si>
    <t>NP190PN</t>
  </si>
  <si>
    <t>CBDL443</t>
  </si>
  <si>
    <t>10  Yewtree Close</t>
  </si>
  <si>
    <t>CF53TS</t>
  </si>
  <si>
    <t>CBDL444</t>
  </si>
  <si>
    <t>CBDL445</t>
  </si>
  <si>
    <t>CBDL446</t>
  </si>
  <si>
    <t>CBDL447</t>
  </si>
  <si>
    <t>CBDL448</t>
  </si>
  <si>
    <t>CBDL449</t>
  </si>
  <si>
    <t>Chruch Cottage Aberthin Lane</t>
  </si>
  <si>
    <t>Aberthin</t>
  </si>
  <si>
    <t>CF717hb</t>
  </si>
  <si>
    <t>CBDL691</t>
  </si>
  <si>
    <t>14 plassey square</t>
  </si>
  <si>
    <t>cf641hd</t>
  </si>
  <si>
    <t>CBDL693</t>
  </si>
  <si>
    <t>14 Havelock street</t>
  </si>
  <si>
    <t>Sa152bp</t>
  </si>
  <si>
    <t>CBDL694</t>
  </si>
  <si>
    <t>tolcarne old hill</t>
  </si>
  <si>
    <t>christchurch</t>
  </si>
  <si>
    <t>np18 1jz</t>
  </si>
  <si>
    <t>CBDL697</t>
  </si>
  <si>
    <t>4 Cefn gethinog</t>
  </si>
  <si>
    <t>Talybont on Usk</t>
  </si>
  <si>
    <t>LD3 7YN</t>
  </si>
  <si>
    <t>CBDL699</t>
  </si>
  <si>
    <t>Unit 8 Dragon Auto Centre Phoenix Way</t>
  </si>
  <si>
    <t>SA79FU</t>
  </si>
  <si>
    <t>CBDL701</t>
  </si>
  <si>
    <t>86 Everest Avenue</t>
  </si>
  <si>
    <t>CF14 5AR</t>
  </si>
  <si>
    <t>CBDL702</t>
  </si>
  <si>
    <t>5 Goat Street</t>
  </si>
  <si>
    <t>St Davids</t>
  </si>
  <si>
    <t>SA62 6RE</t>
  </si>
  <si>
    <t>CBDL703</t>
  </si>
  <si>
    <t>154 Waltwood Road</t>
  </si>
  <si>
    <t>Llanmartin</t>
  </si>
  <si>
    <t>Newport Cwent</t>
  </si>
  <si>
    <t>np18 2ez</t>
  </si>
  <si>
    <t>CBDL705</t>
  </si>
  <si>
    <t>10 Penybryn</t>
  </si>
  <si>
    <t>LD3 7RN</t>
  </si>
  <si>
    <t>CBDL885</t>
  </si>
  <si>
    <t>67 Berry Lane</t>
  </si>
  <si>
    <t>Wootton</t>
  </si>
  <si>
    <t>NN4 6JU</t>
  </si>
  <si>
    <t>CBDL887</t>
  </si>
  <si>
    <t>1 Dan Y Coed Rise</t>
  </si>
  <si>
    <t>CF31 2QA</t>
  </si>
  <si>
    <t>CBDL888</t>
  </si>
  <si>
    <t>13 Shire Newton</t>
  </si>
  <si>
    <t>Caravan Park Rhymny</t>
  </si>
  <si>
    <t>CBDL889</t>
  </si>
  <si>
    <t>bodnant stores towyn rd</t>
  </si>
  <si>
    <t>towyn     abergele</t>
  </si>
  <si>
    <t>LL229en</t>
  </si>
  <si>
    <t>CBDL890</t>
  </si>
  <si>
    <t>10a BRYNEITHIN AVENUE</t>
  </si>
  <si>
    <t>LL19 9LS</t>
  </si>
  <si>
    <t>CBDL892</t>
  </si>
  <si>
    <t>Church Farm Church Lane</t>
  </si>
  <si>
    <t>CF3 2UF</t>
  </si>
  <si>
    <t>CBDL899</t>
  </si>
  <si>
    <t>upper cwmgwannon clyro</t>
  </si>
  <si>
    <t>HR3 5JH</t>
  </si>
  <si>
    <t>CBDL900</t>
  </si>
  <si>
    <t>Garreg Wen Bonvilston</t>
  </si>
  <si>
    <t>CF5 6TR</t>
  </si>
  <si>
    <t>CBDL1129</t>
  </si>
  <si>
    <t>6 Church Walks</t>
  </si>
  <si>
    <t>LL30 2HD</t>
  </si>
  <si>
    <t>CBDL1130</t>
  </si>
  <si>
    <t>CBDL1133</t>
  </si>
  <si>
    <t>HAULFRYN FRONGOCH</t>
  </si>
  <si>
    <t>BALA</t>
  </si>
  <si>
    <t>LL237NT</t>
  </si>
  <si>
    <t>CBDL1137</t>
  </si>
  <si>
    <t>Pwllglas Nebo</t>
  </si>
  <si>
    <t>LLanon</t>
  </si>
  <si>
    <t>SY23 5LN</t>
  </si>
  <si>
    <t>CBDL1138</t>
  </si>
  <si>
    <t>43 Pencisely Road LLANDAFF</t>
  </si>
  <si>
    <t>CF5 1DH</t>
  </si>
  <si>
    <t>CBDL1139</t>
  </si>
  <si>
    <t>87 Foryd  Road</t>
  </si>
  <si>
    <t>LL85NY</t>
  </si>
  <si>
    <t>CBDL1140</t>
  </si>
  <si>
    <t>CBDL1143</t>
  </si>
  <si>
    <t>unit a1 tenth avenue zone 3</t>
  </si>
  <si>
    <t>desside ind prk</t>
  </si>
  <si>
    <t>CBDL1144</t>
  </si>
  <si>
    <t>CBDL1372</t>
  </si>
  <si>
    <t>morrisis industrial estate rhuddlan road</t>
  </si>
  <si>
    <t>ll227hg</t>
  </si>
  <si>
    <t>CBDL1373</t>
  </si>
  <si>
    <t>120 HOBS MOAT ROAD</t>
  </si>
  <si>
    <t>SOLIHULL</t>
  </si>
  <si>
    <t>B928PF</t>
  </si>
  <si>
    <t>CBDL1374</t>
  </si>
  <si>
    <t xml:space="preserve">Danybanc  Llangynog </t>
  </si>
  <si>
    <t xml:space="preserve">Carmarthen </t>
  </si>
  <si>
    <t xml:space="preserve">Sa335by </t>
  </si>
  <si>
    <t>CBDL1375</t>
  </si>
  <si>
    <t>CAE BARCDY LON TY MAIN</t>
  </si>
  <si>
    <t>LLANFAIR YN NEUBWLL</t>
  </si>
  <si>
    <t>VALLEY.  ANGLESEY</t>
  </si>
  <si>
    <t>LL65 3HH</t>
  </si>
  <si>
    <t>CBDL1378</t>
  </si>
  <si>
    <t>Foelcwm Fach       Mydroilyn</t>
  </si>
  <si>
    <t>SA48 7RL</t>
  </si>
  <si>
    <t>CBDL1379</t>
  </si>
  <si>
    <t>blaengwawr inn 373 cardiff road</t>
  </si>
  <si>
    <t>aberaman</t>
  </si>
  <si>
    <t>cf44 6hx</t>
  </si>
  <si>
    <t>CBDL1382</t>
  </si>
  <si>
    <t>49 main road</t>
  </si>
  <si>
    <t>crynant</t>
  </si>
  <si>
    <t>sa10 8ny</t>
  </si>
  <si>
    <t>CBDL1602</t>
  </si>
  <si>
    <t>12 The Terrace Glogue</t>
  </si>
  <si>
    <t>SA36 0ED</t>
  </si>
  <si>
    <t>CBDL1603</t>
  </si>
  <si>
    <t>brynawel ystradfellte rd</t>
  </si>
  <si>
    <t>pontneddfechan</t>
  </si>
  <si>
    <t>glynneath</t>
  </si>
  <si>
    <t>sa115ul</t>
  </si>
  <si>
    <t>CBDL1604</t>
  </si>
  <si>
    <t>CBDL1609</t>
  </si>
  <si>
    <t>Manor Farm Hykeham Road</t>
  </si>
  <si>
    <t>Lincoln</t>
  </si>
  <si>
    <t>LN68AP</t>
  </si>
  <si>
    <t>CBDL1614</t>
  </si>
  <si>
    <t>Swyddfa Cyngor Ffordd y Cob</t>
  </si>
  <si>
    <t>LL53 5AA</t>
  </si>
  <si>
    <t>CBDL1615</t>
  </si>
  <si>
    <t>CBDL1616</t>
  </si>
  <si>
    <t>17 Wells Close</t>
  </si>
  <si>
    <t>NP20 3LJ</t>
  </si>
  <si>
    <t>CBDL1862</t>
  </si>
  <si>
    <t>Talfryn Bronnant</t>
  </si>
  <si>
    <t>SY23 4JD</t>
  </si>
  <si>
    <t>CBDL1863</t>
  </si>
  <si>
    <t>48 Badgers Brook Brackla</t>
  </si>
  <si>
    <t>CF31 2QS</t>
  </si>
  <si>
    <t>CBDL2075</t>
  </si>
  <si>
    <t>Coed Digain Llangernyw</t>
  </si>
  <si>
    <t>LL22 8PP</t>
  </si>
  <si>
    <t>CBDL2078</t>
  </si>
  <si>
    <t>2 Bryn Cottages Pen Y Fron Road</t>
  </si>
  <si>
    <t>CH7 5JE</t>
  </si>
  <si>
    <t>CBDL2084</t>
  </si>
  <si>
    <t>12 Minffrwd Close Pen-Coed</t>
  </si>
  <si>
    <t>CF35 6SE</t>
  </si>
  <si>
    <t>CBDL2086</t>
  </si>
  <si>
    <t>18 Kemys Street Griffithstown</t>
  </si>
  <si>
    <t>NP4 5DJ</t>
  </si>
  <si>
    <t>CBDU2088</t>
  </si>
  <si>
    <t>Cae Ffynon Abbeylands</t>
  </si>
  <si>
    <t>Llanarmon-yn-Ial</t>
  </si>
  <si>
    <t>CH7 4QU</t>
  </si>
  <si>
    <t>CBDL2253</t>
  </si>
  <si>
    <t>Bramble Dell 12 Wepre Drive</t>
  </si>
  <si>
    <t>CH5 4HA</t>
  </si>
  <si>
    <t>CBDL2258</t>
  </si>
  <si>
    <t>Royal Oak Garage Llanfarian</t>
  </si>
  <si>
    <t>SY23 4BS</t>
  </si>
  <si>
    <t>CBDL2259</t>
  </si>
  <si>
    <t xml:space="preserve">9 Green Street </t>
  </si>
  <si>
    <t>SA11 1DR</t>
  </si>
  <si>
    <t>CBDL2733</t>
  </si>
  <si>
    <t>8 Llanina Grove Rumney</t>
  </si>
  <si>
    <t>CF3 1SW</t>
  </si>
  <si>
    <t>CBDL2734</t>
  </si>
  <si>
    <t>Penwylfa Farm Milwr</t>
  </si>
  <si>
    <t>CH8 8HE</t>
  </si>
  <si>
    <t>CBDL2739</t>
  </si>
  <si>
    <t>Llugwy Farm Llanbister Road</t>
  </si>
  <si>
    <t>LD1 5UT</t>
  </si>
  <si>
    <t>CBDL2740</t>
  </si>
  <si>
    <t xml:space="preserve">114 Ruskin Street </t>
  </si>
  <si>
    <t>CBDL2939</t>
  </si>
  <si>
    <t>14 Slade View Rogiet</t>
  </si>
  <si>
    <t>NP26 3SB</t>
  </si>
  <si>
    <t>CBDL2941</t>
  </si>
  <si>
    <t>Hendrenenig Cilfodan</t>
  </si>
  <si>
    <t>LL57 3SL</t>
  </si>
  <si>
    <t>CBDL2943</t>
  </si>
  <si>
    <t>35 Pentre Street Llay</t>
  </si>
  <si>
    <t>LL12 0NB</t>
  </si>
  <si>
    <t>CBDL3167</t>
  </si>
  <si>
    <t xml:space="preserve">7 Upper Robinson Street </t>
  </si>
  <si>
    <t>SA15 1SS</t>
  </si>
  <si>
    <t>CBDL3379</t>
  </si>
  <si>
    <t>Flat 2 28-30 High Street</t>
  </si>
  <si>
    <t>SA61 2DA</t>
  </si>
  <si>
    <t>CBDL3388</t>
  </si>
  <si>
    <t xml:space="preserve">11 Garnlas </t>
  </si>
  <si>
    <t>SA65 9LE</t>
  </si>
  <si>
    <t>CBDL3453</t>
  </si>
  <si>
    <t>6-8 Penllwyngwyn Road Bryn</t>
  </si>
  <si>
    <t>SA14 9UF</t>
  </si>
  <si>
    <t>CBDL3664</t>
  </si>
  <si>
    <t>106 Penstone Court Chandlery Way</t>
  </si>
  <si>
    <t>CF10 5NN</t>
  </si>
  <si>
    <t>CBDL3666</t>
  </si>
  <si>
    <t>14 Norton Drive Southgate</t>
  </si>
  <si>
    <t>SA3 2BJ</t>
  </si>
  <si>
    <t>CBDL3668</t>
  </si>
  <si>
    <t xml:space="preserve">40B Freemans View </t>
  </si>
  <si>
    <t>SA61 1LG</t>
  </si>
  <si>
    <t>CBDL3670</t>
  </si>
  <si>
    <t>Wernlas Talyllychau</t>
  </si>
  <si>
    <t>SA19 7EE</t>
  </si>
  <si>
    <t>CBDL3896</t>
  </si>
  <si>
    <t>34 Alaw View Rhosybol</t>
  </si>
  <si>
    <t>LL68 9UD</t>
  </si>
  <si>
    <t>CBDL3898</t>
  </si>
  <si>
    <t xml:space="preserve">108 The Uplands </t>
  </si>
  <si>
    <t>LD3 9HU</t>
  </si>
  <si>
    <t>CBDL3901</t>
  </si>
  <si>
    <t xml:space="preserve">10 Willow Close </t>
  </si>
  <si>
    <t>LL29 8YL</t>
  </si>
  <si>
    <t>CBDL3905</t>
  </si>
  <si>
    <t>Pinwydden Itton</t>
  </si>
  <si>
    <t>NP16 6BX</t>
  </si>
  <si>
    <t>CBDL4404</t>
  </si>
  <si>
    <t>Unit 8 Vastre Industrial Estate</t>
  </si>
  <si>
    <t>CBDL4412</t>
  </si>
  <si>
    <t>Flat 2 234 Whitehorse Road</t>
  </si>
  <si>
    <t>CR0 2LB</t>
  </si>
  <si>
    <t>CBDL4636</t>
  </si>
  <si>
    <t>20 station road</t>
  </si>
  <si>
    <t>sa15 1al</t>
  </si>
  <si>
    <t>CBDL4639</t>
  </si>
  <si>
    <t xml:space="preserve">30 Burwell Avenue </t>
  </si>
  <si>
    <t>UB6 0NU</t>
  </si>
  <si>
    <t>CBDL4832</t>
  </si>
  <si>
    <t xml:space="preserve">24 Bahram Road </t>
  </si>
  <si>
    <t>Doncaster</t>
  </si>
  <si>
    <t>DN4 7BG</t>
  </si>
  <si>
    <t>CBDL4841</t>
  </si>
  <si>
    <t>Haysford Stud Farm Camros</t>
  </si>
  <si>
    <t>SA62 6JW</t>
  </si>
  <si>
    <t>CBDU5312</t>
  </si>
  <si>
    <t xml:space="preserve">39 Vaughan Avenue </t>
  </si>
  <si>
    <t>CF5 2HS</t>
  </si>
  <si>
    <t>CBDL5317</t>
  </si>
  <si>
    <t xml:space="preserve">54 Litchard Cross </t>
  </si>
  <si>
    <t>CF31 1NX</t>
  </si>
  <si>
    <t>CBDL5325</t>
  </si>
  <si>
    <t>Wernyglyn Llangybi</t>
  </si>
  <si>
    <t>SA48 8NB</t>
  </si>
  <si>
    <t>CBDU5593</t>
  </si>
  <si>
    <t>54 Llanrhos Road Bae Penrhyn</t>
  </si>
  <si>
    <t>LL30 3HY</t>
  </si>
  <si>
    <t>CBDU5594</t>
  </si>
  <si>
    <t>Ffynon Fedw Farm Felindre</t>
  </si>
  <si>
    <t>SA5 7PL</t>
  </si>
  <si>
    <t>CBDU5597</t>
  </si>
  <si>
    <t>Llwyncelyn Llanddarog Road</t>
  </si>
  <si>
    <t>Capel Dewi</t>
  </si>
  <si>
    <t>SA32 8AJ</t>
  </si>
  <si>
    <t>CBDL6097</t>
  </si>
  <si>
    <t>3 Beauchamp Gardens Myton Lane</t>
  </si>
  <si>
    <t>Warwick</t>
  </si>
  <si>
    <t>CV34 6QG</t>
  </si>
  <si>
    <t>CBDU6100</t>
  </si>
  <si>
    <t>Brynawel 22 Heol Caradog</t>
  </si>
  <si>
    <t>SA65 9AY</t>
  </si>
  <si>
    <t>CBDU6104</t>
  </si>
  <si>
    <t>45 church</t>
  </si>
  <si>
    <t>road</t>
  </si>
  <si>
    <t>CF24 2LW</t>
  </si>
  <si>
    <t>CBDL6338</t>
  </si>
  <si>
    <t>19 Ffordd Y Gaer Bradle</t>
  </si>
  <si>
    <t>LL11 4BW</t>
  </si>
  <si>
    <t>CBDU6343</t>
  </si>
  <si>
    <t>20 Is-y-Llan Llanddarog</t>
  </si>
  <si>
    <t>SA32 8NX</t>
  </si>
  <si>
    <t>CBDU6344</t>
  </si>
  <si>
    <t>4  Cheshire Close</t>
  </si>
  <si>
    <t xml:space="preserve">Llanishen </t>
  </si>
  <si>
    <t>CF145LP</t>
  </si>
  <si>
    <t>CBDU6346</t>
  </si>
  <si>
    <t>Croesty Farm Ysguborwen</t>
  </si>
  <si>
    <t>CF44 0AX</t>
  </si>
  <si>
    <t>CBDL6347</t>
  </si>
  <si>
    <t>Cae Canol Rhoslan</t>
  </si>
  <si>
    <t>LL52 0NB</t>
  </si>
  <si>
    <t>CBDU6348</t>
  </si>
  <si>
    <t xml:space="preserve">Wern Avenue </t>
  </si>
  <si>
    <t>CH6 6BY</t>
  </si>
  <si>
    <t>CBDU6349</t>
  </si>
  <si>
    <t>Riverside Garage Ystradgynlais</t>
  </si>
  <si>
    <t>CBDL6653</t>
  </si>
  <si>
    <t>Unit 1 to 4 plot 11f Hoylake road</t>
  </si>
  <si>
    <t>Scunthorpe</t>
  </si>
  <si>
    <t>Dn17 2az</t>
  </si>
  <si>
    <t>CBDU6662</t>
  </si>
  <si>
    <t xml:space="preserve">22 Brookdale Street </t>
  </si>
  <si>
    <t>SA11 1PB</t>
  </si>
  <si>
    <t>CBDU6663</t>
  </si>
  <si>
    <t>54 Twynybedw Road Clydach</t>
  </si>
  <si>
    <t>SA6 5ET</t>
  </si>
  <si>
    <t>CBDU6882</t>
  </si>
  <si>
    <t>15 Ynysglyd Street Ystrad Mynach</t>
  </si>
  <si>
    <t>CF82 7ET</t>
  </si>
  <si>
    <t>CBDU6885</t>
  </si>
  <si>
    <t>Mafon Cottage Pentwyn Deintyr</t>
  </si>
  <si>
    <t>CF46 5EA</t>
  </si>
  <si>
    <t>CBDU6888</t>
  </si>
  <si>
    <t xml:space="preserve">209 Turncroft Lane </t>
  </si>
  <si>
    <t>SK1 4BN</t>
  </si>
  <si>
    <t>CBDU6892</t>
  </si>
  <si>
    <t>751 Pentregethin Road Portmead</t>
  </si>
  <si>
    <t>SA5 5EZ</t>
  </si>
  <si>
    <t>CBDU6895</t>
  </si>
  <si>
    <t>145 Longview Road Clase</t>
  </si>
  <si>
    <t>SA6 7HP</t>
  </si>
  <si>
    <t>CBDU6897</t>
  </si>
  <si>
    <t>211 Vicarage Road Morriston</t>
  </si>
  <si>
    <t>SA6 6DX</t>
  </si>
  <si>
    <t>CBDU6898</t>
  </si>
  <si>
    <t>Y Felin Llanfairtalhaiarn</t>
  </si>
  <si>
    <t>LL22 8YU</t>
  </si>
  <si>
    <t>CBDU6899</t>
  </si>
  <si>
    <t>12 St. Cenydd Road Portmead</t>
  </si>
  <si>
    <t>SA5 5JY</t>
  </si>
  <si>
    <t>CBDL7237</t>
  </si>
  <si>
    <t xml:space="preserve">217 Wellington Road </t>
  </si>
  <si>
    <t>LL18 1LR</t>
  </si>
  <si>
    <t>CBDL7241</t>
  </si>
  <si>
    <t>25 Rhestr Fawr Ystradgynlais</t>
  </si>
  <si>
    <t>CBDL7247</t>
  </si>
  <si>
    <t xml:space="preserve">33 Ynysllwyd Street </t>
  </si>
  <si>
    <t>CF44 7NW</t>
  </si>
  <si>
    <t>CBDL7248</t>
  </si>
  <si>
    <t>CBDU7251</t>
  </si>
  <si>
    <t>Cartref Heol Y Mynydd</t>
  </si>
  <si>
    <t>Bryn</t>
  </si>
  <si>
    <t>SA14 9UB</t>
  </si>
  <si>
    <t>CBDL7468</t>
  </si>
  <si>
    <t>Unit 4A Harmony House St George's Place</t>
  </si>
  <si>
    <t>LL30 2NR</t>
  </si>
  <si>
    <t>CBDU7480</t>
  </si>
  <si>
    <t xml:space="preserve">31 Greenwood Close </t>
  </si>
  <si>
    <t>CF31 1PJ</t>
  </si>
  <si>
    <t>CBDL7482</t>
  </si>
  <si>
    <t xml:space="preserve">10 Plashyfryd Terrace </t>
  </si>
  <si>
    <t>LL65 2AG</t>
  </si>
  <si>
    <t>CBDU7483</t>
  </si>
  <si>
    <t>7 Lea Close Undy</t>
  </si>
  <si>
    <t>NP26 3JX</t>
  </si>
  <si>
    <t>CBDL7484</t>
  </si>
  <si>
    <t>5 Clos Penbwl Penllergaer</t>
  </si>
  <si>
    <t>SA4 9HP</t>
  </si>
  <si>
    <t>CBDL7888</t>
  </si>
  <si>
    <t xml:space="preserve">96 Tre Garth </t>
  </si>
  <si>
    <t>SY20 8HY</t>
  </si>
  <si>
    <t>CBDL7889</t>
  </si>
  <si>
    <t xml:space="preserve">49A Market Street </t>
  </si>
  <si>
    <t>WD18 0PR</t>
  </si>
  <si>
    <t>CBDU7890</t>
  </si>
  <si>
    <t>6 Eynon Street Gorseinon</t>
  </si>
  <si>
    <t>SA4 4DU</t>
  </si>
  <si>
    <t>CBDL7891</t>
  </si>
  <si>
    <t xml:space="preserve">54 Pinner Green </t>
  </si>
  <si>
    <t>Pinner</t>
  </si>
  <si>
    <t>HA5 2AB</t>
  </si>
  <si>
    <t>CBDU7892</t>
  </si>
  <si>
    <t>Basepoint Enterprise Centre Andersons Road</t>
  </si>
  <si>
    <t>SO14 5FE</t>
  </si>
  <si>
    <t>CBDL7894</t>
  </si>
  <si>
    <t>Unit 9 Venture Wales valley enterprise</t>
  </si>
  <si>
    <t>Bedwas house ind est</t>
  </si>
  <si>
    <t>Cf83 8gf</t>
  </si>
  <si>
    <t>CBDL7895</t>
  </si>
  <si>
    <t>12 Nant-Gau Oakdale</t>
  </si>
  <si>
    <t>NP12 0GY</t>
  </si>
  <si>
    <t>CBDL7896</t>
  </si>
  <si>
    <t>Uwch Yr Afon Glan Conwy</t>
  </si>
  <si>
    <t>LL28 5TL</t>
  </si>
  <si>
    <t>CBDU7897</t>
  </si>
  <si>
    <t>The Haven Whitford Road</t>
  </si>
  <si>
    <t>CBDU7898</t>
  </si>
  <si>
    <t xml:space="preserve">105 Ffordd Talargoch </t>
  </si>
  <si>
    <t>LL19 8NR</t>
  </si>
  <si>
    <t>CBDU7901</t>
  </si>
  <si>
    <t>5 Charles Street Pontnewydd</t>
  </si>
  <si>
    <t>NP44 1RR</t>
  </si>
  <si>
    <t>CBDU8132</t>
  </si>
  <si>
    <t>Plas Rhyd Y Bont Pontrhyd-y-Bont</t>
  </si>
  <si>
    <t>LL65 2EJ</t>
  </si>
  <si>
    <t>CBDU7643</t>
  </si>
  <si>
    <t>75 Swallow Way Duffryn</t>
  </si>
  <si>
    <t>NP10 8WL</t>
  </si>
  <si>
    <t>CBDU7644</t>
  </si>
  <si>
    <t>1 Hennyswell Reynoldston</t>
  </si>
  <si>
    <t>SA3 1HP</t>
  </si>
  <si>
    <t>CBDU7645</t>
  </si>
  <si>
    <t xml:space="preserve">Doonaree </t>
  </si>
  <si>
    <t>LL64 5QU</t>
  </si>
  <si>
    <t>CBDL7647</t>
  </si>
  <si>
    <t xml:space="preserve">245 Maes Canol </t>
  </si>
  <si>
    <t>LL22 7PB</t>
  </si>
  <si>
    <t>CBDL7649</t>
  </si>
  <si>
    <t>tegfryn store 3/5/7</t>
  </si>
  <si>
    <t>heol tegfryn</t>
  </si>
  <si>
    <t>pyle</t>
  </si>
  <si>
    <t>cf336ln</t>
  </si>
  <si>
    <t>CBDL7651</t>
  </si>
  <si>
    <t>Station Road Scarcliffe</t>
  </si>
  <si>
    <t>S44 6TG</t>
  </si>
  <si>
    <t>CBDU7654</t>
  </si>
  <si>
    <t>26 Salisbury Street Shotton</t>
  </si>
  <si>
    <t>CH5 1DR</t>
  </si>
  <si>
    <t>CBDU7655</t>
  </si>
  <si>
    <t>6 Kingsmoor Common Begeli</t>
  </si>
  <si>
    <t>SA68 0YX</t>
  </si>
  <si>
    <t>CBDU7657</t>
  </si>
  <si>
    <t>BETTWSFIELD COLLIERY BAGILLT</t>
  </si>
  <si>
    <t>FLINT</t>
  </si>
  <si>
    <t>CH66HE</t>
  </si>
  <si>
    <t>CBDU8291</t>
  </si>
  <si>
    <t>Sherfield The Avenue</t>
  </si>
  <si>
    <t>LD3 9BL</t>
  </si>
  <si>
    <t>CBDU8292</t>
  </si>
  <si>
    <t>Llidiard Du Heol Ddu</t>
  </si>
  <si>
    <t>SA18 2UH</t>
  </si>
  <si>
    <t>CBDU8293</t>
  </si>
  <si>
    <t>Flat 3 Tor House</t>
  </si>
  <si>
    <t>Rotherslade Road</t>
  </si>
  <si>
    <t>Langland</t>
  </si>
  <si>
    <t>SA3 4QW</t>
  </si>
  <si>
    <t>CBDU8304</t>
  </si>
  <si>
    <t>Dolwen Main Road</t>
  </si>
  <si>
    <t>Ffynnongroyw</t>
  </si>
  <si>
    <t>CH8 9SN</t>
  </si>
  <si>
    <t>CBDU8533</t>
  </si>
  <si>
    <t>24 Pant Hirwaun Heol-y-Cyw</t>
  </si>
  <si>
    <t>CF35 6HH</t>
  </si>
  <si>
    <t>CBDL8534</t>
  </si>
  <si>
    <t>3C Withybush Caravan Site Rudbaxton</t>
  </si>
  <si>
    <t>SA62 4BB</t>
  </si>
  <si>
    <t>CBDL8535</t>
  </si>
  <si>
    <t>28A Hanbury Road Pontnewynydd</t>
  </si>
  <si>
    <t>NP4 6QN</t>
  </si>
  <si>
    <t>CBDU8538</t>
  </si>
  <si>
    <t>Gilfach Fawr Llanddaniel</t>
  </si>
  <si>
    <t>LL60 6ET</t>
  </si>
  <si>
    <t>CBDU8541</t>
  </si>
  <si>
    <t>17 Friars Court Bangor-Is-y-Coed</t>
  </si>
  <si>
    <t>LL13 0AT</t>
  </si>
  <si>
    <t>CBDU8542</t>
  </si>
  <si>
    <t>104 Angle Road Monkton</t>
  </si>
  <si>
    <t>SA71 4HS</t>
  </si>
  <si>
    <t>CBDU8547</t>
  </si>
  <si>
    <t>2 Princess Avenue Llandrillo-yn-Rhos</t>
  </si>
  <si>
    <t>LL28 4UT</t>
  </si>
  <si>
    <t>CBDU8548</t>
  </si>
  <si>
    <t>Hollybush  Castell y mwnas</t>
  </si>
  <si>
    <t xml:space="preserve">Llanharry </t>
  </si>
  <si>
    <t>Cf729dd</t>
  </si>
  <si>
    <t>CBDU8549</t>
  </si>
  <si>
    <t>24 Springfield Lane Rhiwderin</t>
  </si>
  <si>
    <t>NP10 8QZ</t>
  </si>
  <si>
    <t>CBDU8550</t>
  </si>
  <si>
    <t>Hill View Station Road</t>
  </si>
  <si>
    <t>CBDL8555</t>
  </si>
  <si>
    <t xml:space="preserve">1 Victoria Bridge </t>
  </si>
  <si>
    <t>CF64 2AN</t>
  </si>
  <si>
    <t>CBDL8784</t>
  </si>
  <si>
    <t>Gellideg Estate Merthyr Tydfil</t>
  </si>
  <si>
    <t>CF48 1ES</t>
  </si>
  <si>
    <t>CBDL8785</t>
  </si>
  <si>
    <t xml:space="preserve">232 Stow Hill </t>
  </si>
  <si>
    <t>NP20 4HA</t>
  </si>
  <si>
    <t>CBDU8787</t>
  </si>
  <si>
    <t>Glanffynnon Bungalow Llanrug</t>
  </si>
  <si>
    <t>LL55 4PT</t>
  </si>
  <si>
    <t>CBDL8793</t>
  </si>
  <si>
    <t>86 Mountain Ash Road Abercynon</t>
  </si>
  <si>
    <t>CF45 4PR</t>
  </si>
  <si>
    <t>CBDU8794</t>
  </si>
  <si>
    <t>522 Carmarthen Road Cwmdu</t>
  </si>
  <si>
    <t>SA5 8LA</t>
  </si>
  <si>
    <t>CBDU8796</t>
  </si>
  <si>
    <t>94 Heol Onnen North Cornelly</t>
  </si>
  <si>
    <t>CF33 4DS</t>
  </si>
  <si>
    <t>CBDU8797</t>
  </si>
  <si>
    <t>2 Beaufort Close Sirhowy</t>
  </si>
  <si>
    <t>NP22 4PD</t>
  </si>
  <si>
    <t>CBDL8800</t>
  </si>
  <si>
    <t>31 Stryd Fawr Cefncoedycymer</t>
  </si>
  <si>
    <t>CF48 2PG</t>
  </si>
  <si>
    <t>CBDL8925</t>
  </si>
  <si>
    <t>16 Llwyn-yr-Eos Morriston</t>
  </si>
  <si>
    <t>SA6 6AT</t>
  </si>
  <si>
    <t>CBDL8927</t>
  </si>
  <si>
    <t>20 Chapel Street Abercanaid</t>
  </si>
  <si>
    <t>CF48 1RX</t>
  </si>
  <si>
    <t>CBDU8928</t>
  </si>
  <si>
    <t>10 Coed Fedwen Birchgrove</t>
  </si>
  <si>
    <t>SA7 0HA</t>
  </si>
  <si>
    <t>CBDU8932</t>
  </si>
  <si>
    <t>Brynhyfryd Aberhosan</t>
  </si>
  <si>
    <t>SY20 8SF</t>
  </si>
  <si>
    <t>CBDU8935</t>
  </si>
  <si>
    <t>Unit 22 Abertawe House</t>
  </si>
  <si>
    <t>115 Ystrad Road</t>
  </si>
  <si>
    <t>CBDU9186</t>
  </si>
  <si>
    <t xml:space="preserve">9 James Park </t>
  </si>
  <si>
    <t>SA68 0YD</t>
  </si>
  <si>
    <t>CBDL9419</t>
  </si>
  <si>
    <t>8 Tanrhiw Road Tregarth</t>
  </si>
  <si>
    <t>LL57 4AH</t>
  </si>
  <si>
    <t>CBDL9421</t>
  </si>
  <si>
    <t>NP25 3HF</t>
  </si>
  <si>
    <t>CBDU9429</t>
  </si>
  <si>
    <t xml:space="preserve">16 Christina Street </t>
  </si>
  <si>
    <t>CF10 5HN</t>
  </si>
  <si>
    <t>CBDU9627</t>
  </si>
  <si>
    <t xml:space="preserve">3-5 Bay View Road </t>
  </si>
  <si>
    <t>LL29 8DW</t>
  </si>
  <si>
    <t>CBDL9628</t>
  </si>
  <si>
    <t>158 Llantarnam Road Llantarnam</t>
  </si>
  <si>
    <t>NP44 3BD</t>
  </si>
  <si>
    <t>CBDU9630</t>
  </si>
  <si>
    <t xml:space="preserve">27A Gwscwm Road </t>
  </si>
  <si>
    <t>SA16 0BS</t>
  </si>
  <si>
    <t>CBDL9633</t>
  </si>
  <si>
    <t>31 Springwater Avenue Ramsbottom</t>
  </si>
  <si>
    <t>Bury</t>
  </si>
  <si>
    <t>BL0 9TX</t>
  </si>
  <si>
    <t>CBDU9634</t>
  </si>
  <si>
    <t>White Mill Llan-Lwy</t>
  </si>
  <si>
    <t>SA62 6NA</t>
  </si>
  <si>
    <t>CBDU9635</t>
  </si>
  <si>
    <t>CBDU9852</t>
  </si>
  <si>
    <t>14 Dinas Baglan Road Baglan</t>
  </si>
  <si>
    <t>CBDU9861</t>
  </si>
  <si>
    <t xml:space="preserve">47 Llygad Yr Haul </t>
  </si>
  <si>
    <t>SA10 7SP</t>
  </si>
  <si>
    <t>CBDU9867</t>
  </si>
  <si>
    <t xml:space="preserve">50 Sandfield Road </t>
  </si>
  <si>
    <t>SA16 0LH</t>
  </si>
  <si>
    <t>CBDL10174</t>
  </si>
  <si>
    <t xml:space="preserve">17 dimmock close Leighton buzzard </t>
  </si>
  <si>
    <t>Lu74ry</t>
  </si>
  <si>
    <t>CBDU10183</t>
  </si>
  <si>
    <t xml:space="preserve">46 Windsor Drive </t>
  </si>
  <si>
    <t>CH6 5TX</t>
  </si>
  <si>
    <t>CBDU10186</t>
  </si>
  <si>
    <t xml:space="preserve">Cefn Naw Clawdd </t>
  </si>
  <si>
    <t>LL40 2SG</t>
  </si>
  <si>
    <t>CBDU10187</t>
  </si>
  <si>
    <t>Tir Dafydd Sarn</t>
  </si>
  <si>
    <t>LL53 8EF</t>
  </si>
  <si>
    <t>CBDU10422</t>
  </si>
  <si>
    <t>The Mill Penlan Road</t>
  </si>
  <si>
    <t>Rhydyfro</t>
  </si>
  <si>
    <t>SA8 4RP</t>
  </si>
  <si>
    <t>CBDU10429</t>
  </si>
  <si>
    <t>Tyn Yr Onnen Llangwyllog</t>
  </si>
  <si>
    <t>LL77 7PZ</t>
  </si>
  <si>
    <t>CBDU10431</t>
  </si>
  <si>
    <t xml:space="preserve">51 Nolton Street </t>
  </si>
  <si>
    <t>CF31 3AA</t>
  </si>
  <si>
    <t>CBDL10433</t>
  </si>
  <si>
    <t>2 Abystree Crych Abystree</t>
  </si>
  <si>
    <t>Robeston Wathen</t>
  </si>
  <si>
    <t>SA67 8ET</t>
  </si>
  <si>
    <t>CBDU10435</t>
  </si>
  <si>
    <t>Wernglyd Cilrhedyn</t>
  </si>
  <si>
    <t>SA35 0AG</t>
  </si>
  <si>
    <t>CBDU10438</t>
  </si>
  <si>
    <t>75 Maes Ty Canol Baglan</t>
  </si>
  <si>
    <t>SA12 8UP</t>
  </si>
  <si>
    <t>CBDL10646</t>
  </si>
  <si>
    <t>CBDL10647</t>
  </si>
  <si>
    <t xml:space="preserve">Little Burton West </t>
  </si>
  <si>
    <t>Burton-on-Trent</t>
  </si>
  <si>
    <t>DE14 1PP</t>
  </si>
  <si>
    <t>CBDU10649</t>
  </si>
  <si>
    <t>Robins Croft Heywood Lane</t>
  </si>
  <si>
    <t>SA70 8BN</t>
  </si>
  <si>
    <t>CBDU10652</t>
  </si>
  <si>
    <t>Ivy Cottage Llanegryn</t>
  </si>
  <si>
    <t>LL36 9SL</t>
  </si>
  <si>
    <t>CBDU10656</t>
  </si>
  <si>
    <t xml:space="preserve">142 Aberporth Road </t>
  </si>
  <si>
    <t>CF14 2PS</t>
  </si>
  <si>
    <t>CBDU10772</t>
  </si>
  <si>
    <t>Reservoir House Michaelston-y-Fedw</t>
  </si>
  <si>
    <t>CF3 6XS</t>
  </si>
  <si>
    <t>CBDU10773</t>
  </si>
  <si>
    <t xml:space="preserve">29 Clarence Street </t>
  </si>
  <si>
    <t>SA72 6JP</t>
  </si>
  <si>
    <t>CBDU10779</t>
  </si>
  <si>
    <t xml:space="preserve">57 Lon Ffawydd </t>
  </si>
  <si>
    <t>LL22 7DY</t>
  </si>
  <si>
    <t>CBDL10780</t>
  </si>
  <si>
    <t>14 Caerllwyn Terrace Ynysddu</t>
  </si>
  <si>
    <t>NP11 7LE</t>
  </si>
  <si>
    <t>CBDU10786</t>
  </si>
  <si>
    <t>The Paddock Llanerch-y-Mor</t>
  </si>
  <si>
    <t>CH8 9DX</t>
  </si>
  <si>
    <t>CBDU11021</t>
  </si>
  <si>
    <t xml:space="preserve">4 Heol Isfoel </t>
  </si>
  <si>
    <t>SY23 5BJ</t>
  </si>
  <si>
    <t>CBDL11022</t>
  </si>
  <si>
    <t>Lonlas House Lonlas</t>
  </si>
  <si>
    <t>SA10 6SD</t>
  </si>
  <si>
    <t>CBDU11024</t>
  </si>
  <si>
    <t xml:space="preserve">8 College Street </t>
  </si>
  <si>
    <t>CF44 0RN</t>
  </si>
  <si>
    <t>CBDU11029</t>
  </si>
  <si>
    <t>15 Bardsey Avenue Blaenymaes</t>
  </si>
  <si>
    <t>SA5 5PR</t>
  </si>
  <si>
    <t>CBDU11034</t>
  </si>
  <si>
    <t xml:space="preserve">16 Maes Heulog </t>
  </si>
  <si>
    <t>LL55 1PS</t>
  </si>
  <si>
    <t>CBDL11284</t>
  </si>
  <si>
    <t>CBDU12092</t>
  </si>
  <si>
    <t>Unit 43 Cwmdu Industrial Estate</t>
  </si>
  <si>
    <t>SA5 8LG</t>
  </si>
  <si>
    <t>CBDL12094</t>
  </si>
  <si>
    <t>1 Rose Cottages Glasbury</t>
  </si>
  <si>
    <t>HR3 5LW</t>
  </si>
  <si>
    <t>CBDU12096</t>
  </si>
  <si>
    <t xml:space="preserve">8 Jordan Close </t>
  </si>
  <si>
    <t>NP25 5EB</t>
  </si>
  <si>
    <t>CBDL11304</t>
  </si>
  <si>
    <t>9 Plaistow Road Dunsfold</t>
  </si>
  <si>
    <t>Godalming</t>
  </si>
  <si>
    <t>GU8 4PG</t>
  </si>
  <si>
    <t>CBDU11306</t>
  </si>
  <si>
    <t>17 Walter Street Abertysswg</t>
  </si>
  <si>
    <t>NP22 5AQ</t>
  </si>
  <si>
    <t>CBDU11307</t>
  </si>
  <si>
    <t>unit 7 mardy industrial estate</t>
  </si>
  <si>
    <t>sa4 4hl</t>
  </si>
  <si>
    <t>CBDU11310</t>
  </si>
  <si>
    <t xml:space="preserve">8 Prior Street </t>
  </si>
  <si>
    <t>SA13 1YA</t>
  </si>
  <si>
    <t>CBDU11313</t>
  </si>
  <si>
    <t>2 Adelaide Drive Red Bank</t>
  </si>
  <si>
    <t>SY21 7RQ</t>
  </si>
  <si>
    <t>CBDL11315</t>
  </si>
  <si>
    <t>Lion Garage Castle Street</t>
  </si>
  <si>
    <t>CBDL11316</t>
  </si>
  <si>
    <t xml:space="preserve">62 Pilton Vale </t>
  </si>
  <si>
    <t>NP20 6LQ</t>
  </si>
  <si>
    <t>CBDU11317</t>
  </si>
  <si>
    <t>7 Heol Llyswen Nelson</t>
  </si>
  <si>
    <t>CF46 6LW</t>
  </si>
  <si>
    <t>CBDU11320</t>
  </si>
  <si>
    <t>12 Heol Y Llan Loughor</t>
  </si>
  <si>
    <t>SA4 6UG</t>
  </si>
  <si>
    <t>CBDU11322</t>
  </si>
  <si>
    <t xml:space="preserve">16 Fifth Avenue </t>
  </si>
  <si>
    <t>CF47 9TR</t>
  </si>
  <si>
    <t>CBDU11324</t>
  </si>
  <si>
    <t>44 Pheasant Road Trebanos</t>
  </si>
  <si>
    <t>SA8 4DP</t>
  </si>
  <si>
    <t>CBDU11546</t>
  </si>
  <si>
    <t>New Parc Farm St Donats</t>
  </si>
  <si>
    <t>CF61 1ZB</t>
  </si>
  <si>
    <t>CBDU11547</t>
  </si>
  <si>
    <t>31 Gwyrddgoed Road Pontardawe</t>
  </si>
  <si>
    <t>SA8 4NH</t>
  </si>
  <si>
    <t>CBDU11550</t>
  </si>
  <si>
    <t>The Corner Amroth</t>
  </si>
  <si>
    <t>SA67 8PT</t>
  </si>
  <si>
    <t>CBDU11553</t>
  </si>
  <si>
    <t xml:space="preserve">23 Grove Road </t>
  </si>
  <si>
    <t>Ware</t>
  </si>
  <si>
    <t>SG12 7HS</t>
  </si>
  <si>
    <t>CBDU11554</t>
  </si>
  <si>
    <t>CBDU11555</t>
  </si>
  <si>
    <t>Inglenook Bryn Y Garreg</t>
  </si>
  <si>
    <t>Flint Mountain</t>
  </si>
  <si>
    <t>CH6 5QU</t>
  </si>
  <si>
    <t>CBDU11560</t>
  </si>
  <si>
    <t>239 Dunvant Road Dunvant</t>
  </si>
  <si>
    <t>SA2 7ST</t>
  </si>
  <si>
    <t>CBDL11562</t>
  </si>
  <si>
    <t>CBDU11782</t>
  </si>
  <si>
    <t>157 Gors Avenue Townhill</t>
  </si>
  <si>
    <t>SA1 6RS</t>
  </si>
  <si>
    <t>CBDL11783</t>
  </si>
  <si>
    <t>Lower Trefeen Kerry</t>
  </si>
  <si>
    <t>SY16 4EG</t>
  </si>
  <si>
    <t>CBDU11788</t>
  </si>
  <si>
    <t>Afallon Dwyran</t>
  </si>
  <si>
    <t>LL61 6YD</t>
  </si>
  <si>
    <t>CBDU11789</t>
  </si>
  <si>
    <t>50 Brynmeurig Tregynwr</t>
  </si>
  <si>
    <t>SA31 2EF</t>
  </si>
  <si>
    <t>CBDU11790</t>
  </si>
  <si>
    <t>2 Baptist Place Chartist Court</t>
  </si>
  <si>
    <t>NP11 6LB</t>
  </si>
  <si>
    <t>CBDL11792</t>
  </si>
  <si>
    <t xml:space="preserve">44 Jeffery Street </t>
  </si>
  <si>
    <t>Gillingham</t>
  </si>
  <si>
    <t>ME7 1DD</t>
  </si>
  <si>
    <t>CBDU11795</t>
  </si>
  <si>
    <t>167 Main Road Broughton</t>
  </si>
  <si>
    <t>CH4 0NT</t>
  </si>
  <si>
    <t>CBDL12293</t>
  </si>
  <si>
    <t>Bryn Golau Gwyddelwern</t>
  </si>
  <si>
    <t>CBDU12298</t>
  </si>
  <si>
    <t>33 Burrell Court Twyne Close</t>
  </si>
  <si>
    <t>RH11 8JR</t>
  </si>
  <si>
    <t>CBDU12300</t>
  </si>
  <si>
    <t xml:space="preserve">64 Snowdon Street </t>
  </si>
  <si>
    <t>LL49 9DF</t>
  </si>
  <si>
    <t>CBDU12302</t>
  </si>
  <si>
    <t>ARGOED GORSGOCH</t>
  </si>
  <si>
    <t>LLANYBYDDER</t>
  </si>
  <si>
    <t>CEREDIGION</t>
  </si>
  <si>
    <t>SA40 9TD</t>
  </si>
  <si>
    <t>CBDU12303</t>
  </si>
  <si>
    <t>4 Pleasant View Maesycwmmer</t>
  </si>
  <si>
    <t>CF82 7PY</t>
  </si>
  <si>
    <t>CBDU12644</t>
  </si>
  <si>
    <t>14 Hill Street Pontnewynydd</t>
  </si>
  <si>
    <t>NP4 6NL</t>
  </si>
  <si>
    <t>CBDU12645</t>
  </si>
  <si>
    <t>13A Llwyn Harlech Bodelwyddan</t>
  </si>
  <si>
    <t>LL18 5WG</t>
  </si>
  <si>
    <t>CBDL12647</t>
  </si>
  <si>
    <t xml:space="preserve">Galon Uchaf Road </t>
  </si>
  <si>
    <t>CF47 9TP</t>
  </si>
  <si>
    <t>CBDU12648</t>
  </si>
  <si>
    <t>101 Borough Road Loughor</t>
  </si>
  <si>
    <t>SA4 6RY</t>
  </si>
  <si>
    <t>CBDL12649</t>
  </si>
  <si>
    <t xml:space="preserve">unit 1 robert avenue </t>
  </si>
  <si>
    <t>cf47 9jh</t>
  </si>
  <si>
    <t>CBDU12653</t>
  </si>
  <si>
    <t>Lon Farm Prion</t>
  </si>
  <si>
    <t>LL16 4TR</t>
  </si>
  <si>
    <t>CBDL12848</t>
  </si>
  <si>
    <t xml:space="preserve">83 Nash Road </t>
  </si>
  <si>
    <t>NP19 4NJ</t>
  </si>
  <si>
    <t>CBDL12849</t>
  </si>
  <si>
    <t>The Stag Workshop Llanboidy</t>
  </si>
  <si>
    <t>sa340eg</t>
  </si>
  <si>
    <t>CBDL12851</t>
  </si>
  <si>
    <t xml:space="preserve">33 Clytha Park Road </t>
  </si>
  <si>
    <t>NP20 4NZ</t>
  </si>
  <si>
    <t>CBDL12854</t>
  </si>
  <si>
    <t>1 Crown Terrace Abererch</t>
  </si>
  <si>
    <t>LL53 6YT</t>
  </si>
  <si>
    <t>CBDL12856</t>
  </si>
  <si>
    <t>50 High Street Glynneath</t>
  </si>
  <si>
    <t>CBDU12857</t>
  </si>
  <si>
    <t xml:space="preserve">73 South Clive Street </t>
  </si>
  <si>
    <t>CF11 7EH</t>
  </si>
  <si>
    <t>CBDU13074</t>
  </si>
  <si>
    <t xml:space="preserve">26 Boldmere Road </t>
  </si>
  <si>
    <t>B73 5TD</t>
  </si>
  <si>
    <t>CBDU13078</t>
  </si>
  <si>
    <t>Cottage 2 Plas Coedana</t>
  </si>
  <si>
    <t>Llanerchymedd</t>
  </si>
  <si>
    <t xml:space="preserve"> LL718AA</t>
  </si>
  <si>
    <t>CBDL13079</t>
  </si>
  <si>
    <t xml:space="preserve">101 Haydn Terrace </t>
  </si>
  <si>
    <t>CF47 9UX</t>
  </si>
  <si>
    <t>CBDU13080</t>
  </si>
  <si>
    <t>2 Gelli Geiros Gellinudd</t>
  </si>
  <si>
    <t>SA8 3DZ</t>
  </si>
  <si>
    <t>CBDL13081</t>
  </si>
  <si>
    <t>10 Herberts Close Garndiffaith</t>
  </si>
  <si>
    <t>NP4 7QD</t>
  </si>
  <si>
    <t>CBDU13083</t>
  </si>
  <si>
    <t>16 Parc Gwellyn Kinmel Bay</t>
  </si>
  <si>
    <t>CBDU13233</t>
  </si>
  <si>
    <t>254 Mansel Road Bonymaen</t>
  </si>
  <si>
    <t>SA1 7JT</t>
  </si>
  <si>
    <t>CBDL13235</t>
  </si>
  <si>
    <t xml:space="preserve">17 Llys Y Nant </t>
  </si>
  <si>
    <t>CH7 1EQ</t>
  </si>
  <si>
    <t>CBDU13239</t>
  </si>
  <si>
    <t>9 King Street Cwm</t>
  </si>
  <si>
    <t>NP23 7SG</t>
  </si>
  <si>
    <t>CBDU13245</t>
  </si>
  <si>
    <t xml:space="preserve">35A Catherine Street </t>
  </si>
  <si>
    <t>SA15 2NY</t>
  </si>
  <si>
    <t>CBDU13415</t>
  </si>
  <si>
    <t xml:space="preserve">15 Gwaun Newydd </t>
  </si>
  <si>
    <t>CF83 1RW</t>
  </si>
  <si>
    <t>CBDL13424</t>
  </si>
  <si>
    <t>Maesarafon Llanover</t>
  </si>
  <si>
    <t>NP7 9ED</t>
  </si>
  <si>
    <t>CBDU13425</t>
  </si>
  <si>
    <t>195 Greenway Road Rumney</t>
  </si>
  <si>
    <t>CF3 3PH</t>
  </si>
  <si>
    <t>CBDL206</t>
  </si>
  <si>
    <t>CBDL208</t>
  </si>
  <si>
    <t>83 Glen Mor</t>
  </si>
  <si>
    <t>SA2 0QA</t>
  </si>
  <si>
    <t>CBDL211</t>
  </si>
  <si>
    <t>61 Wells Street</t>
  </si>
  <si>
    <t>CF11 6DY</t>
  </si>
  <si>
    <t>CBDL216</t>
  </si>
  <si>
    <t>Colhugh Villa Flanders Road</t>
  </si>
  <si>
    <t>CF61 1RL</t>
  </si>
  <si>
    <t>CBDL221</t>
  </si>
  <si>
    <t>3 High Town</t>
  </si>
  <si>
    <t>CBDL460</t>
  </si>
  <si>
    <t>32 Seaview Place</t>
  </si>
  <si>
    <t>CF61 1TF</t>
  </si>
  <si>
    <t>CBDL465</t>
  </si>
  <si>
    <t>Carreg yr Alltwen &amp;%</t>
  </si>
  <si>
    <t>LLangristiolus</t>
  </si>
  <si>
    <t>CBDL466</t>
  </si>
  <si>
    <t>CBDL708</t>
  </si>
  <si>
    <t>1 Hillside</t>
  </si>
  <si>
    <t xml:space="preserve">CF44 0TN </t>
  </si>
  <si>
    <t>CBDL710</t>
  </si>
  <si>
    <t>52 Abergele rd</t>
  </si>
  <si>
    <t>Ll297pa</t>
  </si>
  <si>
    <t>CBDL712</t>
  </si>
  <si>
    <t>Cruglwyd Capel Iwan</t>
  </si>
  <si>
    <t>sa389lr</t>
  </si>
  <si>
    <t>CBDL714</t>
  </si>
  <si>
    <t>193 Tyn y Twr</t>
  </si>
  <si>
    <t>SA12 8YE</t>
  </si>
  <si>
    <t>CBDL715</t>
  </si>
  <si>
    <t>50  cornelly street</t>
  </si>
  <si>
    <t>cf14 2hr</t>
  </si>
  <si>
    <t>CBDL716</t>
  </si>
  <si>
    <t>Radnors End Boatside Lane</t>
  </si>
  <si>
    <t>CBDL719</t>
  </si>
  <si>
    <t>Newsagents Kiosk Central Bus Station</t>
  </si>
  <si>
    <t>CF47 8BB</t>
  </si>
  <si>
    <t>CBDL720</t>
  </si>
  <si>
    <t>Mr Philip Mattey 17 Danlan Road</t>
  </si>
  <si>
    <t>Carmathenshire</t>
  </si>
  <si>
    <t>SA16 0UF</t>
  </si>
  <si>
    <t>CBDL903</t>
  </si>
  <si>
    <t>Cafe Cynllwyd Mawr</t>
  </si>
  <si>
    <t>Crafnant Lake</t>
  </si>
  <si>
    <t>Trefriw</t>
  </si>
  <si>
    <t>LL270JZ</t>
  </si>
  <si>
    <t>CBDL905</t>
  </si>
  <si>
    <t>155 Crymlyn Parc</t>
  </si>
  <si>
    <t>SA10 6EF</t>
  </si>
  <si>
    <t>CBDL908</t>
  </si>
  <si>
    <t>Siamber cae rhos</t>
  </si>
  <si>
    <t>ll30 1rw</t>
  </si>
  <si>
    <t>CBDL912</t>
  </si>
  <si>
    <t>11 Lon Alun</t>
  </si>
  <si>
    <t>LL16 5YB</t>
  </si>
  <si>
    <t>CBDL1145</t>
  </si>
  <si>
    <t>Tyllys farm cottage Tretower</t>
  </si>
  <si>
    <t>np8 1rf</t>
  </si>
  <si>
    <t>CBDL1154</t>
  </si>
  <si>
    <t>Morfa Bach Farm Capel Teilo Road</t>
  </si>
  <si>
    <t>SA17 4RN</t>
  </si>
  <si>
    <t>CBDL1160</t>
  </si>
  <si>
    <t>15 Well street</t>
  </si>
  <si>
    <t>Cf36 3be</t>
  </si>
  <si>
    <t>CBDL1393</t>
  </si>
  <si>
    <t>Leadbrook Hall Farm Leadbrook Drive</t>
  </si>
  <si>
    <t>CBDL1396</t>
  </si>
  <si>
    <t>The Red Lion Broad Street</t>
  </si>
  <si>
    <t>SY21 0RP</t>
  </si>
  <si>
    <t>CBDL1397</t>
  </si>
  <si>
    <t>30 seymour road</t>
  </si>
  <si>
    <t>slough</t>
  </si>
  <si>
    <t>sl12ny</t>
  </si>
  <si>
    <t>CBDL1399</t>
  </si>
  <si>
    <t>3 Victoria Drive LLandudno Junction</t>
  </si>
  <si>
    <t>LL31 9NY</t>
  </si>
  <si>
    <t>CBDL1400</t>
  </si>
  <si>
    <t>6 Raglan Road</t>
  </si>
  <si>
    <t>Gycoch</t>
  </si>
  <si>
    <t>SA2 9LR</t>
  </si>
  <si>
    <t>CBDL1617</t>
  </si>
  <si>
    <t>Lower Fishpools Bleddfa</t>
  </si>
  <si>
    <t>LD71PA</t>
  </si>
  <si>
    <t>CBDL1619</t>
  </si>
  <si>
    <t>NFU Mutual 3 High Street</t>
  </si>
  <si>
    <t>LD7 1AT</t>
  </si>
  <si>
    <t>CBDL1620</t>
  </si>
  <si>
    <t>Roselea .</t>
  </si>
  <si>
    <t>Bucknell</t>
  </si>
  <si>
    <t>SY7 0AS</t>
  </si>
  <si>
    <t>CBDL1621</t>
  </si>
  <si>
    <t>13 Church road</t>
  </si>
  <si>
    <t>Wickham St. Paul's</t>
  </si>
  <si>
    <t>Halstead</t>
  </si>
  <si>
    <t>C09 2PL</t>
  </si>
  <si>
    <t>CBDL1622</t>
  </si>
  <si>
    <t>CBDL1624</t>
  </si>
  <si>
    <t>14 carlton terrace 14 carlton terrace</t>
  </si>
  <si>
    <t>sa1 6ab</t>
  </si>
  <si>
    <t>CBDL1869</t>
  </si>
  <si>
    <t>84 Bolgoed Road Pontarddulais</t>
  </si>
  <si>
    <t>SA4 8JF</t>
  </si>
  <si>
    <t>CBDL1872</t>
  </si>
  <si>
    <t>Bell Street Talgarth</t>
  </si>
  <si>
    <t>LD3 0BP</t>
  </si>
  <si>
    <t>CBDU1879</t>
  </si>
  <si>
    <t>8 Wood Street Sandycroft</t>
  </si>
  <si>
    <t>CH5 2PL</t>
  </si>
  <si>
    <t>CBDL2094</t>
  </si>
  <si>
    <t>61 Cardiff Road</t>
  </si>
  <si>
    <t>CF81 8PA</t>
  </si>
  <si>
    <t>CBDL2102</t>
  </si>
  <si>
    <t xml:space="preserve">82 Groeswen Park </t>
  </si>
  <si>
    <t>SA13 2AZ</t>
  </si>
  <si>
    <t>CBDL2262</t>
  </si>
  <si>
    <t>Llety'r Dryw Wesley Street</t>
  </si>
  <si>
    <t>LL65 3TD</t>
  </si>
  <si>
    <t>CBDL2267</t>
  </si>
  <si>
    <t>4-5 Penycamlais Richway Watton</t>
  </si>
  <si>
    <t>LD3 7EH</t>
  </si>
  <si>
    <t>CBDL2268</t>
  </si>
  <si>
    <t xml:space="preserve">Wern Las Bacheldre </t>
  </si>
  <si>
    <t xml:space="preserve">Churchstoke </t>
  </si>
  <si>
    <t xml:space="preserve">sy15 6tf </t>
  </si>
  <si>
    <t>CBDL2270</t>
  </si>
  <si>
    <t>25 Gwerneinon Road Sketty</t>
  </si>
  <si>
    <t>CBDL2273</t>
  </si>
  <si>
    <t xml:space="preserve">11 Parkside </t>
  </si>
  <si>
    <t>CH7 2HB</t>
  </si>
  <si>
    <t>CBDL2746</t>
  </si>
  <si>
    <t>30 Tramway Hirwaun</t>
  </si>
  <si>
    <t>CF44 9PA</t>
  </si>
  <si>
    <t>CBDL2749</t>
  </si>
  <si>
    <t>51 maes clyd</t>
  </si>
  <si>
    <t>ll30 1ya</t>
  </si>
  <si>
    <t>CBDL2754</t>
  </si>
  <si>
    <t xml:space="preserve">2 Bryneuraidd </t>
  </si>
  <si>
    <t>SA18 3TG</t>
  </si>
  <si>
    <t>CBDL2956</t>
  </si>
  <si>
    <t>4 Mushgraves Lodge</t>
  </si>
  <si>
    <t>Dock Road</t>
  </si>
  <si>
    <t>CBDL2957</t>
  </si>
  <si>
    <t>Rose Park Farm Amroth Road</t>
  </si>
  <si>
    <t>Llanteg</t>
  </si>
  <si>
    <t>SA67 8QJ</t>
  </si>
  <si>
    <t>CBDL2965</t>
  </si>
  <si>
    <t xml:space="preserve">17 Stowupland Road </t>
  </si>
  <si>
    <t>Stowmarket</t>
  </si>
  <si>
    <t>IP14 5AG</t>
  </si>
  <si>
    <t>CBDL2969</t>
  </si>
  <si>
    <t>5 Penpentre Tal-y-Bont Ar Wysg</t>
  </si>
  <si>
    <t>LD3 7YQ</t>
  </si>
  <si>
    <t>CBDL3172</t>
  </si>
  <si>
    <t>43 Heol Yr Ysgol Cefneithin</t>
  </si>
  <si>
    <t>SA14 7EA</t>
  </si>
  <si>
    <t>CBDL3184</t>
  </si>
  <si>
    <t>24 Hendy Tal-y-Bont</t>
  </si>
  <si>
    <t>LL32 8JQ</t>
  </si>
  <si>
    <t>CBDL3395</t>
  </si>
  <si>
    <t>1 oakvill a farm</t>
  </si>
  <si>
    <t>lymm</t>
  </si>
  <si>
    <t>cheshire</t>
  </si>
  <si>
    <t>wa139jp</t>
  </si>
  <si>
    <t>CBDL3398</t>
  </si>
  <si>
    <t>23 Heol Gwys Cwm-Twrch Uchaf</t>
  </si>
  <si>
    <t>SA9 2XG</t>
  </si>
  <si>
    <t>CBDL3402</t>
  </si>
  <si>
    <t xml:space="preserve">97 Bartlett Street </t>
  </si>
  <si>
    <t>CF83 1JU</t>
  </si>
  <si>
    <t>CBDL3407</t>
  </si>
  <si>
    <t>38 High Street Mynydd Cynffig</t>
  </si>
  <si>
    <t>CF33 6DR</t>
  </si>
  <si>
    <t>CBDL3409</t>
  </si>
  <si>
    <t xml:space="preserve">4 Dyffryn Road </t>
  </si>
  <si>
    <t>LL30 2LZ</t>
  </si>
  <si>
    <t>CBDL3410</t>
  </si>
  <si>
    <t xml:space="preserve">43 Heol Urban </t>
  </si>
  <si>
    <t>CF5 2QP</t>
  </si>
  <si>
    <t>CBDL3469</t>
  </si>
  <si>
    <t xml:space="preserve">19 Southey Street </t>
  </si>
  <si>
    <t>CF62 8EY</t>
  </si>
  <si>
    <t>CBDL3473</t>
  </si>
  <si>
    <t>1 Clos Cenawon Cwmrhydyceirw</t>
  </si>
  <si>
    <t>SA6 6NE</t>
  </si>
  <si>
    <t>CBDL3911</t>
  </si>
  <si>
    <t xml:space="preserve">35 Plas St. Pol De Leon </t>
  </si>
  <si>
    <t>CF64 1TR</t>
  </si>
  <si>
    <t>CBDL3912</t>
  </si>
  <si>
    <t xml:space="preserve">10 Forres Avenue </t>
  </si>
  <si>
    <t>Dundee</t>
  </si>
  <si>
    <t>DD3 0EJ</t>
  </si>
  <si>
    <t>CBDL3913</t>
  </si>
  <si>
    <t xml:space="preserve">28 Sandringham Street </t>
  </si>
  <si>
    <t>YO12 7QD</t>
  </si>
  <si>
    <t>CBDL4171</t>
  </si>
  <si>
    <t xml:space="preserve">1 Garth Terrace </t>
  </si>
  <si>
    <t>CF47 0HN</t>
  </si>
  <si>
    <t>CBDL4172</t>
  </si>
  <si>
    <t>17 Emanuel Grove</t>
  </si>
  <si>
    <t>LL14 3PS</t>
  </si>
  <si>
    <t>CBDL4420</t>
  </si>
  <si>
    <t xml:space="preserve">72 Pant Morfa </t>
  </si>
  <si>
    <t>CF36 5EN</t>
  </si>
  <si>
    <t>CBDL4422</t>
  </si>
  <si>
    <t>12 Highfield Avenue Mynydd Isa</t>
  </si>
  <si>
    <t>CH7 6YB</t>
  </si>
  <si>
    <t>CBDL4423</t>
  </si>
  <si>
    <t>cheriton medical centre cheriton crescent</t>
  </si>
  <si>
    <t>portmead</t>
  </si>
  <si>
    <t>sa5 5lb</t>
  </si>
  <si>
    <t>CBDU4425</t>
  </si>
  <si>
    <t xml:space="preserve"> Popowo 20</t>
  </si>
  <si>
    <t>87-600 Lipno</t>
  </si>
  <si>
    <t>CBDL4649</t>
  </si>
  <si>
    <t xml:space="preserve">30 Irchester Road </t>
  </si>
  <si>
    <t>Rushden</t>
  </si>
  <si>
    <t>NN10 9XE</t>
  </si>
  <si>
    <t>CBDL4856</t>
  </si>
  <si>
    <t>Red House Tannery Road</t>
  </si>
  <si>
    <t>Combs</t>
  </si>
  <si>
    <t>IP14 2EW</t>
  </si>
  <si>
    <t>CBDL5080</t>
  </si>
  <si>
    <t xml:space="preserve">23 Ffordd Y Castell </t>
  </si>
  <si>
    <t>LL57 1SU</t>
  </si>
  <si>
    <t>CBDU5603</t>
  </si>
  <si>
    <t>12 Camperly Close Beddau</t>
  </si>
  <si>
    <t>CF38 2LF</t>
  </si>
  <si>
    <t>CBDU5607</t>
  </si>
  <si>
    <t>The Paddocks Newport Road</t>
  </si>
  <si>
    <t>NP44 3AF</t>
  </si>
  <si>
    <t>CBDU5610</t>
  </si>
  <si>
    <t>52A High Street Pontardawe</t>
  </si>
  <si>
    <t>SA8 4JH</t>
  </si>
  <si>
    <t>CBDU5611</t>
  </si>
  <si>
    <t>Martin Road Tremorfa Industrial Estate</t>
  </si>
  <si>
    <t>CBDU5612</t>
  </si>
  <si>
    <t>20 Westhill Drive Llantrisant</t>
  </si>
  <si>
    <t>CF72 8DX</t>
  </si>
  <si>
    <t>CBDU5617</t>
  </si>
  <si>
    <t>Sherry Farm Llandrygan</t>
  </si>
  <si>
    <t>LL71 7AN</t>
  </si>
  <si>
    <t>CBDU6108</t>
  </si>
  <si>
    <t xml:space="preserve">23 Arthur Close </t>
  </si>
  <si>
    <t>NP20 2NL</t>
  </si>
  <si>
    <t>CBDU6109</t>
  </si>
  <si>
    <t>156 Squirrel Walk Fforest</t>
  </si>
  <si>
    <t>CBDU6112</t>
  </si>
  <si>
    <t xml:space="preserve">23 Maes-y-Cwrt Terrace </t>
  </si>
  <si>
    <t>SA13 1LE</t>
  </si>
  <si>
    <t>CBDU6116</t>
  </si>
  <si>
    <t xml:space="preserve">12 Maes Cantaba </t>
  </si>
  <si>
    <t>LL15 1YP</t>
  </si>
  <si>
    <t>CBDU6118</t>
  </si>
  <si>
    <t>10 Ramseyston Avenue Coylton</t>
  </si>
  <si>
    <t>Ayr</t>
  </si>
  <si>
    <t>KA6 6JG</t>
  </si>
  <si>
    <t>CBDU6122</t>
  </si>
  <si>
    <t>Cefn Byrle Isaf Cefn Byrle Road</t>
  </si>
  <si>
    <t>Coelbren</t>
  </si>
  <si>
    <t>SA10 9PD</t>
  </si>
  <si>
    <t>CBDU5840</t>
  </si>
  <si>
    <t>24 Saffron Drive Llaneirwg</t>
  </si>
  <si>
    <t>CF3 0NH</t>
  </si>
  <si>
    <t>CBDU5842</t>
  </si>
  <si>
    <t>7 Kingsmoor Common Begeli</t>
  </si>
  <si>
    <t>CBDL6352</t>
  </si>
  <si>
    <t>1 Hilton Crest Nolton Haven</t>
  </si>
  <si>
    <t>CBDU6353</t>
  </si>
  <si>
    <t>223 Durham Road Blackhill</t>
  </si>
  <si>
    <t>Consett</t>
  </si>
  <si>
    <t>DH8 5UQ</t>
  </si>
  <si>
    <t>CBDU6355</t>
  </si>
  <si>
    <t>84 Parc Morlais Llangennech</t>
  </si>
  <si>
    <t>SA14 8XZ</t>
  </si>
  <si>
    <t>CBDU6359</t>
  </si>
  <si>
    <t>106 Garrod Avenue Dunvant</t>
  </si>
  <si>
    <t>SA2 7XQ</t>
  </si>
  <si>
    <t>CBDU6360</t>
  </si>
  <si>
    <t xml:space="preserve">8 Heol Awel </t>
  </si>
  <si>
    <t>LL22 7UQ</t>
  </si>
  <si>
    <t>CBDU6363</t>
  </si>
  <si>
    <t>Revien Bettws Lane</t>
  </si>
  <si>
    <t>NP20 7AB</t>
  </si>
  <si>
    <t>CBDU6364</t>
  </si>
  <si>
    <t>Ty Banc Y Mynydd Heol Waunyclun</t>
  </si>
  <si>
    <t>Trimsaran</t>
  </si>
  <si>
    <t>CBDU6666</t>
  </si>
  <si>
    <t>Laurel Cottage Chapel Lane</t>
  </si>
  <si>
    <t>Bronington</t>
  </si>
  <si>
    <t>SY13 3HP</t>
  </si>
  <si>
    <t>CBDU6667</t>
  </si>
  <si>
    <t xml:space="preserve">22 Madoc Road </t>
  </si>
  <si>
    <t>CF24 2TA</t>
  </si>
  <si>
    <t>CBDU6671</t>
  </si>
  <si>
    <t>1 Andrew Terrace Llanhilleth</t>
  </si>
  <si>
    <t>NP13 2JL</t>
  </si>
  <si>
    <t>CBDU6672</t>
  </si>
  <si>
    <t>21 clos y berllan Rhuddlan</t>
  </si>
  <si>
    <t xml:space="preserve"> LL182UL</t>
  </si>
  <si>
    <t>CBDL6678</t>
  </si>
  <si>
    <t>16 Kennington Close Killay</t>
  </si>
  <si>
    <t>SA2 7EF</t>
  </si>
  <si>
    <t>CBDL6679</t>
  </si>
  <si>
    <t xml:space="preserve">61 Firs Avenue </t>
  </si>
  <si>
    <t>CF5 3TG</t>
  </si>
  <si>
    <t>CBDL6900</t>
  </si>
  <si>
    <t>1 David Street St. Dogmaels</t>
  </si>
  <si>
    <t>SA43 3HT</t>
  </si>
  <si>
    <t>CBDL7254</t>
  </si>
  <si>
    <t>6 Meadow Close Thomastown</t>
  </si>
  <si>
    <t>CF39 8EQ</t>
  </si>
  <si>
    <t>CBDU7257</t>
  </si>
  <si>
    <t>16 Ormeside Ochr Penrhyn</t>
  </si>
  <si>
    <t>LL30 3DY</t>
  </si>
  <si>
    <t>CBDU7263</t>
  </si>
  <si>
    <t>Lon Garmon Abersoch</t>
  </si>
  <si>
    <t>LL53 7UL</t>
  </si>
  <si>
    <t>CBDU7264</t>
  </si>
  <si>
    <t>200 Cwmgarw Road Brynaman Uchaf</t>
  </si>
  <si>
    <t>SA18 1DG</t>
  </si>
  <si>
    <t>CBDL7267</t>
  </si>
  <si>
    <t xml:space="preserve">51 Cemetery Road </t>
  </si>
  <si>
    <t>CF31 1NA</t>
  </si>
  <si>
    <t>CBDL7487</t>
  </si>
  <si>
    <t>LL51 9TX</t>
  </si>
  <si>
    <t>CBDL7489</t>
  </si>
  <si>
    <t>Caerphilly Station Cardiff Road</t>
  </si>
  <si>
    <t>CF83 1JR</t>
  </si>
  <si>
    <t>CBDL7490</t>
  </si>
  <si>
    <t>3 Llechrhyd Terrace Builth Road</t>
  </si>
  <si>
    <t>LD2 3PY</t>
  </si>
  <si>
    <t>CBDL7494</t>
  </si>
  <si>
    <t>47 Burrows Road Sgiwen</t>
  </si>
  <si>
    <t>SA10 6AB</t>
  </si>
  <si>
    <t>CBDL7498</t>
  </si>
  <si>
    <t>2 Vaynol House Clwt-y-Bont</t>
  </si>
  <si>
    <t>LL55 3DF</t>
  </si>
  <si>
    <t>CBDL7500</t>
  </si>
  <si>
    <t>62 Gladstone Road Willesborough</t>
  </si>
  <si>
    <t>TN24 0BY</t>
  </si>
  <si>
    <t>CBDL7501</t>
  </si>
  <si>
    <t>1 Cross Street Aberfan</t>
  </si>
  <si>
    <t>CF48 4NX</t>
  </si>
  <si>
    <t>CBDU7905</t>
  </si>
  <si>
    <t>April Cottage Drope Terrace</t>
  </si>
  <si>
    <t>Sain Siorys</t>
  </si>
  <si>
    <t>CF5 6EQ</t>
  </si>
  <si>
    <t>CBDU7906</t>
  </si>
  <si>
    <t>Bryn Gerrig Penyrheol</t>
  </si>
  <si>
    <t>NP4 5XS</t>
  </si>
  <si>
    <t>CBDL7910</t>
  </si>
  <si>
    <t>The Arches Dock Road</t>
  </si>
  <si>
    <t>ch87ey</t>
  </si>
  <si>
    <t>CBDU7915</t>
  </si>
  <si>
    <t>59 Thomas Avenue Pont Henri</t>
  </si>
  <si>
    <t>CBDU7918</t>
  </si>
  <si>
    <t>105 Bolgoed Road Pontarddulais</t>
  </si>
  <si>
    <t>SA4 8JP</t>
  </si>
  <si>
    <t>CBDL7920</t>
  </si>
  <si>
    <t>Bonymaen Road Bonymaen</t>
  </si>
  <si>
    <t>SA1 7AT</t>
  </si>
  <si>
    <t>CBDU8149</t>
  </si>
  <si>
    <t xml:space="preserve">26 Ffrwd-Wyllt Street </t>
  </si>
  <si>
    <t>SA13 1TH</t>
  </si>
  <si>
    <t>CBDU8163</t>
  </si>
  <si>
    <t>10 Cae Fawnog Penyffordd</t>
  </si>
  <si>
    <t>CH4 0HH</t>
  </si>
  <si>
    <t>CBDL7662</t>
  </si>
  <si>
    <t>33 Queen Street Pilsley</t>
  </si>
  <si>
    <t>S45 8HA</t>
  </si>
  <si>
    <t>CBDL7664</t>
  </si>
  <si>
    <t>1 Chester Road West Shotton</t>
  </si>
  <si>
    <t>CH5 1BX</t>
  </si>
  <si>
    <t>CBDL7667</t>
  </si>
  <si>
    <t>73 Habershon Street</t>
  </si>
  <si>
    <t>Splott</t>
  </si>
  <si>
    <t>CF24 2JY</t>
  </si>
  <si>
    <t>CBDL7671</t>
  </si>
  <si>
    <t>Tir a Choed Bryn Derwen Bach</t>
  </si>
  <si>
    <t>Coed y Parc</t>
  </si>
  <si>
    <t>LL57 4YW</t>
  </si>
  <si>
    <t>CBDL7672</t>
  </si>
  <si>
    <t>CBDL7674</t>
  </si>
  <si>
    <t>61 Robert Street</t>
  </si>
  <si>
    <t>SA59NB</t>
  </si>
  <si>
    <t>CBDU8309</t>
  </si>
  <si>
    <t>South Lodge Newcastle</t>
  </si>
  <si>
    <t>NP25 5NU</t>
  </si>
  <si>
    <t>CBDL8310</t>
  </si>
  <si>
    <t>Unit 6 Gilsea Park</t>
  </si>
  <si>
    <t>CBDU8311</t>
  </si>
  <si>
    <t xml:space="preserve">Gogerddan </t>
  </si>
  <si>
    <t>SA17 5DP</t>
  </si>
  <si>
    <t>CBDU8318</t>
  </si>
  <si>
    <t>99 Martin Street Morriston</t>
  </si>
  <si>
    <t>SA6 7BL</t>
  </si>
  <si>
    <t>CBDU8561</t>
  </si>
  <si>
    <t>Arlyn Llanllwni</t>
  </si>
  <si>
    <t>SA40 9SG</t>
  </si>
  <si>
    <t>CBDU8571</t>
  </si>
  <si>
    <t>10 Chestnut Drive Bayston Hill</t>
  </si>
  <si>
    <t>SY3 0QQ</t>
  </si>
  <si>
    <t>CBDU8574</t>
  </si>
  <si>
    <t>Plot 19 Caravan Site Ruthin Road</t>
  </si>
  <si>
    <t>CBDL8801</t>
  </si>
  <si>
    <t>3  Croeswen</t>
  </si>
  <si>
    <t>Oakfield</t>
  </si>
  <si>
    <t>NP44 3DS</t>
  </si>
  <si>
    <t>CBDL8805</t>
  </si>
  <si>
    <t>22A Alexander Place Abercanaid</t>
  </si>
  <si>
    <t>CF48 1SJ</t>
  </si>
  <si>
    <t>CBDL8806</t>
  </si>
  <si>
    <t>20 Glanyrafon Road Pen-Coed</t>
  </si>
  <si>
    <t>CBDU8809</t>
  </si>
  <si>
    <t>Unit 2 The Village Workshops Four Crosses Business Park</t>
  </si>
  <si>
    <t>sy22 6st</t>
  </si>
  <si>
    <t>CBDL8814</t>
  </si>
  <si>
    <t xml:space="preserve">5 Dundonald Avenue </t>
  </si>
  <si>
    <t>LL22 7SP</t>
  </si>
  <si>
    <t>CBDU8938</t>
  </si>
  <si>
    <t xml:space="preserve">73 Heol Lucy </t>
  </si>
  <si>
    <t>SA10 6RS</t>
  </si>
  <si>
    <t>CBDU8941</t>
  </si>
  <si>
    <t>Philip James Malvern House</t>
  </si>
  <si>
    <t>Flat 5</t>
  </si>
  <si>
    <t>LD5 4RB</t>
  </si>
  <si>
    <t>CBDU8947</t>
  </si>
  <si>
    <t>4 Ollerton Lane Ollerton</t>
  </si>
  <si>
    <t>Market Drayton</t>
  </si>
  <si>
    <t>TF9 2BT</t>
  </si>
  <si>
    <t>CBDU8948</t>
  </si>
  <si>
    <t>14 Primrose Lane Pontardawe</t>
  </si>
  <si>
    <t>SA8 3ES</t>
  </si>
  <si>
    <t>CBDL8949</t>
  </si>
  <si>
    <t xml:space="preserve">New Cross </t>
  </si>
  <si>
    <t>SY23 4LY</t>
  </si>
  <si>
    <t>CBDL8954</t>
  </si>
  <si>
    <t xml:space="preserve">80 Glasllwch Crescent </t>
  </si>
  <si>
    <t>NP10 9SG</t>
  </si>
  <si>
    <t>CBDL8955</t>
  </si>
  <si>
    <t xml:space="preserve">21 Richard Hesketh Drive </t>
  </si>
  <si>
    <t>L32 0TU</t>
  </si>
  <si>
    <t>CBDU9203</t>
  </si>
  <si>
    <t>15 Sgubor Goch Llanhari</t>
  </si>
  <si>
    <t>CF72 9NF</t>
  </si>
  <si>
    <t>CBDL9208</t>
  </si>
  <si>
    <t xml:space="preserve">31 Chapel Road </t>
  </si>
  <si>
    <t>CBDL9209</t>
  </si>
  <si>
    <t xml:space="preserve">1 McDonnell Road </t>
  </si>
  <si>
    <t>CF81 8UD</t>
  </si>
  <si>
    <t>CBDU9211</t>
  </si>
  <si>
    <t>1 Standard Villas Standard Street</t>
  </si>
  <si>
    <t>Trethomas</t>
  </si>
  <si>
    <t>CF83 8DG</t>
  </si>
  <si>
    <t>CBDU9212</t>
  </si>
  <si>
    <t>Caerfoel Cribyn</t>
  </si>
  <si>
    <t>SA48 7NR</t>
  </si>
  <si>
    <t>CBDL9213</t>
  </si>
  <si>
    <t xml:space="preserve">33 Alma Street </t>
  </si>
  <si>
    <t>Halesowen</t>
  </si>
  <si>
    <t>B63 2JD</t>
  </si>
  <si>
    <t>CBDU9214</t>
  </si>
  <si>
    <t>30 Maesteg Penycae</t>
  </si>
  <si>
    <t>LL14 2SE</t>
  </si>
  <si>
    <t>CBDU9217</t>
  </si>
  <si>
    <t>5 Abercedi Penclawdd</t>
  </si>
  <si>
    <t>SA4 3XB</t>
  </si>
  <si>
    <t>CBDU9218</t>
  </si>
  <si>
    <t xml:space="preserve">5 Abingdon Street </t>
  </si>
  <si>
    <t>CF63 2HQ</t>
  </si>
  <si>
    <t>CBDU9219</t>
  </si>
  <si>
    <t>Dock Road Maes-Glas</t>
  </si>
  <si>
    <t>CH8 7ES</t>
  </si>
  <si>
    <t>CBDU9430</t>
  </si>
  <si>
    <t>Fair View Broad Street Common</t>
  </si>
  <si>
    <t>Peterstone Wentlooge</t>
  </si>
  <si>
    <t>CF3 2TN</t>
  </si>
  <si>
    <t>CBDU9432</t>
  </si>
  <si>
    <t xml:space="preserve">6 Lon Deg </t>
  </si>
  <si>
    <t>LL22 8PZ</t>
  </si>
  <si>
    <t>CBDL9433</t>
  </si>
  <si>
    <t>Willow Garth Station Road</t>
  </si>
  <si>
    <t>Church Fenton</t>
  </si>
  <si>
    <t>Tadcaster</t>
  </si>
  <si>
    <t>LS24 9RA</t>
  </si>
  <si>
    <t>CBDU9435</t>
  </si>
  <si>
    <t xml:space="preserve">36 Eveswell Park Road </t>
  </si>
  <si>
    <t>NP19 8GT</t>
  </si>
  <si>
    <t>CBDU9439</t>
  </si>
  <si>
    <t xml:space="preserve">18 Pembroke Close </t>
  </si>
  <si>
    <t>CF64 4PA</t>
  </si>
  <si>
    <t>CBDL9440</t>
  </si>
  <si>
    <t>5 Ashfield Court Llaneirwg</t>
  </si>
  <si>
    <t>CF3 0AE</t>
  </si>
  <si>
    <t>CBDU9639</t>
  </si>
  <si>
    <t xml:space="preserve">116 Carisbrooke Way </t>
  </si>
  <si>
    <t>CF23 9HX</t>
  </si>
  <si>
    <t>CBDU9640</t>
  </si>
  <si>
    <t>Star Trading Estate Ponthir</t>
  </si>
  <si>
    <t>NP18 1PQ</t>
  </si>
  <si>
    <t>CBDU9642</t>
  </si>
  <si>
    <t>82 Goronwy Road Cockett</t>
  </si>
  <si>
    <t>SA2 0XQ</t>
  </si>
  <si>
    <t>CBDL9643</t>
  </si>
  <si>
    <t>Greenmoor Farm Redwick</t>
  </si>
  <si>
    <t>NP26 3DF</t>
  </si>
  <si>
    <t>CBDU9644</t>
  </si>
  <si>
    <t>Unit 5 Parc Piliau Industrial Estate</t>
  </si>
  <si>
    <t>SA43 3AL</t>
  </si>
  <si>
    <t>CBDU9652</t>
  </si>
  <si>
    <t xml:space="preserve">12 Heol Fawr </t>
  </si>
  <si>
    <t>CF83 2JW</t>
  </si>
  <si>
    <t>CBDU9654</t>
  </si>
  <si>
    <t>West End House</t>
  </si>
  <si>
    <t>Hendre Road</t>
  </si>
  <si>
    <t>St. Mellons</t>
  </si>
  <si>
    <t>CF3 1XY</t>
  </si>
  <si>
    <t>CBDU9656</t>
  </si>
  <si>
    <t xml:space="preserve">57 Heol Y Felin </t>
  </si>
  <si>
    <t>SA10 7SL</t>
  </si>
  <si>
    <t>CBDU9658</t>
  </si>
  <si>
    <t xml:space="preserve">81 Lostwood Road </t>
  </si>
  <si>
    <t>PL25 4JS</t>
  </si>
  <si>
    <t>CBDU9870</t>
  </si>
  <si>
    <t>4 Station Road Llanmorlais</t>
  </si>
  <si>
    <t>SA4 3TF</t>
  </si>
  <si>
    <t>CBDU9871</t>
  </si>
  <si>
    <t>8 Heol Blaenhirwaun Drefach</t>
  </si>
  <si>
    <t>SA14 7AJ</t>
  </si>
  <si>
    <t>CBDU9872</t>
  </si>
  <si>
    <t>100 Roger Street Treboeth</t>
  </si>
  <si>
    <t>SA5 9AR</t>
  </si>
  <si>
    <t>CBDL9887</t>
  </si>
  <si>
    <t xml:space="preserve">57 Gainsborough Road </t>
  </si>
  <si>
    <t>Henley-on-Thames</t>
  </si>
  <si>
    <t>RG9 1SY</t>
  </si>
  <si>
    <t>CBDU10191</t>
  </si>
  <si>
    <t xml:space="preserve">5 Royal Terrace </t>
  </si>
  <si>
    <t>CF40 2PU</t>
  </si>
  <si>
    <t>CBDU10192</t>
  </si>
  <si>
    <t>Bodist Uchaf Wernoleu Road</t>
  </si>
  <si>
    <t>SA18 2JH</t>
  </si>
  <si>
    <t>CBDU10193</t>
  </si>
  <si>
    <t xml:space="preserve">39 Howarth Close </t>
  </si>
  <si>
    <t>SA73 2EH</t>
  </si>
  <si>
    <t>CBDU10194</t>
  </si>
  <si>
    <t>Wernddu Farm Nantyffin Road</t>
  </si>
  <si>
    <t>Penycae</t>
  </si>
  <si>
    <t>SA9 1FH</t>
  </si>
  <si>
    <t>CBDU10199</t>
  </si>
  <si>
    <t xml:space="preserve"> Hilltop House Troed y Rhiw Farm</t>
  </si>
  <si>
    <t xml:space="preserve"> Porth</t>
  </si>
  <si>
    <t>CF39 0DP</t>
  </si>
  <si>
    <t>CBDL10201</t>
  </si>
  <si>
    <t>Bryn Amel Nantglyn</t>
  </si>
  <si>
    <t>LL16 5PD</t>
  </si>
  <si>
    <t>CBDU10202</t>
  </si>
  <si>
    <t>Pen Y Garth Garth Road</t>
  </si>
  <si>
    <t>LL49 9BN</t>
  </si>
  <si>
    <t>CBDU10204</t>
  </si>
  <si>
    <t xml:space="preserve">12 Dol Nant Dderwen </t>
  </si>
  <si>
    <t>CF31 5AA</t>
  </si>
  <si>
    <t>CBDU10206</t>
  </si>
  <si>
    <t xml:space="preserve">26 Golwg-y-Tywyn </t>
  </si>
  <si>
    <t>SA16 0FY</t>
  </si>
  <si>
    <t>CBDU10207</t>
  </si>
  <si>
    <t xml:space="preserve">5 School Street </t>
  </si>
  <si>
    <t>LL48 6AE</t>
  </si>
  <si>
    <t>CBDU10209</t>
  </si>
  <si>
    <t>43 Cwmphil Road Lower Cwmtwrch</t>
  </si>
  <si>
    <t>SA9 2QA</t>
  </si>
  <si>
    <t>CBDU10211</t>
  </si>
  <si>
    <t>Canon Parc Laugharne</t>
  </si>
  <si>
    <t>SA33 4QP</t>
  </si>
  <si>
    <t>CBDU10440</t>
  </si>
  <si>
    <t>The Estate Office Llanarth</t>
  </si>
  <si>
    <t>NP15 2YB</t>
  </si>
  <si>
    <t>CBDU10444</t>
  </si>
  <si>
    <t>18 Martyns Avenue Seven Sisters</t>
  </si>
  <si>
    <t>SA10 9DR</t>
  </si>
  <si>
    <t>CBDU10446</t>
  </si>
  <si>
    <t xml:space="preserve">Gilfachrheda </t>
  </si>
  <si>
    <t>SA45 9SN</t>
  </si>
  <si>
    <t>CBDU10448</t>
  </si>
  <si>
    <t>103 Pentremalwed Road Morriston</t>
  </si>
  <si>
    <t>SA6 7BY</t>
  </si>
  <si>
    <t>CBDL10451</t>
  </si>
  <si>
    <t xml:space="preserve">2 Byron Avenue </t>
  </si>
  <si>
    <t>Borehamwood</t>
  </si>
  <si>
    <t>WD6 2BN</t>
  </si>
  <si>
    <t>CBDU10658</t>
  </si>
  <si>
    <t xml:space="preserve">25 Bryntirion </t>
  </si>
  <si>
    <t>SA15 3QD</t>
  </si>
  <si>
    <t>CBDL10663</t>
  </si>
  <si>
    <t>68 Westfield Road Brundall</t>
  </si>
  <si>
    <t>NR13 5LF</t>
  </si>
  <si>
    <t>CBDL10807</t>
  </si>
  <si>
    <t>32 Brynteg Elliots Town</t>
  </si>
  <si>
    <t>NP24 6NU</t>
  </si>
  <si>
    <t>CBDU11040</t>
  </si>
  <si>
    <t>2 Tandderwen Llandyrnog</t>
  </si>
  <si>
    <t>LL16 4HH</t>
  </si>
  <si>
    <t>CBDL11041</t>
  </si>
  <si>
    <t xml:space="preserve">Chapel Street </t>
  </si>
  <si>
    <t>SY25 6HA</t>
  </si>
  <si>
    <t>CBDU11042</t>
  </si>
  <si>
    <t>Unit 16 Baglan Way</t>
  </si>
  <si>
    <t>Baglan Industrial Park</t>
  </si>
  <si>
    <t>SA12 7BY</t>
  </si>
  <si>
    <t>CBDU11043</t>
  </si>
  <si>
    <t xml:space="preserve">1 Bryn Illtyd </t>
  </si>
  <si>
    <t>SA16 0LB</t>
  </si>
  <si>
    <t>CBDU11052</t>
  </si>
  <si>
    <t>1 Highfield Close Risca</t>
  </si>
  <si>
    <t>NP11 6EZ</t>
  </si>
  <si>
    <t>CBDU11053</t>
  </si>
  <si>
    <t xml:space="preserve">32 George Street </t>
  </si>
  <si>
    <t>SA13 1ES</t>
  </si>
  <si>
    <t>CBDU11054</t>
  </si>
  <si>
    <t>32 Gwellyn Avenue Kinmel Bay</t>
  </si>
  <si>
    <t>LL18 5HR</t>
  </si>
  <si>
    <t>CBDL11056</t>
  </si>
  <si>
    <t>3 Yeo Street Resolven</t>
  </si>
  <si>
    <t>SA11 4HS</t>
  </si>
  <si>
    <t>CBDL11057</t>
  </si>
  <si>
    <t xml:space="preserve">20 Sackville Road </t>
  </si>
  <si>
    <t>CBDL11059</t>
  </si>
  <si>
    <t xml:space="preserve">94 Roath Court Road </t>
  </si>
  <si>
    <t>CF24 3SF</t>
  </si>
  <si>
    <t>CBDL12099</t>
  </si>
  <si>
    <t>33 Nutley Close Goring-by-Sea</t>
  </si>
  <si>
    <t>BN12 4JZ</t>
  </si>
  <si>
    <t>CBDL12101</t>
  </si>
  <si>
    <t xml:space="preserve">4 Beechwood Road </t>
  </si>
  <si>
    <t>LL18 3EU</t>
  </si>
  <si>
    <t>CBDU11325</t>
  </si>
  <si>
    <t>6 Lon Bedwen Sketty</t>
  </si>
  <si>
    <t>SA2 9ES</t>
  </si>
  <si>
    <t>CBDU11326</t>
  </si>
  <si>
    <t>117 Ty Gwyn Drive Brackla</t>
  </si>
  <si>
    <t>CF31 2QH</t>
  </si>
  <si>
    <t>CBDU11331</t>
  </si>
  <si>
    <t>17 Haul Fryn Brynmenyn</t>
  </si>
  <si>
    <t>CF32 9LT</t>
  </si>
  <si>
    <t>CBDU11332</t>
  </si>
  <si>
    <t xml:space="preserve">26 George Street </t>
  </si>
  <si>
    <t>CBDL11333</t>
  </si>
  <si>
    <t xml:space="preserve">11 Mansel Street </t>
  </si>
  <si>
    <t>SA11 2PD</t>
  </si>
  <si>
    <t>CBDL11336</t>
  </si>
  <si>
    <t>Sailors Yard The Gro</t>
  </si>
  <si>
    <t>SY18 6AD</t>
  </si>
  <si>
    <t>CBDU11338</t>
  </si>
  <si>
    <t>71 Glanfelin Flats Cardiff Road</t>
  </si>
  <si>
    <t>Hawthorn</t>
  </si>
  <si>
    <t>CF37 5LL</t>
  </si>
  <si>
    <t>CBDU11343</t>
  </si>
  <si>
    <t>46 St. Mellons Road Marshfield</t>
  </si>
  <si>
    <t>CF3 2TX</t>
  </si>
  <si>
    <t>CBDU11345</t>
  </si>
  <si>
    <t xml:space="preserve">11 Loftus Walk </t>
  </si>
  <si>
    <t>NP19 0PN</t>
  </si>
  <si>
    <t>CBDL11347</t>
  </si>
  <si>
    <t>23 Aneurin Avenue Crumlin</t>
  </si>
  <si>
    <t>NP11 5HN</t>
  </si>
  <si>
    <t>CBDU11563</t>
  </si>
  <si>
    <t>Plas Captain Cottage Llyn Helyg</t>
  </si>
  <si>
    <t>Trelawnyd</t>
  </si>
  <si>
    <t>LL18 6ED</t>
  </si>
  <si>
    <t>CBDU11566</t>
  </si>
  <si>
    <t>101 Cilmaengwyn Road Pontardawe</t>
  </si>
  <si>
    <t>SA8 4QN</t>
  </si>
  <si>
    <t>CBDU11570</t>
  </si>
  <si>
    <t>Castle View Towyn Way East</t>
  </si>
  <si>
    <t>LL22 9NB</t>
  </si>
  <si>
    <t>CBDL11571</t>
  </si>
  <si>
    <t xml:space="preserve">16 Caesar Court </t>
  </si>
  <si>
    <t>Aldershot</t>
  </si>
  <si>
    <t>GU11 1YG</t>
  </si>
  <si>
    <t>CBDU11572</t>
  </si>
  <si>
    <t xml:space="preserve">9 Y Rhodfa </t>
  </si>
  <si>
    <t>SA16 0SP</t>
  </si>
  <si>
    <t>CBDU11573</t>
  </si>
  <si>
    <t xml:space="preserve">28 Gateholm Close </t>
  </si>
  <si>
    <t>CF62 9BZ</t>
  </si>
  <si>
    <t>CBDU11575</t>
  </si>
  <si>
    <t>25 Ridgeway Road Rumney</t>
  </si>
  <si>
    <t>CF3 4AA</t>
  </si>
  <si>
    <t>CBDL11798</t>
  </si>
  <si>
    <t xml:space="preserve">24 Belmont Close </t>
  </si>
  <si>
    <t>UB8 1RF</t>
  </si>
  <si>
    <t>CBDL11800</t>
  </si>
  <si>
    <t>CBDU11801</t>
  </si>
  <si>
    <t>31 Adare Street Ogmore Vale</t>
  </si>
  <si>
    <t>CF32 7HG</t>
  </si>
  <si>
    <t>CBDU11804</t>
  </si>
  <si>
    <t>Porthiddy Farm West Berea</t>
  </si>
  <si>
    <t>SA62 6DR</t>
  </si>
  <si>
    <t>CBDL11805</t>
  </si>
  <si>
    <t>Gwynfryn Tavernspite</t>
  </si>
  <si>
    <t>SA34 0NL</t>
  </si>
  <si>
    <t>CBDU11806</t>
  </si>
  <si>
    <t xml:space="preserve">33 Nicholls Avenue </t>
  </si>
  <si>
    <t>CF36 5LH</t>
  </si>
  <si>
    <t>CBDU12305</t>
  </si>
  <si>
    <t>48 Russley Road Bramcote</t>
  </si>
  <si>
    <t>NG9 3JE</t>
  </si>
  <si>
    <t>CBDU12306</t>
  </si>
  <si>
    <t>14 Liswerry Drive Llanyravon</t>
  </si>
  <si>
    <t>NP44 8RE</t>
  </si>
  <si>
    <t>CBDL12309</t>
  </si>
  <si>
    <t>26 Riverhill Cottages St. Dogmaels</t>
  </si>
  <si>
    <t>SA43 3JX</t>
  </si>
  <si>
    <t>CBDU12310</t>
  </si>
  <si>
    <t xml:space="preserve">11 Merchants Park </t>
  </si>
  <si>
    <t>SA71 4HD</t>
  </si>
  <si>
    <t>CBDU12312</t>
  </si>
  <si>
    <t xml:space="preserve">22 Heol Corswigen </t>
  </si>
  <si>
    <t>CBDU12316</t>
  </si>
  <si>
    <t>12 St. Pauls Terrace Garden Village</t>
  </si>
  <si>
    <t>SA4 4EY</t>
  </si>
  <si>
    <t>CBDU12660</t>
  </si>
  <si>
    <t>16 Station Road Nantymoel</t>
  </si>
  <si>
    <t>CF32 7RD</t>
  </si>
  <si>
    <t>CBDL12664</t>
  </si>
  <si>
    <t>Greenland Aberarth</t>
  </si>
  <si>
    <t>CBDL12666</t>
  </si>
  <si>
    <t>1 Fairfield Penperlleni</t>
  </si>
  <si>
    <t>NP4 0AP</t>
  </si>
  <si>
    <t>CBDL12865</t>
  </si>
  <si>
    <t>35 Main Road Waterston</t>
  </si>
  <si>
    <t>SA73 1DU</t>
  </si>
  <si>
    <t>CBDU12866</t>
  </si>
  <si>
    <t xml:space="preserve">11 Penrhiwceiber Road </t>
  </si>
  <si>
    <t>CF45 3SP</t>
  </si>
  <si>
    <t>CBDU12875</t>
  </si>
  <si>
    <t xml:space="preserve">71 Craig Y Don </t>
  </si>
  <si>
    <t>LL68 9DW</t>
  </si>
  <si>
    <t>CBDL12879</t>
  </si>
  <si>
    <t>Elwy Cottage Llannerch Park</t>
  </si>
  <si>
    <t>LL17 0BD</t>
  </si>
  <si>
    <t>CBDU12880</t>
  </si>
  <si>
    <t>17 Carmarthen Road Fforest</t>
  </si>
  <si>
    <t>SA4 0TX</t>
  </si>
  <si>
    <t>CBDL12881</t>
  </si>
  <si>
    <t>Unit 2 St. Lukes Court</t>
  </si>
  <si>
    <t>CBDU12882</t>
  </si>
  <si>
    <t>Holly Tree Cottage Waenllapria</t>
  </si>
  <si>
    <t>Llanelly Hill</t>
  </si>
  <si>
    <t>NP7 0PN</t>
  </si>
  <si>
    <t>CBDL13086</t>
  </si>
  <si>
    <t>Middle Road Gendros</t>
  </si>
  <si>
    <t>SA5 8EH</t>
  </si>
  <si>
    <t>CBDU13089</t>
  </si>
  <si>
    <t xml:space="preserve">11 James Street </t>
  </si>
  <si>
    <t>NP13 1AA</t>
  </si>
  <si>
    <t>CBDU13090</t>
  </si>
  <si>
    <t>100 Cecil Street Manselton</t>
  </si>
  <si>
    <t>SA5 8QH</t>
  </si>
  <si>
    <t>CBDL13091</t>
  </si>
  <si>
    <t>Tan Gelynen Waunfawr</t>
  </si>
  <si>
    <t>LL54 7AX</t>
  </si>
  <si>
    <t>CBDU13253</t>
  </si>
  <si>
    <t xml:space="preserve">65 Harewood Road </t>
  </si>
  <si>
    <t>CM1 3DH</t>
  </si>
  <si>
    <t>CBDU13254</t>
  </si>
  <si>
    <t>Pant Hwfa Llanllechid</t>
  </si>
  <si>
    <t>LL57 3LA</t>
  </si>
  <si>
    <t>CBDL13255</t>
  </si>
  <si>
    <t xml:space="preserve">55 Bromfield Park </t>
  </si>
  <si>
    <t>CH7 1HW</t>
  </si>
  <si>
    <t>CBDU13256</t>
  </si>
  <si>
    <t>16 Heol Philip Lower Cwmtwrch</t>
  </si>
  <si>
    <t>SA9 1DP</t>
  </si>
  <si>
    <t>CBDU13258</t>
  </si>
  <si>
    <t>East Cottage St. Nicholas</t>
  </si>
  <si>
    <t>CF5 6SG</t>
  </si>
  <si>
    <t>CBDL13260</t>
  </si>
  <si>
    <t>Bridge Street Troedyrhiw</t>
  </si>
  <si>
    <t>CBDU13262</t>
  </si>
  <si>
    <t xml:space="preserve">61 High Howe Lane </t>
  </si>
  <si>
    <t>BH11 9QU</t>
  </si>
  <si>
    <t>CBDL13269</t>
  </si>
  <si>
    <t>24 Midland Road Llansamlet</t>
  </si>
  <si>
    <t>SA7 9QY</t>
  </si>
  <si>
    <t>CBDU13428</t>
  </si>
  <si>
    <t xml:space="preserve">23 Coldwell Terrace </t>
  </si>
  <si>
    <t>SA71 4QL</t>
  </si>
  <si>
    <t>CBDL13433</t>
  </si>
  <si>
    <t>49 Wentloog Close Rumney</t>
  </si>
  <si>
    <t>CF3 3HB</t>
  </si>
  <si>
    <t>CBDL13434</t>
  </si>
  <si>
    <t xml:space="preserve">153B Church Road </t>
  </si>
  <si>
    <t>E12 6AF</t>
  </si>
  <si>
    <t>CBDL222</t>
  </si>
  <si>
    <t>Maes Eglwys Pant y Ffridd</t>
  </si>
  <si>
    <t>Berriew</t>
  </si>
  <si>
    <t>SY21 2BH</t>
  </si>
  <si>
    <t>CBDL223</t>
  </si>
  <si>
    <t>432 Cowbridge Road</t>
  </si>
  <si>
    <t>CF5 1JN</t>
  </si>
  <si>
    <t>CBDL224</t>
  </si>
  <si>
    <t>SA5 9NB</t>
  </si>
  <si>
    <t>CBDL226</t>
  </si>
  <si>
    <t>24 Ffynnonau</t>
  </si>
  <si>
    <t>Nr Abergavenny</t>
  </si>
  <si>
    <t>Np8 1db</t>
  </si>
  <si>
    <t>CBDL227</t>
  </si>
  <si>
    <t>CBDL228</t>
  </si>
  <si>
    <t>CBDL229</t>
  </si>
  <si>
    <t>CBDL230</t>
  </si>
  <si>
    <t>CBDL467</t>
  </si>
  <si>
    <t>CBDL468</t>
  </si>
  <si>
    <t>CBDL469</t>
  </si>
  <si>
    <t>CBDL470</t>
  </si>
  <si>
    <t>CBDL471</t>
  </si>
  <si>
    <t>CBDL478</t>
  </si>
  <si>
    <t>14 Cwrt Isaf Birchgrove</t>
  </si>
  <si>
    <t>SA7 9PP</t>
  </si>
  <si>
    <t>CBDL480</t>
  </si>
  <si>
    <t>Cysgod-y-Bannau Kensington</t>
  </si>
  <si>
    <t>LD39AP</t>
  </si>
  <si>
    <t>CBDL481</t>
  </si>
  <si>
    <t>CBDL482</t>
  </si>
  <si>
    <t>CBDL723</t>
  </si>
  <si>
    <t>37  Mostyn Avenue</t>
  </si>
  <si>
    <t>Craig y don</t>
  </si>
  <si>
    <t>CBDL724</t>
  </si>
  <si>
    <t>28 Bryn drive</t>
  </si>
  <si>
    <t>Ll113lj</t>
  </si>
  <si>
    <t>CBDL725</t>
  </si>
  <si>
    <t>Threeways Brindham Lane</t>
  </si>
  <si>
    <t>Glastonbury</t>
  </si>
  <si>
    <t>BA6 8JX</t>
  </si>
  <si>
    <t>CBDL727</t>
  </si>
  <si>
    <t>41 Victoria Drive</t>
  </si>
  <si>
    <t xml:space="preserve">Llandudno Junction </t>
  </si>
  <si>
    <t>LL31 9PF</t>
  </si>
  <si>
    <t>CBDL732</t>
  </si>
  <si>
    <t>chalet 4 the slaughter house cwmbach</t>
  </si>
  <si>
    <t>sa5 4qa</t>
  </si>
  <si>
    <t>CBDL734</t>
  </si>
  <si>
    <t>16 Brynawelon</t>
  </si>
  <si>
    <t>Ffos Road</t>
  </si>
  <si>
    <t>LD5 4RU</t>
  </si>
  <si>
    <t>CBDL735</t>
  </si>
  <si>
    <t>10 Church Street</t>
  </si>
  <si>
    <t>sa677bh</t>
  </si>
  <si>
    <t>CBDL918</t>
  </si>
  <si>
    <t>Llethrwernen B4577</t>
  </si>
  <si>
    <t>Penuwch</t>
  </si>
  <si>
    <t>SY25 6RA</t>
  </si>
  <si>
    <t>CBDL919</t>
  </si>
  <si>
    <t>49 Beechley Drive</t>
  </si>
  <si>
    <t>CF53SG</t>
  </si>
  <si>
    <t>CBDL922</t>
  </si>
  <si>
    <t>Plasbach Farm Pontyates</t>
  </si>
  <si>
    <t>sa155ut</t>
  </si>
  <si>
    <t>CBDL927</t>
  </si>
  <si>
    <t>castlewragg wolfscastle</t>
  </si>
  <si>
    <t>sa62 5pa</t>
  </si>
  <si>
    <t>CBDL930</t>
  </si>
  <si>
    <t>Colin Chapman Alma House</t>
  </si>
  <si>
    <t>Abercych</t>
  </si>
  <si>
    <t>SA37 0EX</t>
  </si>
  <si>
    <t>CBDL1162</t>
  </si>
  <si>
    <t>65 St Helens Avenue</t>
  </si>
  <si>
    <t>SA1 4NF</t>
  </si>
  <si>
    <t>CBDL1163</t>
  </si>
  <si>
    <t>highfields lightwood green</t>
  </si>
  <si>
    <t>overton</t>
  </si>
  <si>
    <t>wrexham</t>
  </si>
  <si>
    <t>ll13 0hy</t>
  </si>
  <si>
    <t>CBDL1166</t>
  </si>
  <si>
    <t>32 Ynys y gwas</t>
  </si>
  <si>
    <t>Porttalbot</t>
  </si>
  <si>
    <t>Sa12 9ab</t>
  </si>
  <si>
    <t>CBDL1167</t>
  </si>
  <si>
    <t>llys efion yard ponterwyd</t>
  </si>
  <si>
    <t>aberystwyth</t>
  </si>
  <si>
    <t>sy23 3ag</t>
  </si>
  <si>
    <t>CBDL1169</t>
  </si>
  <si>
    <t>17 Windsor Avenue</t>
  </si>
  <si>
    <t>CF158BW</t>
  </si>
  <si>
    <t>CBDL1170</t>
  </si>
  <si>
    <t>Llanharan Stores 104</t>
  </si>
  <si>
    <t>Bridgend Road</t>
  </si>
  <si>
    <t>CF72 9GU</t>
  </si>
  <si>
    <t>CBDL1171</t>
  </si>
  <si>
    <t>Unit 2 Honeyfield Road</t>
  </si>
  <si>
    <t>NP23 5QD</t>
  </si>
  <si>
    <t>CBDL1172</t>
  </si>
  <si>
    <t>the cottage bodrochwyn ganol llanfair road</t>
  </si>
  <si>
    <t>CBDL1409</t>
  </si>
  <si>
    <t>Unit 1 Five Bells Road</t>
  </si>
  <si>
    <t>CF31 3HR</t>
  </si>
  <si>
    <t>CBDL1414</t>
  </si>
  <si>
    <t>vicarage gorse terrace</t>
  </si>
  <si>
    <t>new tredegar</t>
  </si>
  <si>
    <t>np24 6nr</t>
  </si>
  <si>
    <t>CBDL1416</t>
  </si>
  <si>
    <t>Tyn Y Graig farm Crynant</t>
  </si>
  <si>
    <t>SA108TB</t>
  </si>
  <si>
    <t>CBDL1635</t>
  </si>
  <si>
    <t>260 Birchgrove Road</t>
  </si>
  <si>
    <t xml:space="preserve">Birchgrove </t>
  </si>
  <si>
    <t>SA7 9NA</t>
  </si>
  <si>
    <t>CBDL1636</t>
  </si>
  <si>
    <t>paul smith property maintenance plas gwernen</t>
  </si>
  <si>
    <t>cf631ar</t>
  </si>
  <si>
    <t>CBDL1637</t>
  </si>
  <si>
    <t>CBDL1638</t>
  </si>
  <si>
    <t xml:space="preserve">Hiraeth Hiraeth </t>
  </si>
  <si>
    <t>Dolau</t>
  </si>
  <si>
    <t>LD1 5TD</t>
  </si>
  <si>
    <t>CBDL1643</t>
  </si>
  <si>
    <t>The Upper Cock Inn The Highway</t>
  </si>
  <si>
    <t>Croesyceiliog</t>
  </si>
  <si>
    <t>NP44 2HE</t>
  </si>
  <si>
    <t>CBDL1644</t>
  </si>
  <si>
    <t>74 LYNSTED CLOSE</t>
  </si>
  <si>
    <t>ASHFORD</t>
  </si>
  <si>
    <t>TN23 5RY</t>
  </si>
  <si>
    <t>CBDL1646</t>
  </si>
  <si>
    <t>Lynwood Carew Lane</t>
  </si>
  <si>
    <t>sa68 0tr</t>
  </si>
  <si>
    <t>CBDL2280</t>
  </si>
  <si>
    <t>4 Crofts Corner Greenmeadow</t>
  </si>
  <si>
    <t>NP44 4RY</t>
  </si>
  <si>
    <t>CBDL2515</t>
  </si>
  <si>
    <t xml:space="preserve">15 Illtyd Street </t>
  </si>
  <si>
    <t>SA11 3HT</t>
  </si>
  <si>
    <t>CBDL2516</t>
  </si>
  <si>
    <t>19 Pelham Way Cottenham</t>
  </si>
  <si>
    <t>Cambridge</t>
  </si>
  <si>
    <t>CB24 8TQ</t>
  </si>
  <si>
    <t>CBDL2759</t>
  </si>
  <si>
    <t xml:space="preserve">39 Grosvenor Avenue </t>
  </si>
  <si>
    <t>LL18 4HB</t>
  </si>
  <si>
    <t>CBDL3187</t>
  </si>
  <si>
    <t>Manor Farm Bakers Lane</t>
  </si>
  <si>
    <t>Norton</t>
  </si>
  <si>
    <t>NN11 2EL</t>
  </si>
  <si>
    <t>CBDL3193</t>
  </si>
  <si>
    <t>Bryncoegen Cemmaes</t>
  </si>
  <si>
    <t>SY20 9PR</t>
  </si>
  <si>
    <t>CBDL3194</t>
  </si>
  <si>
    <t>14 Cefn Gallod Trefin</t>
  </si>
  <si>
    <t>SA62 5AP</t>
  </si>
  <si>
    <t>CBDL3424</t>
  </si>
  <si>
    <t xml:space="preserve">12 Park Road </t>
  </si>
  <si>
    <t>LL29 7UG</t>
  </si>
  <si>
    <t>CBDL3425</t>
  </si>
  <si>
    <t>81 Lan Coed Winch Wen</t>
  </si>
  <si>
    <t>SA1 7LR</t>
  </si>
  <si>
    <t>CBDL3476</t>
  </si>
  <si>
    <t>11 Graig-y-Coed Penclawdd</t>
  </si>
  <si>
    <t>SA4 3RL</t>
  </si>
  <si>
    <t>CBDL3481</t>
  </si>
  <si>
    <t>Glowty'r Felin Llanrhian Mill Cottages</t>
  </si>
  <si>
    <t>Llanrhian</t>
  </si>
  <si>
    <t>SA62 5BQ</t>
  </si>
  <si>
    <t>CBDL3487</t>
  </si>
  <si>
    <t>Cefn Y Garn Llangeitho</t>
  </si>
  <si>
    <t>SY25 6TF</t>
  </si>
  <si>
    <t>CBDL3699</t>
  </si>
  <si>
    <t xml:space="preserve">26-27 High Street </t>
  </si>
  <si>
    <t>CBDL3700</t>
  </si>
  <si>
    <t>6 Garth Dinas Penparcau</t>
  </si>
  <si>
    <t>SY23 3RZ</t>
  </si>
  <si>
    <t>CBDL3927</t>
  </si>
  <si>
    <t xml:space="preserve">69 Drury Lane </t>
  </si>
  <si>
    <t>CH7 3DX</t>
  </si>
  <si>
    <t>CBDL3930</t>
  </si>
  <si>
    <t xml:space="preserve">11 Range Road </t>
  </si>
  <si>
    <t>LL13 7BN</t>
  </si>
  <si>
    <t>CBDL3932</t>
  </si>
  <si>
    <t>50 Parc Gilbertson Gelligron</t>
  </si>
  <si>
    <t>SA8 4PU</t>
  </si>
  <si>
    <t>CBDL4189</t>
  </si>
  <si>
    <t>284 Burton Road Midway</t>
  </si>
  <si>
    <t>DE11 7LY</t>
  </si>
  <si>
    <t>CBDL4192</t>
  </si>
  <si>
    <t xml:space="preserve">6 Woodland View </t>
  </si>
  <si>
    <t>NP26 4EE</t>
  </si>
  <si>
    <t>CBDL4197</t>
  </si>
  <si>
    <t>Penyffridd Sling</t>
  </si>
  <si>
    <t>Tregarth</t>
  </si>
  <si>
    <t>LL57 4RP</t>
  </si>
  <si>
    <t>CBDL4431</t>
  </si>
  <si>
    <t>6 Gateholm Avenue</t>
  </si>
  <si>
    <t>SA73 2RL</t>
  </si>
  <si>
    <t>CBDL4434</t>
  </si>
  <si>
    <t xml:space="preserve">48 Warren Evans Court </t>
  </si>
  <si>
    <t>CF14 1DR</t>
  </si>
  <si>
    <t>CBDL4442</t>
  </si>
  <si>
    <t>CBDL4444</t>
  </si>
  <si>
    <t>Kamar Wood Lane</t>
  </si>
  <si>
    <t>Hinstock</t>
  </si>
  <si>
    <t>TF9 2TA</t>
  </si>
  <si>
    <t>CBDL4445</t>
  </si>
  <si>
    <t xml:space="preserve">42 Halkyn Street </t>
  </si>
  <si>
    <t>CH6 5HY</t>
  </si>
  <si>
    <t>CBDL4874</t>
  </si>
  <si>
    <t>9 Hill Top Bream</t>
  </si>
  <si>
    <t>GL15 6JQ</t>
  </si>
  <si>
    <t>CBDL5086</t>
  </si>
  <si>
    <t xml:space="preserve">15 Heol Ithon </t>
  </si>
  <si>
    <t>NP26 4RF</t>
  </si>
  <si>
    <t>CBDL5097</t>
  </si>
  <si>
    <t>11 Hernog Close Tremont Park</t>
  </si>
  <si>
    <t>LD1 5BA</t>
  </si>
  <si>
    <t>CBDU5619</t>
  </si>
  <si>
    <t>4 Flindo Crescent Canton</t>
  </si>
  <si>
    <t>CF11 8DX</t>
  </si>
  <si>
    <t>CBDU5626</t>
  </si>
  <si>
    <t>6 Little Castle Grove Herbrandston</t>
  </si>
  <si>
    <t>SA73 3SP</t>
  </si>
  <si>
    <t>CBDU5628</t>
  </si>
  <si>
    <t>41 Woodland Avenue Pencoed</t>
  </si>
  <si>
    <t>CF35 6UW</t>
  </si>
  <si>
    <t>CBDU5631</t>
  </si>
  <si>
    <t>25 Heol Penmaen Pontllanfraith</t>
  </si>
  <si>
    <t>NP12 2DL</t>
  </si>
  <si>
    <t>CBDU5633</t>
  </si>
  <si>
    <t xml:space="preserve">Iscraig </t>
  </si>
  <si>
    <t>LL71 7DL</t>
  </si>
  <si>
    <t>CBDU6125</t>
  </si>
  <si>
    <t>The Willows Glan Y Nant</t>
  </si>
  <si>
    <t>NP12 3XR</t>
  </si>
  <si>
    <t>CBDL6129</t>
  </si>
  <si>
    <t>The Garage Brake Road</t>
  </si>
  <si>
    <t>Moss</t>
  </si>
  <si>
    <t>LL11 6DU</t>
  </si>
  <si>
    <t>CBDU6135</t>
  </si>
  <si>
    <t>Parc House Park Road</t>
  </si>
  <si>
    <t>CF42 6HY</t>
  </si>
  <si>
    <t>CBDU5857</t>
  </si>
  <si>
    <t>Cedar Lodge St. Lukes Road</t>
  </si>
  <si>
    <t>CBDU5861</t>
  </si>
  <si>
    <t>Maes Glas Bungalow Tyla Coch</t>
  </si>
  <si>
    <t>CF72 9LT</t>
  </si>
  <si>
    <t>CBDU5862</t>
  </si>
  <si>
    <t>53 Heol Rheolau Abercraf</t>
  </si>
  <si>
    <t>SA9 1TQ</t>
  </si>
  <si>
    <t>CBDU5864</t>
  </si>
  <si>
    <t xml:space="preserve">70 Wedgewood Court </t>
  </si>
  <si>
    <t>CF83 1RD</t>
  </si>
  <si>
    <t>CBDU5865</t>
  </si>
  <si>
    <t>Felen Rhyd Fawr Isaf Maentwrog</t>
  </si>
  <si>
    <t>LL41 4HY</t>
  </si>
  <si>
    <t>CBDU6370</t>
  </si>
  <si>
    <t>Llwyn Yr Ewig Graianrhyd Road</t>
  </si>
  <si>
    <t>CH7 4QW</t>
  </si>
  <si>
    <t>CBDU6375</t>
  </si>
  <si>
    <t>Golwg-y-Mynydd Talachddu</t>
  </si>
  <si>
    <t>LD3 0UG</t>
  </si>
  <si>
    <t>CBDL6379</t>
  </si>
  <si>
    <t>23 High Street Wilden</t>
  </si>
  <si>
    <t>MK44 2PB</t>
  </si>
  <si>
    <t>CBDL6380</t>
  </si>
  <si>
    <t>16 Ty'r Person Pentre'r Eglwys</t>
  </si>
  <si>
    <t>CF38 1UP</t>
  </si>
  <si>
    <t>CBDL6681</t>
  </si>
  <si>
    <t xml:space="preserve">18 Llys Westfa </t>
  </si>
  <si>
    <t>SA14 8DG</t>
  </si>
  <si>
    <t>CBDU6685</t>
  </si>
  <si>
    <t>Waunrhydd Trawsmawr</t>
  </si>
  <si>
    <t>SA33 6ND</t>
  </si>
  <si>
    <t>CBDU6687</t>
  </si>
  <si>
    <t xml:space="preserve">18 Glandwr Park </t>
  </si>
  <si>
    <t>LD2 3DF</t>
  </si>
  <si>
    <t>CBDU6690</t>
  </si>
  <si>
    <t xml:space="preserve">68 Llysnewydd </t>
  </si>
  <si>
    <t>SA15 2PS</t>
  </si>
  <si>
    <t>CBDL6692</t>
  </si>
  <si>
    <t>3 Hillcrest Road Wyesham</t>
  </si>
  <si>
    <t>NP25 3LJ</t>
  </si>
  <si>
    <t>CBDU6693</t>
  </si>
  <si>
    <t>12 Prichard Street Tonyrefail</t>
  </si>
  <si>
    <t>CF39 8PA</t>
  </si>
  <si>
    <t>CBDL6917</t>
  </si>
  <si>
    <t>17 Greenacre Drive Pen-Coed</t>
  </si>
  <si>
    <t>CF35 6JB</t>
  </si>
  <si>
    <t>CBDU6918</t>
  </si>
  <si>
    <t>Coed Y Nant Llanfair Road</t>
  </si>
  <si>
    <t>SY16 3JU</t>
  </si>
  <si>
    <t>CBDU6924</t>
  </si>
  <si>
    <t xml:space="preserve">Hen Feudy Cottage </t>
  </si>
  <si>
    <t>LL45 2NH</t>
  </si>
  <si>
    <t>CBDU6926</t>
  </si>
  <si>
    <t>3 Heol Gron Cwm-Twrch Isaf</t>
  </si>
  <si>
    <t>SA9 1DL</t>
  </si>
  <si>
    <t>CBDU6927</t>
  </si>
  <si>
    <t>1 Ty Isaf Park Avenue Risca</t>
  </si>
  <si>
    <t>NP11 6NB</t>
  </si>
  <si>
    <t>CBDU7269</t>
  </si>
  <si>
    <t>Rhos Cottage Gwystre</t>
  </si>
  <si>
    <t>CBDU7272</t>
  </si>
  <si>
    <t>9 Orion House Nelson Quay</t>
  </si>
  <si>
    <t>SA73 3AZ</t>
  </si>
  <si>
    <t>CBDU7275</t>
  </si>
  <si>
    <t xml:space="preserve">17 Kestrel Road </t>
  </si>
  <si>
    <t>SA61 2TS</t>
  </si>
  <si>
    <t>CBDU7276</t>
  </si>
  <si>
    <t>29 Ascot Drive Baglan</t>
  </si>
  <si>
    <t>SA12 8YL</t>
  </si>
  <si>
    <t>CBDL7278</t>
  </si>
  <si>
    <t>Maes Isaf Aberriw</t>
  </si>
  <si>
    <t>SY21 8AA</t>
  </si>
  <si>
    <t>CBDU7280</t>
  </si>
  <si>
    <t>12 Wern Fach Court Henllys</t>
  </si>
  <si>
    <t>NP44 6EX</t>
  </si>
  <si>
    <t>CBDU7283</t>
  </si>
  <si>
    <t>67 Leaches Lane Mancot</t>
  </si>
  <si>
    <t>CH5 2EH</t>
  </si>
  <si>
    <t>CBDL7502</t>
  </si>
  <si>
    <t xml:space="preserve">51A Northop Road </t>
  </si>
  <si>
    <t>CH6 5LG</t>
  </si>
  <si>
    <t>CBDU7503</t>
  </si>
  <si>
    <t>Rose Cottage Millington Hall Lane</t>
  </si>
  <si>
    <t>Millington</t>
  </si>
  <si>
    <t>Altrincham</t>
  </si>
  <si>
    <t>WA14 3RW</t>
  </si>
  <si>
    <t>CBDU7506</t>
  </si>
  <si>
    <t xml:space="preserve">99 Clyde Crescent </t>
  </si>
  <si>
    <t>GL52 5QJ</t>
  </si>
  <si>
    <t>CBDL7507</t>
  </si>
  <si>
    <t>Abergele Road Llanddulas</t>
  </si>
  <si>
    <t>CBDU7510</t>
  </si>
  <si>
    <t>The Old Foundy Yard Felin Fawr Works</t>
  </si>
  <si>
    <t>LL57 4YY</t>
  </si>
  <si>
    <t>CBDU7513</t>
  </si>
  <si>
    <t>131 Bedwellty Road Aberbargoed</t>
  </si>
  <si>
    <t>CF81 9AY</t>
  </si>
  <si>
    <t>CBDL7927</t>
  </si>
  <si>
    <t>Ty Rallt Llanddeiniolen</t>
  </si>
  <si>
    <t>LL55 3AE</t>
  </si>
  <si>
    <t>CBDL7928</t>
  </si>
  <si>
    <t xml:space="preserve">Ffordd Santes Helen </t>
  </si>
  <si>
    <t>LL55 2YD</t>
  </si>
  <si>
    <t>CBDL7930</t>
  </si>
  <si>
    <t>93 Chester Road East Shotton</t>
  </si>
  <si>
    <t>CBDL7931</t>
  </si>
  <si>
    <t>5 Yew Tree Close Whitchurch</t>
  </si>
  <si>
    <t>Ross-on-Wye</t>
  </si>
  <si>
    <t>HR9 6BT</t>
  </si>
  <si>
    <t>CBDL7933</t>
  </si>
  <si>
    <t>33 Brynteg Road Gorseinon</t>
  </si>
  <si>
    <t>SA4 4FJ</t>
  </si>
  <si>
    <t>CBDU8164</t>
  </si>
  <si>
    <t>Lluest Wen Whitchurch Road</t>
  </si>
  <si>
    <t>LL16 4PY</t>
  </si>
  <si>
    <t>CBDU8165</t>
  </si>
  <si>
    <t xml:space="preserve">37 Maengwynne </t>
  </si>
  <si>
    <t>SA15 4NN</t>
  </si>
  <si>
    <t>CBDU8169</t>
  </si>
  <si>
    <t>3 Causeway House Penally</t>
  </si>
  <si>
    <t>SA70 7RD</t>
  </si>
  <si>
    <t>CBDL8173</t>
  </si>
  <si>
    <t>Ty coch Llanarth</t>
  </si>
  <si>
    <t>Sa47  0nd</t>
  </si>
  <si>
    <t>CBDL7677</t>
  </si>
  <si>
    <t>71 High Street</t>
  </si>
  <si>
    <t>PO33 2SU</t>
  </si>
  <si>
    <t>CBDL7678</t>
  </si>
  <si>
    <t xml:space="preserve">Caio </t>
  </si>
  <si>
    <t>SA19 8RD</t>
  </si>
  <si>
    <t>CBDL7679</t>
  </si>
  <si>
    <t xml:space="preserve">Bagillt Road </t>
  </si>
  <si>
    <t>CH6 6JB</t>
  </si>
  <si>
    <t>CBDU7680</t>
  </si>
  <si>
    <t>Pondside Johnstown</t>
  </si>
  <si>
    <t>SA31 3HU</t>
  </si>
  <si>
    <t>CBDL7684</t>
  </si>
  <si>
    <t>60 Gorseinon Road Penllergaer</t>
  </si>
  <si>
    <t>SA4 9AB</t>
  </si>
  <si>
    <t>CBDL7685</t>
  </si>
  <si>
    <t xml:space="preserve">14 James Street </t>
  </si>
  <si>
    <t>NP24 6EN</t>
  </si>
  <si>
    <t>CBDL7687</t>
  </si>
  <si>
    <t xml:space="preserve">102 Lower Barn Road </t>
  </si>
  <si>
    <t>Purley</t>
  </si>
  <si>
    <t>CR8 1HR</t>
  </si>
  <si>
    <t>CBDU7689</t>
  </si>
  <si>
    <t>5 Maes Dulyn Penygroes</t>
  </si>
  <si>
    <t>LL54 6RW</t>
  </si>
  <si>
    <t>CBDL7695</t>
  </si>
  <si>
    <t>Unit 1A Clydach Wharf</t>
  </si>
  <si>
    <t>Players Industrial Estate</t>
  </si>
  <si>
    <t>SA6 5AT</t>
  </si>
  <si>
    <t>CBDU8322</t>
  </si>
  <si>
    <t xml:space="preserve">45 Bwllfa Road </t>
  </si>
  <si>
    <t>CF44 8UG</t>
  </si>
  <si>
    <t>CBDU8329</t>
  </si>
  <si>
    <t xml:space="preserve">14 The Avenue </t>
  </si>
  <si>
    <t>SA11 2FD</t>
  </si>
  <si>
    <t>CBDL8331</t>
  </si>
  <si>
    <t>25 Thorncliffe Road St. Dials</t>
  </si>
  <si>
    <t>NP44 4AA</t>
  </si>
  <si>
    <t>CBDU8333</t>
  </si>
  <si>
    <t xml:space="preserve">8 Bryn Derw </t>
  </si>
  <si>
    <t>LL31 9AP</t>
  </si>
  <si>
    <t>CBDU8580</t>
  </si>
  <si>
    <t xml:space="preserve">24 South Road </t>
  </si>
  <si>
    <t>CF36 3DG</t>
  </si>
  <si>
    <t>CBDU8583</t>
  </si>
  <si>
    <t>Hen Efail Llanfair Caereinion</t>
  </si>
  <si>
    <t>SY21 0EF</t>
  </si>
  <si>
    <t>CBDU8584</t>
  </si>
  <si>
    <t>106 Wind Road Ystradgynlais</t>
  </si>
  <si>
    <t>SA9 1AH</t>
  </si>
  <si>
    <t>CBDU8586</t>
  </si>
  <si>
    <t xml:space="preserve">30 Morton Avenue </t>
  </si>
  <si>
    <t>Kidlington</t>
  </si>
  <si>
    <t>OX5 1BT</t>
  </si>
  <si>
    <t>CBDL8588</t>
  </si>
  <si>
    <t>Fieldside The Green</t>
  </si>
  <si>
    <t>CH7 6BD</t>
  </si>
  <si>
    <t>CBDU8589</t>
  </si>
  <si>
    <t>5 Ty'r Winch Road Old St. Mellons</t>
  </si>
  <si>
    <t>CF3 5UU</t>
  </si>
  <si>
    <t>CBDL8816</t>
  </si>
  <si>
    <t xml:space="preserve">101 High Road West </t>
  </si>
  <si>
    <t>Felixstowe</t>
  </si>
  <si>
    <t>IP11 9AJ</t>
  </si>
  <si>
    <t>CBDL8825</t>
  </si>
  <si>
    <t xml:space="preserve">Nant Y Ddol </t>
  </si>
  <si>
    <t>Arthog</t>
  </si>
  <si>
    <t>LL39 1AX</t>
  </si>
  <si>
    <t>CBDL8958</t>
  </si>
  <si>
    <t>CBDU8961</t>
  </si>
  <si>
    <t>CBDL8964</t>
  </si>
  <si>
    <t>19 Heolgerrig</t>
  </si>
  <si>
    <t>CF48 1RP</t>
  </si>
  <si>
    <t>CBDL8965</t>
  </si>
  <si>
    <t>McDonnell Store 1</t>
  </si>
  <si>
    <t>McDonnell Road</t>
  </si>
  <si>
    <t>CBDL8967</t>
  </si>
  <si>
    <t>Elm House Station Road</t>
  </si>
  <si>
    <t>CBDU8970</t>
  </si>
  <si>
    <t>2 Heol Y Twyn Pontlliw</t>
  </si>
  <si>
    <t>SA4 9EU</t>
  </si>
  <si>
    <t>CBDU9222</t>
  </si>
  <si>
    <t xml:space="preserve">93 Clodien Avenue </t>
  </si>
  <si>
    <t>CF14 3NN</t>
  </si>
  <si>
    <t>CBDL9223</t>
  </si>
  <si>
    <t>94 Sandgate High Street Sandgate</t>
  </si>
  <si>
    <t>CT20 3BY</t>
  </si>
  <si>
    <t>CBDU9224</t>
  </si>
  <si>
    <t xml:space="preserve">Coedcae </t>
  </si>
  <si>
    <t>Llanbryn-Mair</t>
  </si>
  <si>
    <t>SY19 7AB</t>
  </si>
  <si>
    <t>CBDL9228</t>
  </si>
  <si>
    <t>7 Market Street Y Gelli Gandryll</t>
  </si>
  <si>
    <t>CBDU9447</t>
  </si>
  <si>
    <t>23 Trem Y Wyddfa Penygroes</t>
  </si>
  <si>
    <t>LL54 6NE</t>
  </si>
  <si>
    <t>CBDU9453</t>
  </si>
  <si>
    <t xml:space="preserve">26 Cae Nant Terrace </t>
  </si>
  <si>
    <t>SA10 6UP</t>
  </si>
  <si>
    <t>CBDU9458</t>
  </si>
  <si>
    <t>6 UNDER THE HILLS</t>
  </si>
  <si>
    <t>MERLINS BRIDGE</t>
  </si>
  <si>
    <t>SA61 1XQ</t>
  </si>
  <si>
    <t>CBDU9659</t>
  </si>
  <si>
    <t xml:space="preserve">7 Angle Close </t>
  </si>
  <si>
    <t>CF62 9ED</t>
  </si>
  <si>
    <t>CBDL9660</t>
  </si>
  <si>
    <t>81 Ffynnon Dawel Aberdulais</t>
  </si>
  <si>
    <t>SA10 8EN</t>
  </si>
  <si>
    <t>CBDU9662</t>
  </si>
  <si>
    <t xml:space="preserve">17 Ash Place </t>
  </si>
  <si>
    <t>CF81 8NQ</t>
  </si>
  <si>
    <t>CBDU9664</t>
  </si>
  <si>
    <t xml:space="preserve">61 Pemberton Road </t>
  </si>
  <si>
    <t>SA14 9BH</t>
  </si>
  <si>
    <t>CBDU9666</t>
  </si>
  <si>
    <t>6A Golden Lion</t>
  </si>
  <si>
    <t>Lower Cwmtwrch</t>
  </si>
  <si>
    <t>SA9 2SU</t>
  </si>
  <si>
    <t>CBDL9667</t>
  </si>
  <si>
    <t xml:space="preserve">Station Terrace </t>
  </si>
  <si>
    <t>SA40 9XX</t>
  </si>
  <si>
    <t>CBDL9668</t>
  </si>
  <si>
    <t>7 Agincourt Drive Cegidfa</t>
  </si>
  <si>
    <t>SY21 9NA</t>
  </si>
  <si>
    <t>CBDU9670</t>
  </si>
  <si>
    <t>Llainfawr Trelech</t>
  </si>
  <si>
    <t>SA33 6RJ</t>
  </si>
  <si>
    <t>CBDU9894</t>
  </si>
  <si>
    <t>Pantyffynnon Maesybont</t>
  </si>
  <si>
    <t>SA14 7TA</t>
  </si>
  <si>
    <t>CBDU9896</t>
  </si>
  <si>
    <t>45 Hengoed Road Pen-Pedair-Heol</t>
  </si>
  <si>
    <t>CF82 8BR</t>
  </si>
  <si>
    <t>CBDU9897</t>
  </si>
  <si>
    <t>34 Ffordd Gryffydd Llay</t>
  </si>
  <si>
    <t>LL12 0RT</t>
  </si>
  <si>
    <t>CBDL9898</t>
  </si>
  <si>
    <t>36 Greenacre Drive Pontprennau</t>
  </si>
  <si>
    <t>CF23 8PA</t>
  </si>
  <si>
    <t>CBDU9899</t>
  </si>
  <si>
    <t xml:space="preserve">43 Cogdeane Road </t>
  </si>
  <si>
    <t>BH17 9AS</t>
  </si>
  <si>
    <t>CBDU9901</t>
  </si>
  <si>
    <t>Bro Dawel Pentre Saron</t>
  </si>
  <si>
    <t>LL16 4TL</t>
  </si>
  <si>
    <t>CBDL9902</t>
  </si>
  <si>
    <t xml:space="preserve">75 York Road </t>
  </si>
  <si>
    <t>Hartlepool</t>
  </si>
  <si>
    <t>TS26 8AH</t>
  </si>
  <si>
    <t>CBDU9904</t>
  </si>
  <si>
    <t>24 Lynsdale Road Brynhyfryd</t>
  </si>
  <si>
    <t>SA5 9HA</t>
  </si>
  <si>
    <t>CBDU9906</t>
  </si>
  <si>
    <t>6 Trem Y Don Llysfaen</t>
  </si>
  <si>
    <t>LL29 8FJ</t>
  </si>
  <si>
    <t>CBDL9907</t>
  </si>
  <si>
    <t>Plas Yn Dre Broad Street</t>
  </si>
  <si>
    <t>SY16 2NA</t>
  </si>
  <si>
    <t>CBDL10212</t>
  </si>
  <si>
    <t xml:space="preserve">90 Ridgewood Drive </t>
  </si>
  <si>
    <t>St. Helens</t>
  </si>
  <si>
    <t>WA9 3XT</t>
  </si>
  <si>
    <t>CBDL10214</t>
  </si>
  <si>
    <t xml:space="preserve">13 Graig Park Hill </t>
  </si>
  <si>
    <t>NP20 6GY</t>
  </si>
  <si>
    <t>CBDU10215</t>
  </si>
  <si>
    <t>Blaenwaun Bancyfelin</t>
  </si>
  <si>
    <t>SA33 5NR</t>
  </si>
  <si>
    <t>CBDU10216</t>
  </si>
  <si>
    <t>CBDL10219</t>
  </si>
  <si>
    <t xml:space="preserve">286 Old Durham Road </t>
  </si>
  <si>
    <t>Gateshead</t>
  </si>
  <si>
    <t>NE8 4BP</t>
  </si>
  <si>
    <t>CBDU10221</t>
  </si>
  <si>
    <t>3  Warlow Street</t>
  </si>
  <si>
    <t>CF47 0YW</t>
  </si>
  <si>
    <t>CBDL10227</t>
  </si>
  <si>
    <t xml:space="preserve">9 Salem Street </t>
  </si>
  <si>
    <t>LL68 9BP</t>
  </si>
  <si>
    <t>CBDL10229</t>
  </si>
  <si>
    <t>Garages Rear of</t>
  </si>
  <si>
    <t>1-12 Howard Street</t>
  </si>
  <si>
    <t>CF42 6AR</t>
  </si>
  <si>
    <t>CBDL10230</t>
  </si>
  <si>
    <t xml:space="preserve">6 William Street </t>
  </si>
  <si>
    <t>LL57 1BG</t>
  </si>
  <si>
    <t>CBDL10232</t>
  </si>
  <si>
    <t>67 Llandeilo Road Cross Hands</t>
  </si>
  <si>
    <t>SA14 6RD</t>
  </si>
  <si>
    <t>CBDU10452</t>
  </si>
  <si>
    <t>Brackenbank Trewent Hill</t>
  </si>
  <si>
    <t>SA71 5LJ</t>
  </si>
  <si>
    <t>CBDL10455</t>
  </si>
  <si>
    <t>35 High Street</t>
  </si>
  <si>
    <t>np22 5lp</t>
  </si>
  <si>
    <t>CBDL10463</t>
  </si>
  <si>
    <t>12 Hyssop Close Pontprennau</t>
  </si>
  <si>
    <t>CF23 8SP</t>
  </si>
  <si>
    <t>CBDU10465</t>
  </si>
  <si>
    <t>1 Ty Ceiros Bungalow Pentrepiod</t>
  </si>
  <si>
    <t>NP4 6TJ</t>
  </si>
  <si>
    <t>CBDU10669</t>
  </si>
  <si>
    <t>2 Mountain Level Caravans Upper Race</t>
  </si>
  <si>
    <t>NP4 5UY</t>
  </si>
  <si>
    <t>CBDU10809</t>
  </si>
  <si>
    <t xml:space="preserve">9 Greenways </t>
  </si>
  <si>
    <t>LL13 8JL</t>
  </si>
  <si>
    <t>CBDU10810</t>
  </si>
  <si>
    <t>55 High Street Abergwili</t>
  </si>
  <si>
    <t>SA31 2JB</t>
  </si>
  <si>
    <t>CBDU10812</t>
  </si>
  <si>
    <t>Hillsboro Nant Mawr Road</t>
  </si>
  <si>
    <t>CH72BS</t>
  </si>
  <si>
    <t>CBDL10819</t>
  </si>
  <si>
    <t>28 Prescelli Road Penlan</t>
  </si>
  <si>
    <t>SA5 8AF</t>
  </si>
  <si>
    <t>CBDU10820</t>
  </si>
  <si>
    <t>14 Kings Road Minster on Sea</t>
  </si>
  <si>
    <t>ME12 2HL</t>
  </si>
  <si>
    <t>CBDU10824</t>
  </si>
  <si>
    <t>Dudley House Kinmel Way</t>
  </si>
  <si>
    <t>LL22 9NE</t>
  </si>
  <si>
    <t>CBDU10826</t>
  </si>
  <si>
    <t>Brynamlwg Felindre</t>
  </si>
  <si>
    <t>CBDU10828</t>
  </si>
  <si>
    <t>Swn Y Wennol Brongest</t>
  </si>
  <si>
    <t>SA38 9ET</t>
  </si>
  <si>
    <t>CBDU11061</t>
  </si>
  <si>
    <t>10 Pen Y Ffriddoedd Tregarth</t>
  </si>
  <si>
    <t>LL57 4NY</t>
  </si>
  <si>
    <t>CBDL11062</t>
  </si>
  <si>
    <t>2 Woodland Street Blaenavon</t>
  </si>
  <si>
    <t>NP4 9NR</t>
  </si>
  <si>
    <t>CBDU11063</t>
  </si>
  <si>
    <t>38 Alltwen Llysfaen</t>
  </si>
  <si>
    <t>LL29 8PG</t>
  </si>
  <si>
    <t>CBDU11065</t>
  </si>
  <si>
    <t>Y Ceffyl Duu Glamorgan Terrace</t>
  </si>
  <si>
    <t>Penrhiwfer</t>
  </si>
  <si>
    <t>CF40 1SA</t>
  </si>
  <si>
    <t>CBDL11070</t>
  </si>
  <si>
    <t>2 Gwent Terrace Nantyglo</t>
  </si>
  <si>
    <t>NP23 4PJ</t>
  </si>
  <si>
    <t>CBDU11071</t>
  </si>
  <si>
    <t>CBDU11891</t>
  </si>
  <si>
    <t>CBDL11893</t>
  </si>
  <si>
    <t>Gwern Y Brain Llanfair Caereinion</t>
  </si>
  <si>
    <t>SY21 0DR</t>
  </si>
  <si>
    <t>CBDL11895</t>
  </si>
  <si>
    <t>The Magpies Smithfield Green</t>
  </si>
  <si>
    <t>LL13 9AJ</t>
  </si>
  <si>
    <t>CBDU11898</t>
  </si>
  <si>
    <t xml:space="preserve">27 27edgehill </t>
  </si>
  <si>
    <t xml:space="preserve">Blackwood </t>
  </si>
  <si>
    <t xml:space="preserve">Np122ny </t>
  </si>
  <si>
    <t>CBDU11901</t>
  </si>
  <si>
    <t>44 Wood Lane Hawarden</t>
  </si>
  <si>
    <t>CH5 3JE</t>
  </si>
  <si>
    <t>CBDU11902</t>
  </si>
  <si>
    <t>Kiloran 27 Halkyn Road</t>
  </si>
  <si>
    <t>CH6 5QX</t>
  </si>
  <si>
    <t>CBDU11903</t>
  </si>
  <si>
    <t>27A- 27B Tudor Lane</t>
  </si>
  <si>
    <t>CF11 6AZ</t>
  </si>
  <si>
    <t>CBDU12113</t>
  </si>
  <si>
    <t>9 Thomas Street Nelson</t>
  </si>
  <si>
    <t>CF46 6NG</t>
  </si>
  <si>
    <t>CBDU12114</t>
  </si>
  <si>
    <t>10 St. Albans Heights Tanyfron</t>
  </si>
  <si>
    <t>LL11 5SD</t>
  </si>
  <si>
    <t>CBDU12119</t>
  </si>
  <si>
    <t>Slade Hall Haven Road</t>
  </si>
  <si>
    <t>SA61 2UX</t>
  </si>
  <si>
    <t>CBDU11356</t>
  </si>
  <si>
    <t xml:space="preserve">3 Hutchwns Close </t>
  </si>
  <si>
    <t>CF36 3LD</t>
  </si>
  <si>
    <t>CBDL11365</t>
  </si>
  <si>
    <t>The Rectory St. Nicholas</t>
  </si>
  <si>
    <t>SA64 0LG</t>
  </si>
  <si>
    <t>CBDL11366</t>
  </si>
  <si>
    <t xml:space="preserve">11 Heol Bryn Man </t>
  </si>
  <si>
    <t>CF48 1NE</t>
  </si>
  <si>
    <t>CBDU11583</t>
  </si>
  <si>
    <t xml:space="preserve">33 Clos Dwyerw </t>
  </si>
  <si>
    <t>CF83 1TE</t>
  </si>
  <si>
    <t>CBDL11586</t>
  </si>
  <si>
    <t xml:space="preserve">20 Coronation Terrace </t>
  </si>
  <si>
    <t>CF64 1HN</t>
  </si>
  <si>
    <t>CBDL11591</t>
  </si>
  <si>
    <t>Flat 5 The Waterfront</t>
  </si>
  <si>
    <t>CBDL11596</t>
  </si>
  <si>
    <t>Portis Farm Trecastle</t>
  </si>
  <si>
    <t>LD3 8UY</t>
  </si>
  <si>
    <t>CBDU11601</t>
  </si>
  <si>
    <t>32 Elwy Gardens Cockett</t>
  </si>
  <si>
    <t>SA2 0XD</t>
  </si>
  <si>
    <t>CBDU12320</t>
  </si>
  <si>
    <t>51 Bethania Road Upper Tumble</t>
  </si>
  <si>
    <t>SA14 6DT</t>
  </si>
  <si>
    <t>CBDU12327</t>
  </si>
  <si>
    <t>82 Bolton Road Silsden</t>
  </si>
  <si>
    <t>Keighley</t>
  </si>
  <si>
    <t>BD20 0JY</t>
  </si>
  <si>
    <t>CBDL12331</t>
  </si>
  <si>
    <t xml:space="preserve">7 Glan Tywi </t>
  </si>
  <si>
    <t>SA17 5TG</t>
  </si>
  <si>
    <t>CBDU12671</t>
  </si>
  <si>
    <t>Bryn Golau Cottage Waunfawr</t>
  </si>
  <si>
    <t>LL55 4LJ</t>
  </si>
  <si>
    <t>CBDL12676</t>
  </si>
  <si>
    <t>Springlea Felin Ban Farm Estate</t>
  </si>
  <si>
    <t>SA43 1PG</t>
  </si>
  <si>
    <t>CBDU12679</t>
  </si>
  <si>
    <t>2 Llys Celyn Ffordd Ty Newydd</t>
  </si>
  <si>
    <t>LL19 8PX</t>
  </si>
  <si>
    <t>CBDL12684</t>
  </si>
  <si>
    <t>1 Gorffwysfa Lon Capel</t>
  </si>
  <si>
    <t>Dwyran</t>
  </si>
  <si>
    <t>LL61 6YN</t>
  </si>
  <si>
    <t>CBDL12883</t>
  </si>
  <si>
    <t xml:space="preserve">148 Ynysddu </t>
  </si>
  <si>
    <t>CF72 9UB</t>
  </si>
  <si>
    <t>CBDL12887</t>
  </si>
  <si>
    <t>31 Alaw View Rhosybol</t>
  </si>
  <si>
    <t>CBDU12888</t>
  </si>
  <si>
    <t xml:space="preserve">13 Lambert Street </t>
  </si>
  <si>
    <t>NP20 5FU</t>
  </si>
  <si>
    <t>CBDU13107</t>
  </si>
  <si>
    <t>CBDU13109</t>
  </si>
  <si>
    <t>Omega 2 Southsea Road</t>
  </si>
  <si>
    <t>ll115ph</t>
  </si>
  <si>
    <t>CBDL13110</t>
  </si>
  <si>
    <t>58 Summer Lane Wombwell</t>
  </si>
  <si>
    <t>S73 8HE</t>
  </si>
  <si>
    <t>CBDU13111</t>
  </si>
  <si>
    <t>28 Bentlass Terrace Pennar</t>
  </si>
  <si>
    <t>SA72 6RL</t>
  </si>
  <si>
    <t>CBDU13113</t>
  </si>
  <si>
    <t>131 Pantyrheol</t>
  </si>
  <si>
    <t>sa11 2hb</t>
  </si>
  <si>
    <t>CBDU13114</t>
  </si>
  <si>
    <t>3 Llwyn Gwern Pencoed</t>
  </si>
  <si>
    <t>CF35 6UL</t>
  </si>
  <si>
    <t>CBDL13272</t>
  </si>
  <si>
    <t xml:space="preserve">8 Lake Avenue </t>
  </si>
  <si>
    <t>LL18 1HY</t>
  </si>
  <si>
    <t>CBDU13274</t>
  </si>
  <si>
    <t>Moorfield 148 Gresford Road</t>
  </si>
  <si>
    <t>LL12 0NW</t>
  </si>
  <si>
    <t>CBDL13275</t>
  </si>
  <si>
    <t>Canal Side Abercanaid</t>
  </si>
  <si>
    <t>CF48 1AX</t>
  </si>
  <si>
    <t>CBDU13277</t>
  </si>
  <si>
    <t>51 Min Y Coed Glynneath</t>
  </si>
  <si>
    <t>SA11 5RT</t>
  </si>
  <si>
    <t>CBDL13280</t>
  </si>
  <si>
    <t>Flat 4 107 Waterloo Crescent</t>
  </si>
  <si>
    <t>NG7 4AX</t>
  </si>
  <si>
    <t>CBDL13438</t>
  </si>
  <si>
    <t xml:space="preserve">223A Ilford Lane </t>
  </si>
  <si>
    <t>Ilford</t>
  </si>
  <si>
    <t>IG1 2RZ</t>
  </si>
  <si>
    <t>CBDL13439</t>
  </si>
  <si>
    <t xml:space="preserve">200 Henley Road </t>
  </si>
  <si>
    <t>IG1 2TR</t>
  </si>
  <si>
    <t>CBDL13440</t>
  </si>
  <si>
    <t>2 Rhodfar Mor Rhoose</t>
  </si>
  <si>
    <t>CF62 3LE</t>
  </si>
  <si>
    <t>CBDU13442</t>
  </si>
  <si>
    <t xml:space="preserve">8 Skinner Street </t>
  </si>
  <si>
    <t>SA1 6FU</t>
  </si>
  <si>
    <t>CBDL13449</t>
  </si>
  <si>
    <t>CBDU13450</t>
  </si>
  <si>
    <t xml:space="preserve">103 Pontamman Road </t>
  </si>
  <si>
    <t>SA18 2JD</t>
  </si>
  <si>
    <t>CBDU13452</t>
  </si>
  <si>
    <t>Gors Gyffion Eryrys Road</t>
  </si>
  <si>
    <t>Eryrys</t>
  </si>
  <si>
    <t>CH7 4DB</t>
  </si>
  <si>
    <t>CBDU13453</t>
  </si>
  <si>
    <t xml:space="preserve">1 Second Avenue </t>
  </si>
  <si>
    <t>CF47 9UB</t>
  </si>
  <si>
    <t>CBDL243</t>
  </si>
  <si>
    <t>2 George Street</t>
  </si>
  <si>
    <t>LL30 2ST</t>
  </si>
  <si>
    <t>CBDL245</t>
  </si>
  <si>
    <t xml:space="preserve">Bryn Hedydd The Marian </t>
  </si>
  <si>
    <t xml:space="preserve">Trelawnyd </t>
  </si>
  <si>
    <t>CBDL246</t>
  </si>
  <si>
    <t>Fairway Penally</t>
  </si>
  <si>
    <t>Sa707pe</t>
  </si>
  <si>
    <t>CBDL247</t>
  </si>
  <si>
    <t>75-76 Caerau Road</t>
  </si>
  <si>
    <t>CF34 0PR</t>
  </si>
  <si>
    <t>CBDL250</t>
  </si>
  <si>
    <t>13 Rockes Meadow</t>
  </si>
  <si>
    <t>LD7 1LE</t>
  </si>
  <si>
    <t>CBDL251</t>
  </si>
  <si>
    <t>Market Square Llanrhaeadr Ym Mochnant</t>
  </si>
  <si>
    <t>SY10 0JG</t>
  </si>
  <si>
    <t>CBDL483</t>
  </si>
  <si>
    <t>CBDL484</t>
  </si>
  <si>
    <t>CBDL485</t>
  </si>
  <si>
    <t>CBDL487</t>
  </si>
  <si>
    <t>15a jersey road bonymaen</t>
  </si>
  <si>
    <t>sa1 7dg</t>
  </si>
  <si>
    <t>CBDL488</t>
  </si>
  <si>
    <t>CBDL495</t>
  </si>
  <si>
    <t>Atoma House Builder Street West</t>
  </si>
  <si>
    <t>LL301HH</t>
  </si>
  <si>
    <t>CBDL506</t>
  </si>
  <si>
    <t>Canarth Post Office Cenarth</t>
  </si>
  <si>
    <t>SA38 9JL</t>
  </si>
  <si>
    <t>CBDL738</t>
  </si>
  <si>
    <t>4 Saint James Crescent</t>
  </si>
  <si>
    <t>CF33 6BG</t>
  </si>
  <si>
    <t>CBDL739</t>
  </si>
  <si>
    <t>Caeau Cochion TRAWSFYNYDD</t>
  </si>
  <si>
    <t>LL414YD</t>
  </si>
  <si>
    <t>CBDL741</t>
  </si>
  <si>
    <t>10 cwrt llwyn fedwen</t>
  </si>
  <si>
    <t>sa6 6hw</t>
  </si>
  <si>
    <t>CBDL742</t>
  </si>
  <si>
    <t>Dilston House  Main Street</t>
  </si>
  <si>
    <t>SA640BL</t>
  </si>
  <si>
    <t>CBDL743</t>
  </si>
  <si>
    <t>The Winnstay Arms Hotel Llanbrynmair</t>
  </si>
  <si>
    <t>CBDL750</t>
  </si>
  <si>
    <t>6 Emmanuel grove</t>
  </si>
  <si>
    <t>Cefn mawr</t>
  </si>
  <si>
    <t>Ll143ps</t>
  </si>
  <si>
    <t>CBDL751</t>
  </si>
  <si>
    <t>1A  The Pavement</t>
  </si>
  <si>
    <t>HR3 5BU</t>
  </si>
  <si>
    <t>CBDL933</t>
  </si>
  <si>
    <t>145 Manor Road</t>
  </si>
  <si>
    <t>Abersychan</t>
  </si>
  <si>
    <t>NP4 7DL</t>
  </si>
  <si>
    <t>CBDL934</t>
  </si>
  <si>
    <t xml:space="preserve">13 Heol Ap Gethin </t>
  </si>
  <si>
    <t>Np23 4Uj</t>
  </si>
  <si>
    <t>CBDL936</t>
  </si>
  <si>
    <t>Jesmond dene stadium Queen Victoria Street</t>
  </si>
  <si>
    <t>np223qa</t>
  </si>
  <si>
    <t>CBDL937</t>
  </si>
  <si>
    <t>CBDL945</t>
  </si>
  <si>
    <t>49 Solent close</t>
  </si>
  <si>
    <t xml:space="preserve">Pontllanfraith </t>
  </si>
  <si>
    <t>Np122ft</t>
  </si>
  <si>
    <t>CBDL946</t>
  </si>
  <si>
    <t>Blaenpant Blaenycoed rd</t>
  </si>
  <si>
    <t>sa336ep</t>
  </si>
  <si>
    <t>CBDL947</t>
  </si>
  <si>
    <t>CBDL1179</t>
  </si>
  <si>
    <t>Pengloyn Tebarnacle Strret</t>
  </si>
  <si>
    <t>SA46 0BN</t>
  </si>
  <si>
    <t>CBDL1180</t>
  </si>
  <si>
    <t xml:space="preserve">32 Maelor avenue </t>
  </si>
  <si>
    <t>Ll14 2dg</t>
  </si>
  <si>
    <t>CBDL1181</t>
  </si>
  <si>
    <t>MEADOW VIEWS LLANTRISANT</t>
  </si>
  <si>
    <t>NP15 1LG</t>
  </si>
  <si>
    <t>CBDL1183</t>
  </si>
  <si>
    <t>Trefnant Store The Square</t>
  </si>
  <si>
    <t>Trefnant</t>
  </si>
  <si>
    <t>LL16 5TY</t>
  </si>
  <si>
    <t>CBDL1188</t>
  </si>
  <si>
    <t>Rainbows end Hill lane</t>
  </si>
  <si>
    <t>pentlepoir</t>
  </si>
  <si>
    <t>pembrokeshire</t>
  </si>
  <si>
    <t>Sa68 0qu</t>
  </si>
  <si>
    <t>CBDL1189</t>
  </si>
  <si>
    <t>Florida club house Back market lane</t>
  </si>
  <si>
    <t>Hemsby</t>
  </si>
  <si>
    <t>Nr29 4hw</t>
  </si>
  <si>
    <t>CBDL1421</t>
  </si>
  <si>
    <t>MORFA BRENIN LLANGRISTIOLUS</t>
  </si>
  <si>
    <t>BODORGAN</t>
  </si>
  <si>
    <t>LL62 5HD</t>
  </si>
  <si>
    <t>CBDL1422</t>
  </si>
  <si>
    <t>Hazeldene  Offas road</t>
  </si>
  <si>
    <t>Ld7 1es</t>
  </si>
  <si>
    <t>CBDL1424</t>
  </si>
  <si>
    <t>128 Portland drive</t>
  </si>
  <si>
    <t>RH1 3JA</t>
  </si>
  <si>
    <t>CBDL1425</t>
  </si>
  <si>
    <t>CBDL1426</t>
  </si>
  <si>
    <t>Penuwch Fawr Capel Seion</t>
  </si>
  <si>
    <t>SY23 4ND</t>
  </si>
  <si>
    <t>CBDL1427</t>
  </si>
  <si>
    <t>45 cadoxton terrace</t>
  </si>
  <si>
    <t>cadoxton</t>
  </si>
  <si>
    <t>sa108br</t>
  </si>
  <si>
    <t>CBDL1428</t>
  </si>
  <si>
    <t>unit 15 phoenix business centre phoenix way</t>
  </si>
  <si>
    <t>sa49wf</t>
  </si>
  <si>
    <t>CBDL1429</t>
  </si>
  <si>
    <t>CBDL1431</t>
  </si>
  <si>
    <t>Bryn Derwen Bach Coed y Parc</t>
  </si>
  <si>
    <t>CBDL1433</t>
  </si>
  <si>
    <t>2 court view</t>
  </si>
  <si>
    <t>langstone</t>
  </si>
  <si>
    <t>NP18 2NN</t>
  </si>
  <si>
    <t>CBDL1655</t>
  </si>
  <si>
    <t>14 Bala Drive</t>
  </si>
  <si>
    <t>NP10 9HN</t>
  </si>
  <si>
    <t>CBDL1660</t>
  </si>
  <si>
    <t>2 pembroke grove</t>
  </si>
  <si>
    <t>np19 4qg</t>
  </si>
  <si>
    <t>CBDL1661</t>
  </si>
  <si>
    <t>63 Pond Close Overton</t>
  </si>
  <si>
    <t>RG25 3LZ</t>
  </si>
  <si>
    <t>CBDL1662</t>
  </si>
  <si>
    <t>22 church crescent</t>
  </si>
  <si>
    <t>np108nq</t>
  </si>
  <si>
    <t>CBDL1665</t>
  </si>
  <si>
    <t>Trellwyn Isaf Llanwnnen</t>
  </si>
  <si>
    <t>SA48 7LJ</t>
  </si>
  <si>
    <t>CBDL1897</t>
  </si>
  <si>
    <t>Annexe Rhos Cottage</t>
  </si>
  <si>
    <t>Rhos-y-Meirch</t>
  </si>
  <si>
    <t>LD7 1PD</t>
  </si>
  <si>
    <t>CBDL1915</t>
  </si>
  <si>
    <t>Parkway Rock House Road</t>
  </si>
  <si>
    <t>LD1 6AF</t>
  </si>
  <si>
    <t>CBDL2142</t>
  </si>
  <si>
    <t>43 manor rise</t>
  </si>
  <si>
    <t>whitchurch</t>
  </si>
  <si>
    <t>cf14 1qh</t>
  </si>
  <si>
    <t>CBDL2146</t>
  </si>
  <si>
    <t xml:space="preserve">31 Rookwood Close </t>
  </si>
  <si>
    <t>CF5 2NR</t>
  </si>
  <si>
    <t>CBDL2147</t>
  </si>
  <si>
    <t>4 Ffordd Gwelfor Carmel</t>
  </si>
  <si>
    <t>CH8 8SQ</t>
  </si>
  <si>
    <t>CBDL2298</t>
  </si>
  <si>
    <t xml:space="preserve">29 Wyndham Crescent </t>
  </si>
  <si>
    <t>CF11 9EE</t>
  </si>
  <si>
    <t>CBDL2533</t>
  </si>
  <si>
    <t xml:space="preserve">3 Rush Drive </t>
  </si>
  <si>
    <t>EN9 3YQ</t>
  </si>
  <si>
    <t>CBDL2535</t>
  </si>
  <si>
    <t>Drostre Talyllyn</t>
  </si>
  <si>
    <t>LD3 7SY</t>
  </si>
  <si>
    <t>CBDL2541</t>
  </si>
  <si>
    <t>Coed Y Gwineu Farm Cefn-Porth Road</t>
  </si>
  <si>
    <t>CF14 0LB</t>
  </si>
  <si>
    <t>CBDL2771</t>
  </si>
  <si>
    <t>Yr Hen Stabal Cegidfa</t>
  </si>
  <si>
    <t>SY21 9NH</t>
  </si>
  <si>
    <t>CBDL2774</t>
  </si>
  <si>
    <t>Abercamdwr Llanddewi</t>
  </si>
  <si>
    <t>LD1 6SH</t>
  </si>
  <si>
    <t>CBDL3205</t>
  </si>
  <si>
    <t>20 Castleford Close Beddau</t>
  </si>
  <si>
    <t>CF38 2RW</t>
  </si>
  <si>
    <t>CBDL3206</t>
  </si>
  <si>
    <t>Woodside Bagland Farm</t>
  </si>
  <si>
    <t>Martletwy</t>
  </si>
  <si>
    <t>SA67 8AW</t>
  </si>
  <si>
    <t>CBDL3207</t>
  </si>
  <si>
    <t>1 Cecil Lodge Spa Road</t>
  </si>
  <si>
    <t>LD1 5EY</t>
  </si>
  <si>
    <t>CBDL3427</t>
  </si>
  <si>
    <t>CBDL3499</t>
  </si>
  <si>
    <t xml:space="preserve">Niwbwrch </t>
  </si>
  <si>
    <t>LL61 6SH</t>
  </si>
  <si>
    <t>CBDL3713</t>
  </si>
  <si>
    <t>1 Trem Y Dolydd Dolgarrog</t>
  </si>
  <si>
    <t>LL32 8AE</t>
  </si>
  <si>
    <t>CBDL3714</t>
  </si>
  <si>
    <t xml:space="preserve">42 York Road </t>
  </si>
  <si>
    <t>NR30 2ND</t>
  </si>
  <si>
    <t>CBDL3720</t>
  </si>
  <si>
    <t xml:space="preserve">112 Coedriglan Drive </t>
  </si>
  <si>
    <t>CF5 4UQ</t>
  </si>
  <si>
    <t>CBDL3721</t>
  </si>
  <si>
    <t>Unit 8 St Giles Technology Park Pool Rd</t>
  </si>
  <si>
    <t xml:space="preserve">Powys </t>
  </si>
  <si>
    <t>CBDL3936</t>
  </si>
  <si>
    <t>1 Glanrhyd Road Ystradgynlais</t>
  </si>
  <si>
    <t>SA9 1AU</t>
  </si>
  <si>
    <t>CBDL3937</t>
  </si>
  <si>
    <t>Albert Road Talywain</t>
  </si>
  <si>
    <t>NP4 7RL</t>
  </si>
  <si>
    <t>CBDL3940</t>
  </si>
  <si>
    <t>Unit 22 Mercia Way</t>
  </si>
  <si>
    <t>Bells Close Industrial Estate</t>
  </si>
  <si>
    <t>NE15 6UG</t>
  </si>
  <si>
    <t>CBDL3946</t>
  </si>
  <si>
    <t xml:space="preserve">15 Berwick Way </t>
  </si>
  <si>
    <t>TN14 5EY</t>
  </si>
  <si>
    <t>CBDL4207</t>
  </si>
  <si>
    <t>19 New Road Neath abbey</t>
  </si>
  <si>
    <t>SA10 7NH</t>
  </si>
  <si>
    <t>CBDL4208</t>
  </si>
  <si>
    <t>Ty Ucha Farm Pen Y Cefn</t>
  </si>
  <si>
    <t>CH7 5BQ</t>
  </si>
  <si>
    <t>CBDL4213</t>
  </si>
  <si>
    <t xml:space="preserve">49 Dillwyn Street </t>
  </si>
  <si>
    <t>SA15 1BT</t>
  </si>
  <si>
    <t>CBDL4216</t>
  </si>
  <si>
    <t>8 Welsh Road Garden City</t>
  </si>
  <si>
    <t>CH5 2RA</t>
  </si>
  <si>
    <t>CBDL4448</t>
  </si>
  <si>
    <t>Laurel Bank Paddock Close</t>
  </si>
  <si>
    <t>Platt</t>
  </si>
  <si>
    <t>TN15 8NN</t>
  </si>
  <si>
    <t>CBDL4876</t>
  </si>
  <si>
    <t>Moelfre Llangynog</t>
  </si>
  <si>
    <t>SA33 5BS</t>
  </si>
  <si>
    <t>CBDL4880</t>
  </si>
  <si>
    <t>Fron Deg Grove Road</t>
  </si>
  <si>
    <t>LL16 3UU</t>
  </si>
  <si>
    <t>CBDL4885</t>
  </si>
  <si>
    <t xml:space="preserve">12 Pant Y Barcud </t>
  </si>
  <si>
    <t>SA31 3GL</t>
  </si>
  <si>
    <t>CBDL5107</t>
  </si>
  <si>
    <t xml:space="preserve">71 Claremont Road </t>
  </si>
  <si>
    <t>FY1 2QH</t>
  </si>
  <si>
    <t>CBDU5638</t>
  </si>
  <si>
    <t>10 Bro Llwyndu Penygroes</t>
  </si>
  <si>
    <t>LL54 6PR</t>
  </si>
  <si>
    <t>CBDL6141</t>
  </si>
  <si>
    <t xml:space="preserve">Unit 1 Whittle Road </t>
  </si>
  <si>
    <t>CF11 8AT</t>
  </si>
  <si>
    <t>CBDU6142</t>
  </si>
  <si>
    <t>19 Gwendraeth Road Y Tymbl</t>
  </si>
  <si>
    <t>SA14 6HF</t>
  </si>
  <si>
    <t>CBDU6143</t>
  </si>
  <si>
    <t>51 Heol Y Parc Hendy</t>
  </si>
  <si>
    <t>SA4 0XF</t>
  </si>
  <si>
    <t>CBDL6148</t>
  </si>
  <si>
    <t>189 Heol Gat Penygroes</t>
  </si>
  <si>
    <t>SA14 7RW</t>
  </si>
  <si>
    <t>CBDU5880</t>
  </si>
  <si>
    <t>Ashlyn Gold Street</t>
  </si>
  <si>
    <t>Podington</t>
  </si>
  <si>
    <t>NN29 7HX</t>
  </si>
  <si>
    <t>CBDU5881</t>
  </si>
  <si>
    <t>19 Lon Mafon Sketty</t>
  </si>
  <si>
    <t>SA2 9EP</t>
  </si>
  <si>
    <t>CBDU5882</t>
  </si>
  <si>
    <t>Old Barn Pontnewydd Ar Wy</t>
  </si>
  <si>
    <t>LD1 6HY</t>
  </si>
  <si>
    <t>CBDU5883</t>
  </si>
  <si>
    <t xml:space="preserve">165 Maesglas </t>
  </si>
  <si>
    <t>SA43 1AY</t>
  </si>
  <si>
    <t>CBDU5884</t>
  </si>
  <si>
    <t>Ty Clogwen Arthur Street</t>
  </si>
  <si>
    <t>CF45 3BL</t>
  </si>
  <si>
    <t>CBDU5885</t>
  </si>
  <si>
    <t>Unit 17 Ystradgynlais Workshops</t>
  </si>
  <si>
    <t>Trawsfford Road</t>
  </si>
  <si>
    <t>CBDU5886</t>
  </si>
  <si>
    <t>4 Mostyn View New Brighton</t>
  </si>
  <si>
    <t>LL11 3DT</t>
  </si>
  <si>
    <t>CBDU5888</t>
  </si>
  <si>
    <t>136 Pack Horse Road Melbourne</t>
  </si>
  <si>
    <t>DE73 8BZ</t>
  </si>
  <si>
    <t>CBDL5893</t>
  </si>
  <si>
    <t>Graig Ddu Ffordd Manod</t>
  </si>
  <si>
    <t>LL41 4DE</t>
  </si>
  <si>
    <t>CBDU5895</t>
  </si>
  <si>
    <t xml:space="preserve">19 Fryatts Way </t>
  </si>
  <si>
    <t>Bexhill-on-Sea</t>
  </si>
  <si>
    <t>TN39 4LW</t>
  </si>
  <si>
    <t>CBDL6389</t>
  </si>
  <si>
    <t xml:space="preserve">Heol Copperworks </t>
  </si>
  <si>
    <t>CBDU6395</t>
  </si>
  <si>
    <t xml:space="preserve">39 Heol Bethlehem </t>
  </si>
  <si>
    <t>SA10 6AW</t>
  </si>
  <si>
    <t>CBDL6695</t>
  </si>
  <si>
    <t>Frongelli Tymbl Uchaf</t>
  </si>
  <si>
    <t>SA14 6DF</t>
  </si>
  <si>
    <t>CBDU6697</t>
  </si>
  <si>
    <t>93 Palleg Road Cwm-Twrch Isaf</t>
  </si>
  <si>
    <t>SA9 2QF</t>
  </si>
  <si>
    <t>CBDL6699</t>
  </si>
  <si>
    <t xml:space="preserve">14 Daniel Street </t>
  </si>
  <si>
    <t>CF63 1QX</t>
  </si>
  <si>
    <t>CBDL6701</t>
  </si>
  <si>
    <t>3/4 ZWIRKI I WIGURY 3/4</t>
  </si>
  <si>
    <t>GRODZISK MAZOWIECKI</t>
  </si>
  <si>
    <t>02-784</t>
  </si>
  <si>
    <t>POLAND</t>
  </si>
  <si>
    <t>CBDL6706</t>
  </si>
  <si>
    <t>35 Heol Y Waun Pontlliw</t>
  </si>
  <si>
    <t>SA4 9EW</t>
  </si>
  <si>
    <t>CBDL6709</t>
  </si>
  <si>
    <t xml:space="preserve">288 Pilton Vale </t>
  </si>
  <si>
    <t>NP20 6LS</t>
  </si>
  <si>
    <t>CBDL6710</t>
  </si>
  <si>
    <t xml:space="preserve">Whitby Place </t>
  </si>
  <si>
    <t>NP19 8DQ</t>
  </si>
  <si>
    <t>CBDL6933</t>
  </si>
  <si>
    <t xml:space="preserve">20 Raynham Road </t>
  </si>
  <si>
    <t>W6 0HY</t>
  </si>
  <si>
    <t>CBDU6938</t>
  </si>
  <si>
    <t>260 Conway Road Mochdre</t>
  </si>
  <si>
    <t>CBDU6940</t>
  </si>
  <si>
    <t xml:space="preserve">37 Turberville Road </t>
  </si>
  <si>
    <t>NP44 1QQ</t>
  </si>
  <si>
    <t>CBDU6941</t>
  </si>
  <si>
    <t>Ty Hen Mynydd Mechell</t>
  </si>
  <si>
    <t>LL68 0TF</t>
  </si>
  <si>
    <t>CBDL6946</t>
  </si>
  <si>
    <t>9 Victoria Street Uplands</t>
  </si>
  <si>
    <t>SA2 0NE</t>
  </si>
  <si>
    <t>CBDU6434</t>
  </si>
  <si>
    <t>Penishawain Cottage Llanfilo</t>
  </si>
  <si>
    <t>LD3 0TY</t>
  </si>
  <si>
    <t>CBDU6438</t>
  </si>
  <si>
    <t>151 Beaufort Hill Beaufort</t>
  </si>
  <si>
    <t>NP23 5QS</t>
  </si>
  <si>
    <t>CBDU6443</t>
  </si>
  <si>
    <t>White House Cottage Bryncethin</t>
  </si>
  <si>
    <t>CF32 9YR</t>
  </si>
  <si>
    <t>CBDL6444</t>
  </si>
  <si>
    <t>Derlwyn Station Road</t>
  </si>
  <si>
    <t>Caehopkin</t>
  </si>
  <si>
    <t>Abercraf</t>
  </si>
  <si>
    <t>SA9 1TP</t>
  </si>
  <si>
    <t>CBDU6445</t>
  </si>
  <si>
    <t>Broadlane yard Broadlane</t>
  </si>
  <si>
    <t>Pipehill</t>
  </si>
  <si>
    <t>Lichfield</t>
  </si>
  <si>
    <t>WS138JR</t>
  </si>
  <si>
    <t>CBDU6447</t>
  </si>
  <si>
    <t>Springvale Llandrinio</t>
  </si>
  <si>
    <t>SY22 6SB</t>
  </si>
  <si>
    <t>CBDU6450</t>
  </si>
  <si>
    <t>Unit 13 Ffrwdgrech Industrial Estate</t>
  </si>
  <si>
    <t>CBDU6451</t>
  </si>
  <si>
    <t>Redlands Duffryn Road</t>
  </si>
  <si>
    <t>NP13 1HJ</t>
  </si>
  <si>
    <t>CBDU6453</t>
  </si>
  <si>
    <t>Tyddyn Bach Caeathro</t>
  </si>
  <si>
    <t>LL55 2TL</t>
  </si>
  <si>
    <t>CBDU7286</t>
  </si>
  <si>
    <t>Perfeddgoed Farm Caerhun</t>
  </si>
  <si>
    <t>LL57 4DS</t>
  </si>
  <si>
    <t>CBDU7288</t>
  </si>
  <si>
    <t>1 Waun Dafydd Cefn Cribwr</t>
  </si>
  <si>
    <t>CF32 0AB</t>
  </si>
  <si>
    <t>CBDL7289</t>
  </si>
  <si>
    <t>10 saint giles park</t>
  </si>
  <si>
    <t>pool road</t>
  </si>
  <si>
    <t>sy163aj</t>
  </si>
  <si>
    <t>CBDU7293</t>
  </si>
  <si>
    <t xml:space="preserve">28 Georges Row </t>
  </si>
  <si>
    <t>CF64 4LF</t>
  </si>
  <si>
    <t>CBDU7294</t>
  </si>
  <si>
    <t xml:space="preserve">2-3 Ruperra Street </t>
  </si>
  <si>
    <t>NP20 2BA</t>
  </si>
  <si>
    <t>CBDU7295</t>
  </si>
  <si>
    <t>29 Bellevue Road West Cross</t>
  </si>
  <si>
    <t>SA3 5QB</t>
  </si>
  <si>
    <t>CBDU7296</t>
  </si>
  <si>
    <t>36 Heol Llanelli Trimsaran</t>
  </si>
  <si>
    <t>SA17 4AA</t>
  </si>
  <si>
    <t>CBDL7525</t>
  </si>
  <si>
    <t>CBDU7527</t>
  </si>
  <si>
    <t xml:space="preserve">148 Springwood </t>
  </si>
  <si>
    <t>CF23 6UF</t>
  </si>
  <si>
    <t>CBDU7531</t>
  </si>
  <si>
    <t xml:space="preserve">9 Glanafon </t>
  </si>
  <si>
    <t>SA46 0EW</t>
  </si>
  <si>
    <t>CBDL7532</t>
  </si>
  <si>
    <t>Church Road Blaenavon</t>
  </si>
  <si>
    <t>NP4 9AS</t>
  </si>
  <si>
    <t>CBDL7031</t>
  </si>
  <si>
    <t>10 Tawe Place Clydach</t>
  </si>
  <si>
    <t>CBDL7032</t>
  </si>
  <si>
    <t>Greystones Old Dairy Fovant</t>
  </si>
  <si>
    <t>SP3 5JQ</t>
  </si>
  <si>
    <t>CBDU7035</t>
  </si>
  <si>
    <t>Penrhos Swyddffynnon</t>
  </si>
  <si>
    <t>SY25 6AW</t>
  </si>
  <si>
    <t>CBDU7038</t>
  </si>
  <si>
    <t>25 Penybryn Caravan Park</t>
  </si>
  <si>
    <t>SA14 9SQ</t>
  </si>
  <si>
    <t>CBDU7042</t>
  </si>
  <si>
    <t>35 Grafton Close Penylan</t>
  </si>
  <si>
    <t>CF23 9JA</t>
  </si>
  <si>
    <t>CBDU7043</t>
  </si>
  <si>
    <t>Mardy Farm Mardy Road</t>
  </si>
  <si>
    <t>CBDL7942</t>
  </si>
  <si>
    <t>Mill Farm Hendrew Lane</t>
  </si>
  <si>
    <t>Llandevaud</t>
  </si>
  <si>
    <t>NP18 2AB</t>
  </si>
  <si>
    <t>CBDL7943</t>
  </si>
  <si>
    <t xml:space="preserve">44 Splott Road </t>
  </si>
  <si>
    <t>CF24 2DA</t>
  </si>
  <si>
    <t>CBDL7944</t>
  </si>
  <si>
    <t>7 West End Tanygrisiau</t>
  </si>
  <si>
    <t>LL41 3SR</t>
  </si>
  <si>
    <t>CBDU7947</t>
  </si>
  <si>
    <t>Calcot Hall Lixwm Road</t>
  </si>
  <si>
    <t>CH8 8LR</t>
  </si>
  <si>
    <t>CBDU8178</t>
  </si>
  <si>
    <t xml:space="preserve">56 Albert Avenue </t>
  </si>
  <si>
    <t>CH6 5EL</t>
  </si>
  <si>
    <t>CBDU8180</t>
  </si>
  <si>
    <t xml:space="preserve">41 Percy Road </t>
  </si>
  <si>
    <t>LL13 7EA</t>
  </si>
  <si>
    <t>CBDU8182</t>
  </si>
  <si>
    <t>28 Manselton Road Manselton</t>
  </si>
  <si>
    <t>SA5 8PG</t>
  </si>
  <si>
    <t>CBDL8183</t>
  </si>
  <si>
    <t>The Bridgend Hanbury Road</t>
  </si>
  <si>
    <t>CBDU8186</t>
  </si>
  <si>
    <t>Ty Gwyn Uchaf Clawddnewydd</t>
  </si>
  <si>
    <t>LL30 3EA</t>
  </si>
  <si>
    <t>CBDU8188</t>
  </si>
  <si>
    <t>19 Anneddle Pensarn</t>
  </si>
  <si>
    <t>LL22 7SB</t>
  </si>
  <si>
    <t>CBDL8189</t>
  </si>
  <si>
    <t>Glynmeini Hennoyadd Road</t>
  </si>
  <si>
    <t>SA9 1UR</t>
  </si>
  <si>
    <t>CBDU8190</t>
  </si>
  <si>
    <t>Dolcoed High Street</t>
  </si>
  <si>
    <t>SA43 2SL</t>
  </si>
  <si>
    <t>CBDL7696</t>
  </si>
  <si>
    <t>21 St. Hildas Plaxtol</t>
  </si>
  <si>
    <t>TN15 0QN</t>
  </si>
  <si>
    <t>CBDL7697</t>
  </si>
  <si>
    <t xml:space="preserve">Beach Parade </t>
  </si>
  <si>
    <t>SA46 0BE</t>
  </si>
  <si>
    <t>CBDU7698</t>
  </si>
  <si>
    <t>9 Maes Yr Efail Henllan</t>
  </si>
  <si>
    <t>LL16 5AU</t>
  </si>
  <si>
    <t>CBDU7702</t>
  </si>
  <si>
    <t xml:space="preserve">40 Stokewood Road </t>
  </si>
  <si>
    <t>BH3 7NE</t>
  </si>
  <si>
    <t>CBDL7703</t>
  </si>
  <si>
    <t>93 High Street Caeharris</t>
  </si>
  <si>
    <t>CF48 3HB</t>
  </si>
  <si>
    <t>CBDU7706</t>
  </si>
  <si>
    <t>Trefin Ffordd Amlwch</t>
  </si>
  <si>
    <t>LL74 8SR</t>
  </si>
  <si>
    <t>CBDL7711</t>
  </si>
  <si>
    <t xml:space="preserve">333 Heol Trelai </t>
  </si>
  <si>
    <t>CF5 5LH</t>
  </si>
  <si>
    <t>CBDU7713</t>
  </si>
  <si>
    <t>2 Aberclydach Place Clydach</t>
  </si>
  <si>
    <t>SA6 5BU</t>
  </si>
  <si>
    <t>CBDU8342</t>
  </si>
  <si>
    <t>The Steppes Croes Bleddyn Farm</t>
  </si>
  <si>
    <t>Itton</t>
  </si>
  <si>
    <t>CBDU8343</t>
  </si>
  <si>
    <t xml:space="preserve">2 Holly Road Ty-sign </t>
  </si>
  <si>
    <t>NP11 6HX</t>
  </si>
  <si>
    <t>CBDL8345</t>
  </si>
  <si>
    <t xml:space="preserve">22 Barnfield </t>
  </si>
  <si>
    <t>Hemel Hempstead</t>
  </si>
  <si>
    <t>HP3 9QH</t>
  </si>
  <si>
    <t>CBDL8347</t>
  </si>
  <si>
    <t>45 Hyde End Road Shinfield</t>
  </si>
  <si>
    <t>RG2 9EP</t>
  </si>
  <si>
    <t>CBDU8348</t>
  </si>
  <si>
    <t>16 Mill Lane Merlins Bridge</t>
  </si>
  <si>
    <t>SA61 1XB</t>
  </si>
  <si>
    <t>CBDU8594</t>
  </si>
  <si>
    <t xml:space="preserve">26 Glascoed </t>
  </si>
  <si>
    <t>SA15 4AW</t>
  </si>
  <si>
    <t>CBDU8595</t>
  </si>
  <si>
    <t>Degar Farm Llanhari</t>
  </si>
  <si>
    <t>CBDU8599</t>
  </si>
  <si>
    <t>16 Heol Cwmmawr Drefach</t>
  </si>
  <si>
    <t>SA14 7AA</t>
  </si>
  <si>
    <t>CBDU8601</t>
  </si>
  <si>
    <t>Long Acre Binnerton Road</t>
  </si>
  <si>
    <t>Leedstown</t>
  </si>
  <si>
    <t>Hayle</t>
  </si>
  <si>
    <t>TR27 6BJ</t>
  </si>
  <si>
    <t>CBDU8602</t>
  </si>
  <si>
    <t xml:space="preserve">128 Haven Road </t>
  </si>
  <si>
    <t>CBDU8603</t>
  </si>
  <si>
    <t>55 Portmead Avenue Blaenymaes</t>
  </si>
  <si>
    <t>SA5 5QA</t>
  </si>
  <si>
    <t>CBDL8607</t>
  </si>
  <si>
    <t>Dolau Sancler</t>
  </si>
  <si>
    <t>SA33 4JR</t>
  </si>
  <si>
    <t>CBDL8828</t>
  </si>
  <si>
    <t xml:space="preserve">14 Lower High Street </t>
  </si>
  <si>
    <t>CBDU8830</t>
  </si>
  <si>
    <t>1 Railway Terrace</t>
  </si>
  <si>
    <t>LL16 4UR</t>
  </si>
  <si>
    <t>CBDU8835</t>
  </si>
  <si>
    <t>25 Shirenewton Caravan Park Wentloog Road</t>
  </si>
  <si>
    <t>CBDL8836</t>
  </si>
  <si>
    <t>CBDL8837</t>
  </si>
  <si>
    <t>Elidir Llanaelhaearn</t>
  </si>
  <si>
    <t>LL54 5AG</t>
  </si>
  <si>
    <t>CBDL8839</t>
  </si>
  <si>
    <t>11 Meriton Orton Goldhay</t>
  </si>
  <si>
    <t>PE2 5RE</t>
  </si>
  <si>
    <t>CBDL8973</t>
  </si>
  <si>
    <t>6 Mervyn Road Tremorfa</t>
  </si>
  <si>
    <t>CF24 2SR</t>
  </si>
  <si>
    <t>CBDU8976</t>
  </si>
  <si>
    <t>17 Trinant Terrace Pentwyn Crumlin</t>
  </si>
  <si>
    <t>CBDU8977</t>
  </si>
  <si>
    <t>16 Clive Road Canton</t>
  </si>
  <si>
    <t>CF5 1HJ</t>
  </si>
  <si>
    <t>CBDU8978</t>
  </si>
  <si>
    <t xml:space="preserve">34 Holborn Road </t>
  </si>
  <si>
    <t>LL65 2AT</t>
  </si>
  <si>
    <t>CBDU8980</t>
  </si>
  <si>
    <t>101 Heol Twrch Cwm-Twrch Isaf</t>
  </si>
  <si>
    <t>SA9 2TE</t>
  </si>
  <si>
    <t>CBDU8983</t>
  </si>
  <si>
    <t>Creigydd Farm Candwr Road</t>
  </si>
  <si>
    <t>CBDL8984</t>
  </si>
  <si>
    <t xml:space="preserve">39 William Street </t>
  </si>
  <si>
    <t>SA1 3QS</t>
  </si>
  <si>
    <t>CBDL9234</t>
  </si>
  <si>
    <t>Cwrt Bleddyn Lane Two Locks</t>
  </si>
  <si>
    <t>NP44 7JB</t>
  </si>
  <si>
    <t>CBDU9239</t>
  </si>
  <si>
    <t>Trewern Welshpool</t>
  </si>
  <si>
    <t>SY21 8DU</t>
  </si>
  <si>
    <t>CBDU9240</t>
  </si>
  <si>
    <t xml:space="preserve">Lakefield </t>
  </si>
  <si>
    <t>SA40 9RL</t>
  </si>
  <si>
    <t>CBDL9243</t>
  </si>
  <si>
    <t>Unit 2 Blenheim Road</t>
  </si>
  <si>
    <t>St. Dials</t>
  </si>
  <si>
    <t>NP44 4AE</t>
  </si>
  <si>
    <t>CBDU9466</t>
  </si>
  <si>
    <t>Ddulley Bank Llaethdy</t>
  </si>
  <si>
    <t>LD1 6YS</t>
  </si>
  <si>
    <t>CBDU9469</t>
  </si>
  <si>
    <t>Iscoed Coychurch Road</t>
  </si>
  <si>
    <t>CF35 5NA</t>
  </si>
  <si>
    <t>CBDU9470</t>
  </si>
  <si>
    <t>The Breeches Cross Common Road</t>
  </si>
  <si>
    <t>CF64 4TP</t>
  </si>
  <si>
    <t>CBDU9471</t>
  </si>
  <si>
    <t>10 Kingsley Close Sully</t>
  </si>
  <si>
    <t>CF64 5UW</t>
  </si>
  <si>
    <t>CBDU9674</t>
  </si>
  <si>
    <t>6 Bronant Estate Trefnant</t>
  </si>
  <si>
    <t>LL16 4UU</t>
  </si>
  <si>
    <t>CBDL9675</t>
  </si>
  <si>
    <t xml:space="preserve">29 Kimberley Close </t>
  </si>
  <si>
    <t>CT16 2JW</t>
  </si>
  <si>
    <t>CBDL9676</t>
  </si>
  <si>
    <t>21 Heol Glantawe Ystradgynlais</t>
  </si>
  <si>
    <t>SA9 1ES</t>
  </si>
  <si>
    <t>CBDU9677</t>
  </si>
  <si>
    <t>CBDU9678</t>
  </si>
  <si>
    <t>1162 Neath Road Plasmarl</t>
  </si>
  <si>
    <t>SA6 8JW</t>
  </si>
  <si>
    <t>CBDU9679</t>
  </si>
  <si>
    <t>10 Llys Tudor Castell Caereinion</t>
  </si>
  <si>
    <t>SY21 9DY</t>
  </si>
  <si>
    <t>CBDL9680</t>
  </si>
  <si>
    <t>Owen House Llewellyn Street</t>
  </si>
  <si>
    <t>Nantymoel</t>
  </si>
  <si>
    <t>CF32 7RF</t>
  </si>
  <si>
    <t>CBDL9684</t>
  </si>
  <si>
    <t>Wardhome Hen-Domen</t>
  </si>
  <si>
    <t>SY15 6HD</t>
  </si>
  <si>
    <t>CBDU9686</t>
  </si>
  <si>
    <t>17 Bryn Gwenfro Tanyfron</t>
  </si>
  <si>
    <t>LL11 5SW</t>
  </si>
  <si>
    <t>CBDL9687</t>
  </si>
  <si>
    <t>Gardden Hall Farm Ruabon</t>
  </si>
  <si>
    <t>LL14 6RB</t>
  </si>
  <si>
    <t>CBDL9912</t>
  </si>
  <si>
    <t>101 New Road Ystradowen</t>
  </si>
  <si>
    <t>SA9 2YG</t>
  </si>
  <si>
    <t>CBDU9917</t>
  </si>
  <si>
    <t xml:space="preserve">37 Lydstep Crescent </t>
  </si>
  <si>
    <t>CF14 2QZ</t>
  </si>
  <si>
    <t>CBDU9918</t>
  </si>
  <si>
    <t xml:space="preserve">14 Maindee Parade </t>
  </si>
  <si>
    <t>NP19 8FJ</t>
  </si>
  <si>
    <t>CBDU9919</t>
  </si>
  <si>
    <t>Southside Picton Road</t>
  </si>
  <si>
    <t>SA70 7DP</t>
  </si>
  <si>
    <t>CBDU9920</t>
  </si>
  <si>
    <t xml:space="preserve">Tan Y Graig </t>
  </si>
  <si>
    <t>SY17 5BG</t>
  </si>
  <si>
    <t>CBDU9921</t>
  </si>
  <si>
    <t>8 Robert Owen Gardens Port Tennant</t>
  </si>
  <si>
    <t>SA1 8NP</t>
  </si>
  <si>
    <t>CBDL9923</t>
  </si>
  <si>
    <t xml:space="preserve">120 Birkenshaw Road </t>
  </si>
  <si>
    <t>B44 8UJ</t>
  </si>
  <si>
    <t>CBDU9924</t>
  </si>
  <si>
    <t>1 Rose Terrace Bettws</t>
  </si>
  <si>
    <t>CF32 8SY</t>
  </si>
  <si>
    <t>CBDU9926</t>
  </si>
  <si>
    <t xml:space="preserve">8 Cromie Avenue </t>
  </si>
  <si>
    <t>CBDU9929</t>
  </si>
  <si>
    <t>77 Llannerch Road West Llandrillo-yn-Rhos</t>
  </si>
  <si>
    <t>CBDL10236</t>
  </si>
  <si>
    <t xml:space="preserve">4 Grasmere Close </t>
  </si>
  <si>
    <t>LL19 7TU</t>
  </si>
  <si>
    <t>CBDU10245</t>
  </si>
  <si>
    <t>8 Wainwright Close Rhos on Sea</t>
  </si>
  <si>
    <t>LL28 4DZ</t>
  </si>
  <si>
    <t>CBDL10473</t>
  </si>
  <si>
    <t>11 High Street</t>
  </si>
  <si>
    <t>PRESTEIGNE</t>
  </si>
  <si>
    <t>LD82BA</t>
  </si>
  <si>
    <t>CBDU10476</t>
  </si>
  <si>
    <t>Mountain Level Caravans Pontypool</t>
  </si>
  <si>
    <t>CBDU10479</t>
  </si>
  <si>
    <t xml:space="preserve">26 Porthamal Road </t>
  </si>
  <si>
    <t>CF14 6AR</t>
  </si>
  <si>
    <t>CBDU10482</t>
  </si>
  <si>
    <t>12 Cadoc Road Pontnewydd</t>
  </si>
  <si>
    <t>NP44 1HA</t>
  </si>
  <si>
    <t>CBDU10486</t>
  </si>
  <si>
    <t>25 Teilos Drive Brackla</t>
  </si>
  <si>
    <t>CF31 2QR</t>
  </si>
  <si>
    <t>CBDL10679</t>
  </si>
  <si>
    <t>Holly House Broadfield Hill</t>
  </si>
  <si>
    <t>SA69 9PA</t>
  </si>
  <si>
    <t>CBDL10680</t>
  </si>
  <si>
    <t xml:space="preserve">92 High Street </t>
  </si>
  <si>
    <t>CF62 7DY</t>
  </si>
  <si>
    <t>CBDL10681</t>
  </si>
  <si>
    <t>4-6 Chapel Street Pontnewydd</t>
  </si>
  <si>
    <t>NP44 1DW</t>
  </si>
  <si>
    <t>CBDL10684</t>
  </si>
  <si>
    <t>Pant-y-Caerau Church Road</t>
  </si>
  <si>
    <t>CF15 9QF</t>
  </si>
  <si>
    <t>CBDU10829</t>
  </si>
  <si>
    <t xml:space="preserve">14 Windmill Lane </t>
  </si>
  <si>
    <t>CF61 2SU</t>
  </si>
  <si>
    <t>CBDL10836</t>
  </si>
  <si>
    <t xml:space="preserve">Gelli Road </t>
  </si>
  <si>
    <t>SA14 9AD</t>
  </si>
  <si>
    <t>CBDU10839</t>
  </si>
  <si>
    <t>91 Blaenau Road Llandybie</t>
  </si>
  <si>
    <t>SA18 3AJ</t>
  </si>
  <si>
    <t>CBDU10841</t>
  </si>
  <si>
    <t>118 Pennard Drive Southgate</t>
  </si>
  <si>
    <t>SA3 2DP</t>
  </si>
  <si>
    <t>CBDU10845</t>
  </si>
  <si>
    <t>High Street Dyserth</t>
  </si>
  <si>
    <t>LL18 6AA</t>
  </si>
  <si>
    <t>CBDU10846</t>
  </si>
  <si>
    <t>247 Cwmamman Road Glanamman</t>
  </si>
  <si>
    <t>SA18 2AN</t>
  </si>
  <si>
    <t>CBDU10847</t>
  </si>
  <si>
    <t>Well House Whitelye</t>
  </si>
  <si>
    <t>Catbrook</t>
  </si>
  <si>
    <t>NP16 6NP</t>
  </si>
  <si>
    <t>CBDU10848</t>
  </si>
  <si>
    <t xml:space="preserve">20 Oaklands Avenue </t>
  </si>
  <si>
    <t>CF31 4ST</t>
  </si>
  <si>
    <t>CBDU10849</t>
  </si>
  <si>
    <t xml:space="preserve">19 Coldra Road </t>
  </si>
  <si>
    <t>NP20 4FE</t>
  </si>
  <si>
    <t>CBDU10850</t>
  </si>
  <si>
    <t>9 Veronica Close Rogerstone</t>
  </si>
  <si>
    <t>NP10 9ED</t>
  </si>
  <si>
    <t>CBDL10851</t>
  </si>
  <si>
    <t>18 glebe street</t>
  </si>
  <si>
    <t>cf641ed</t>
  </si>
  <si>
    <t>CBDL11073</t>
  </si>
  <si>
    <t>14 Gwent Terrace Nantyglo</t>
  </si>
  <si>
    <t>CBDU11075</t>
  </si>
  <si>
    <t>87 Wentloog Road Rumney</t>
  </si>
  <si>
    <t>CF3 3HD</t>
  </si>
  <si>
    <t>CBDU11078</t>
  </si>
  <si>
    <t>40 Carn Celyn Beddau</t>
  </si>
  <si>
    <t>CF38 2TF</t>
  </si>
  <si>
    <t>CBDU11084</t>
  </si>
  <si>
    <t xml:space="preserve">24 Danygrug </t>
  </si>
  <si>
    <t>NP8 1DD</t>
  </si>
  <si>
    <t>CBDL11085</t>
  </si>
  <si>
    <t xml:space="preserve">32 Hardwick Avenue </t>
  </si>
  <si>
    <t>NP16 5DS</t>
  </si>
  <si>
    <t>CBDU11088</t>
  </si>
  <si>
    <t xml:space="preserve">17 Adelaide Road </t>
  </si>
  <si>
    <t>High Wycombe</t>
  </si>
  <si>
    <t>HP13 6UR</t>
  </si>
  <si>
    <t>CBDU11904</t>
  </si>
  <si>
    <t xml:space="preserve">42 Victoria Road </t>
  </si>
  <si>
    <t>SA12 6AD</t>
  </si>
  <si>
    <t>CBDU11910</t>
  </si>
  <si>
    <t xml:space="preserve">89 Tudor Street </t>
  </si>
  <si>
    <t>CF11 6AD</t>
  </si>
  <si>
    <t>CBDL11911</t>
  </si>
  <si>
    <t>Bronwylfa Hawarden Road</t>
  </si>
  <si>
    <t>LL12 9BB</t>
  </si>
  <si>
    <t>CBDL11913</t>
  </si>
  <si>
    <t>HB House The Scotlands Ind Estate</t>
  </si>
  <si>
    <t>Coalville</t>
  </si>
  <si>
    <t>Le67 3jj</t>
  </si>
  <si>
    <t>CBDU11914</t>
  </si>
  <si>
    <t>16 Bryn Pobydd Pencoed</t>
  </si>
  <si>
    <t>CF35 6SN</t>
  </si>
  <si>
    <t>CBDL11917</t>
  </si>
  <si>
    <t xml:space="preserve">19 Bron Awelon </t>
  </si>
  <si>
    <t>CF62 6PR</t>
  </si>
  <si>
    <t>CBDL11920</t>
  </si>
  <si>
    <t xml:space="preserve">11 Littlecroft Avenue </t>
  </si>
  <si>
    <t>CF5 5AF</t>
  </si>
  <si>
    <t>CBDU11921</t>
  </si>
  <si>
    <t>Pen Y Bontbren Rhos</t>
  </si>
  <si>
    <t>SA8 3JT</t>
  </si>
  <si>
    <t>CBDL11924</t>
  </si>
  <si>
    <t>Glyn-y-Mul Farm Aberdulais</t>
  </si>
  <si>
    <t>SA10 8HF</t>
  </si>
  <si>
    <t>CBDU11369</t>
  </si>
  <si>
    <t xml:space="preserve">13 Andrew Street </t>
  </si>
  <si>
    <t>SA15 3YW</t>
  </si>
  <si>
    <t>CBDL11370</t>
  </si>
  <si>
    <t>6 Y Gilwern Ystalyfera</t>
  </si>
  <si>
    <t>SA9 2ND</t>
  </si>
  <si>
    <t>CBDL11374</t>
  </si>
  <si>
    <t>The Laurels Plasyfron</t>
  </si>
  <si>
    <t>SA65 9LR</t>
  </si>
  <si>
    <t>CBDL11376</t>
  </si>
  <si>
    <t>1 The Mount Penally</t>
  </si>
  <si>
    <t>SA70 7PZ</t>
  </si>
  <si>
    <t>CBDL11378</t>
  </si>
  <si>
    <t>Elm Court St. Donat's</t>
  </si>
  <si>
    <t>CBDU11379</t>
  </si>
  <si>
    <t>Bryn Bedw Llangynhafal</t>
  </si>
  <si>
    <t>LL15 1RU</t>
  </si>
  <si>
    <t>CBDU11604</t>
  </si>
  <si>
    <t>Ivy Bungalow Broad Street Common</t>
  </si>
  <si>
    <t>CBDU11607</t>
  </si>
  <si>
    <t xml:space="preserve">14 Pen-y-Lan Place </t>
  </si>
  <si>
    <t>CF23 5HE</t>
  </si>
  <si>
    <t>CBDU11610</t>
  </si>
  <si>
    <t>21 Calderton Road Beddau</t>
  </si>
  <si>
    <t>CF38 2LL</t>
  </si>
  <si>
    <t>CBDU11831</t>
  </si>
  <si>
    <t>1 Bankydderwen Derwydd Road</t>
  </si>
  <si>
    <t>SA18 2NQ</t>
  </si>
  <si>
    <t>CBDU11833</t>
  </si>
  <si>
    <t>5 Ivor Street Cwmcarn</t>
  </si>
  <si>
    <t>NP11 7EG</t>
  </si>
  <si>
    <t>CBDU12126</t>
  </si>
  <si>
    <t>Bryn Alaw House Cemetry Road</t>
  </si>
  <si>
    <t>CF34 0LW</t>
  </si>
  <si>
    <t>CBDU12127</t>
  </si>
  <si>
    <t>Unit 2 Hadnock Road Industrial Estate</t>
  </si>
  <si>
    <t>Hadnock Road</t>
  </si>
  <si>
    <t>NP25 3QG</t>
  </si>
  <si>
    <t>CBDU12129</t>
  </si>
  <si>
    <t>39 Essex Court Station Road</t>
  </si>
  <si>
    <t>SW13 0ER</t>
  </si>
  <si>
    <t>CBDL12138</t>
  </si>
  <si>
    <t xml:space="preserve">Abercynon </t>
  </si>
  <si>
    <t>CF45 4RT</t>
  </si>
  <si>
    <t>CBDU12139</t>
  </si>
  <si>
    <t>495 Middle Road Gendros</t>
  </si>
  <si>
    <t>SA5 8EQ</t>
  </si>
  <si>
    <t>CBDL12342</t>
  </si>
  <si>
    <t>52 Hillside Drive</t>
  </si>
  <si>
    <t>NP4 5SE</t>
  </si>
  <si>
    <t>CBDU12344</t>
  </si>
  <si>
    <t>193 Oxford Street Pontycymer</t>
  </si>
  <si>
    <t>CF32 8DE</t>
  </si>
  <si>
    <t>CBDU12345</t>
  </si>
  <si>
    <t xml:space="preserve">4 Lon Y Ffin </t>
  </si>
  <si>
    <t>CF5 4ST</t>
  </si>
  <si>
    <t>CBDU12348</t>
  </si>
  <si>
    <t>CBDL12349</t>
  </si>
  <si>
    <t>31 Walden Crescent Chirk</t>
  </si>
  <si>
    <t>LL14 5LL</t>
  </si>
  <si>
    <t>CBDU12688</t>
  </si>
  <si>
    <t xml:space="preserve">50 Cranleigh Mead </t>
  </si>
  <si>
    <t>Cranleigh</t>
  </si>
  <si>
    <t>GU6 7JS</t>
  </si>
  <si>
    <t>CBDU12689</t>
  </si>
  <si>
    <t>Pen Y Cribin Groesffordd Marli</t>
  </si>
  <si>
    <t>LL22 9EA</t>
  </si>
  <si>
    <t>CBDL12904</t>
  </si>
  <si>
    <t>23 Hael Lane Southgate</t>
  </si>
  <si>
    <t>SA3 2AP</t>
  </si>
  <si>
    <t>CBDU12907</t>
  </si>
  <si>
    <t xml:space="preserve">10 Mill Street </t>
  </si>
  <si>
    <t>SA48 7HX</t>
  </si>
  <si>
    <t>CBDU12913</t>
  </si>
  <si>
    <t xml:space="preserve">25 Ffordd Coed Mawr </t>
  </si>
  <si>
    <t>LL57 4TH</t>
  </si>
  <si>
    <t>CBDL13282</t>
  </si>
  <si>
    <t xml:space="preserve">18-20 Queen Street </t>
  </si>
  <si>
    <t>LL18 1RY</t>
  </si>
  <si>
    <t>CBDL13283</t>
  </si>
  <si>
    <t>SA18 3EN</t>
  </si>
  <si>
    <t>CBDU13284</t>
  </si>
  <si>
    <t xml:space="preserve">1 Parry Road </t>
  </si>
  <si>
    <t>SA12 7TR</t>
  </si>
  <si>
    <t>CBDU13286</t>
  </si>
  <si>
    <t>105 springvale industrial estste</t>
  </si>
  <si>
    <t>springvale</t>
  </si>
  <si>
    <t>CBDU13287</t>
  </si>
  <si>
    <t xml:space="preserve">42 Alexander Court </t>
  </si>
  <si>
    <t>CF83 1RL</t>
  </si>
  <si>
    <t>CBDL13291</t>
  </si>
  <si>
    <t>31 Pant-y-celyn Place</t>
  </si>
  <si>
    <t>St Athan</t>
  </si>
  <si>
    <t xml:space="preserve">Nr Barry </t>
  </si>
  <si>
    <t xml:space="preserve">CF62 4PT </t>
  </si>
  <si>
    <t>CBDU13293</t>
  </si>
  <si>
    <t>CBDL13295</t>
  </si>
  <si>
    <t>93 Moorland Green Gorseinon</t>
  </si>
  <si>
    <t>SA4 4QF</t>
  </si>
  <si>
    <t>CBDU13297</t>
  </si>
  <si>
    <t>66 Walters Road Ogmore Vale</t>
  </si>
  <si>
    <t>CBDU13455</t>
  </si>
  <si>
    <t xml:space="preserve">18 Arthur Street </t>
  </si>
  <si>
    <t>CBDL13460</t>
  </si>
  <si>
    <t>5 Parc Derwen Leeswood</t>
  </si>
  <si>
    <t>CH7 4UH</t>
  </si>
  <si>
    <t>CBDL13463</t>
  </si>
  <si>
    <t>1 Pant Road</t>
  </si>
  <si>
    <t>CF48 3SH</t>
  </si>
  <si>
    <t>CBDL13464</t>
  </si>
  <si>
    <t>Woodstock Cold Inn</t>
  </si>
  <si>
    <t>SA68 0RP</t>
  </si>
  <si>
    <t>CBDU13467</t>
  </si>
  <si>
    <t xml:space="preserve">51 Trevethick Street </t>
  </si>
  <si>
    <t>CF47 0RJ</t>
  </si>
  <si>
    <t>CBDL13470</t>
  </si>
  <si>
    <t>CBDU13471</t>
  </si>
  <si>
    <t>15 Gwynedd Avenue Townhill</t>
  </si>
  <si>
    <t>SA1 6LG</t>
  </si>
  <si>
    <t>CBDL19</t>
  </si>
  <si>
    <t>Miners Barn Llanelly Hill</t>
  </si>
  <si>
    <t>NP7 0PD</t>
  </si>
  <si>
    <t>CBDL511</t>
  </si>
  <si>
    <t>52-53 Verr Street</t>
  </si>
  <si>
    <t>Cadoxton</t>
  </si>
  <si>
    <t>CF63 2HW</t>
  </si>
  <si>
    <t>CBDL520</t>
  </si>
  <si>
    <t>Gwesty Whitehall Hotel s1 Cayley Promenade</t>
  </si>
  <si>
    <t>Rhos on See</t>
  </si>
  <si>
    <t>LL28 4EP</t>
  </si>
  <si>
    <t>CBDL521</t>
  </si>
  <si>
    <t>jarvis coaches gasworks road</t>
  </si>
  <si>
    <t>cf44 6rs</t>
  </si>
  <si>
    <t>CBDL525</t>
  </si>
  <si>
    <t>17 Coed Pena Road</t>
  </si>
  <si>
    <t>St Davids Commercial</t>
  </si>
  <si>
    <t>LL29 7BA</t>
  </si>
  <si>
    <t>CBDL527</t>
  </si>
  <si>
    <t>1 The Square</t>
  </si>
  <si>
    <t>Penpedairheol</t>
  </si>
  <si>
    <t>CF82 8BT</t>
  </si>
  <si>
    <t>CBDL755</t>
  </si>
  <si>
    <t>36a swansea road</t>
  </si>
  <si>
    <t>SA15 3YT</t>
  </si>
  <si>
    <t>CBDL756</t>
  </si>
  <si>
    <t>44 Caergynydd Road</t>
  </si>
  <si>
    <t>SA54RQ</t>
  </si>
  <si>
    <t>CBDL760</t>
  </si>
  <si>
    <t>58 south parade</t>
  </si>
  <si>
    <t>ossett</t>
  </si>
  <si>
    <t>wf5 0el</t>
  </si>
  <si>
    <t>CBDL762</t>
  </si>
  <si>
    <t>57 LLYS GWYNFAEN</t>
  </si>
  <si>
    <t>SA4 4JG</t>
  </si>
  <si>
    <t>CBDL764</t>
  </si>
  <si>
    <t>68 Princess Street Gorseinon</t>
  </si>
  <si>
    <t>SA4 4FT</t>
  </si>
  <si>
    <t>CBDL765</t>
  </si>
  <si>
    <t>Llecyn Llanberis Road</t>
  </si>
  <si>
    <t>Llanrug</t>
  </si>
  <si>
    <t>LL554AN</t>
  </si>
  <si>
    <t>CBDL768</t>
  </si>
  <si>
    <t>St Giles Golf Club Pool Road</t>
  </si>
  <si>
    <t>CBDL769</t>
  </si>
  <si>
    <t>CBDL952</t>
  </si>
  <si>
    <t>Walton Court Walton</t>
  </si>
  <si>
    <t>Walton</t>
  </si>
  <si>
    <t>Ld8 2py</t>
  </si>
  <si>
    <t>CBDL954</t>
  </si>
  <si>
    <t>1 tegid drive</t>
  </si>
  <si>
    <t>newbroughton</t>
  </si>
  <si>
    <t>ll116qa</t>
  </si>
  <si>
    <t>CBDL955</t>
  </si>
  <si>
    <t>3 Lon y Ffrith</t>
  </si>
  <si>
    <t>Craig y Don</t>
  </si>
  <si>
    <t>LL30 1TX</t>
  </si>
  <si>
    <t>CBDL956</t>
  </si>
  <si>
    <t>Plas Newydd Nantglyn</t>
  </si>
  <si>
    <t>LL165PN</t>
  </si>
  <si>
    <t>CBDL957</t>
  </si>
  <si>
    <t>CBDL958</t>
  </si>
  <si>
    <t>CBDL959</t>
  </si>
  <si>
    <t>CBDL961</t>
  </si>
  <si>
    <t>20 St Marys View</t>
  </si>
  <si>
    <t>Coychurch</t>
  </si>
  <si>
    <t>CF355HL</t>
  </si>
  <si>
    <t>CBDL962</t>
  </si>
  <si>
    <t>CBDL1194</t>
  </si>
  <si>
    <t>31 Donovan Reed Gardens</t>
  </si>
  <si>
    <t>SA72 6EW</t>
  </si>
  <si>
    <t>CBDL1195</t>
  </si>
  <si>
    <t>17 St Pauls Terrace</t>
  </si>
  <si>
    <t>Garden Village Gorseinon</t>
  </si>
  <si>
    <t>SA44EY</t>
  </si>
  <si>
    <t>CBDL1196</t>
  </si>
  <si>
    <t>CBDL1438</t>
  </si>
  <si>
    <t>20 high street</t>
  </si>
  <si>
    <t>nelson</t>
  </si>
  <si>
    <t>cf466eu</t>
  </si>
  <si>
    <t>CBDL1439</t>
  </si>
  <si>
    <t>London House High Street</t>
  </si>
  <si>
    <t>LD8 2BE</t>
  </si>
  <si>
    <t>CBDL1447</t>
  </si>
  <si>
    <t xml:space="preserve">avalon station road </t>
  </si>
  <si>
    <t>St clears</t>
  </si>
  <si>
    <t>sa334bz</t>
  </si>
  <si>
    <t>CBDL1449</t>
  </si>
  <si>
    <t>st jude hafodyrynys road</t>
  </si>
  <si>
    <t>hafod yr ynys</t>
  </si>
  <si>
    <t>np11 5be</t>
  </si>
  <si>
    <t>CBDL1667</t>
  </si>
  <si>
    <t>15 Gongl Rhedyn</t>
  </si>
  <si>
    <t>LL670HY</t>
  </si>
  <si>
    <t>CBDL1668</t>
  </si>
  <si>
    <t>123 brecks rd</t>
  </si>
  <si>
    <t>retford</t>
  </si>
  <si>
    <t>dn227ua</t>
  </si>
  <si>
    <t>CBDL1669</t>
  </si>
  <si>
    <t>Taktsang Sardis Cross</t>
  </si>
  <si>
    <t>SA73 1LX</t>
  </si>
  <si>
    <t>CBDL1670</t>
  </si>
  <si>
    <t>24 Ffordd Las Abertridwr</t>
  </si>
  <si>
    <t>cf83 4ew</t>
  </si>
  <si>
    <t>CBDL1675</t>
  </si>
  <si>
    <t>3 william drive</t>
  </si>
  <si>
    <t>clacton</t>
  </si>
  <si>
    <t>CO15 1DH</t>
  </si>
  <si>
    <t>CBDL1679</t>
  </si>
  <si>
    <t>Bryn Isaf Y Groeslon</t>
  </si>
  <si>
    <t>Ll54 7dp</t>
  </si>
  <si>
    <t>CBDL2158</t>
  </si>
  <si>
    <t xml:space="preserve">78 Chester Road </t>
  </si>
  <si>
    <t>CH7 1UF</t>
  </si>
  <si>
    <t>CBDL2314</t>
  </si>
  <si>
    <t>4 Tair Ynys Fawr Pontrhydyfen</t>
  </si>
  <si>
    <t>SA12 9RU</t>
  </si>
  <si>
    <t>CBDL2550</t>
  </si>
  <si>
    <t xml:space="preserve">33 Sandringham Close </t>
  </si>
  <si>
    <t>CF62 8BD</t>
  </si>
  <si>
    <t>CBDL2552</t>
  </si>
  <si>
    <t>1 Talygarn Drive Talygarn</t>
  </si>
  <si>
    <t>CF72 9BY</t>
  </si>
  <si>
    <t>CBDL2785</t>
  </si>
  <si>
    <t xml:space="preserve">Y Gerlan </t>
  </si>
  <si>
    <t>LL74 8SD</t>
  </si>
  <si>
    <t>CBDL2794</t>
  </si>
  <si>
    <t xml:space="preserve">135 Castle Lea </t>
  </si>
  <si>
    <t>NP26 4HS</t>
  </si>
  <si>
    <t>CBDL3008</t>
  </si>
  <si>
    <t>Clyniarth Cottage Cyfronydd</t>
  </si>
  <si>
    <t>SY21 9HB</t>
  </si>
  <si>
    <t>CBDL3218</t>
  </si>
  <si>
    <t>CBDL3224</t>
  </si>
  <si>
    <t>57 Bridgend Road Abercynffig</t>
  </si>
  <si>
    <t>CBDL3516</t>
  </si>
  <si>
    <t xml:space="preserve">34 St. Agnes Road </t>
  </si>
  <si>
    <t>LL32 8RY</t>
  </si>
  <si>
    <t>CBDL3517</t>
  </si>
  <si>
    <t xml:space="preserve">54 Bwlch Road </t>
  </si>
  <si>
    <t>CF5 3BZ</t>
  </si>
  <si>
    <t>CBDL3725</t>
  </si>
  <si>
    <t xml:space="preserve">7 Goleufryn </t>
  </si>
  <si>
    <t>LL57 2LY</t>
  </si>
  <si>
    <t>CBDL3733</t>
  </si>
  <si>
    <t>CBDL3964</t>
  </si>
  <si>
    <t>Paris House 18 Penrallt Street</t>
  </si>
  <si>
    <t>SY20 8AJ</t>
  </si>
  <si>
    <t>CBDL4219</t>
  </si>
  <si>
    <t xml:space="preserve">40 Llys Westfa </t>
  </si>
  <si>
    <t>CBDL4462</t>
  </si>
  <si>
    <t>10 Maesyffynnon Trimsaran</t>
  </si>
  <si>
    <t>SA17 4BW</t>
  </si>
  <si>
    <t>CBDL4466</t>
  </si>
  <si>
    <t>12 Maes ial</t>
  </si>
  <si>
    <t>Llanarmon Yn ial</t>
  </si>
  <si>
    <t>mold</t>
  </si>
  <si>
    <t>CH74PZ</t>
  </si>
  <si>
    <t>CBDL4469</t>
  </si>
  <si>
    <t>20 Redlands Close Pen-Coed</t>
  </si>
  <si>
    <t>CBDL4894</t>
  </si>
  <si>
    <t>11 Sunningdale Drive Gorseinon</t>
  </si>
  <si>
    <t>SA4 4LZ</t>
  </si>
  <si>
    <t>CBDL4896</t>
  </si>
  <si>
    <t>Lower Hengoed Gladestry</t>
  </si>
  <si>
    <t>HR5 3PL</t>
  </si>
  <si>
    <t>CBDL5122</t>
  </si>
  <si>
    <t>5-9 Merthyr Road Eglwys Newydd</t>
  </si>
  <si>
    <t>CF14 1DA</t>
  </si>
  <si>
    <t>CBDL5131</t>
  </si>
  <si>
    <t>Hawthorn Garage Cardiff Road</t>
  </si>
  <si>
    <t>CF37 5AA</t>
  </si>
  <si>
    <t>CBDL5137</t>
  </si>
  <si>
    <t>Llys Faen Llyswen</t>
  </si>
  <si>
    <t>LD3 0UY</t>
  </si>
  <si>
    <t>CBDL5390</t>
  </si>
  <si>
    <t xml:space="preserve">St. John Street </t>
  </si>
  <si>
    <t>SA34 0AP</t>
  </si>
  <si>
    <t>CBDL5398</t>
  </si>
  <si>
    <t>35 Heol Llanelli Pontyates</t>
  </si>
  <si>
    <t>SA15 5UD</t>
  </si>
  <si>
    <t>CBDL5400</t>
  </si>
  <si>
    <t xml:space="preserve">19 Sycamore Street </t>
  </si>
  <si>
    <t>SA72 6QN</t>
  </si>
  <si>
    <t>CBDU5403</t>
  </si>
  <si>
    <t>Bonc Tan Y Maes</t>
  </si>
  <si>
    <t>LL56 4UQ</t>
  </si>
  <si>
    <t>CBDL5655</t>
  </si>
  <si>
    <t>Waun Fawr Farm Primrose Lane</t>
  </si>
  <si>
    <t>SA8 3EU</t>
  </si>
  <si>
    <t>CBDU5663</t>
  </si>
  <si>
    <t>47 Ebenezer Drive Rogerstone</t>
  </si>
  <si>
    <t>NP10 9DA</t>
  </si>
  <si>
    <t>CBDU6161</t>
  </si>
  <si>
    <t>6 Gilsach Penywern</t>
  </si>
  <si>
    <t>SA9 2AS</t>
  </si>
  <si>
    <t>CBDU6163</t>
  </si>
  <si>
    <t>Ty'n Y Ddol Ffordd Gethin</t>
  </si>
  <si>
    <t>CBDL6164</t>
  </si>
  <si>
    <t>5 Penybryn Carmel</t>
  </si>
  <si>
    <t>SA14 7TW</t>
  </si>
  <si>
    <t>CBDL6165</t>
  </si>
  <si>
    <t>CBDU5898</t>
  </si>
  <si>
    <t>54 Bridgend Road Pontycymer</t>
  </si>
  <si>
    <t>CF32 8EH</t>
  </si>
  <si>
    <t>CBDU5899</t>
  </si>
  <si>
    <t>West Hill Gwespyr</t>
  </si>
  <si>
    <t>CH8 9JS</t>
  </si>
  <si>
    <t>CBDL5901</t>
  </si>
  <si>
    <t>CBDU5902</t>
  </si>
  <si>
    <t>4 Trevia</t>
  </si>
  <si>
    <t>Camelford</t>
  </si>
  <si>
    <t>PL32 9UX</t>
  </si>
  <si>
    <t>CBDU5909</t>
  </si>
  <si>
    <t>Afallon 45 Glanrafon Estate</t>
  </si>
  <si>
    <t>LL55 2UW</t>
  </si>
  <si>
    <t>CBDU5912</t>
  </si>
  <si>
    <t>Clytiau Gleison Llansannan</t>
  </si>
  <si>
    <t>LL16 5NS</t>
  </si>
  <si>
    <t>CBDU6408</t>
  </si>
  <si>
    <t>Pantygarn Eglwyswrw</t>
  </si>
  <si>
    <t>SA41 3SY</t>
  </si>
  <si>
    <t>CBDU6713</t>
  </si>
  <si>
    <t>52 Swansea Road Gorseinon</t>
  </si>
  <si>
    <t>SA4 4HE</t>
  </si>
  <si>
    <t>CBDU6715</t>
  </si>
  <si>
    <t xml:space="preserve">1 South Drive </t>
  </si>
  <si>
    <t>LL18 4SU</t>
  </si>
  <si>
    <t>CBDU6716</t>
  </si>
  <si>
    <t>186 Main Road Bryncoch</t>
  </si>
  <si>
    <t>SA10 7TT</t>
  </si>
  <si>
    <t>CBDU6722</t>
  </si>
  <si>
    <t>Pool Cottage Wick Road</t>
  </si>
  <si>
    <t>Saint-y-Brid</t>
  </si>
  <si>
    <t>CF32 0SE</t>
  </si>
  <si>
    <t>CBDL6725</t>
  </si>
  <si>
    <t>5 Castle Lane Market Street</t>
  </si>
  <si>
    <t>CBDU6726</t>
  </si>
  <si>
    <t xml:space="preserve">20 Sutton Close </t>
  </si>
  <si>
    <t>BN2 6NN</t>
  </si>
  <si>
    <t>CBDU6947</t>
  </si>
  <si>
    <t xml:space="preserve">609 Chepstow Road </t>
  </si>
  <si>
    <t>CBDU6951</t>
  </si>
  <si>
    <t>The Croft Letcombe Hill</t>
  </si>
  <si>
    <t>East Challow</t>
  </si>
  <si>
    <t>Wantage</t>
  </si>
  <si>
    <t>OX12 9RW</t>
  </si>
  <si>
    <t>CBDU6952</t>
  </si>
  <si>
    <t>Gwelfryn Cwmsychpant</t>
  </si>
  <si>
    <t>SA40 9XJ</t>
  </si>
  <si>
    <t>CBDU6953</t>
  </si>
  <si>
    <t xml:space="preserve">202 Rowntree Avenue </t>
  </si>
  <si>
    <t>YO30 6HF</t>
  </si>
  <si>
    <t>CBDU6954</t>
  </si>
  <si>
    <t>Penstrowed Penstrowed Quarry</t>
  </si>
  <si>
    <t>Penstrowed</t>
  </si>
  <si>
    <t>CBDU6959</t>
  </si>
  <si>
    <t>Peal Chase Ash Platt Road</t>
  </si>
  <si>
    <t>Seal</t>
  </si>
  <si>
    <t>TN15 0AB</t>
  </si>
  <si>
    <t>CBDL6454</t>
  </si>
  <si>
    <t>Hazelwood Bridge Road</t>
  </si>
  <si>
    <t>CF3 6UY</t>
  </si>
  <si>
    <t>CBDU6461</t>
  </si>
  <si>
    <t>Tyn Pistyll Glyndyfrdwy</t>
  </si>
  <si>
    <t>CBDU6468</t>
  </si>
  <si>
    <t xml:space="preserve">143 Miskin Road </t>
  </si>
  <si>
    <t>CF40 2QL</t>
  </si>
  <si>
    <t>CBDU6474</t>
  </si>
  <si>
    <t>Penrhos Maenaddwyn</t>
  </si>
  <si>
    <t>LL71 8BD</t>
  </si>
  <si>
    <t>CBDL6475</t>
  </si>
  <si>
    <t>Ty Cymru Tranch Road</t>
  </si>
  <si>
    <t>NP4 6AY</t>
  </si>
  <si>
    <t>CBDU7304</t>
  </si>
  <si>
    <t>5 Bro Dirion Dunvant</t>
  </si>
  <si>
    <t>SA2 7QB</t>
  </si>
  <si>
    <t>CBDL7305</t>
  </si>
  <si>
    <t>1 Clos-Glanlliw Pontlliw</t>
  </si>
  <si>
    <t>CBDU7306</t>
  </si>
  <si>
    <t>21 Clos Tyla Bach Llaneirwg</t>
  </si>
  <si>
    <t>CF3 0EJ</t>
  </si>
  <si>
    <t>CBDL7307</t>
  </si>
  <si>
    <t>Upper Cellws Y Groes</t>
  </si>
  <si>
    <t>LD1 5SL</t>
  </si>
  <si>
    <t>CBDU7308</t>
  </si>
  <si>
    <t>408 Coed-y-Gores Llanedeyrn</t>
  </si>
  <si>
    <t>CF23 9NS</t>
  </si>
  <si>
    <t>CBDU7309</t>
  </si>
  <si>
    <t>Maitland Gannock Park</t>
  </si>
  <si>
    <t>LL31 9PJ</t>
  </si>
  <si>
    <t>CBDU7311</t>
  </si>
  <si>
    <t>Rozel 2 Deganwy Road</t>
  </si>
  <si>
    <t>LL31 9DH</t>
  </si>
  <si>
    <t>CBDL7314</t>
  </si>
  <si>
    <t xml:space="preserve">5 Maes Hafen </t>
  </si>
  <si>
    <t>CF31 5EB</t>
  </si>
  <si>
    <t>CBDL7536</t>
  </si>
  <si>
    <t xml:space="preserve">3 Terfyn Pella Avenue </t>
  </si>
  <si>
    <t>LL18 3YW</t>
  </si>
  <si>
    <t>CBDL7540</t>
  </si>
  <si>
    <t xml:space="preserve">118 High Street </t>
  </si>
  <si>
    <t>CF45 3LN</t>
  </si>
  <si>
    <t>CBDU7541</t>
  </si>
  <si>
    <t>14 Lindsay Quadrant Balloch</t>
  </si>
  <si>
    <t>Dunbartonshire</t>
  </si>
  <si>
    <t>G838DT</t>
  </si>
  <si>
    <t>CBDL7542</t>
  </si>
  <si>
    <t>1213 Neath Road Plasmarl</t>
  </si>
  <si>
    <t>SA6 8JT</t>
  </si>
  <si>
    <t>CBDL7546</t>
  </si>
  <si>
    <t xml:space="preserve">Cf47 8ap </t>
  </si>
  <si>
    <t>CBDU7055</t>
  </si>
  <si>
    <t xml:space="preserve">2 The Grawen </t>
  </si>
  <si>
    <t>CF47 8NP</t>
  </si>
  <si>
    <t>CBDU7056</t>
  </si>
  <si>
    <t xml:space="preserve">65 Heol Tregoning </t>
  </si>
  <si>
    <t>CBDU7057</t>
  </si>
  <si>
    <t>34 Rhymney Close Rassau</t>
  </si>
  <si>
    <t>NP23 5TF</t>
  </si>
  <si>
    <t>CBDU7059</t>
  </si>
  <si>
    <t>20 Lower Hill Street Hakin</t>
  </si>
  <si>
    <t>CBDL7062</t>
  </si>
  <si>
    <t>48 The Meads Weston Rhyn</t>
  </si>
  <si>
    <t>SY10 7SJ</t>
  </si>
  <si>
    <t>CBDL7954</t>
  </si>
  <si>
    <t>ROSE MILL UNION STREET</t>
  </si>
  <si>
    <t>MIDDLETON</t>
  </si>
  <si>
    <t>M24 6DD</t>
  </si>
  <si>
    <t>CBDU7963</t>
  </si>
  <si>
    <t>1 Penllyn Cwmavon</t>
  </si>
  <si>
    <t>SA12 9NL</t>
  </si>
  <si>
    <t>CBDU7966</t>
  </si>
  <si>
    <t>Green Valley Farm Trerhyngyll</t>
  </si>
  <si>
    <t>CF71 7TN</t>
  </si>
  <si>
    <t>CBDU7967</t>
  </si>
  <si>
    <t>The Old Manse Lawrenny Road</t>
  </si>
  <si>
    <t>SA68 0TB</t>
  </si>
  <si>
    <t>CBDU8191</t>
  </si>
  <si>
    <t>3 Ismyrddin Abergwili</t>
  </si>
  <si>
    <t>SA31 2JE</t>
  </si>
  <si>
    <t>CBDU8198</t>
  </si>
  <si>
    <t>CBDU8201</t>
  </si>
  <si>
    <t>32 High Street Tremadog</t>
  </si>
  <si>
    <t>LL49 9RD</t>
  </si>
  <si>
    <t>CBDL8206</t>
  </si>
  <si>
    <t>90 South Road Sully</t>
  </si>
  <si>
    <t>CF64 5SL</t>
  </si>
  <si>
    <t>CBDU7714</t>
  </si>
  <si>
    <t>Eardisley Cefn Glas Road</t>
  </si>
  <si>
    <t>CF31 4QP</t>
  </si>
  <si>
    <t>CBDL7715</t>
  </si>
  <si>
    <t xml:space="preserve">8A Godstone Road </t>
  </si>
  <si>
    <t>CR8 2DA</t>
  </si>
  <si>
    <t>CBDU7718</t>
  </si>
  <si>
    <t>Old Chaff House Brook Street</t>
  </si>
  <si>
    <t>Brittania</t>
  </si>
  <si>
    <t>CF399NA</t>
  </si>
  <si>
    <t>CBDU7720</t>
  </si>
  <si>
    <t>CBDL7724</t>
  </si>
  <si>
    <t xml:space="preserve">16 Cae'r Wern </t>
  </si>
  <si>
    <t>CF48 1AE</t>
  </si>
  <si>
    <t>CBDU7725</t>
  </si>
  <si>
    <t>10 Dyffryn Gardens Rhydyfelin</t>
  </si>
  <si>
    <t>CF37 5SA</t>
  </si>
  <si>
    <t>CBDU7727</t>
  </si>
  <si>
    <t xml:space="preserve">36 Clarence Road </t>
  </si>
  <si>
    <t>LL30 1TA</t>
  </si>
  <si>
    <t>CBDL7728</t>
  </si>
  <si>
    <t>99 Danygraig Road Port Tennant</t>
  </si>
  <si>
    <t>SA1 8NB</t>
  </si>
  <si>
    <t>CBDL7729</t>
  </si>
  <si>
    <t xml:space="preserve">5-7 Rhodfa Gwifr </t>
  </si>
  <si>
    <t>SA12 7ER</t>
  </si>
  <si>
    <t>CBDU8362</t>
  </si>
  <si>
    <t>The Bungalow Sunnybank</t>
  </si>
  <si>
    <t>CF40 1PE</t>
  </si>
  <si>
    <t>CBDU8364</t>
  </si>
  <si>
    <t>38 Lavender Way Rogerstone</t>
  </si>
  <si>
    <t>NP10 9BA</t>
  </si>
  <si>
    <t>CBDU8366</t>
  </si>
  <si>
    <t xml:space="preserve">Llys Awen </t>
  </si>
  <si>
    <t>LL60 6BU</t>
  </si>
  <si>
    <t>CBDU8368</t>
  </si>
  <si>
    <t xml:space="preserve">24 Home Close </t>
  </si>
  <si>
    <t>Harlow</t>
  </si>
  <si>
    <t>CM20 3PB</t>
  </si>
  <si>
    <t>CBDU8371</t>
  </si>
  <si>
    <t>71 Penygroes Road Blaenau</t>
  </si>
  <si>
    <t>SA18 3BZ</t>
  </si>
  <si>
    <t>CBDU8621</t>
  </si>
  <si>
    <t>16 St Johns Terrace Neath Abbey</t>
  </si>
  <si>
    <t>SA10 7NE</t>
  </si>
  <si>
    <t>CBDL8622</t>
  </si>
  <si>
    <t xml:space="preserve">85 Bradfield Road </t>
  </si>
  <si>
    <t>CW1 3RB</t>
  </si>
  <si>
    <t>CBDL8623</t>
  </si>
  <si>
    <t>Helfa Heol Y Delyn</t>
  </si>
  <si>
    <t>CF14 0SQ</t>
  </si>
  <si>
    <t>CBDU8841</t>
  </si>
  <si>
    <t>Gilwern Uchaf Groeslon</t>
  </si>
  <si>
    <t>LL54 7EH</t>
  </si>
  <si>
    <t>CBDL8842</t>
  </si>
  <si>
    <t>Middlecross Barn Llancarfan</t>
  </si>
  <si>
    <t>CF62 3AX</t>
  </si>
  <si>
    <t>CBDL8845</t>
  </si>
  <si>
    <t xml:space="preserve">2 Penrhiwceiber Road </t>
  </si>
  <si>
    <t>CBDU8847</t>
  </si>
  <si>
    <t xml:space="preserve">2 Priory Ville Approach </t>
  </si>
  <si>
    <t>SA73 2JS</t>
  </si>
  <si>
    <t>CBDU8856</t>
  </si>
  <si>
    <t xml:space="preserve">Maesdu Road </t>
  </si>
  <si>
    <t>LL30 1LF</t>
  </si>
  <si>
    <t>CBDL8857</t>
  </si>
  <si>
    <t>1 Edward Terrace Georgetown</t>
  </si>
  <si>
    <t>NP22 3JQ</t>
  </si>
  <si>
    <t>CBDU8996</t>
  </si>
  <si>
    <t>The old bakery  George's Row</t>
  </si>
  <si>
    <t>CBDU8998</t>
  </si>
  <si>
    <t>CBDU9249</t>
  </si>
  <si>
    <t>SA69 9AL</t>
  </si>
  <si>
    <t>CBDU9251</t>
  </si>
  <si>
    <t xml:space="preserve">1C Beulah Road </t>
  </si>
  <si>
    <t>CF14 6LT</t>
  </si>
  <si>
    <t>CBDL9254</t>
  </si>
  <si>
    <t>1 New Buildings Cardiff Road</t>
  </si>
  <si>
    <t>NP10 8TN</t>
  </si>
  <si>
    <t>CBDU9255</t>
  </si>
  <si>
    <t>Trem Y Wawr Heol Ddu</t>
  </si>
  <si>
    <t>Pen-y-Mynydd</t>
  </si>
  <si>
    <t>SA15 4RN</t>
  </si>
  <si>
    <t>CBDL9258</t>
  </si>
  <si>
    <t xml:space="preserve">5 Market Square </t>
  </si>
  <si>
    <t>NP23 6HR</t>
  </si>
  <si>
    <t>CBDL9259</t>
  </si>
  <si>
    <t>Flat 37-39 High Street</t>
  </si>
  <si>
    <t>Queenborough</t>
  </si>
  <si>
    <t>ME11 5AA</t>
  </si>
  <si>
    <t>CBDU9688</t>
  </si>
  <si>
    <t>Hendre Gadog Llangaffo</t>
  </si>
  <si>
    <t>LL60 6LW</t>
  </si>
  <si>
    <t>CBDU9689</t>
  </si>
  <si>
    <t>17 Melrose Avenue Penylan</t>
  </si>
  <si>
    <t>CF23 9AR</t>
  </si>
  <si>
    <t>CBDU9692</t>
  </si>
  <si>
    <t>27 Mount Pleasant Blaengarw</t>
  </si>
  <si>
    <t>CF32 8AL</t>
  </si>
  <si>
    <t>CBDU9697</t>
  </si>
  <si>
    <t xml:space="preserve">116 Aberthaw Circle </t>
  </si>
  <si>
    <t>NP19 9QJ</t>
  </si>
  <si>
    <t>CBDL9700</t>
  </si>
  <si>
    <t xml:space="preserve">Castell Caereinion </t>
  </si>
  <si>
    <t>SY21 9AL</t>
  </si>
  <si>
    <t>CBDL9702</t>
  </si>
  <si>
    <t xml:space="preserve">63 Somerton Road </t>
  </si>
  <si>
    <t>NP19 0JD</t>
  </si>
  <si>
    <t>CBDU9476</t>
  </si>
  <si>
    <t>Wheatsheaf Etna Road</t>
  </si>
  <si>
    <t>CH7 3LG</t>
  </si>
  <si>
    <t>CBDU9477</t>
  </si>
  <si>
    <t xml:space="preserve">49 Bromsgrove Street </t>
  </si>
  <si>
    <t>CF11 7EZ</t>
  </si>
  <si>
    <t>CBDL9479</t>
  </si>
  <si>
    <t xml:space="preserve">21 Medway </t>
  </si>
  <si>
    <t>BN27 3HE</t>
  </si>
  <si>
    <t>CBDU9481</t>
  </si>
  <si>
    <t>21 Richley Close Baglan</t>
  </si>
  <si>
    <t>SA12 8TA</t>
  </si>
  <si>
    <t>CBDU9488</t>
  </si>
  <si>
    <t>Clwyd Cardiff Road</t>
  </si>
  <si>
    <t>CF37 5AW</t>
  </si>
  <si>
    <t>CBDL9930</t>
  </si>
  <si>
    <t xml:space="preserve">69 Broad Road </t>
  </si>
  <si>
    <t>B27 7UX</t>
  </si>
  <si>
    <t>CBDL9933</t>
  </si>
  <si>
    <t>43 Abernant Road Markham</t>
  </si>
  <si>
    <t>NP12 0PR</t>
  </si>
  <si>
    <t>CBDU9936</t>
  </si>
  <si>
    <t>Brookside Hebbles Lane</t>
  </si>
  <si>
    <t>Off Coldbrook road West</t>
  </si>
  <si>
    <t>CF63 1LF</t>
  </si>
  <si>
    <t>CBDL9937</t>
  </si>
  <si>
    <t xml:space="preserve">17 Glan Morfa </t>
  </si>
  <si>
    <t>Glan-y-Fferi</t>
  </si>
  <si>
    <t>SA17 5TF</t>
  </si>
  <si>
    <t>CBDU10251</t>
  </si>
  <si>
    <t xml:space="preserve">5 Holland Road </t>
  </si>
  <si>
    <t>Frinton-on-Sea</t>
  </si>
  <si>
    <t>CO13 9DH</t>
  </si>
  <si>
    <t>CBDU10257</t>
  </si>
  <si>
    <t>59 Fleece Road Long Ditton</t>
  </si>
  <si>
    <t>Surbiton</t>
  </si>
  <si>
    <t>KT6 5JR</t>
  </si>
  <si>
    <t>CBDU10258</t>
  </si>
  <si>
    <t>3 Meadow Court St. Brides Major</t>
  </si>
  <si>
    <t>CF32 0SW</t>
  </si>
  <si>
    <t>CBDL10261</t>
  </si>
  <si>
    <t xml:space="preserve">12-14 Wind Street </t>
  </si>
  <si>
    <t>SA18 3DN</t>
  </si>
  <si>
    <t>CBDU10262</t>
  </si>
  <si>
    <t>7 Brynteg Road Gorseinon</t>
  </si>
  <si>
    <t>CBDU10264</t>
  </si>
  <si>
    <t xml:space="preserve">Unit 14 and 15 Miners Road Llay Industrial Estate </t>
  </si>
  <si>
    <t xml:space="preserve">LL12 0PJ </t>
  </si>
  <si>
    <t>CBDU10494</t>
  </si>
  <si>
    <t>15 Albert Drive Deganwy</t>
  </si>
  <si>
    <t>LL31 9SP</t>
  </si>
  <si>
    <t>CBDU10497</t>
  </si>
  <si>
    <t>Ffynnon Fach Heol Y Banc</t>
  </si>
  <si>
    <t>Bancffosfelen</t>
  </si>
  <si>
    <t>CBDU10500</t>
  </si>
  <si>
    <t>2 Weekes Close Llanrumney</t>
  </si>
  <si>
    <t>CF3 5RY</t>
  </si>
  <si>
    <t>CBDL10502</t>
  </si>
  <si>
    <t>Casita Ffordd Penmynydd</t>
  </si>
  <si>
    <t>LL61 5EX</t>
  </si>
  <si>
    <t>CBDL10504</t>
  </si>
  <si>
    <t>Station Yard Station Road</t>
  </si>
  <si>
    <t>CF81 9AL</t>
  </si>
  <si>
    <t>CBDU10859</t>
  </si>
  <si>
    <t>24 Mercia Road</t>
  </si>
  <si>
    <t>CF24 2TF</t>
  </si>
  <si>
    <t>CBDU10861</t>
  </si>
  <si>
    <t xml:space="preserve">1 Bedford Road </t>
  </si>
  <si>
    <t>NP19 0AZ</t>
  </si>
  <si>
    <t>CBDU10862</t>
  </si>
  <si>
    <t xml:space="preserve">Ffynnon Mair </t>
  </si>
  <si>
    <t>LL45 2LG</t>
  </si>
  <si>
    <t>CBDU10863</t>
  </si>
  <si>
    <t>Plas Y Coed Felinfach</t>
  </si>
  <si>
    <t>Ystradowen</t>
  </si>
  <si>
    <t>SA9 2XR</t>
  </si>
  <si>
    <t>CBDL11093</t>
  </si>
  <si>
    <t>41 Eastgate Bassingham</t>
  </si>
  <si>
    <t>LN5 9JS</t>
  </si>
  <si>
    <t>CBDU11095</t>
  </si>
  <si>
    <t>Hideaway Burgess Lane</t>
  </si>
  <si>
    <t>Penley</t>
  </si>
  <si>
    <t>LL13 0ND</t>
  </si>
  <si>
    <t>CBDU11098</t>
  </si>
  <si>
    <t>The Fireplace &amp; Heating Centre Milland Road Industrial Estate</t>
  </si>
  <si>
    <t>CBDU11103</t>
  </si>
  <si>
    <t xml:space="preserve">90 Teglan Park </t>
  </si>
  <si>
    <t>SA18 3PD</t>
  </si>
  <si>
    <t>CBDL11104</t>
  </si>
  <si>
    <t xml:space="preserve">134-136 Crwys Road </t>
  </si>
  <si>
    <t>CF24 4NR</t>
  </si>
  <si>
    <t>CBDL11107</t>
  </si>
  <si>
    <t xml:space="preserve">12 Brynfa Avenue </t>
  </si>
  <si>
    <t>SY21 7TS</t>
  </si>
  <si>
    <t>CBDU11109</t>
  </si>
  <si>
    <t>CBDU11110</t>
  </si>
  <si>
    <t>44 Victoria Road Waunarlwydd</t>
  </si>
  <si>
    <t>SA5 4SY</t>
  </si>
  <si>
    <t>CBDU11116</t>
  </si>
  <si>
    <t xml:space="preserve">Kemeys Commander </t>
  </si>
  <si>
    <t>NP15 1JU</t>
  </si>
  <si>
    <t>CBDU11928</t>
  </si>
  <si>
    <t>3 Maelor View Marchwiel</t>
  </si>
  <si>
    <t>LL13 0RJ</t>
  </si>
  <si>
    <t>CBDU11929</t>
  </si>
  <si>
    <t>3 St. Peters Close Llanharan</t>
  </si>
  <si>
    <t>CF72 9SD</t>
  </si>
  <si>
    <t>CBDU11930</t>
  </si>
  <si>
    <t>Unit 28 Pontcynon Industrial Estate</t>
  </si>
  <si>
    <t>CBDU11932</t>
  </si>
  <si>
    <t>32 Heol Y Nant Rhiwbina</t>
  </si>
  <si>
    <t>CBDU11935</t>
  </si>
  <si>
    <t>52 High Street Heol-y-Cyw</t>
  </si>
  <si>
    <t>CF35 6HY</t>
  </si>
  <si>
    <t>CBDU11936</t>
  </si>
  <si>
    <t>Gelligaer House Church Road</t>
  </si>
  <si>
    <t>CF82 8FW</t>
  </si>
  <si>
    <t>CBDU11937</t>
  </si>
  <si>
    <t>12 Llwyn Y NE Clynnogfawr</t>
  </si>
  <si>
    <t>LL54 5BU</t>
  </si>
  <si>
    <t>CBDU11940</t>
  </si>
  <si>
    <t>CBDU11381</t>
  </si>
  <si>
    <t>19 Derllwyn Close Tondu</t>
  </si>
  <si>
    <t>CF32 9DH</t>
  </si>
  <si>
    <t>CBDL11382</t>
  </si>
  <si>
    <t>4 ILAN ROAD ABERTRIDWR</t>
  </si>
  <si>
    <t>CAERPHILLY</t>
  </si>
  <si>
    <t>Cf83 4ea</t>
  </si>
  <si>
    <t>CBDL11383</t>
  </si>
  <si>
    <t>Bryn Gower Garth Road</t>
  </si>
  <si>
    <t>LL28 5TD</t>
  </si>
  <si>
    <t>CBDU11385</t>
  </si>
  <si>
    <t>1 Waun Cae Philip Pembrey</t>
  </si>
  <si>
    <t>SA16 0JX</t>
  </si>
  <si>
    <t>CBDU11386</t>
  </si>
  <si>
    <t>89 Brython Drive St. Mellons</t>
  </si>
  <si>
    <t>CF3 0GB</t>
  </si>
  <si>
    <t>CBDL11387</t>
  </si>
  <si>
    <t>56 Elder Drive Saltney</t>
  </si>
  <si>
    <t>CH4 8PF</t>
  </si>
  <si>
    <t>CBDU11388</t>
  </si>
  <si>
    <t>Windsmoor Perriswood</t>
  </si>
  <si>
    <t>Penmaen</t>
  </si>
  <si>
    <t>SA3 2HN</t>
  </si>
  <si>
    <t>CBDL11389</t>
  </si>
  <si>
    <t xml:space="preserve">67A Llandafen Road </t>
  </si>
  <si>
    <t>SA14 9BD</t>
  </si>
  <si>
    <t>CBDL11394</t>
  </si>
  <si>
    <t>1 Cheriton Row Carew Cheriton</t>
  </si>
  <si>
    <t>SA70 8SR</t>
  </si>
  <si>
    <t>CBDL11612</t>
  </si>
  <si>
    <t xml:space="preserve">15 Pierces Lane </t>
  </si>
  <si>
    <t>Haywards Heath</t>
  </si>
  <si>
    <t>RH16 4LD</t>
  </si>
  <si>
    <t>CBDL11618</t>
  </si>
  <si>
    <t>73 Nun Street</t>
  </si>
  <si>
    <t>CBDU11619</t>
  </si>
  <si>
    <t>2 Crosslane Cottages Pembrey</t>
  </si>
  <si>
    <t>SA16 0EX</t>
  </si>
  <si>
    <t>CBDU11621</t>
  </si>
  <si>
    <t xml:space="preserve">21 Ferndown Road </t>
  </si>
  <si>
    <t>CO13 9LS</t>
  </si>
  <si>
    <t>CBDL11623</t>
  </si>
  <si>
    <t xml:space="preserve">16 Kingsmoor Close </t>
  </si>
  <si>
    <t>SA68 0QZ</t>
  </si>
  <si>
    <t>CBDU11625</t>
  </si>
  <si>
    <t>22 Willowherb Close St. Mellons</t>
  </si>
  <si>
    <t>CF3 0RA</t>
  </si>
  <si>
    <t>CBDU11626</t>
  </si>
  <si>
    <t>24 Heol Cwmmawr Drefach</t>
  </si>
  <si>
    <t>CBDL11628</t>
  </si>
  <si>
    <t>Unit 16 Abersychan Industrial Estate</t>
  </si>
  <si>
    <t>Old Road</t>
  </si>
  <si>
    <t>NP4 7BA</t>
  </si>
  <si>
    <t>CBDL11835</t>
  </si>
  <si>
    <t>Cwm Coch Llysonnen Road</t>
  </si>
  <si>
    <t>SA33 5DU</t>
  </si>
  <si>
    <t>CBDL11846</t>
  </si>
  <si>
    <t xml:space="preserve">86 Brynymor Road </t>
  </si>
  <si>
    <t>SA1 4JE</t>
  </si>
  <si>
    <t>CBDU12141</t>
  </si>
  <si>
    <t>Brynsannan Cottage Bryn-Sannan</t>
  </si>
  <si>
    <t>CH8 8AX</t>
  </si>
  <si>
    <t>CBDU12143</t>
  </si>
  <si>
    <t>23 Ffordd Y Chwarel Kenfig Hill</t>
  </si>
  <si>
    <t>CF33 6FA</t>
  </si>
  <si>
    <t>CBDL12146</t>
  </si>
  <si>
    <t>CBDL12150</t>
  </si>
  <si>
    <t xml:space="preserve">1 High Street </t>
  </si>
  <si>
    <t>CBDL12151</t>
  </si>
  <si>
    <t>29 Min Y Llan Letterston</t>
  </si>
  <si>
    <t>SA62 5SP</t>
  </si>
  <si>
    <t>CBDU12154</t>
  </si>
  <si>
    <t>Bryn Cottage Senni</t>
  </si>
  <si>
    <t>LD3 8SU</t>
  </si>
  <si>
    <t>CBDL12362</t>
  </si>
  <si>
    <t>Maesmedrisiol Pennant</t>
  </si>
  <si>
    <t>SY19 7BN</t>
  </si>
  <si>
    <t>CBDL12363</t>
  </si>
  <si>
    <t xml:space="preserve">115 Park Crescent </t>
  </si>
  <si>
    <t>NP7 5TN</t>
  </si>
  <si>
    <t>CBDU12364</t>
  </si>
  <si>
    <t xml:space="preserve">Strand </t>
  </si>
  <si>
    <t>SA1 2AW</t>
  </si>
  <si>
    <t>CBDU12366</t>
  </si>
  <si>
    <t>The Old Vicarage Tregare</t>
  </si>
  <si>
    <t>NP15 2LH</t>
  </si>
  <si>
    <t>CBDU12367</t>
  </si>
  <si>
    <t>63 Woodville Road Mumbles</t>
  </si>
  <si>
    <t>SA3 4AE</t>
  </si>
  <si>
    <t>CBDL12368</t>
  </si>
  <si>
    <t>UNIT 10 NEWTON ROAD</t>
  </si>
  <si>
    <t>CF32EJ</t>
  </si>
  <si>
    <t>CBDL12701</t>
  </si>
  <si>
    <t>Quay Street Lower Town</t>
  </si>
  <si>
    <t>CBDU12711</t>
  </si>
  <si>
    <t xml:space="preserve">South Street </t>
  </si>
  <si>
    <t>LD6 5BH</t>
  </si>
  <si>
    <t>CBDL12914</t>
  </si>
  <si>
    <t>Ty Hwnt Ir Nant Llangernyw</t>
  </si>
  <si>
    <t>LL22 8TY</t>
  </si>
  <si>
    <t>CBDU12916</t>
  </si>
  <si>
    <t>57 Hendre Road Llangennech</t>
  </si>
  <si>
    <t>SA14 8TH</t>
  </si>
  <si>
    <t>CBDU12919</t>
  </si>
  <si>
    <t xml:space="preserve">29 Lon Y Maes </t>
  </si>
  <si>
    <t>SA14 8TB</t>
  </si>
  <si>
    <t>CBDL12920</t>
  </si>
  <si>
    <t>5 Holloway Court Penally</t>
  </si>
  <si>
    <t>SA70 7NX</t>
  </si>
  <si>
    <t>CBDL12924</t>
  </si>
  <si>
    <t>60 St. Michaels Close Aveley</t>
  </si>
  <si>
    <t>RM15 4SZ</t>
  </si>
  <si>
    <t>CBDL12930</t>
  </si>
  <si>
    <t>Llaingam New Inn</t>
  </si>
  <si>
    <t>SA39 9BH</t>
  </si>
  <si>
    <t>CBDU12931</t>
  </si>
  <si>
    <t>39 Collwyn Street Tonyrefail</t>
  </si>
  <si>
    <t>CF39 8BH</t>
  </si>
  <si>
    <t>CBDU12932</t>
  </si>
  <si>
    <t>29 Havard Rd</t>
  </si>
  <si>
    <t>CBDL13306</t>
  </si>
  <si>
    <t>7 Llys Gwyrdd Henllys</t>
  </si>
  <si>
    <t>NP44 7LS</t>
  </si>
  <si>
    <t>CBDU13473</t>
  </si>
  <si>
    <t>Brook Cottage Virginia Park Farm</t>
  </si>
  <si>
    <t>NP44 5LA</t>
  </si>
  <si>
    <t>CBDU13475</t>
  </si>
  <si>
    <t>145 Ystrad Deri Dukestown</t>
  </si>
  <si>
    <t>NP22 4DQ</t>
  </si>
  <si>
    <t>CBDL13482</t>
  </si>
  <si>
    <t xml:space="preserve">11 Deans Close </t>
  </si>
  <si>
    <t>CH6 6DA</t>
  </si>
  <si>
    <t>CBDU13487</t>
  </si>
  <si>
    <t>34 Dol Elidir Llanberis</t>
  </si>
  <si>
    <t>LL55 4TN</t>
  </si>
  <si>
    <t>CBDU13489</t>
  </si>
  <si>
    <t>9 The Highlands Neath Abbey</t>
  </si>
  <si>
    <t>SA10 6PF</t>
  </si>
  <si>
    <t>CBDU13491</t>
  </si>
  <si>
    <t>58 Lansdowne Avenue West Canton</t>
  </si>
  <si>
    <t>CF11 8FT</t>
  </si>
  <si>
    <t>CBDL13493</t>
  </si>
  <si>
    <t>23 Woodland Park Glynneath</t>
  </si>
  <si>
    <t>SA11 5AY</t>
  </si>
  <si>
    <t>CBDU13495</t>
  </si>
  <si>
    <t xml:space="preserve">34 Salisbury Road </t>
  </si>
  <si>
    <t>CF34 9EG</t>
  </si>
  <si>
    <t>CBDL33</t>
  </si>
  <si>
    <t>CBDL37</t>
  </si>
  <si>
    <t>111 Conway Road</t>
  </si>
  <si>
    <t>West End</t>
  </si>
  <si>
    <t>LL29 7LW</t>
  </si>
  <si>
    <t>CBDL38</t>
  </si>
  <si>
    <t>CBDL271</t>
  </si>
  <si>
    <t>1 The Grove</t>
  </si>
  <si>
    <t>Fochriw</t>
  </si>
  <si>
    <t>CF81 8LG</t>
  </si>
  <si>
    <t>CBDL272</t>
  </si>
  <si>
    <t>CBDL273</t>
  </si>
  <si>
    <t>CBDL274</t>
  </si>
  <si>
    <t>CBDL275</t>
  </si>
  <si>
    <t>CBDL276</t>
  </si>
  <si>
    <t xml:space="preserve">18 Castle quary long mains </t>
  </si>
  <si>
    <t xml:space="preserve">Monkton </t>
  </si>
  <si>
    <t xml:space="preserve">Pembroke </t>
  </si>
  <si>
    <t>Sa713jb</t>
  </si>
  <si>
    <t>CBDL533</t>
  </si>
  <si>
    <t>6 Terwarren Close</t>
  </si>
  <si>
    <t>St Ishmaels</t>
  </si>
  <si>
    <t>SA62 3TA</t>
  </si>
  <si>
    <t>CBDL535</t>
  </si>
  <si>
    <t>11 cae garn</t>
  </si>
  <si>
    <t>heol y cyw</t>
  </si>
  <si>
    <t>cf356ld</t>
  </si>
  <si>
    <t>CBDL536</t>
  </si>
  <si>
    <t>CBDL770</t>
  </si>
  <si>
    <t>6A Danlan Road</t>
  </si>
  <si>
    <t>CBDL774</t>
  </si>
  <si>
    <t>2 Four Elms Road 2 Four Elms Road</t>
  </si>
  <si>
    <t>CBDL775</t>
  </si>
  <si>
    <t>34 heol innes</t>
  </si>
  <si>
    <t>felinfoel</t>
  </si>
  <si>
    <t>sa15 4la</t>
  </si>
  <si>
    <t>CBDL779</t>
  </si>
  <si>
    <t>385 NORTHOLT ROAD</t>
  </si>
  <si>
    <t>HARROW</t>
  </si>
  <si>
    <t>HA2 8JD</t>
  </si>
  <si>
    <t>CBDL785</t>
  </si>
  <si>
    <t>9 Smithfield road</t>
  </si>
  <si>
    <t>Ll138ne</t>
  </si>
  <si>
    <t>CBDL965</t>
  </si>
  <si>
    <t>The Gap Hafod Moor</t>
  </si>
  <si>
    <t>CH75ET</t>
  </si>
  <si>
    <t>CBDL967</t>
  </si>
  <si>
    <t>15 Howard Road</t>
  </si>
  <si>
    <t>LL30 1EA</t>
  </si>
  <si>
    <t>CBDL968</t>
  </si>
  <si>
    <t>CBDL970</t>
  </si>
  <si>
    <t>4 ty plant nebo rd</t>
  </si>
  <si>
    <t>llanrwst</t>
  </si>
  <si>
    <t>ll260sd</t>
  </si>
  <si>
    <t>CBDL980</t>
  </si>
  <si>
    <t>Bikes and Hikes Lion Yar</t>
  </si>
  <si>
    <t>LD3 7BA</t>
  </si>
  <si>
    <t>CBDL1209</t>
  </si>
  <si>
    <t>4 Single Road</t>
  </si>
  <si>
    <t>SY21 7QB</t>
  </si>
  <si>
    <t>CBDL1212</t>
  </si>
  <si>
    <t>Kevshau Saddler street</t>
  </si>
  <si>
    <t>Sa12pp</t>
  </si>
  <si>
    <t>CBDL1213</t>
  </si>
  <si>
    <t>CBDL1214</t>
  </si>
  <si>
    <t>CBDL1215</t>
  </si>
  <si>
    <t>CBDL1218</t>
  </si>
  <si>
    <t>14 Carlisle Street</t>
  </si>
  <si>
    <t>CF24 2DS</t>
  </si>
  <si>
    <t>CBDL1219</t>
  </si>
  <si>
    <t>5 Clos yr onnen</t>
  </si>
  <si>
    <t>Llantwit major</t>
  </si>
  <si>
    <t>Cf61 1tt</t>
  </si>
  <si>
    <t>CBDL1221</t>
  </si>
  <si>
    <t>37 the park</t>
  </si>
  <si>
    <t>ruthin</t>
  </si>
  <si>
    <t>LL15 1PW</t>
  </si>
  <si>
    <t>CBDL1222</t>
  </si>
  <si>
    <t>Awelon Hermon</t>
  </si>
  <si>
    <t>Cynwyl Elfed</t>
  </si>
  <si>
    <t>SA33 6SR</t>
  </si>
  <si>
    <t>CBDL1223</t>
  </si>
  <si>
    <t>Salop House 14 Wern Fechan</t>
  </si>
  <si>
    <t>Denbighahire</t>
  </si>
  <si>
    <t>LL15 1EU</t>
  </si>
  <si>
    <t>CBDL1455</t>
  </si>
  <si>
    <t>3 Derw Y Brenin</t>
  </si>
  <si>
    <t>Tregynon</t>
  </si>
  <si>
    <t>Sy163eh</t>
  </si>
  <si>
    <t>CBDL1456</t>
  </si>
  <si>
    <t>9 Nubian Crescent</t>
  </si>
  <si>
    <t>SA73 3DL</t>
  </si>
  <si>
    <t>CBDL1458</t>
  </si>
  <si>
    <t>Stimmy Cottage Bronington</t>
  </si>
  <si>
    <t>SY13 3HX</t>
  </si>
  <si>
    <t>CBDL1459</t>
  </si>
  <si>
    <t>27 Wellfield</t>
  </si>
  <si>
    <t>Melincourt</t>
  </si>
  <si>
    <t>SA114AU</t>
  </si>
  <si>
    <t>CBDL1460</t>
  </si>
  <si>
    <t>CBDL1465</t>
  </si>
  <si>
    <t>29 Waun Y Groes Avenue Rhiwbina</t>
  </si>
  <si>
    <t>CF14 4SZ</t>
  </si>
  <si>
    <t>CBDL1682</t>
  </si>
  <si>
    <t>40 Market Street</t>
  </si>
  <si>
    <t>LD7 1EY</t>
  </si>
  <si>
    <t>CBDL1687</t>
  </si>
  <si>
    <t xml:space="preserve">2 vicarage lane  gresford </t>
  </si>
  <si>
    <t>ll128uw</t>
  </si>
  <si>
    <t>CBDL1688</t>
  </si>
  <si>
    <t>CBDL1690</t>
  </si>
  <si>
    <t>265 Coed y gores</t>
  </si>
  <si>
    <t>Cf239nn</t>
  </si>
  <si>
    <t>CBDL1691</t>
  </si>
  <si>
    <t>6 The Stepping Stones</t>
  </si>
  <si>
    <t xml:space="preserve">Penperlleni </t>
  </si>
  <si>
    <t xml:space="preserve">Pontypool </t>
  </si>
  <si>
    <t>NP4 0BP</t>
  </si>
  <si>
    <t>CBDL1693</t>
  </si>
  <si>
    <t>55  Gellifawr road</t>
  </si>
  <si>
    <t>Sa6 7pw</t>
  </si>
  <si>
    <t>CBDL1694</t>
  </si>
  <si>
    <t>Sheilas Off Licence Llapenallta Road</t>
  </si>
  <si>
    <t>CBDL1940</t>
  </si>
  <si>
    <t>Pen-y-Lan House Llantriddyd</t>
  </si>
  <si>
    <t>CBDL1942</t>
  </si>
  <si>
    <t>CBDL2167</t>
  </si>
  <si>
    <t>Unit 7 Brooks Lane Estate</t>
  </si>
  <si>
    <t>Brooks Lane</t>
  </si>
  <si>
    <t>Bosham</t>
  </si>
  <si>
    <t>PO18 8JX</t>
  </si>
  <si>
    <t>CBDL2171</t>
  </si>
  <si>
    <t xml:space="preserve">43 Manor Rise </t>
  </si>
  <si>
    <t>CF14 1QH</t>
  </si>
  <si>
    <t>CBDL2324</t>
  </si>
  <si>
    <t>3 Clonakilty Way Pontprennau</t>
  </si>
  <si>
    <t>CF23 8PR</t>
  </si>
  <si>
    <t>CBDL2327</t>
  </si>
  <si>
    <t>Will's End Stepaside</t>
  </si>
  <si>
    <t>CBDL2569</t>
  </si>
  <si>
    <t>Cae Hendre Dyffryn Crawnon</t>
  </si>
  <si>
    <t>CBDL2570</t>
  </si>
  <si>
    <t>Brecon Road Talybont-on-Usk</t>
  </si>
  <si>
    <t>LD3 7JD</t>
  </si>
  <si>
    <t>CBDL2576</t>
  </si>
  <si>
    <t xml:space="preserve">10 Aintree Drive </t>
  </si>
  <si>
    <t>CF5 5BD</t>
  </si>
  <si>
    <t>CBDL2796</t>
  </si>
  <si>
    <t xml:space="preserve">Llanbadarn Fynydd </t>
  </si>
  <si>
    <t>LD1 6TU</t>
  </si>
  <si>
    <t>CBDL2797</t>
  </si>
  <si>
    <t>1  Bridge Street</t>
  </si>
  <si>
    <t>LD7 1BT</t>
  </si>
  <si>
    <t>CBDL2798</t>
  </si>
  <si>
    <t>Parciau Cottage 168 Llanelian Road</t>
  </si>
  <si>
    <t>LL29 8UN</t>
  </si>
  <si>
    <t>CBDL2802</t>
  </si>
  <si>
    <t>The Old Vicarage Pontnewydd Ar Wy</t>
  </si>
  <si>
    <t>LD1 6LY</t>
  </si>
  <si>
    <t>CBDL3014</t>
  </si>
  <si>
    <t xml:space="preserve">10 Ship Street </t>
  </si>
  <si>
    <t>CBDL3016</t>
  </si>
  <si>
    <t>1 Swan Lane Llangatwg</t>
  </si>
  <si>
    <t>NP8 1PH</t>
  </si>
  <si>
    <t>CBDL3021</t>
  </si>
  <si>
    <t>Mwny Hwnt Trefin</t>
  </si>
  <si>
    <t>SA62 5AL</t>
  </si>
  <si>
    <t>CBDL3230</t>
  </si>
  <si>
    <t>78 Commercial Street Ystradgynlais</t>
  </si>
  <si>
    <t>CBDL3235</t>
  </si>
  <si>
    <t>47 Heol - y - Meinciau Pontyates Llane</t>
  </si>
  <si>
    <t>SA15 5RT</t>
  </si>
  <si>
    <t>CBDL3242</t>
  </si>
  <si>
    <t>Morawelon Bungalow Llangennech</t>
  </si>
  <si>
    <t>SA14 9RT</t>
  </si>
  <si>
    <t>CBDL3244</t>
  </si>
  <si>
    <t>Berllan Wern Road</t>
  </si>
  <si>
    <t>LL22 8HG</t>
  </si>
  <si>
    <t>CBDL3245</t>
  </si>
  <si>
    <t>Tan Y Gaer Cegidfa</t>
  </si>
  <si>
    <t>SY21 9PR</t>
  </si>
  <si>
    <t>CBDL3525</t>
  </si>
  <si>
    <t>4 Hazeltree Copse Crofty</t>
  </si>
  <si>
    <t>SA4 3SH</t>
  </si>
  <si>
    <t>CBDL3532</t>
  </si>
  <si>
    <t xml:space="preserve">2 North Road </t>
  </si>
  <si>
    <t>Banwell</t>
  </si>
  <si>
    <t>BS29 6AY</t>
  </si>
  <si>
    <t>CBDL3737</t>
  </si>
  <si>
    <t>54 Primrose Court Heol Emrys</t>
  </si>
  <si>
    <t>SA5 7AD</t>
  </si>
  <si>
    <t>CBDL3740</t>
  </si>
  <si>
    <t xml:space="preserve">37 Spindle Close </t>
  </si>
  <si>
    <t>YO24 3EZ</t>
  </si>
  <si>
    <t>CBDL3972</t>
  </si>
  <si>
    <t xml:space="preserve">The Market </t>
  </si>
  <si>
    <t>SA31 1QY</t>
  </si>
  <si>
    <t>CBDL3976</t>
  </si>
  <si>
    <t>6 Llys Cadwaladr Maesgeirchen</t>
  </si>
  <si>
    <t>LL57 1TN</t>
  </si>
  <si>
    <t>CBDL4240</t>
  </si>
  <si>
    <t>1 Bryntirion Henllan</t>
  </si>
  <si>
    <t>LL16 5YL</t>
  </si>
  <si>
    <t>CBDL4655</t>
  </si>
  <si>
    <t xml:space="preserve">38 Penygarn Road </t>
  </si>
  <si>
    <t>CBDL4657</t>
  </si>
  <si>
    <t>Frochas Cottage Frochas</t>
  </si>
  <si>
    <t>SY21 9JD</t>
  </si>
  <si>
    <t>CBDL5139</t>
  </si>
  <si>
    <t>1 Dee Bank Caravan Park High Street</t>
  </si>
  <si>
    <t>CBDL5143</t>
  </si>
  <si>
    <t xml:space="preserve">478 Corporation Road </t>
  </si>
  <si>
    <t>NP19 0GN</t>
  </si>
  <si>
    <t>CBDL5155</t>
  </si>
  <si>
    <t xml:space="preserve">7 Kerrison Drive </t>
  </si>
  <si>
    <t>CBDL5157</t>
  </si>
  <si>
    <t>Unit 10 Crawford Trading Estate</t>
  </si>
  <si>
    <t>CBDU5404</t>
  </si>
  <si>
    <t>Westwinds Groeswen</t>
  </si>
  <si>
    <t>CF15 7UU</t>
  </si>
  <si>
    <t>CBDL5406</t>
  </si>
  <si>
    <t>1A Ynysfach Avenue Resolfen</t>
  </si>
  <si>
    <t>SA11 4LH</t>
  </si>
  <si>
    <t>CBDU5407</t>
  </si>
  <si>
    <t>CBDU5410</t>
  </si>
  <si>
    <t xml:space="preserve">272 Chepstow Road </t>
  </si>
  <si>
    <t>NP19 8NN</t>
  </si>
  <si>
    <t>CBDU5415</t>
  </si>
  <si>
    <t>Unit 28 Star Trading Estate</t>
  </si>
  <si>
    <t>CBDU5669</t>
  </si>
  <si>
    <t xml:space="preserve">Hendrewen Road </t>
  </si>
  <si>
    <t>LL57 4DH</t>
  </si>
  <si>
    <t>CBDL5670</t>
  </si>
  <si>
    <t>Ydfa Corntwn</t>
  </si>
  <si>
    <t>CF35 5BB</t>
  </si>
  <si>
    <t>CBDL5674</t>
  </si>
  <si>
    <t>30 Port Lion Llangwm</t>
  </si>
  <si>
    <t>SA62 4JT</t>
  </si>
  <si>
    <t>CBDU5675</t>
  </si>
  <si>
    <t xml:space="preserve">62 Derwendeg Avenue </t>
  </si>
  <si>
    <t>CBDU5680</t>
  </si>
  <si>
    <t xml:space="preserve">11 Tollgate Road </t>
  </si>
  <si>
    <t>RH4 2PP</t>
  </si>
  <si>
    <t>CBDL5682</t>
  </si>
  <si>
    <t xml:space="preserve">5 Woodville Place </t>
  </si>
  <si>
    <t>NP23 6DJ</t>
  </si>
  <si>
    <t>CBDU5683</t>
  </si>
  <si>
    <t>Lon Yr Celyn Llandysilio</t>
  </si>
  <si>
    <t>SA66 7QD</t>
  </si>
  <si>
    <t>CBDU5918</t>
  </si>
  <si>
    <t>Beaver Lodge Trefgarn</t>
  </si>
  <si>
    <t>SA62 5LN</t>
  </si>
  <si>
    <t>CBDU5920</t>
  </si>
  <si>
    <t>Pen Deri Black Lion Road</t>
  </si>
  <si>
    <t>SA14 6SD</t>
  </si>
  <si>
    <t>CBDL5922</t>
  </si>
  <si>
    <t xml:space="preserve">6 Swithenbank Street </t>
  </si>
  <si>
    <t>Ossett</t>
  </si>
  <si>
    <t>WF5 9RW</t>
  </si>
  <si>
    <t>CBDU5924</t>
  </si>
  <si>
    <t>32 Easterly Close Brackla</t>
  </si>
  <si>
    <t>CF31 2NA</t>
  </si>
  <si>
    <t>CBDL5925</t>
  </si>
  <si>
    <t>Deri Isaf Deri Road</t>
  </si>
  <si>
    <t>SA9 2RH</t>
  </si>
  <si>
    <t>CBDL5926</t>
  </si>
  <si>
    <t>50 Brynheulog</t>
  </si>
  <si>
    <t>LD6 5EG</t>
  </si>
  <si>
    <t>CBDU5927</t>
  </si>
  <si>
    <t>16 Hensol Road Meisgyn</t>
  </si>
  <si>
    <t>CF72 8JT</t>
  </si>
  <si>
    <t>CBDL5932</t>
  </si>
  <si>
    <t>Country View Betws Ifan</t>
  </si>
  <si>
    <t>Beulah</t>
  </si>
  <si>
    <t>SA38 9QL</t>
  </si>
  <si>
    <t>CBDU5934</t>
  </si>
  <si>
    <t xml:space="preserve">37 Dan-y-Graig </t>
  </si>
  <si>
    <t>CF14 7HJ</t>
  </si>
  <si>
    <t>CBDU5935</t>
  </si>
  <si>
    <t xml:space="preserve">31 Castle Avenue </t>
  </si>
  <si>
    <t>CF64 3QY</t>
  </si>
  <si>
    <t>CBDU5936</t>
  </si>
  <si>
    <t>Brynbach Twyn-yr-Ysgol</t>
  </si>
  <si>
    <t>SA9 2AN</t>
  </si>
  <si>
    <t>CBDL5937</t>
  </si>
  <si>
    <t>CBDU6414</t>
  </si>
  <si>
    <t xml:space="preserve">68 Brynawelon </t>
  </si>
  <si>
    <t>SA14 8RA</t>
  </si>
  <si>
    <t>CBDU6415</t>
  </si>
  <si>
    <t>61 Clos-Glanlliw Pontlliw</t>
  </si>
  <si>
    <t>CBDU6417</t>
  </si>
  <si>
    <t>6A High Street Cwmavon</t>
  </si>
  <si>
    <t>SA12 9BH</t>
  </si>
  <si>
    <t>CBDU6425</t>
  </si>
  <si>
    <t>Old Police Lodge Sutton Road</t>
  </si>
  <si>
    <t>CF71 7PA</t>
  </si>
  <si>
    <t>CBDU6429</t>
  </si>
  <si>
    <t>Bradfield Stryt Y Gof</t>
  </si>
  <si>
    <t>LL14 2BP</t>
  </si>
  <si>
    <t>CBDU6732</t>
  </si>
  <si>
    <t>The Gables Ffordd Y Pentre</t>
  </si>
  <si>
    <t>CH7 4EL</t>
  </si>
  <si>
    <t>CBDU6734</t>
  </si>
  <si>
    <t>Bryn Llywelyn Rhydwyn</t>
  </si>
  <si>
    <t>LL65 4EF</t>
  </si>
  <si>
    <t>CBDU6738</t>
  </si>
  <si>
    <t xml:space="preserve">17 Yerburgh Avenue </t>
  </si>
  <si>
    <t>LL29 7NB</t>
  </si>
  <si>
    <t>CBDU6483</t>
  </si>
  <si>
    <t>Blenheim House Ffordd Caergybi</t>
  </si>
  <si>
    <t>LL57 2DP</t>
  </si>
  <si>
    <t>CBDL6484</t>
  </si>
  <si>
    <t xml:space="preserve">187 Cyncoed Road </t>
  </si>
  <si>
    <t>CF23 6AJ</t>
  </si>
  <si>
    <t>CBDU6485</t>
  </si>
  <si>
    <t>unit D hirwaun Ind Est</t>
  </si>
  <si>
    <t>cf44 9up</t>
  </si>
  <si>
    <t>CBDU6488</t>
  </si>
  <si>
    <t>7 Angelica Way Thornhill</t>
  </si>
  <si>
    <t>CF14 9FJ</t>
  </si>
  <si>
    <t>CBDU6489</t>
  </si>
  <si>
    <t>18 Bryngwastad Road Gorseinon</t>
  </si>
  <si>
    <t>SA4 4XG</t>
  </si>
  <si>
    <t>CBDU6962</t>
  </si>
  <si>
    <t>Leckwith Bridge Yard Leckwith</t>
  </si>
  <si>
    <t>CBDU6964</t>
  </si>
  <si>
    <t>4 Garth Place Rudry</t>
  </si>
  <si>
    <t>CF83 3DL</t>
  </si>
  <si>
    <t>CBDU6965</t>
  </si>
  <si>
    <t xml:space="preserve">Ty uchaf  Llwyngrawys </t>
  </si>
  <si>
    <t xml:space="preserve"> llangeodmor</t>
  </si>
  <si>
    <t>Sa432lr</t>
  </si>
  <si>
    <t>CBDL6969</t>
  </si>
  <si>
    <t xml:space="preserve">36 Dundonald Road </t>
  </si>
  <si>
    <t>LL29 7RE</t>
  </si>
  <si>
    <t>CBDL6970</t>
  </si>
  <si>
    <t>CBDL7321</t>
  </si>
  <si>
    <t>8A Millwood Street Manselton</t>
  </si>
  <si>
    <t>SA5 9JZ</t>
  </si>
  <si>
    <t>CBDU7322</t>
  </si>
  <si>
    <t>Talwrn Bungalow Rhosisaf</t>
  </si>
  <si>
    <t>Rhostryfan</t>
  </si>
  <si>
    <t>LL54 7NF</t>
  </si>
  <si>
    <t>CBDU7323</t>
  </si>
  <si>
    <t xml:space="preserve">2 Pen Y Cwm </t>
  </si>
  <si>
    <t>LL30 1JB</t>
  </si>
  <si>
    <t>CBDU7324</t>
  </si>
  <si>
    <t>CBDL7332</t>
  </si>
  <si>
    <t xml:space="preserve">Golwg Y Mor </t>
  </si>
  <si>
    <t>Llwyngwril</t>
  </si>
  <si>
    <t>LL37 2QJ</t>
  </si>
  <si>
    <t>CBDL7563</t>
  </si>
  <si>
    <t xml:space="preserve">22 Montrell Road </t>
  </si>
  <si>
    <t>SW2 4QB</t>
  </si>
  <si>
    <t>CBDU7566</t>
  </si>
  <si>
    <t xml:space="preserve">Aneddle </t>
  </si>
  <si>
    <t>CBDU7567</t>
  </si>
  <si>
    <t xml:space="preserve">17 Dunsany Park </t>
  </si>
  <si>
    <t>SA61 1UD</t>
  </si>
  <si>
    <t>CBDU7065</t>
  </si>
  <si>
    <t xml:space="preserve">9 Vincent Close </t>
  </si>
  <si>
    <t>IG6 2SZ</t>
  </si>
  <si>
    <t>CBDU7066</t>
  </si>
  <si>
    <t xml:space="preserve">14 Clos Tan-y-Fron </t>
  </si>
  <si>
    <t>CF31 2BY</t>
  </si>
  <si>
    <t>CBDU7067</t>
  </si>
  <si>
    <t xml:space="preserve">51 Ffordd Y Gilfach </t>
  </si>
  <si>
    <t>LL34 6EY</t>
  </si>
  <si>
    <t>CBDU7068</t>
  </si>
  <si>
    <t>New Cottage Water Street</t>
  </si>
  <si>
    <t>SA13 2PL</t>
  </si>
  <si>
    <t>CBDU7970</t>
  </si>
  <si>
    <t>Rosedale Llanrhidian</t>
  </si>
  <si>
    <t>SA3 1EU</t>
  </si>
  <si>
    <t>CBDU7971</t>
  </si>
  <si>
    <t xml:space="preserve">16 Victoria Drive </t>
  </si>
  <si>
    <t>LL31 9NU</t>
  </si>
  <si>
    <t>CBDL7975</t>
  </si>
  <si>
    <t>The Stream Ifield Road</t>
  </si>
  <si>
    <t>Charlwood</t>
  </si>
  <si>
    <t>Horley</t>
  </si>
  <si>
    <t>RH6 0DH</t>
  </si>
  <si>
    <t>CBDU7980</t>
  </si>
  <si>
    <t>86 Church Road Blaendulais</t>
  </si>
  <si>
    <t>SA10 9DT</t>
  </si>
  <si>
    <t>CBDU8208</t>
  </si>
  <si>
    <t>Tyddyn Y Graig Llanelian-yn-Rhos</t>
  </si>
  <si>
    <t>LL29 6BA</t>
  </si>
  <si>
    <t>CBDU8209</t>
  </si>
  <si>
    <t>23 High Cross Road Rogerstone</t>
  </si>
  <si>
    <t>NP10 9AE</t>
  </si>
  <si>
    <t>CBDU8219</t>
  </si>
  <si>
    <t>12 Trem Y Geulan Bae Cinmel</t>
  </si>
  <si>
    <t>LL18 5JU</t>
  </si>
  <si>
    <t>CBDU7733</t>
  </si>
  <si>
    <t>The Watlings Stanage</t>
  </si>
  <si>
    <t>CBDU7734</t>
  </si>
  <si>
    <t>7 Willowherb Close Llaneirwg</t>
  </si>
  <si>
    <t>CBDL7735</t>
  </si>
  <si>
    <t>Drovers Oak Cafe Drovers Oak Cafe</t>
  </si>
  <si>
    <t>SY22 6AR</t>
  </si>
  <si>
    <t>CBDL7736</t>
  </si>
  <si>
    <t xml:space="preserve">100 Bryncastell </t>
  </si>
  <si>
    <t>SY24 5DF</t>
  </si>
  <si>
    <t>CBDL7737</t>
  </si>
  <si>
    <t>34 Jones Street Phillipstown</t>
  </si>
  <si>
    <t>NP24 6BB</t>
  </si>
  <si>
    <t>CBDU7739</t>
  </si>
  <si>
    <t>Tregenna House Southpandy Road</t>
  </si>
  <si>
    <t>CF83 3HS</t>
  </si>
  <si>
    <t>CBDL7741</t>
  </si>
  <si>
    <t>Brynderi Llangain</t>
  </si>
  <si>
    <t>SA33 5AH</t>
  </si>
  <si>
    <t>CBDU7743</t>
  </si>
  <si>
    <t>2 Castleton Avenue Treherbert</t>
  </si>
  <si>
    <t>CF42 5SS</t>
  </si>
  <si>
    <t>CBDL8377</t>
  </si>
  <si>
    <t xml:space="preserve">2 Centre Street </t>
  </si>
  <si>
    <t>Banbury</t>
  </si>
  <si>
    <t>OX16 3LG</t>
  </si>
  <si>
    <t>CBDL8378</t>
  </si>
  <si>
    <t>CBDU8389</t>
  </si>
  <si>
    <t>8A Quarry Dale Rumney</t>
  </si>
  <si>
    <t>CF3 3BQ</t>
  </si>
  <si>
    <t>CBDU8624</t>
  </si>
  <si>
    <t>Unit 13 Sutton Road</t>
  </si>
  <si>
    <t>NR29 5BG</t>
  </si>
  <si>
    <t>CBDL8625</t>
  </si>
  <si>
    <t>Alde View Priory Road</t>
  </si>
  <si>
    <t>Snape</t>
  </si>
  <si>
    <t>Saxmundham</t>
  </si>
  <si>
    <t>IP17 1SD</t>
  </si>
  <si>
    <t>CBDU8628</t>
  </si>
  <si>
    <t>81 Oastview Rainham</t>
  </si>
  <si>
    <t>ME8 8JG</t>
  </si>
  <si>
    <t>CBDL8633</t>
  </si>
  <si>
    <t xml:space="preserve">Bro-Helyg </t>
  </si>
  <si>
    <t>SA46 0JX</t>
  </si>
  <si>
    <t>CBDL8634</t>
  </si>
  <si>
    <t xml:space="preserve">37 Maxwell Close </t>
  </si>
  <si>
    <t>CH7 3JF</t>
  </si>
  <si>
    <t>CBDU8635</t>
  </si>
  <si>
    <t xml:space="preserve">25 Rhodfar Ddraenen Wen </t>
  </si>
  <si>
    <t>SA11 3NW</t>
  </si>
  <si>
    <t>CBDU8636</t>
  </si>
  <si>
    <t>39 Belgrave Road Gorseinon</t>
  </si>
  <si>
    <t>SA4 6RF</t>
  </si>
  <si>
    <t>CBDU8639</t>
  </si>
  <si>
    <t>30 Penrhiw Avenue Oakdale</t>
  </si>
  <si>
    <t>NP12 0NH</t>
  </si>
  <si>
    <t>CBDL8858</t>
  </si>
  <si>
    <t>unit 2 clover road</t>
  </si>
  <si>
    <t>gurnos</t>
  </si>
  <si>
    <t>cf47 9dh</t>
  </si>
  <si>
    <t>CBDL8859</t>
  </si>
  <si>
    <t>1-2 station square</t>
  </si>
  <si>
    <t>Merthyr Vale</t>
  </si>
  <si>
    <t>cf48 4rp</t>
  </si>
  <si>
    <t>CBDU8860</t>
  </si>
  <si>
    <t>35 Hawthorne Avenue Gorseinon</t>
  </si>
  <si>
    <t>SA4 4XD</t>
  </si>
  <si>
    <t>CBDL8861</t>
  </si>
  <si>
    <t>The Cottage Newbridge</t>
  </si>
  <si>
    <t>NP11 4HL</t>
  </si>
  <si>
    <t>CBDL8862</t>
  </si>
  <si>
    <t xml:space="preserve">105 Portersfield Road </t>
  </si>
  <si>
    <t>NR2 3JX</t>
  </si>
  <si>
    <t>CBDL8863</t>
  </si>
  <si>
    <t>156 Abercynon Road Abercynon</t>
  </si>
  <si>
    <t>CF45 4ND</t>
  </si>
  <si>
    <t>CBDU8864</t>
  </si>
  <si>
    <t>Molleston Stables Molleston</t>
  </si>
  <si>
    <t>SA67 8BZ</t>
  </si>
  <si>
    <t>CBDL9002</t>
  </si>
  <si>
    <t>4 Walkers Terrace Pentrebach</t>
  </si>
  <si>
    <t>CF48 4DD</t>
  </si>
  <si>
    <t>CBDU9003</t>
  </si>
  <si>
    <t>38 Kings Road Connah's Quay</t>
  </si>
  <si>
    <t>CH5 4UY</t>
  </si>
  <si>
    <t>CBDL9006</t>
  </si>
  <si>
    <t xml:space="preserve">Sgwar Y Farchnad </t>
  </si>
  <si>
    <t>SA20 0AB</t>
  </si>
  <si>
    <t>CBDU9007</t>
  </si>
  <si>
    <t xml:space="preserve">3 Monmouth Drive </t>
  </si>
  <si>
    <t>CF48 1JA</t>
  </si>
  <si>
    <t>CBDL9008</t>
  </si>
  <si>
    <t>25 Cambridge Drive Chandler's Ford</t>
  </si>
  <si>
    <t>SO53 3BX</t>
  </si>
  <si>
    <t>CBDL9009</t>
  </si>
  <si>
    <t>6 Nant Road Bwlchgwyn</t>
  </si>
  <si>
    <t>LL11 5YN</t>
  </si>
  <si>
    <t>CBDU9010</t>
  </si>
  <si>
    <t>5 Penygroes Road Gorslas</t>
  </si>
  <si>
    <t>CBDU9011</t>
  </si>
  <si>
    <t>29 Heol Y Parc Hendy</t>
  </si>
  <si>
    <t>CBDU9021</t>
  </si>
  <si>
    <t>Old Police Station Tabor Road</t>
  </si>
  <si>
    <t>CF82 7PU</t>
  </si>
  <si>
    <t>CBDL9023</t>
  </si>
  <si>
    <t>CBDL9260</t>
  </si>
  <si>
    <t>12A Heol Y Plwf Cwmgwrach</t>
  </si>
  <si>
    <t>SA11 5SW</t>
  </si>
  <si>
    <t>CBDL9261</t>
  </si>
  <si>
    <t xml:space="preserve">36 Drakes Avenue </t>
  </si>
  <si>
    <t>LU7 3BX</t>
  </si>
  <si>
    <t>CBDU9262</t>
  </si>
  <si>
    <t>4 Bronllan Winch Wen</t>
  </si>
  <si>
    <t>SA1 7EQ</t>
  </si>
  <si>
    <t>CBDL9266</t>
  </si>
  <si>
    <t xml:space="preserve">68-70 New Chapel Street </t>
  </si>
  <si>
    <t>BB2 4DT</t>
  </si>
  <si>
    <t>CBDU9269</t>
  </si>
  <si>
    <t>Cildderi Derwen Fawr</t>
  </si>
  <si>
    <t>SA32 8QP</t>
  </si>
  <si>
    <t>CBDU9270</t>
  </si>
  <si>
    <t>The Chalet Pontyrhafod Castell-Haidd</t>
  </si>
  <si>
    <t>SA62 5QG</t>
  </si>
  <si>
    <t>CBDL9272</t>
  </si>
  <si>
    <t>Trem Y Dderwen Heol Ebeneser</t>
  </si>
  <si>
    <t>Llanedi</t>
  </si>
  <si>
    <t>SA4 0YT</t>
  </si>
  <si>
    <t>CBDU9273</t>
  </si>
  <si>
    <t>22 Heol Cadrawd Llangynwyd</t>
  </si>
  <si>
    <t>CF34 9TE</t>
  </si>
  <si>
    <t>CBDU9275</t>
  </si>
  <si>
    <t>Laureldene Devauden</t>
  </si>
  <si>
    <t>NP16 6NT</t>
  </si>
  <si>
    <t>CBDL9704</t>
  </si>
  <si>
    <t xml:space="preserve">32 Galston Road </t>
  </si>
  <si>
    <t>LU3 3JZ</t>
  </si>
  <si>
    <t>CBDL9713</t>
  </si>
  <si>
    <t>2 Crossway Ewloe</t>
  </si>
  <si>
    <t>CH5 3AT</t>
  </si>
  <si>
    <t>CBDL9491</t>
  </si>
  <si>
    <t>Gist Faen Farm Mynydd Du Road</t>
  </si>
  <si>
    <t>Mynydd Du</t>
  </si>
  <si>
    <t>CH7 4BL</t>
  </si>
  <si>
    <t>CBDU9495</t>
  </si>
  <si>
    <t xml:space="preserve">71 Penyfan Road </t>
  </si>
  <si>
    <t>SA15 1JG</t>
  </si>
  <si>
    <t>CBDU9945</t>
  </si>
  <si>
    <t xml:space="preserve">179 Commercial Road </t>
  </si>
  <si>
    <t>NP20 2PN</t>
  </si>
  <si>
    <t>CBDU9947</t>
  </si>
  <si>
    <t>Rhyddid Cemlyn</t>
  </si>
  <si>
    <t>Cemais</t>
  </si>
  <si>
    <t>LL67 0EA</t>
  </si>
  <si>
    <t>CBDU9948</t>
  </si>
  <si>
    <t>Bwlchmawr Rhyddlan</t>
  </si>
  <si>
    <t>SA40 9XA</t>
  </si>
  <si>
    <t>CBDU9950</t>
  </si>
  <si>
    <t>5 Berrington Villas Ystradowen</t>
  </si>
  <si>
    <t>SA9 2YL</t>
  </si>
  <si>
    <t>CBDU9951</t>
  </si>
  <si>
    <t>Coach House Wigfair</t>
  </si>
  <si>
    <t>LL17 0ET</t>
  </si>
  <si>
    <t>CBDL9956</t>
  </si>
  <si>
    <t>2 Bryn Y Dre Garth Lane</t>
  </si>
  <si>
    <t>LD7 1SA</t>
  </si>
  <si>
    <t>CBDL9957</t>
  </si>
  <si>
    <t>Tan Yr Allt Abercraf</t>
  </si>
  <si>
    <t>CBDU9958</t>
  </si>
  <si>
    <t>3 Alder Road Llanhari</t>
  </si>
  <si>
    <t>CF72 9HQ</t>
  </si>
  <si>
    <t>CBDU10276</t>
  </si>
  <si>
    <t>8 Haven Park Herbrandston</t>
  </si>
  <si>
    <t>SA73 3SH</t>
  </si>
  <si>
    <t>CBDU10279</t>
  </si>
  <si>
    <t>5 Cross Street Rhuddlan</t>
  </si>
  <si>
    <t>LL18 5AH</t>
  </si>
  <si>
    <t>CBDU10282</t>
  </si>
  <si>
    <t>Tryfan Cerrigydrudion</t>
  </si>
  <si>
    <t>LL21 9UB</t>
  </si>
  <si>
    <t>CBDU10511</t>
  </si>
  <si>
    <t>Glyndole Farm Lon Hir</t>
  </si>
  <si>
    <t>SA8 3DE</t>
  </si>
  <si>
    <t>CBDL10512</t>
  </si>
  <si>
    <t xml:space="preserve">156 Heathfield Road </t>
  </si>
  <si>
    <t>PR8 3EW</t>
  </si>
  <si>
    <t>CBDL10513</t>
  </si>
  <si>
    <t>59 Maesyfelin Pontyberem</t>
  </si>
  <si>
    <t>SA15 5ET</t>
  </si>
  <si>
    <t>CBDU10514</t>
  </si>
  <si>
    <t>7 Cwmphil Road Lower Cwmtwrch</t>
  </si>
  <si>
    <t>SA9 1DE</t>
  </si>
  <si>
    <t>CBDU10515</t>
  </si>
  <si>
    <t>74 Heol Offa Coedpoeth</t>
  </si>
  <si>
    <t>LL11 3EP</t>
  </si>
  <si>
    <t>CBDU10516</t>
  </si>
  <si>
    <t xml:space="preserve">49 Brynglas </t>
  </si>
  <si>
    <t>CF83 2PJ</t>
  </si>
  <si>
    <t>CBDU10517</t>
  </si>
  <si>
    <t xml:space="preserve">63 Sandown Road </t>
  </si>
  <si>
    <t>SA12 6PT</t>
  </si>
  <si>
    <t>CBDL10518</t>
  </si>
  <si>
    <t>Forest View Manse Road</t>
  </si>
  <si>
    <t>Caputh</t>
  </si>
  <si>
    <t>PH1 4JH</t>
  </si>
  <si>
    <t>CBDL10519</t>
  </si>
  <si>
    <t>1 CHURCH ROAD</t>
  </si>
  <si>
    <t>RHOS-ON-SEA</t>
  </si>
  <si>
    <t>LL284DJ</t>
  </si>
  <si>
    <t>CBDU10523</t>
  </si>
  <si>
    <t xml:space="preserve">7 Stone Street </t>
  </si>
  <si>
    <t>CBDU10525</t>
  </si>
  <si>
    <t>68 West Street Gorseinon</t>
  </si>
  <si>
    <t>SA4 4AF</t>
  </si>
  <si>
    <t>CBDU10527</t>
  </si>
  <si>
    <t>Glanrafon Cottage Llwynmawr</t>
  </si>
  <si>
    <t>LL20 7BB</t>
  </si>
  <si>
    <t>CBDU10871</t>
  </si>
  <si>
    <t>Penymiarth Newry Road</t>
  </si>
  <si>
    <t>LD2 3DQ</t>
  </si>
  <si>
    <t>CBDU10872</t>
  </si>
  <si>
    <t>1-5 Heol Bryngwili</t>
  </si>
  <si>
    <t>SA14 6LR</t>
  </si>
  <si>
    <t>CBDL10875</t>
  </si>
  <si>
    <t>17 Ffordd Llanllechid Llanllechid</t>
  </si>
  <si>
    <t>CBDU10876</t>
  </si>
  <si>
    <t>Minafon Pennal</t>
  </si>
  <si>
    <t>SY20 9JZ</t>
  </si>
  <si>
    <t>CBDU10877</t>
  </si>
  <si>
    <t xml:space="preserve">21 Celtic Road </t>
  </si>
  <si>
    <t>CF14 1EG</t>
  </si>
  <si>
    <t>CBDL10878</t>
  </si>
  <si>
    <t xml:space="preserve">1 Crescent Road </t>
  </si>
  <si>
    <t>NP19 8LW</t>
  </si>
  <si>
    <t>CBDU11118</t>
  </si>
  <si>
    <t>Victoria Buildings High Street</t>
  </si>
  <si>
    <t>LL18 2TR</t>
  </si>
  <si>
    <t>CBDU11119</t>
  </si>
  <si>
    <t>55 Greenways Abernant</t>
  </si>
  <si>
    <t>CF44 0GW</t>
  </si>
  <si>
    <t>CBDL11120</t>
  </si>
  <si>
    <t>11 St. Hilarys Drive Deganwy</t>
  </si>
  <si>
    <t>LL31 9SS</t>
  </si>
  <si>
    <t>CBDU11123</t>
  </si>
  <si>
    <t xml:space="preserve">21 Thorn Way </t>
  </si>
  <si>
    <t>IP11 2LT</t>
  </si>
  <si>
    <t>CBDU11128</t>
  </si>
  <si>
    <t>42 Derwendeg Avenue Cefn Hengoed</t>
  </si>
  <si>
    <t>CF82 7HQ</t>
  </si>
  <si>
    <t>CBDU11132</t>
  </si>
  <si>
    <t>40 Balaclava Street St. Thomas</t>
  </si>
  <si>
    <t>SA1 8BR</t>
  </si>
  <si>
    <t>CBDU11133</t>
  </si>
  <si>
    <t xml:space="preserve">19 Bethel Street </t>
  </si>
  <si>
    <t>SY18 6BS</t>
  </si>
  <si>
    <t>CBDU11942</t>
  </si>
  <si>
    <t>CBDL11947</t>
  </si>
  <si>
    <t>Sanderling Ragged Staff</t>
  </si>
  <si>
    <t>SA69 9HT</t>
  </si>
  <si>
    <t>CBDL11953</t>
  </si>
  <si>
    <t xml:space="preserve">77 Beechwood Road </t>
  </si>
  <si>
    <t>CR3 6NF</t>
  </si>
  <si>
    <t>CBDU11954</t>
  </si>
  <si>
    <t>Temperance Trefor</t>
  </si>
  <si>
    <t>LL65 3YT</t>
  </si>
  <si>
    <t>CBDU11956</t>
  </si>
  <si>
    <t xml:space="preserve">73A Risca Road </t>
  </si>
  <si>
    <t>NP20 4HY</t>
  </si>
  <si>
    <t>CBDL11957</t>
  </si>
  <si>
    <t>25 Middleton Road Mansfield Woodhouse</t>
  </si>
  <si>
    <t>NG19 8NF</t>
  </si>
  <si>
    <t>CBDU11958</t>
  </si>
  <si>
    <t>58 Bryn milwr</t>
  </si>
  <si>
    <t>Hollybush</t>
  </si>
  <si>
    <t xml:space="preserve">Np447ut </t>
  </si>
  <si>
    <t>CBDL11959</t>
  </si>
  <si>
    <t>3 South Avenue Cymmer</t>
  </si>
  <si>
    <t>SA13 3PF</t>
  </si>
  <si>
    <t>CBDL11399</t>
  </si>
  <si>
    <t>191 High Street Abertridwr</t>
  </si>
  <si>
    <t>CF83 4FB</t>
  </si>
  <si>
    <t>CBDL11401</t>
  </si>
  <si>
    <t>14 Brynaeron Dunvant</t>
  </si>
  <si>
    <t>SA2 7UX</t>
  </si>
  <si>
    <t>CBDL11402</t>
  </si>
  <si>
    <t>Treneved Lodge Llanrhian</t>
  </si>
  <si>
    <t>SA62 5BG</t>
  </si>
  <si>
    <t>CBDU11403</t>
  </si>
  <si>
    <t>69 Rhosnewydd Tumble</t>
  </si>
  <si>
    <t>SA14 6LA</t>
  </si>
  <si>
    <t>CBDU11404</t>
  </si>
  <si>
    <t>Snead Farm Snead</t>
  </si>
  <si>
    <t>SY15 6EB</t>
  </si>
  <si>
    <t>CBDL11405</t>
  </si>
  <si>
    <t>36 Juniper Close Three Legged Cross</t>
  </si>
  <si>
    <t>BH21 6SN</t>
  </si>
  <si>
    <t>CBDL11632</t>
  </si>
  <si>
    <t xml:space="preserve">62 Regent Street </t>
  </si>
  <si>
    <t>LL11 1RE</t>
  </si>
  <si>
    <t>CBDL11633</t>
  </si>
  <si>
    <t>83 Llangwm Ferry</t>
  </si>
  <si>
    <t>Guildford Row</t>
  </si>
  <si>
    <t>Llangwm</t>
  </si>
  <si>
    <t>SA62 4JN</t>
  </si>
  <si>
    <t>CBDU11634</t>
  </si>
  <si>
    <t xml:space="preserve">20 Longacres </t>
  </si>
  <si>
    <t>CF31 2DD</t>
  </si>
  <si>
    <t>CBDU11635</t>
  </si>
  <si>
    <t>Windrush Brechfa Close</t>
  </si>
  <si>
    <t>NP18 1GY</t>
  </si>
  <si>
    <t>CBDU11637</t>
  </si>
  <si>
    <t xml:space="preserve">48 Gaer Park Road </t>
  </si>
  <si>
    <t>NP20 3NJ</t>
  </si>
  <si>
    <t>CBDL11847</t>
  </si>
  <si>
    <t>CBDL11851</t>
  </si>
  <si>
    <t xml:space="preserve">Twynyrodyn Road </t>
  </si>
  <si>
    <t>CF47 0SD</t>
  </si>
  <si>
    <t>CBDU11852</t>
  </si>
  <si>
    <t>The Barn Parcyneithw</t>
  </si>
  <si>
    <t>Llechryd</t>
  </si>
  <si>
    <t>SA43 2PP</t>
  </si>
  <si>
    <t>CBDL11853</t>
  </si>
  <si>
    <t>Brimaston Grange Hayscastle</t>
  </si>
  <si>
    <t>SA62 5PW</t>
  </si>
  <si>
    <t>CBDU11855</t>
  </si>
  <si>
    <t>Hafan Deg Valley Road</t>
  </si>
  <si>
    <t>LL33 0SS</t>
  </si>
  <si>
    <t>CBDU11856</t>
  </si>
  <si>
    <t>Spring Grove Fowler Street</t>
  </si>
  <si>
    <t>Wainfelin</t>
  </si>
  <si>
    <t>NP4 6DW</t>
  </si>
  <si>
    <t>CBDL11857</t>
  </si>
  <si>
    <t>1 Monksland Road Scurlage</t>
  </si>
  <si>
    <t>SA3 1AY</t>
  </si>
  <si>
    <t>CBDU11858</t>
  </si>
  <si>
    <t>Gwenfro Eglwyswrw</t>
  </si>
  <si>
    <t>SA41 3SR</t>
  </si>
  <si>
    <t>CBDU12157</t>
  </si>
  <si>
    <t xml:space="preserve">56 Wilson Road </t>
  </si>
  <si>
    <t>CF5 4JL</t>
  </si>
  <si>
    <t>CBDU12160</t>
  </si>
  <si>
    <t>42 Maesydderwen Llangennech</t>
  </si>
  <si>
    <t>SA14 8UW</t>
  </si>
  <si>
    <t>CBDL12161</t>
  </si>
  <si>
    <t>1 Highfield Gloucester Road</t>
  </si>
  <si>
    <t>Tutshill</t>
  </si>
  <si>
    <t>NP16 7DF</t>
  </si>
  <si>
    <t>CBDU12162</t>
  </si>
  <si>
    <t>49 Main Road Crynant</t>
  </si>
  <si>
    <t>SA10 8NY</t>
  </si>
  <si>
    <t>CBDU12163</t>
  </si>
  <si>
    <t xml:space="preserve">33 Lady Street </t>
  </si>
  <si>
    <t>SA17 4UD</t>
  </si>
  <si>
    <t>CBDU12165</t>
  </si>
  <si>
    <t>54 Brynbrain Road Cwmllynfell</t>
  </si>
  <si>
    <t>CBDU12169</t>
  </si>
  <si>
    <t>66 St. Teilo Street Pontarddulais</t>
  </si>
  <si>
    <t>SA4 8SY</t>
  </si>
  <si>
    <t>CBDL12370</t>
  </si>
  <si>
    <t>Gileston Farm Talybont-on-Usk</t>
  </si>
  <si>
    <t>LD3 7JE</t>
  </si>
  <si>
    <t>CBDU12373</t>
  </si>
  <si>
    <t xml:space="preserve">9 Smithfield Road </t>
  </si>
  <si>
    <t>LL13 8EN</t>
  </si>
  <si>
    <t>CBDL12377</t>
  </si>
  <si>
    <t>Hillside Dolwyd</t>
  </si>
  <si>
    <t>LL28 5HS</t>
  </si>
  <si>
    <t>CBDL12382</t>
  </si>
  <si>
    <t>Ballacraine Goldcroft Common</t>
  </si>
  <si>
    <t>NP18 1NG</t>
  </si>
  <si>
    <t>CBDL12713</t>
  </si>
  <si>
    <t>223A Birkinstyle Lane Stonebroom</t>
  </si>
  <si>
    <t>DE55 6LD</t>
  </si>
  <si>
    <t>CBDL12716</t>
  </si>
  <si>
    <t xml:space="preserve">6 Lenin Terrace </t>
  </si>
  <si>
    <t>Stanley</t>
  </si>
  <si>
    <t>DH9 6PA</t>
  </si>
  <si>
    <t>CBDU12717</t>
  </si>
  <si>
    <t>Ash Grove Four Crosses</t>
  </si>
  <si>
    <t>SY22 6RW</t>
  </si>
  <si>
    <t>CBDU12718</t>
  </si>
  <si>
    <t>168 Llanelian Road Old Colwyn</t>
  </si>
  <si>
    <t>CBDL12724</t>
  </si>
  <si>
    <t xml:space="preserve">32 Greenfield </t>
  </si>
  <si>
    <t>LL11 2NR</t>
  </si>
  <si>
    <t>CBDU12502</t>
  </si>
  <si>
    <t>21 Bro Wyled Rhostryfan</t>
  </si>
  <si>
    <t>LL54 7LP</t>
  </si>
  <si>
    <t>CBDU12512</t>
  </si>
  <si>
    <t>CBDU12515</t>
  </si>
  <si>
    <t xml:space="preserve">184 Waltham Way </t>
  </si>
  <si>
    <t>E4 8AZ</t>
  </si>
  <si>
    <t>CBDU12517</t>
  </si>
  <si>
    <t xml:space="preserve">9 Lambton Place </t>
  </si>
  <si>
    <t>LS8 5PF</t>
  </si>
  <si>
    <t>CBDL12933</t>
  </si>
  <si>
    <t xml:space="preserve">7 Whincroft Drive </t>
  </si>
  <si>
    <t>BH22 9LH</t>
  </si>
  <si>
    <t>CBDL12934</t>
  </si>
  <si>
    <t xml:space="preserve">42 Marine Drive </t>
  </si>
  <si>
    <t>SA12 7NL</t>
  </si>
  <si>
    <t>CBDL12935</t>
  </si>
  <si>
    <t>46 St. Leonards Avenue Crundale</t>
  </si>
  <si>
    <t>SA62 4DW</t>
  </si>
  <si>
    <t>CBDU12940</t>
  </si>
  <si>
    <t xml:space="preserve">19 Archer Road </t>
  </si>
  <si>
    <t>CF5 4FL</t>
  </si>
  <si>
    <t>CBDU12945</t>
  </si>
  <si>
    <t xml:space="preserve">67 Maes Derwydd </t>
  </si>
  <si>
    <t>LL77 7GA</t>
  </si>
  <si>
    <t>CBDU12946</t>
  </si>
  <si>
    <t>Flat 4 Ysguboriau Pentre Mawr Farm</t>
  </si>
  <si>
    <t>Groesffordd Marli</t>
  </si>
  <si>
    <t>LL22 9DR</t>
  </si>
  <si>
    <t>CBDU13311</t>
  </si>
  <si>
    <t xml:space="preserve">15 St. Pauls Avenue </t>
  </si>
  <si>
    <t>CF64 3PQ</t>
  </si>
  <si>
    <t>CBDU13312</t>
  </si>
  <si>
    <t xml:space="preserve">21 Howe Drive </t>
  </si>
  <si>
    <t>CR3 5AX</t>
  </si>
  <si>
    <t>CBDL13315</t>
  </si>
  <si>
    <t>The Conmercial Station Road</t>
  </si>
  <si>
    <t>GIWERTON</t>
  </si>
  <si>
    <t>Sa4 3aj</t>
  </si>
  <si>
    <t>CBDU13316</t>
  </si>
  <si>
    <t>South View Farm Holdings Lane</t>
  </si>
  <si>
    <t>CF5 6JA</t>
  </si>
  <si>
    <t>CBDL13323</t>
  </si>
  <si>
    <t xml:space="preserve">11 Clos Yr Hendre </t>
  </si>
  <si>
    <t>SA18 3NN</t>
  </si>
  <si>
    <t>CBDU13499</t>
  </si>
  <si>
    <t xml:space="preserve">28 Heol Yr Odyn </t>
  </si>
  <si>
    <t>CF5 5QW</t>
  </si>
  <si>
    <t>CBDL13500</t>
  </si>
  <si>
    <t>32 Round Wood Llanedeyrn</t>
  </si>
  <si>
    <t>CF23 9PF</t>
  </si>
  <si>
    <t>CBDU13501</t>
  </si>
  <si>
    <t xml:space="preserve">16 Seaview Crescent </t>
  </si>
  <si>
    <t>SA64 0AZ</t>
  </si>
  <si>
    <t>CBDU13505</t>
  </si>
  <si>
    <t>110 Ty Isaf Park Road Risca</t>
  </si>
  <si>
    <t>NP11 6NH</t>
  </si>
  <si>
    <t>CBDU13507</t>
  </si>
  <si>
    <t xml:space="preserve">33 Bryngwyn Road </t>
  </si>
  <si>
    <t>SA14 8LW</t>
  </si>
  <si>
    <t>CBDU13511</t>
  </si>
  <si>
    <t>Unit 16A Martin Road</t>
  </si>
  <si>
    <t>CF24 5SB</t>
  </si>
  <si>
    <t>CBDL40</t>
  </si>
  <si>
    <t>3 Bowens Buildings Trelogan Road</t>
  </si>
  <si>
    <t>CH8 9NJ</t>
  </si>
  <si>
    <t>CBDL45</t>
  </si>
  <si>
    <t>3 Woodlands Avenue</t>
  </si>
  <si>
    <t>Rhoose on Sea</t>
  </si>
  <si>
    <t>LL28 4RU</t>
  </si>
  <si>
    <t>CBDL47</t>
  </si>
  <si>
    <t>30 Fishguard Road</t>
  </si>
  <si>
    <t>CF14 5PQ</t>
  </si>
  <si>
    <t>CBDL49</t>
  </si>
  <si>
    <t>20 Maes Abatt</t>
  </si>
  <si>
    <t>SA34 0HQ</t>
  </si>
  <si>
    <t>CBDL52</t>
  </si>
  <si>
    <t>Craig North Road</t>
  </si>
  <si>
    <t>Cyn Ygonc</t>
  </si>
  <si>
    <t>Angelsey</t>
  </si>
  <si>
    <t>LL74 8NS</t>
  </si>
  <si>
    <t>CBDL291</t>
  </si>
  <si>
    <t>51 High Street</t>
  </si>
  <si>
    <t>CBDL292</t>
  </si>
  <si>
    <t>CBDL293</t>
  </si>
  <si>
    <t>CBDL298</t>
  </si>
  <si>
    <t>Ty Newydd Conwy Road</t>
  </si>
  <si>
    <t>LL27 0JH</t>
  </si>
  <si>
    <t>CBDL299</t>
  </si>
  <si>
    <t>16 Upper Bryn Road</t>
  </si>
  <si>
    <t>Connahs Quay</t>
  </si>
  <si>
    <t>CH5 4XQ</t>
  </si>
  <si>
    <t>CBDL553</t>
  </si>
  <si>
    <t>14 Hawthorn Close Pentlepoir</t>
  </si>
  <si>
    <t>SA699BZ</t>
  </si>
  <si>
    <t>CBDL554</t>
  </si>
  <si>
    <t>Tan yr Allt Dolanog</t>
  </si>
  <si>
    <t>SY21 0LQ</t>
  </si>
  <si>
    <t>CBDL556</t>
  </si>
  <si>
    <t>8 West Street</t>
  </si>
  <si>
    <t>LD2 3AH</t>
  </si>
  <si>
    <t>CBDL557</t>
  </si>
  <si>
    <t>CBDL561</t>
  </si>
  <si>
    <t>14 Hillside Crescent</t>
  </si>
  <si>
    <t>C47 1RL</t>
  </si>
  <si>
    <t>CBDL786</t>
  </si>
  <si>
    <t>1 The Old Bakery Dolwilym</t>
  </si>
  <si>
    <t>Hebron</t>
  </si>
  <si>
    <t>SA34 0YR</t>
  </si>
  <si>
    <t>CBDL787</t>
  </si>
  <si>
    <t>18  cheriton drive</t>
  </si>
  <si>
    <t>thornhill</t>
  </si>
  <si>
    <t>cf149df</t>
  </si>
  <si>
    <t>CBDL788</t>
  </si>
  <si>
    <t>8 Woodmans Way</t>
  </si>
  <si>
    <t>Shepshed</t>
  </si>
  <si>
    <t>LE12 9RD</t>
  </si>
  <si>
    <t>CBDL789</t>
  </si>
  <si>
    <t>Middle Hills Farm Pengwern Common</t>
  </si>
  <si>
    <t>Fairwood</t>
  </si>
  <si>
    <t>SA2 7LL</t>
  </si>
  <si>
    <t>CBDL790</t>
  </si>
  <si>
    <t>21 bridge road</t>
  </si>
  <si>
    <t>cwmbach</t>
  </si>
  <si>
    <t>cf440ls</t>
  </si>
  <si>
    <t>CBDL792</t>
  </si>
  <si>
    <t>21 high street</t>
  </si>
  <si>
    <t>abertillery</t>
  </si>
  <si>
    <t>np131ag</t>
  </si>
  <si>
    <t>CBDL793</t>
  </si>
  <si>
    <t>47 Merthyr Road Whitchurch</t>
  </si>
  <si>
    <t>CBDL794</t>
  </si>
  <si>
    <t>11 St Augustine Rd</t>
  </si>
  <si>
    <t>CF144BD</t>
  </si>
  <si>
    <t>CBDL795</t>
  </si>
  <si>
    <t>116 Cliftonst</t>
  </si>
  <si>
    <t>CF24 1LW</t>
  </si>
  <si>
    <t>CBDL796</t>
  </si>
  <si>
    <t>21 Kinsley Road</t>
  </si>
  <si>
    <t>LD7 1EA</t>
  </si>
  <si>
    <t>CBDL798</t>
  </si>
  <si>
    <t xml:space="preserve">Tivyside Hunt Cefn Lodge </t>
  </si>
  <si>
    <t>SA43 2PD</t>
  </si>
  <si>
    <t>CBDL982</t>
  </si>
  <si>
    <t>16 gethin terrace</t>
  </si>
  <si>
    <t>betws y coed</t>
  </si>
  <si>
    <t>LL240BS</t>
  </si>
  <si>
    <t>CBDL983</t>
  </si>
  <si>
    <t>oakbeech valley llanfair caereinion</t>
  </si>
  <si>
    <t>llanfair caereinion</t>
  </si>
  <si>
    <t>sy21 0ba</t>
  </si>
  <si>
    <t>CBDL985</t>
  </si>
  <si>
    <t>13 pepys grove</t>
  </si>
  <si>
    <t>np20 3jh</t>
  </si>
  <si>
    <t>CBDL986</t>
  </si>
  <si>
    <t>59 gorse hill</t>
  </si>
  <si>
    <t>anstey</t>
  </si>
  <si>
    <t>le77ap</t>
  </si>
  <si>
    <t>CBDL988</t>
  </si>
  <si>
    <t>Twr Celyn Llansannan</t>
  </si>
  <si>
    <t>LL16 5LD</t>
  </si>
  <si>
    <t>CBDL989</t>
  </si>
  <si>
    <t>9 Stafford house  23 Penrhos rd</t>
  </si>
  <si>
    <t xml:space="preserve">Rhos on sea </t>
  </si>
  <si>
    <t>ll283db</t>
  </si>
  <si>
    <t>CBDL997</t>
  </si>
  <si>
    <t>Hunt Kennels Llanvihangel Gobion</t>
  </si>
  <si>
    <t>NP7 8UE</t>
  </si>
  <si>
    <t>CBDL998</t>
  </si>
  <si>
    <t>CBDL1226</t>
  </si>
  <si>
    <t>56 Silver Terrace</t>
  </si>
  <si>
    <t>SA16 0NA</t>
  </si>
  <si>
    <t>CBDL1227</t>
  </si>
  <si>
    <t>CBDL1228</t>
  </si>
  <si>
    <t>Unit 9 Gabalfa Workshops Clos Menter</t>
  </si>
  <si>
    <t>Excelsior Road</t>
  </si>
  <si>
    <t>CBDL1229</t>
  </si>
  <si>
    <t>Ty Pen-twyn Glynogwr</t>
  </si>
  <si>
    <t>Blackmill</t>
  </si>
  <si>
    <t>CF35 6EL</t>
  </si>
  <si>
    <t>CBDL1230</t>
  </si>
  <si>
    <t>25  corbett ave</t>
  </si>
  <si>
    <t>tywyn</t>
  </si>
  <si>
    <t>ll360ah</t>
  </si>
  <si>
    <t>CBDL1234</t>
  </si>
  <si>
    <t>Masons arms Thomas street</t>
  </si>
  <si>
    <t>Sa153ja</t>
  </si>
  <si>
    <t>CBDL1235</t>
  </si>
  <si>
    <t>CBDL1236</t>
  </si>
  <si>
    <t>CBDL1237</t>
  </si>
  <si>
    <t>CBDL1468</t>
  </si>
  <si>
    <t>19 Waverley Crescent</t>
  </si>
  <si>
    <t>Rossett</t>
  </si>
  <si>
    <t>LL12 0EG</t>
  </si>
  <si>
    <t>CBDL1472</t>
  </si>
  <si>
    <t>5a Lion Street</t>
  </si>
  <si>
    <t>LD3 7AU</t>
  </si>
  <si>
    <t>CBDL1473</t>
  </si>
  <si>
    <t>38 Cathan Crescent</t>
  </si>
  <si>
    <t>Portmead</t>
  </si>
  <si>
    <t>SA5 5lf</t>
  </si>
  <si>
    <t>CBDL1474</t>
  </si>
  <si>
    <t>7 New Road</t>
  </si>
  <si>
    <t>Camarthenshire</t>
  </si>
  <si>
    <t>CBDL1475</t>
  </si>
  <si>
    <t>20  Grove Road</t>
  </si>
  <si>
    <t>LL29 8ER</t>
  </si>
  <si>
    <t>CBDL1477</t>
  </si>
  <si>
    <t>23 Heol Ysgubor</t>
  </si>
  <si>
    <t>Castle view</t>
  </si>
  <si>
    <t>CF83 1SR</t>
  </si>
  <si>
    <t>CBDL1478</t>
  </si>
  <si>
    <t>28a glan road</t>
  </si>
  <si>
    <t>gadlys</t>
  </si>
  <si>
    <t>cf448bn</t>
  </si>
  <si>
    <t>CBDL1699</t>
  </si>
  <si>
    <t>Penyfai Lodge Pen y Fai</t>
  </si>
  <si>
    <t>CBDL1702</t>
  </si>
  <si>
    <t>C A C I House Avonmore Road</t>
  </si>
  <si>
    <t>W14 8TS</t>
  </si>
  <si>
    <t>CBDL1704</t>
  </si>
  <si>
    <t>CBDL1948</t>
  </si>
  <si>
    <t xml:space="preserve">2 Becontree Avenue </t>
  </si>
  <si>
    <t>RM8 2UB</t>
  </si>
  <si>
    <t>CBDL2185</t>
  </si>
  <si>
    <t>Unit 1 Nantllan</t>
  </si>
  <si>
    <t>Clarach</t>
  </si>
  <si>
    <t>CBDL2195</t>
  </si>
  <si>
    <t xml:space="preserve">17 High Street </t>
  </si>
  <si>
    <t>LL32 8DE</t>
  </si>
  <si>
    <t>CBDL2584</t>
  </si>
  <si>
    <t>The Garlands 5 School Lane</t>
  </si>
  <si>
    <t>SY16 2DF</t>
  </si>
  <si>
    <t>CBDL3028</t>
  </si>
  <si>
    <t>Tyn Rhos Lon Crecrist</t>
  </si>
  <si>
    <t>Bae Trearddur</t>
  </si>
  <si>
    <t>LL65 2AZ</t>
  </si>
  <si>
    <t>CBDL3030</t>
  </si>
  <si>
    <t>68 Station Road Llanishen</t>
  </si>
  <si>
    <t>CF14 5LU</t>
  </si>
  <si>
    <t>CBDL3031</t>
  </si>
  <si>
    <t>CBDL3251</t>
  </si>
  <si>
    <t xml:space="preserve">139 Penrhos Avenue </t>
  </si>
  <si>
    <t>LL31 9EN</t>
  </si>
  <si>
    <t>CBDL3253</t>
  </si>
  <si>
    <t xml:space="preserve">21 Hastings Place </t>
  </si>
  <si>
    <t>CBDL3255</t>
  </si>
  <si>
    <t>Frongoch Talwrn</t>
  </si>
  <si>
    <t>LL77 7TB</t>
  </si>
  <si>
    <t>CBDL3256</t>
  </si>
  <si>
    <t xml:space="preserve">11 Long Bridge Street </t>
  </si>
  <si>
    <t>SY18 6EE</t>
  </si>
  <si>
    <t>CBDL3543</t>
  </si>
  <si>
    <t xml:space="preserve">72 South Street </t>
  </si>
  <si>
    <t>Lancing</t>
  </si>
  <si>
    <t>BN15 8AJ</t>
  </si>
  <si>
    <t>CBDL3545</t>
  </si>
  <si>
    <t>Tegfan Talsarn</t>
  </si>
  <si>
    <t>SA48 8RA</t>
  </si>
  <si>
    <t>CBDL3758</t>
  </si>
  <si>
    <t>33 Brynhyfryd Avenue Nantyglo</t>
  </si>
  <si>
    <t>NP23 4PB</t>
  </si>
  <si>
    <t>CBDL3991</t>
  </si>
  <si>
    <t>Halford Lodge Halford</t>
  </si>
  <si>
    <t>Craven Arms</t>
  </si>
  <si>
    <t>SY7 9JG</t>
  </si>
  <si>
    <t>CBDL3992</t>
  </si>
  <si>
    <t>56 Woodwards Walk Acrefair</t>
  </si>
  <si>
    <t>LL14 3UY</t>
  </si>
  <si>
    <t>CBDL4252</t>
  </si>
  <si>
    <t>21 Heol Frank Penlan</t>
  </si>
  <si>
    <t>SA5 7AR</t>
  </si>
  <si>
    <t>CBDL4495</t>
  </si>
  <si>
    <t xml:space="preserve">20 Victoria Avenue </t>
  </si>
  <si>
    <t>NP19 8GF</t>
  </si>
  <si>
    <t>CBDL4496</t>
  </si>
  <si>
    <t>Unit 311 Woodside Way</t>
  </si>
  <si>
    <t>CBDL4500</t>
  </si>
  <si>
    <t xml:space="preserve">19 Berriew Street </t>
  </si>
  <si>
    <t>SY21 7SQ</t>
  </si>
  <si>
    <t>CBDL4504</t>
  </si>
  <si>
    <t>Gwelfor Heol Llanelli</t>
  </si>
  <si>
    <t>SA17 4AG</t>
  </si>
  <si>
    <t>CBDL4930</t>
  </si>
  <si>
    <t>Ty Bach Y Ffordd Farm Llanegryn</t>
  </si>
  <si>
    <t>LL36 9NL</t>
  </si>
  <si>
    <t>CBDL4935</t>
  </si>
  <si>
    <t>Ty Gwyn Frog Lane</t>
  </si>
  <si>
    <t>Abenbury Road</t>
  </si>
  <si>
    <t>LL13 0NT</t>
  </si>
  <si>
    <t>CBDL4674</t>
  </si>
  <si>
    <t>East Langdon Farm Abbotsham</t>
  </si>
  <si>
    <t>EX39 5BG</t>
  </si>
  <si>
    <t>CBDL4681</t>
  </si>
  <si>
    <t>11 Cwm Estyn Deganwy</t>
  </si>
  <si>
    <t>LL31 9RB</t>
  </si>
  <si>
    <t>CBDL5421</t>
  </si>
  <si>
    <t>Old Barn Llansilin</t>
  </si>
  <si>
    <t>SY10 7PX</t>
  </si>
  <si>
    <t>CBDU5426</t>
  </si>
  <si>
    <t>Blaencrown Aberarth</t>
  </si>
  <si>
    <t>SA46 0LL</t>
  </si>
  <si>
    <t>CBDU5428</t>
  </si>
  <si>
    <t>Hafod Hir Capel Dewi</t>
  </si>
  <si>
    <t>SA32 8AE</t>
  </si>
  <si>
    <t>CBDU5430</t>
  </si>
  <si>
    <t>CBDL5436</t>
  </si>
  <si>
    <t xml:space="preserve">6 Clas Tywern </t>
  </si>
  <si>
    <t>CF14 4SB</t>
  </si>
  <si>
    <t>CBDU5689</t>
  </si>
  <si>
    <t>Pen Y Bryn Ffordd Y Pant</t>
  </si>
  <si>
    <t>CBDL5694</t>
  </si>
  <si>
    <t xml:space="preserve">67 Hatton Avenue </t>
  </si>
  <si>
    <t>SL2 1NF</t>
  </si>
  <si>
    <t>CBDL5696</t>
  </si>
  <si>
    <t>Watergate Farm Woburn Road</t>
  </si>
  <si>
    <t>Hockliffe</t>
  </si>
  <si>
    <t>LU7 9LN</t>
  </si>
  <si>
    <t>CBDU5697</t>
  </si>
  <si>
    <t>33 Haven Drive Hakin</t>
  </si>
  <si>
    <t>SA73 3HW</t>
  </si>
  <si>
    <t>CBDU6181</t>
  </si>
  <si>
    <t>Llechwedd Pistyll</t>
  </si>
  <si>
    <t>LL53 6LP</t>
  </si>
  <si>
    <t>CBDL6182</t>
  </si>
  <si>
    <t xml:space="preserve">3 Appletree Meadow </t>
  </si>
  <si>
    <t>LD8 2DL</t>
  </si>
  <si>
    <t>CBDU6183</t>
  </si>
  <si>
    <t>CBDU6184</t>
  </si>
  <si>
    <t xml:space="preserve">85 Cae Mur </t>
  </si>
  <si>
    <t>LL55 1DS</t>
  </si>
  <si>
    <t>CBDU6188</t>
  </si>
  <si>
    <t>The Lodge Mostyn Road</t>
  </si>
  <si>
    <t>CH8 9DN</t>
  </si>
  <si>
    <t>CBDU6189</t>
  </si>
  <si>
    <t xml:space="preserve">8 Clos Hector </t>
  </si>
  <si>
    <t>CF24 2HL</t>
  </si>
  <si>
    <t>CBDU6190</t>
  </si>
  <si>
    <t>Perllan Hen Glanwern</t>
  </si>
  <si>
    <t>Y Borth</t>
  </si>
  <si>
    <t>SY24 5LT</t>
  </si>
  <si>
    <t>CBDU6192</t>
  </si>
  <si>
    <t>70 Bryncelyn Nelson</t>
  </si>
  <si>
    <t>CF46 6HN</t>
  </si>
  <si>
    <t>CBDU6193</t>
  </si>
  <si>
    <t>4 Brynhyfryd Terrace Brynithel</t>
  </si>
  <si>
    <t>NP13 2HJ</t>
  </si>
  <si>
    <t>CBDU6196</t>
  </si>
  <si>
    <t xml:space="preserve">58 Ffordd Abergele </t>
  </si>
  <si>
    <t>LL29 7PP</t>
  </si>
  <si>
    <t>CBDU6198</t>
  </si>
  <si>
    <t>1 Rhes Cambrian Llanberis</t>
  </si>
  <si>
    <t>LL55 4HT</t>
  </si>
  <si>
    <t>CBDU6200</t>
  </si>
  <si>
    <t>68 Bonymaen Road Bonymaen</t>
  </si>
  <si>
    <t>SA1 7AW</t>
  </si>
  <si>
    <t>CBDL5938</t>
  </si>
  <si>
    <t>CBDU5939</t>
  </si>
  <si>
    <t>1 Llantrisant Road Beddau</t>
  </si>
  <si>
    <t>CF38 2BB</t>
  </si>
  <si>
    <t>CBDL5940</t>
  </si>
  <si>
    <t>385 Lunsford Lane Larkfield</t>
  </si>
  <si>
    <t>Aylesford</t>
  </si>
  <si>
    <t>ME20 6HZ</t>
  </si>
  <si>
    <t>CBDL5945</t>
  </si>
  <si>
    <t>Stanley Buildings Ffordd Bangor</t>
  </si>
  <si>
    <t>LL34 6LF</t>
  </si>
  <si>
    <t>CBDU6745</t>
  </si>
  <si>
    <t xml:space="preserve">53 Parc Wern </t>
  </si>
  <si>
    <t>SA10 6AX</t>
  </si>
  <si>
    <t>CBDU6748</t>
  </si>
  <si>
    <t xml:space="preserve">3 Coastguard Houses </t>
  </si>
  <si>
    <t>LL65 1ET</t>
  </si>
  <si>
    <t>CBDL6750</t>
  </si>
  <si>
    <t xml:space="preserve">134 Bolton Street </t>
  </si>
  <si>
    <t>OL4 1BW</t>
  </si>
  <si>
    <t>CBDL6754</t>
  </si>
  <si>
    <t xml:space="preserve">35 Panteg </t>
  </si>
  <si>
    <t>SA15 3TE</t>
  </si>
  <si>
    <t>CBDU6491</t>
  </si>
  <si>
    <t>Plas Cemlyn Cemlyn</t>
  </si>
  <si>
    <t>LL67 0DY</t>
  </si>
  <si>
    <t>CBDU6500</t>
  </si>
  <si>
    <t>Bryn Person Llanelian-yn-Rhos</t>
  </si>
  <si>
    <t>LL29 8YS</t>
  </si>
  <si>
    <t>CBDU6503</t>
  </si>
  <si>
    <t>37 Maes Coetmor Bethesda</t>
  </si>
  <si>
    <t>LL57 3DS</t>
  </si>
  <si>
    <t>CBDU6507</t>
  </si>
  <si>
    <t xml:space="preserve">93 Newcastle Road </t>
  </si>
  <si>
    <t>NE34 9AA</t>
  </si>
  <si>
    <t>CBDU6974</t>
  </si>
  <si>
    <t>3 Brovyrnwy Dolanog</t>
  </si>
  <si>
    <t>SY21 0LH</t>
  </si>
  <si>
    <t>CBDU6976</t>
  </si>
  <si>
    <t>Unit 14 Stad Ddiwydiannol Llandygai</t>
  </si>
  <si>
    <t>CBDU6978</t>
  </si>
  <si>
    <t>Fair View Rowan Close</t>
  </si>
  <si>
    <t>CF37 1XD</t>
  </si>
  <si>
    <t>CBDU6980</t>
  </si>
  <si>
    <t xml:space="preserve">457 Fernhill </t>
  </si>
  <si>
    <t>CF45 3ER</t>
  </si>
  <si>
    <t>CBDU7337</t>
  </si>
  <si>
    <t>Unit 4 Hadnock Road Industrial Estate</t>
  </si>
  <si>
    <t>CBDU7338</t>
  </si>
  <si>
    <t xml:space="preserve">87 Essex Road </t>
  </si>
  <si>
    <t>RM7 8BB</t>
  </si>
  <si>
    <t>CBDL7339</t>
  </si>
  <si>
    <t>Gelli Aur Pant-y-Crug</t>
  </si>
  <si>
    <t>Capel Seion</t>
  </si>
  <si>
    <t>SY23 4EF</t>
  </si>
  <si>
    <t>CBDU7342</t>
  </si>
  <si>
    <t>8 Glan Menai Treborth</t>
  </si>
  <si>
    <t>LL57 2NQ</t>
  </si>
  <si>
    <t>CBDU7344</t>
  </si>
  <si>
    <t xml:space="preserve">57 Maes Yr Haf  Llansamlet </t>
  </si>
  <si>
    <t>SA7 9ST</t>
  </si>
  <si>
    <t>CBDU7347</t>
  </si>
  <si>
    <t xml:space="preserve">25 Grange Road </t>
  </si>
  <si>
    <t>LL18 4RD</t>
  </si>
  <si>
    <t>CBDU7349</t>
  </si>
  <si>
    <t>63 Kingsley Crescent Stonebroom</t>
  </si>
  <si>
    <t>DE55 6HW</t>
  </si>
  <si>
    <t>CBDL7351</t>
  </si>
  <si>
    <t xml:space="preserve">10 Scotney Road </t>
  </si>
  <si>
    <t>RG21 5SR</t>
  </si>
  <si>
    <t>CBDL7352</t>
  </si>
  <si>
    <t>Teifi View Pentrecourt Road</t>
  </si>
  <si>
    <t>SA44 5AP</t>
  </si>
  <si>
    <t>CBDL7572</t>
  </si>
  <si>
    <t>5   vale rd</t>
  </si>
  <si>
    <t>GU15 3DR</t>
  </si>
  <si>
    <t>CBDL7573</t>
  </si>
  <si>
    <t>4 Sandpiper Close Llaneirwg</t>
  </si>
  <si>
    <t>CF3 0DL</t>
  </si>
  <si>
    <t>CBDL7574</t>
  </si>
  <si>
    <t xml:space="preserve">Trawsfynydd </t>
  </si>
  <si>
    <t>LL41 4SN</t>
  </si>
  <si>
    <t>CBDL7579</t>
  </si>
  <si>
    <t xml:space="preserve">2 Yr Aes </t>
  </si>
  <si>
    <t>CF10 1AH</t>
  </si>
  <si>
    <t>CBDU7081</t>
  </si>
  <si>
    <t>7 Glan-y-Nant Treoes</t>
  </si>
  <si>
    <t>CF35 5EE</t>
  </si>
  <si>
    <t>CBDU7086</t>
  </si>
  <si>
    <t xml:space="preserve">103 Aveling Close </t>
  </si>
  <si>
    <t>CR8 4DY</t>
  </si>
  <si>
    <t>CBDU7087</t>
  </si>
  <si>
    <t>Pen Y Mynydd Pen Y Parc</t>
  </si>
  <si>
    <t>Llanvihangel Crucorney</t>
  </si>
  <si>
    <t>NP7 8EN</t>
  </si>
  <si>
    <t>CBDU7091</t>
  </si>
  <si>
    <t>Llwyn Ffynnon Tirycoed Road</t>
  </si>
  <si>
    <t>CBDU7099</t>
  </si>
  <si>
    <t>Unit 4 Mamhilad park industrial est Pontypool</t>
  </si>
  <si>
    <t>Newpot</t>
  </si>
  <si>
    <t>CBDU7983</t>
  </si>
  <si>
    <t xml:space="preserve">23 Severn Road </t>
  </si>
  <si>
    <t>BH22 8XB</t>
  </si>
  <si>
    <t>CBDU7985</t>
  </si>
  <si>
    <t>73 Brynglas Avenue Cwmavon</t>
  </si>
  <si>
    <t>SA12 9LF</t>
  </si>
  <si>
    <t>CBDU7986</t>
  </si>
  <si>
    <t>Cwmcringlyn Abaty Cwm-Hir</t>
  </si>
  <si>
    <t>LD1 6PU</t>
  </si>
  <si>
    <t>CBDL7987</t>
  </si>
  <si>
    <t>Village Road Northop Hall</t>
  </si>
  <si>
    <t>CH7 6HS</t>
  </si>
  <si>
    <t>CBDU7988</t>
  </si>
  <si>
    <t>Waunrewig Gwernogle</t>
  </si>
  <si>
    <t>SA32 7RS</t>
  </si>
  <si>
    <t>CBDL7992</t>
  </si>
  <si>
    <t xml:space="preserve">116 Bryncastell </t>
  </si>
  <si>
    <t>CBDL7993</t>
  </si>
  <si>
    <t>61 Caeau Gleision Rhiwlas</t>
  </si>
  <si>
    <t>LL57 4UA</t>
  </si>
  <si>
    <t>CBDU8221</t>
  </si>
  <si>
    <t>Blackberry Cottage 6 James Street</t>
  </si>
  <si>
    <t>SA73 1RP</t>
  </si>
  <si>
    <t>CBDL8222</t>
  </si>
  <si>
    <t>2 Riverside Avenue Neyland</t>
  </si>
  <si>
    <t>SA73 1TS</t>
  </si>
  <si>
    <t>CBDU8226</t>
  </si>
  <si>
    <t xml:space="preserve">4 Gwel Y Creuddyn </t>
  </si>
  <si>
    <t>SA48 7EQ</t>
  </si>
  <si>
    <t>CBDU8228</t>
  </si>
  <si>
    <t xml:space="preserve">25 Druids Close </t>
  </si>
  <si>
    <t>CF83 2XR</t>
  </si>
  <si>
    <t>CBDL8232</t>
  </si>
  <si>
    <t>1 Tremygarn Bethlehem</t>
  </si>
  <si>
    <t>SA19 6YL</t>
  </si>
  <si>
    <t>CBDL8234</t>
  </si>
  <si>
    <t xml:space="preserve">21 Moorlands Road </t>
  </si>
  <si>
    <t>CF31 3DR</t>
  </si>
  <si>
    <t>CBDL7746</t>
  </si>
  <si>
    <t>Bryn Amlwg House Bryn Amlwg</t>
  </si>
  <si>
    <t>CF33 4DJ</t>
  </si>
  <si>
    <t>CBDU7748</t>
  </si>
  <si>
    <t>2 Fardre Court Pentre'r Eglwys</t>
  </si>
  <si>
    <t>CF38 1DG</t>
  </si>
  <si>
    <t>CBDL7750</t>
  </si>
  <si>
    <t xml:space="preserve">59 Powell Street </t>
  </si>
  <si>
    <t>NP13 1EG</t>
  </si>
  <si>
    <t>CBDL7753</t>
  </si>
  <si>
    <t>57 High Street Nelson</t>
  </si>
  <si>
    <t>CF46 6HA</t>
  </si>
  <si>
    <t>CBDU7755</t>
  </si>
  <si>
    <t>3 Rover Way Caravan Site Rover Way</t>
  </si>
  <si>
    <t>CF24 2RX</t>
  </si>
  <si>
    <t>CBDU7756</t>
  </si>
  <si>
    <t>Fernleigh Villa Twyn-Gwyn Road</t>
  </si>
  <si>
    <t>NP11 7AX</t>
  </si>
  <si>
    <t>CBDU7759</t>
  </si>
  <si>
    <t>1 White Acres Gwern Lane</t>
  </si>
  <si>
    <t>Hope</t>
  </si>
  <si>
    <t>LL12 9RU</t>
  </si>
  <si>
    <t>CBDL8393</t>
  </si>
  <si>
    <t>Parc Y Beili Aberarth</t>
  </si>
  <si>
    <t>SA46 0JU</t>
  </si>
  <si>
    <t>CBDL8400</t>
  </si>
  <si>
    <t>1  little italy</t>
  </si>
  <si>
    <t>bell lane ship street</t>
  </si>
  <si>
    <t xml:space="preserve">brecon </t>
  </si>
  <si>
    <t>ld3 9af</t>
  </si>
  <si>
    <t>CBDU8402</t>
  </si>
  <si>
    <t>Cwrt Farm Buildings Penrhyncoch</t>
  </si>
  <si>
    <t>SY23 3EG</t>
  </si>
  <si>
    <t>CBDL8403</t>
  </si>
  <si>
    <t xml:space="preserve">25 Rhodfa Steele </t>
  </si>
  <si>
    <t>SA31 3DD</t>
  </si>
  <si>
    <t>CBDU8405</t>
  </si>
  <si>
    <t>39 Castle Walks Chirk</t>
  </si>
  <si>
    <t>LL14 5LQ</t>
  </si>
  <si>
    <t>CBDU8641</t>
  </si>
  <si>
    <t>598 Birchgrove Road Glais</t>
  </si>
  <si>
    <t>SA7 9EN</t>
  </si>
  <si>
    <t>CBDU8646</t>
  </si>
  <si>
    <t>Round Buildings Llanbister Road</t>
  </si>
  <si>
    <t>LD1 5UR</t>
  </si>
  <si>
    <t>CBDU8649</t>
  </si>
  <si>
    <t>4 Coates Row</t>
  </si>
  <si>
    <t>Beaufort Wells</t>
  </si>
  <si>
    <t>NP23 5DD</t>
  </si>
  <si>
    <t>CBDL8650</t>
  </si>
  <si>
    <t>201 Cattle Dyke Gorefield</t>
  </si>
  <si>
    <t>Wisbech</t>
  </si>
  <si>
    <t>PE13 4NR</t>
  </si>
  <si>
    <t>CBDU8651</t>
  </si>
  <si>
    <t xml:space="preserve">2 Moseley Avenue </t>
  </si>
  <si>
    <t xml:space="preserve">Warrington </t>
  </si>
  <si>
    <t>WA4 1NX</t>
  </si>
  <si>
    <t>CBDU9025</t>
  </si>
  <si>
    <t xml:space="preserve">55 Lon Y Felin </t>
  </si>
  <si>
    <t>SA18 2RG</t>
  </si>
  <si>
    <t>CBDL9026</t>
  </si>
  <si>
    <t>Cwrt Y Celyn Farm Upper Boat</t>
  </si>
  <si>
    <t>CF37 5BJ</t>
  </si>
  <si>
    <t>CBDL9029</t>
  </si>
  <si>
    <t xml:space="preserve">8 Haldane Street </t>
  </si>
  <si>
    <t>Gainsborough</t>
  </si>
  <si>
    <t>DN21 2PN</t>
  </si>
  <si>
    <t>CBDU9030</t>
  </si>
  <si>
    <t xml:space="preserve">1 Rhodfa Tuar Mor </t>
  </si>
  <si>
    <t>SA12 7LT</t>
  </si>
  <si>
    <t>CBDL9031</t>
  </si>
  <si>
    <t xml:space="preserve">108 Prendergast </t>
  </si>
  <si>
    <t>SA61 2PP</t>
  </si>
  <si>
    <t>CBDU9033</t>
  </si>
  <si>
    <t>2 Login Road Waunarlwydd</t>
  </si>
  <si>
    <t>SA5 4TH</t>
  </si>
  <si>
    <t>CBDU9278</t>
  </si>
  <si>
    <t>32 Cae Castell Casllwchwr</t>
  </si>
  <si>
    <t>CBDL9281</t>
  </si>
  <si>
    <t>12 Anchor Street Taffs Well</t>
  </si>
  <si>
    <t>CF15 7RH</t>
  </si>
  <si>
    <t>CBDU9288</t>
  </si>
  <si>
    <t>4 Cwrt Afon Lliedi Pentre Doc Y Gogledd</t>
  </si>
  <si>
    <t>SA15 2LZ</t>
  </si>
  <si>
    <t>CBDU9289</t>
  </si>
  <si>
    <t xml:space="preserve">9 Keats Road </t>
  </si>
  <si>
    <t>NP26 4LH</t>
  </si>
  <si>
    <t>CBDU9290</t>
  </si>
  <si>
    <t>97 Main Road Y Creunant</t>
  </si>
  <si>
    <t>CBDL9291</t>
  </si>
  <si>
    <t xml:space="preserve">Heol-y-Farchnad </t>
  </si>
  <si>
    <t>LL20 8RA</t>
  </si>
  <si>
    <t>CBDU9293</t>
  </si>
  <si>
    <t xml:space="preserve">31 St. Anthony Road </t>
  </si>
  <si>
    <t>CF14 4DF</t>
  </si>
  <si>
    <t>CBDU9718</t>
  </si>
  <si>
    <t xml:space="preserve">241 Allensbank Road </t>
  </si>
  <si>
    <t>CF14 3QZ</t>
  </si>
  <si>
    <t>CBDU9719</t>
  </si>
  <si>
    <t>31 Wimborne Road Pen-Coed</t>
  </si>
  <si>
    <t>CF35 6SG</t>
  </si>
  <si>
    <t>CBDU9721</t>
  </si>
  <si>
    <t>16 Caeglas Avenue Rumney</t>
  </si>
  <si>
    <t>CF3 3JY</t>
  </si>
  <si>
    <t>CBDU9722</t>
  </si>
  <si>
    <t xml:space="preserve">29 Narberth Road </t>
  </si>
  <si>
    <t>CF5 5EW</t>
  </si>
  <si>
    <t>CBDL9724</t>
  </si>
  <si>
    <t xml:space="preserve">8 Calverley Crescent </t>
  </si>
  <si>
    <t>HP13 5EU</t>
  </si>
  <si>
    <t>CBDU9728</t>
  </si>
  <si>
    <t>Wellfield Yard Heol Copperworks</t>
  </si>
  <si>
    <t>SA15 2NG</t>
  </si>
  <si>
    <t>CBDL9505</t>
  </si>
  <si>
    <t>Cherry Cottage New Church Street</t>
  </si>
  <si>
    <t>Cefncoedycymer</t>
  </si>
  <si>
    <t>CF48 2NA</t>
  </si>
  <si>
    <t>CBDL9508</t>
  </si>
  <si>
    <t>Ashcroft Welsh Newton</t>
  </si>
  <si>
    <t>NP25 5RW</t>
  </si>
  <si>
    <t>CBDL9513</t>
  </si>
  <si>
    <t xml:space="preserve">62 Furzy Park </t>
  </si>
  <si>
    <t>SA61 1HQ</t>
  </si>
  <si>
    <t>CBDL9514</t>
  </si>
  <si>
    <t>3 The Avenue Garndiffaith</t>
  </si>
  <si>
    <t>NP4 7QN</t>
  </si>
  <si>
    <t>CBDU9515</t>
  </si>
  <si>
    <t>Abertwrch Ystradgynlais</t>
  </si>
  <si>
    <t>SA9 2JL</t>
  </si>
  <si>
    <t>CBDU9959</t>
  </si>
  <si>
    <t xml:space="preserve">3 Cambrian Road </t>
  </si>
  <si>
    <t>LL36 0AG</t>
  </si>
  <si>
    <t>CBDU9962</t>
  </si>
  <si>
    <t>125 Grenfell Park Road St. Thomas</t>
  </si>
  <si>
    <t>SA1 8EZ</t>
  </si>
  <si>
    <t>CBDL9964</t>
  </si>
  <si>
    <t>Maxeyville Rhych Avenue</t>
  </si>
  <si>
    <t>CF36 5DB</t>
  </si>
  <si>
    <t>CBDL9965</t>
  </si>
  <si>
    <t>CBDU9967</t>
  </si>
  <si>
    <t xml:space="preserve">42-44 Argyle Street </t>
  </si>
  <si>
    <t>CBDU9968</t>
  </si>
  <si>
    <t>Clettwr Vale Talgarreg</t>
  </si>
  <si>
    <t>SA44 4EP</t>
  </si>
  <si>
    <t>CBDU9970</t>
  </si>
  <si>
    <t xml:space="preserve">35 Caer Wenallt </t>
  </si>
  <si>
    <t>CF14 7HP</t>
  </si>
  <si>
    <t>CBDU10284</t>
  </si>
  <si>
    <t xml:space="preserve">1 Park Avenue </t>
  </si>
  <si>
    <t>SY23 1PF</t>
  </si>
  <si>
    <t>CBDU10286</t>
  </si>
  <si>
    <t>12 Bryn Eglur Llanfarian</t>
  </si>
  <si>
    <t>SY23 4BP</t>
  </si>
  <si>
    <t>CBDL10287</t>
  </si>
  <si>
    <t>Brooklyn Farm North Hill</t>
  </si>
  <si>
    <t>Horndon-on-the-Hill</t>
  </si>
  <si>
    <t>Stanford-le-Hope</t>
  </si>
  <si>
    <t>SS17 8QA</t>
  </si>
  <si>
    <t>CBDL10288</t>
  </si>
  <si>
    <t>8 Channel View Bulwark</t>
  </si>
  <si>
    <t>NP16 5AG</t>
  </si>
  <si>
    <t>CBDU10297</t>
  </si>
  <si>
    <t>Plot 2 Riverside Colby Road</t>
  </si>
  <si>
    <t>SA16 0RB</t>
  </si>
  <si>
    <t>CBDU10298</t>
  </si>
  <si>
    <t>Eirglyn Cilcennin</t>
  </si>
  <si>
    <t>SA48 8RS</t>
  </si>
  <si>
    <t>CBDL10531</t>
  </si>
  <si>
    <t>Ark Villa Pool Quay</t>
  </si>
  <si>
    <t>SY21 9LE</t>
  </si>
  <si>
    <t>CBDU10532</t>
  </si>
  <si>
    <t>Brynawel Loveden Road</t>
  </si>
  <si>
    <t>SY23 2ED</t>
  </si>
  <si>
    <t>CBDU10537</t>
  </si>
  <si>
    <t xml:space="preserve">Gwili Cottage </t>
  </si>
  <si>
    <t>SA32 7RB</t>
  </si>
  <si>
    <t>CBDL10887</t>
  </si>
  <si>
    <t>4 Maesteg Grove Tonteg</t>
  </si>
  <si>
    <t>CF38 1ND</t>
  </si>
  <si>
    <t>CBDL10888</t>
  </si>
  <si>
    <t>444a Cowbridge Road East</t>
  </si>
  <si>
    <t>cf51bj</t>
  </si>
  <si>
    <t>CBDL10891</t>
  </si>
  <si>
    <t xml:space="preserve">14 Ffordd Lerry </t>
  </si>
  <si>
    <t>LL12 8JB</t>
  </si>
  <si>
    <t>CBDU10894</t>
  </si>
  <si>
    <t>Wessex Egbury Road</t>
  </si>
  <si>
    <t>St. Mary Bourne</t>
  </si>
  <si>
    <t>SP11 6DG</t>
  </si>
  <si>
    <t>CBDU10895</t>
  </si>
  <si>
    <t>6 Penlan Road Treboeth</t>
  </si>
  <si>
    <t>SA5 7DD</t>
  </si>
  <si>
    <t>CBDL10896</t>
  </si>
  <si>
    <t>26 Heol-y-Waun Pontlottyn</t>
  </si>
  <si>
    <t>CF81 9RU</t>
  </si>
  <si>
    <t>CBDL10899</t>
  </si>
  <si>
    <t>104 Borough Road Loughor</t>
  </si>
  <si>
    <t>CBDU10900</t>
  </si>
  <si>
    <t>42 Great north road</t>
  </si>
  <si>
    <t>Milford haven</t>
  </si>
  <si>
    <t>Sa732na</t>
  </si>
  <si>
    <t>CBDU11134</t>
  </si>
  <si>
    <t>6 Parkfield Tonna</t>
  </si>
  <si>
    <t>SA11 3JN</t>
  </si>
  <si>
    <t>CBDU11135</t>
  </si>
  <si>
    <t xml:space="preserve">43 Brynau Road </t>
  </si>
  <si>
    <t>CF83 1PF</t>
  </si>
  <si>
    <t>CBDL11136</t>
  </si>
  <si>
    <t>damian davies station yard</t>
  </si>
  <si>
    <t>llanwrda</t>
  </si>
  <si>
    <t>sa198eh</t>
  </si>
  <si>
    <t>CBDU11137</t>
  </si>
  <si>
    <t>157 Braunton Crescent Llanrumney</t>
  </si>
  <si>
    <t>CF3 5HT</t>
  </si>
  <si>
    <t>CBDU11139</t>
  </si>
  <si>
    <t>7 Church Road Boreham</t>
  </si>
  <si>
    <t>CM3 3EF</t>
  </si>
  <si>
    <t>CBDU11140</t>
  </si>
  <si>
    <t>CBDU11141</t>
  </si>
  <si>
    <t xml:space="preserve">5 Wind Street </t>
  </si>
  <si>
    <t>CF39 0EE</t>
  </si>
  <si>
    <t>CBDL11142</t>
  </si>
  <si>
    <t xml:space="preserve">59 Priory Avenue </t>
  </si>
  <si>
    <t>CF31 3LP</t>
  </si>
  <si>
    <t>CBDL11149</t>
  </si>
  <si>
    <t>Flat 3 Malthouse Court</t>
  </si>
  <si>
    <t>CF71 7QR</t>
  </si>
  <si>
    <t>CBDU11151</t>
  </si>
  <si>
    <t>4 Gower Rise Gowerton</t>
  </si>
  <si>
    <t>SA4 3DZ</t>
  </si>
  <si>
    <t>CBDU11153</t>
  </si>
  <si>
    <t xml:space="preserve">89 Cilfynydd Road </t>
  </si>
  <si>
    <t>CF37 4NG</t>
  </si>
  <si>
    <t>CBDL11154</t>
  </si>
  <si>
    <t xml:space="preserve">11 Johns Terrace </t>
  </si>
  <si>
    <t>CR0 6TD</t>
  </si>
  <si>
    <t>CBDU11156</t>
  </si>
  <si>
    <t>Glasfryn Villa Neath Road</t>
  </si>
  <si>
    <t>SA9 1PR</t>
  </si>
  <si>
    <t>CBDL11964</t>
  </si>
  <si>
    <t xml:space="preserve">171 Brooklands Avenue </t>
  </si>
  <si>
    <t>LS14 6RJ</t>
  </si>
  <si>
    <t>CBDU11967</t>
  </si>
  <si>
    <t xml:space="preserve">28 Blewitt Street </t>
  </si>
  <si>
    <t>NP20 4DA</t>
  </si>
  <si>
    <t>CBDL11968</t>
  </si>
  <si>
    <t xml:space="preserve">19 Salisbury Road </t>
  </si>
  <si>
    <t>CF24 4AA</t>
  </si>
  <si>
    <t>CBDL11974</t>
  </si>
  <si>
    <t>10 Yr Hafod Saron</t>
  </si>
  <si>
    <t>SA18 3TY</t>
  </si>
  <si>
    <t>CBDU11977</t>
  </si>
  <si>
    <t>CBDU11978</t>
  </si>
  <si>
    <t xml:space="preserve">77 Jones Street </t>
  </si>
  <si>
    <t>CF40 2BY</t>
  </si>
  <si>
    <t>CBDU11413</t>
  </si>
  <si>
    <t>Flat 1 Bron Heulog</t>
  </si>
  <si>
    <t>York Road</t>
  </si>
  <si>
    <t>LL31 9PX</t>
  </si>
  <si>
    <t>CBDU11419</t>
  </si>
  <si>
    <t>15 Robert Street Glynneath</t>
  </si>
  <si>
    <t>SA11 5EG</t>
  </si>
  <si>
    <t>CBDU11420</t>
  </si>
  <si>
    <t>Danycoed Llawhaden</t>
  </si>
  <si>
    <t>SA67 8DJ</t>
  </si>
  <si>
    <t>CBDL11421</t>
  </si>
  <si>
    <t>CBDU11427</t>
  </si>
  <si>
    <t>15C Lisdoo Road Clady</t>
  </si>
  <si>
    <t>Strabane</t>
  </si>
  <si>
    <t>BT82 9RQ</t>
  </si>
  <si>
    <t>CBDU11429</t>
  </si>
  <si>
    <t xml:space="preserve">3 Cae Refail </t>
  </si>
  <si>
    <t>LL71 7BE</t>
  </si>
  <si>
    <t>CBDL11648</t>
  </si>
  <si>
    <t>Penrefail Crossroads Moelfre</t>
  </si>
  <si>
    <t>LL22 8PN</t>
  </si>
  <si>
    <t>CBDL11655</t>
  </si>
  <si>
    <t>4 Betws Avenue Kinmel Bay</t>
  </si>
  <si>
    <t>LL18 5BN</t>
  </si>
  <si>
    <t>CBDL11863</t>
  </si>
  <si>
    <t>5 Greenhayes St. Florence</t>
  </si>
  <si>
    <t>SA70 8NA</t>
  </si>
  <si>
    <t>CBDU11864</t>
  </si>
  <si>
    <t>Unit 1-4 Peel Street</t>
  </si>
  <si>
    <t>CBDU11865</t>
  </si>
  <si>
    <t>Flat 1 &amp; 3-6 45 Richmond Road</t>
  </si>
  <si>
    <t>CF24 3AR</t>
  </si>
  <si>
    <t>CBDU11866</t>
  </si>
  <si>
    <t xml:space="preserve">40 Merthyr Road </t>
  </si>
  <si>
    <t>NP7 5BT</t>
  </si>
  <si>
    <t>CBDU11868</t>
  </si>
  <si>
    <t>Myrtle Hill Castle Pill Road</t>
  </si>
  <si>
    <t>Steynton</t>
  </si>
  <si>
    <t>SA73 1HE</t>
  </si>
  <si>
    <t>CBDL11871</t>
  </si>
  <si>
    <t xml:space="preserve">12 Dinas Drive </t>
  </si>
  <si>
    <t>LL20 7PL</t>
  </si>
  <si>
    <t>CBDL11872</t>
  </si>
  <si>
    <t xml:space="preserve">48-49 Alexandra Road </t>
  </si>
  <si>
    <t>CBDU11873</t>
  </si>
  <si>
    <t xml:space="preserve">8 Parc Gwynfryn </t>
  </si>
  <si>
    <t>CBDU11876</t>
  </si>
  <si>
    <t>Tyllwyd Eglwyswrw</t>
  </si>
  <si>
    <t>SA41 3TD</t>
  </si>
  <si>
    <t>CBDU11878</t>
  </si>
  <si>
    <t xml:space="preserve">53 Shakespeare Avenue </t>
  </si>
  <si>
    <t>CF31 4RY</t>
  </si>
  <si>
    <t>CBDU11883</t>
  </si>
  <si>
    <t xml:space="preserve">26 Laurel Close </t>
  </si>
  <si>
    <t>CF44 8RS</t>
  </si>
  <si>
    <t>CBDU12177</t>
  </si>
  <si>
    <t>2 Sea View Vinegar Hill</t>
  </si>
  <si>
    <t>Undy</t>
  </si>
  <si>
    <t>NP26 3HA</t>
  </si>
  <si>
    <t>CBDU12181</t>
  </si>
  <si>
    <t>4 Barnwood Magazine Lane</t>
  </si>
  <si>
    <t>CH5 3FA</t>
  </si>
  <si>
    <t>CBDU12184</t>
  </si>
  <si>
    <t>Seaview Bungalow Broad St Common</t>
  </si>
  <si>
    <t>CBDU12386</t>
  </si>
  <si>
    <t xml:space="preserve">40 Heol Glynderwen </t>
  </si>
  <si>
    <t>SA10 7RS</t>
  </si>
  <si>
    <t>CBDU12390</t>
  </si>
  <si>
    <t>3 Bryn Road Ogmore Vale</t>
  </si>
  <si>
    <t>CF32 7DW</t>
  </si>
  <si>
    <t>CBDU12392</t>
  </si>
  <si>
    <t>Ash Grove Vicarage Lane</t>
  </si>
  <si>
    <t>Llangennith</t>
  </si>
  <si>
    <t>SA3 1JA</t>
  </si>
  <si>
    <t>CBDU12394</t>
  </si>
  <si>
    <t>5 Cwm Y Dwr Briton Ferry</t>
  </si>
  <si>
    <t>CBDU12397</t>
  </si>
  <si>
    <t>12 Wingfield Crescent Llanbradach</t>
  </si>
  <si>
    <t>CF83 3NU</t>
  </si>
  <si>
    <t>CBDU12403</t>
  </si>
  <si>
    <t>31 Colbourne Road Beddau</t>
  </si>
  <si>
    <t>CF38 2LN</t>
  </si>
  <si>
    <t>CBDL12404</t>
  </si>
  <si>
    <t xml:space="preserve">2 Stable Cottages </t>
  </si>
  <si>
    <t>LL23 7NP</t>
  </si>
  <si>
    <t>CBDU12729</t>
  </si>
  <si>
    <t xml:space="preserve">Trem Y Don </t>
  </si>
  <si>
    <t>LL37 2JD</t>
  </si>
  <si>
    <t>CBDL12730</t>
  </si>
  <si>
    <t>LD2 3DN</t>
  </si>
  <si>
    <t>CBDL12733</t>
  </si>
  <si>
    <t xml:space="preserve">11 Jubilee Road </t>
  </si>
  <si>
    <t>CF31 3BA</t>
  </si>
  <si>
    <t>CBDL12736</t>
  </si>
  <si>
    <t>627 Clydach Road Ynystawe</t>
  </si>
  <si>
    <t>SA6 5AX</t>
  </si>
  <si>
    <t>CBDL12737</t>
  </si>
  <si>
    <t>6 Church Street Rhymney</t>
  </si>
  <si>
    <t>CBDU12531</t>
  </si>
  <si>
    <t>63 Cwm Clyd Waunarlwydd</t>
  </si>
  <si>
    <t>SA5 4TR</t>
  </si>
  <si>
    <t>CBDL12949</t>
  </si>
  <si>
    <t xml:space="preserve">15 Abergele Road </t>
  </si>
  <si>
    <t>CBDU12953</t>
  </si>
  <si>
    <t>42 Afan Road Duffryn Rhondda</t>
  </si>
  <si>
    <t>SA13 3ET</t>
  </si>
  <si>
    <t>CBDL12954</t>
  </si>
  <si>
    <t>2 Wellington Road Old Colwyn</t>
  </si>
  <si>
    <t>LL29 9ND</t>
  </si>
  <si>
    <t>CBDL12956</t>
  </si>
  <si>
    <t>150 Coed Coch Road Old Colwyn</t>
  </si>
  <si>
    <t>LL29 9UN</t>
  </si>
  <si>
    <t>CBDU12957</t>
  </si>
  <si>
    <t>Jervoise Barn Blandford Road</t>
  </si>
  <si>
    <t>Coombe Bissett</t>
  </si>
  <si>
    <t>SP5 4LN</t>
  </si>
  <si>
    <t>CBDU12958</t>
  </si>
  <si>
    <t>196 Emlyn Road Mayhill</t>
  </si>
  <si>
    <t>CBDL12959</t>
  </si>
  <si>
    <t>286 Alfreton Road</t>
  </si>
  <si>
    <t>NG7 5LU</t>
  </si>
  <si>
    <t>CBDU12960</t>
  </si>
  <si>
    <t xml:space="preserve">39 Clifton Rise </t>
  </si>
  <si>
    <t>LL22 7DL</t>
  </si>
  <si>
    <t>CBDU13326</t>
  </si>
  <si>
    <t>10 Heol Cae Maen Gwent</t>
  </si>
  <si>
    <t>CF83 3PX</t>
  </si>
  <si>
    <t>CBDL13328</t>
  </si>
  <si>
    <t xml:space="preserve">3 Lon Ceiriog </t>
  </si>
  <si>
    <t>SA14 9HB</t>
  </si>
  <si>
    <t>CBDU13330</t>
  </si>
  <si>
    <t>Checkley House Westfield Road</t>
  </si>
  <si>
    <t>SA69 9JQ</t>
  </si>
  <si>
    <t>CBDL13331</t>
  </si>
  <si>
    <t>CBDL13118</t>
  </si>
  <si>
    <t>35 The Hafod Pant</t>
  </si>
  <si>
    <t>CF48 2EB</t>
  </si>
  <si>
    <t>CBDL13120</t>
  </si>
  <si>
    <t xml:space="preserve">3 St. Peters Road </t>
  </si>
  <si>
    <t>West Molesey</t>
  </si>
  <si>
    <t>KT8 2QE</t>
  </si>
  <si>
    <t>CBDU13121</t>
  </si>
  <si>
    <t xml:space="preserve">5 Lobelia Close </t>
  </si>
  <si>
    <t>TA9 3LZ</t>
  </si>
  <si>
    <t>CBDU13127</t>
  </si>
  <si>
    <t>18 Bevan Avenue Mochdre</t>
  </si>
  <si>
    <t>LL28 5AF</t>
  </si>
  <si>
    <t>CBDL13128</t>
  </si>
  <si>
    <t xml:space="preserve">13 Broad Street </t>
  </si>
  <si>
    <t>CBDU13129</t>
  </si>
  <si>
    <t xml:space="preserve">35 Dearne Croft </t>
  </si>
  <si>
    <t>Wetherby</t>
  </si>
  <si>
    <t>LS22 7UP</t>
  </si>
  <si>
    <t>CBDU13130</t>
  </si>
  <si>
    <t>17 Arennig Road Penlan</t>
  </si>
  <si>
    <t>SA5 7AN</t>
  </si>
  <si>
    <t>CBDU13131</t>
  </si>
  <si>
    <t xml:space="preserve">29 Lawrenny Avenue </t>
  </si>
  <si>
    <t>CF11 8BR</t>
  </si>
  <si>
    <t>CBDU13132</t>
  </si>
  <si>
    <t>124 Caernarvon Way Bonymaen</t>
  </si>
  <si>
    <t>SA1 7HJ</t>
  </si>
  <si>
    <t>CBDU13512</t>
  </si>
  <si>
    <t>23 Vounog Hill Penyffordd</t>
  </si>
  <si>
    <t>CH4 0EY</t>
  </si>
  <si>
    <t>CBDU13513</t>
  </si>
  <si>
    <t>10 Alexandra Road Pontycymer</t>
  </si>
  <si>
    <t>CBDU13514</t>
  </si>
  <si>
    <t xml:space="preserve">28 Llanfair Road </t>
  </si>
  <si>
    <t>CF11 9QB</t>
  </si>
  <si>
    <t>CBDU13515</t>
  </si>
  <si>
    <t>45 Southerndown Avenue Mayals</t>
  </si>
  <si>
    <t>SA3 5EL</t>
  </si>
  <si>
    <t>CBDU13516</t>
  </si>
  <si>
    <t xml:space="preserve">20 Bagle Court </t>
  </si>
  <si>
    <t>SA12 8EQ</t>
  </si>
  <si>
    <t>CBDU13517</t>
  </si>
  <si>
    <t>CBDU13520</t>
  </si>
  <si>
    <t>10 Croesffyrdd Ystradgynlais</t>
  </si>
  <si>
    <t>SA9 1AL</t>
  </si>
  <si>
    <t>CBDU13523</t>
  </si>
  <si>
    <t>4 Penpentre Talybont-on-Usk</t>
  </si>
  <si>
    <t>CBDU13525</t>
  </si>
  <si>
    <t>2 Bro Mynydd Bryngwran</t>
  </si>
  <si>
    <t>LL65 3PY</t>
  </si>
  <si>
    <t>CBDU13526</t>
  </si>
  <si>
    <t>16 Dulais Road Seven Sisters</t>
  </si>
  <si>
    <t>CBDU13527</t>
  </si>
  <si>
    <t>Felin Farm Felin Road</t>
  </si>
  <si>
    <t>Aberporth</t>
  </si>
  <si>
    <t>SA43 2ER</t>
  </si>
  <si>
    <t>CBDU13528</t>
  </si>
  <si>
    <t>Unit 14 Betws Park Workshops</t>
  </si>
  <si>
    <t>CBDL303</t>
  </si>
  <si>
    <t>3 The high street</t>
  </si>
  <si>
    <t>Ll328db</t>
  </si>
  <si>
    <t>CBDL304</t>
  </si>
  <si>
    <t>CBDL305</t>
  </si>
  <si>
    <t>CBDL306</t>
  </si>
  <si>
    <t>CBDL309</t>
  </si>
  <si>
    <t>53 Glamorgan street</t>
  </si>
  <si>
    <t>CF5 1QT</t>
  </si>
  <si>
    <t>CBDL310</t>
  </si>
  <si>
    <t>CBDL311</t>
  </si>
  <si>
    <t>CBDL313</t>
  </si>
  <si>
    <t>Coed Craig 35 Tan y Bryn Road</t>
  </si>
  <si>
    <t>LL28 4AD</t>
  </si>
  <si>
    <t>CBDL314</t>
  </si>
  <si>
    <t>UNIT 3 GLAN YR AFON IND. EST</t>
  </si>
  <si>
    <t>CBDL315</t>
  </si>
  <si>
    <t>CBDL316</t>
  </si>
  <si>
    <t>CBDL317</t>
  </si>
  <si>
    <t>CBDL562</t>
  </si>
  <si>
    <t>16 Bryncaerau</t>
  </si>
  <si>
    <t>SA17 4DW</t>
  </si>
  <si>
    <t>CBDL567</t>
  </si>
  <si>
    <t>Unit 4 Castell Howell</t>
  </si>
  <si>
    <t>Trevaughan</t>
  </si>
  <si>
    <t>SA31 3QN</t>
  </si>
  <si>
    <t>CBDL568</t>
  </si>
  <si>
    <t xml:space="preserve">Oackhaven park Radclive road gawcott </t>
  </si>
  <si>
    <t xml:space="preserve">Buckingham </t>
  </si>
  <si>
    <t>Mk184jb</t>
  </si>
  <si>
    <t>CBDL569</t>
  </si>
  <si>
    <t>CBDL571</t>
  </si>
  <si>
    <t>58 COURT ROAD</t>
  </si>
  <si>
    <t>CF11 6SD</t>
  </si>
  <si>
    <t>CBDL572</t>
  </si>
  <si>
    <t>7 Cwr y Coed</t>
  </si>
  <si>
    <t>LL77 7SG</t>
  </si>
  <si>
    <t>CBDL576</t>
  </si>
  <si>
    <t>Duos cafe 30 shortbridge street</t>
  </si>
  <si>
    <t>SY16 2LN</t>
  </si>
  <si>
    <t>CBDL803</t>
  </si>
  <si>
    <t>72 Walters Road</t>
  </si>
  <si>
    <t>SA18 2NF</t>
  </si>
  <si>
    <t>CBDL1001</t>
  </si>
  <si>
    <t>155 pandy road</t>
  </si>
  <si>
    <t>bedwas</t>
  </si>
  <si>
    <t>cf83 8el</t>
  </si>
  <si>
    <t>CBDL1002</t>
  </si>
  <si>
    <t>CBDL1003</t>
  </si>
  <si>
    <t>the draen llanfilo</t>
  </si>
  <si>
    <t>ld30rg</t>
  </si>
  <si>
    <t>CBDL1004</t>
  </si>
  <si>
    <t>Byeastwood Farm Coity</t>
  </si>
  <si>
    <t>CF35 6BN</t>
  </si>
  <si>
    <t>CBDL1005</t>
  </si>
  <si>
    <t>CBDL1006</t>
  </si>
  <si>
    <t>Cwm Mawr Farm Three Crosses</t>
  </si>
  <si>
    <t>SA4 3HU</t>
  </si>
  <si>
    <t>CBDL1007</t>
  </si>
  <si>
    <t>Brookside Wraees Hill Whitchurch Road</t>
  </si>
  <si>
    <t>LL13 0BD</t>
  </si>
  <si>
    <t>CBDL1009</t>
  </si>
  <si>
    <t>1 Penbryn Cwm Hill</t>
  </si>
  <si>
    <t>Pensbryg</t>
  </si>
  <si>
    <t>CF35 6NA</t>
  </si>
  <si>
    <t>CBDL1010</t>
  </si>
  <si>
    <t>22 Cae Garw Caravan Site</t>
  </si>
  <si>
    <t>CBDL1011</t>
  </si>
  <si>
    <t>Cross Keys Pendre Road</t>
  </si>
  <si>
    <t>Penrhynsine</t>
  </si>
  <si>
    <t>CBDL1014</t>
  </si>
  <si>
    <t>17 coed y felin</t>
  </si>
  <si>
    <t>ll32 8qg</t>
  </si>
  <si>
    <t>CBDL1015</t>
  </si>
  <si>
    <t>Bryn Y Wern Bryn Y Wern</t>
  </si>
  <si>
    <t>LL51 9AX</t>
  </si>
  <si>
    <t>CBDL1244</t>
  </si>
  <si>
    <t>Erglodd Taliesin</t>
  </si>
  <si>
    <t>SY20 8JR</t>
  </si>
  <si>
    <t>CBDL1247</t>
  </si>
  <si>
    <t>The Caravan Cwmcoch Fields</t>
  </si>
  <si>
    <t>Betws</t>
  </si>
  <si>
    <t>Lampete</t>
  </si>
  <si>
    <t>SA48 8NX</t>
  </si>
  <si>
    <t>CBDL1248</t>
  </si>
  <si>
    <t>glannant eglwyswrw</t>
  </si>
  <si>
    <t>crymych</t>
  </si>
  <si>
    <t>sa41 3uj</t>
  </si>
  <si>
    <t>CBDL1255</t>
  </si>
  <si>
    <t>164 newport roas</t>
  </si>
  <si>
    <t>caldicot</t>
  </si>
  <si>
    <t>NP26 4AA</t>
  </si>
  <si>
    <t>CBDL1256</t>
  </si>
  <si>
    <t>164  newport road</t>
  </si>
  <si>
    <t>CBDL1257</t>
  </si>
  <si>
    <t>80  Woodland Drive</t>
  </si>
  <si>
    <t>CH8 7HZ</t>
  </si>
  <si>
    <t>CBDL1484</t>
  </si>
  <si>
    <t>30 Morfa Dr</t>
  </si>
  <si>
    <t>Ll32 8ep</t>
  </si>
  <si>
    <t>CBDL1486</t>
  </si>
  <si>
    <t>Cwmeiddon Maesybont</t>
  </si>
  <si>
    <t>SA14 7HF</t>
  </si>
  <si>
    <t>CBDL1487</t>
  </si>
  <si>
    <t>post office main avenue</t>
  </si>
  <si>
    <t>treforest industrial estate</t>
  </si>
  <si>
    <t>pontypridd</t>
  </si>
  <si>
    <t>cf37 5ur</t>
  </si>
  <si>
    <t>CBDL1489</t>
  </si>
  <si>
    <t>Glasdir Napier Gardens</t>
  </si>
  <si>
    <t>SA43 1EG</t>
  </si>
  <si>
    <t>CBDL1491</t>
  </si>
  <si>
    <t>58 lon olwen</t>
  </si>
  <si>
    <t>kinmel bay</t>
  </si>
  <si>
    <t>ll185lq</t>
  </si>
  <si>
    <t>CBDL1492</t>
  </si>
  <si>
    <t>Lychgate Cottage Berriew</t>
  </si>
  <si>
    <t>SY21 8PG</t>
  </si>
  <si>
    <t>CBDL1493</t>
  </si>
  <si>
    <t>37 West street</t>
  </si>
  <si>
    <t>Sa4 4aa</t>
  </si>
  <si>
    <t>CBDL1497</t>
  </si>
  <si>
    <t>30a Burnt Barn Road</t>
  </si>
  <si>
    <t>NP16 5AR</t>
  </si>
  <si>
    <t>CBDL1498</t>
  </si>
  <si>
    <t>5Acre Nursery Tal y Bont</t>
  </si>
  <si>
    <t>LL32 8YX</t>
  </si>
  <si>
    <t>CBDL1965</t>
  </si>
  <si>
    <t>Irfon Industrial Estate Garth Road</t>
  </si>
  <si>
    <t>LD2 3NL</t>
  </si>
  <si>
    <t>CBDL1968</t>
  </si>
  <si>
    <t>29 Hernog Close Tremont Park</t>
  </si>
  <si>
    <t>CBDL2347</t>
  </si>
  <si>
    <t>11 Dantwyn Road Pontarddulais</t>
  </si>
  <si>
    <t>SA4 8NB</t>
  </si>
  <si>
    <t>CBDL2348</t>
  </si>
  <si>
    <t>32-33 High Street Argoed</t>
  </si>
  <si>
    <t>CBDL2349</t>
  </si>
  <si>
    <t>Liverpool House Lower High Street</t>
  </si>
  <si>
    <t>CBDL2597</t>
  </si>
  <si>
    <t>Manod Drummau Road</t>
  </si>
  <si>
    <t>Sciwen</t>
  </si>
  <si>
    <t>SA10 6NY</t>
  </si>
  <si>
    <t>CBDL3039</t>
  </si>
  <si>
    <t xml:space="preserve">2 Lon Y Ffrith </t>
  </si>
  <si>
    <t>CBDL3041</t>
  </si>
  <si>
    <t xml:space="preserve">1 Evans Street </t>
  </si>
  <si>
    <t>CF62 8DU</t>
  </si>
  <si>
    <t>CBDL3046</t>
  </si>
  <si>
    <t>Dolgai Llanwrthwl</t>
  </si>
  <si>
    <t>LD1 6NU</t>
  </si>
  <si>
    <t>CBDL2808</t>
  </si>
  <si>
    <t xml:space="preserve">106 Ffordd Cefn </t>
  </si>
  <si>
    <t>LL13 9NR</t>
  </si>
  <si>
    <t>CBDL2822</t>
  </si>
  <si>
    <t>18 Chapel Road Crofty</t>
  </si>
  <si>
    <t>SA4 3SJ</t>
  </si>
  <si>
    <t>CBDL3270</t>
  </si>
  <si>
    <t>New Deri Service Station Bailey Street</t>
  </si>
  <si>
    <t>Deri</t>
  </si>
  <si>
    <t>CF81 9HX</t>
  </si>
  <si>
    <t>CBDL3772</t>
  </si>
  <si>
    <t>21 Church Street Ynys-y-Bwl</t>
  </si>
  <si>
    <t>CF37 3LB</t>
  </si>
  <si>
    <t>CBDL3773</t>
  </si>
  <si>
    <t>49 Lewis Road Llandochau</t>
  </si>
  <si>
    <t>CF64 2LX</t>
  </si>
  <si>
    <t>CBDL3779</t>
  </si>
  <si>
    <t xml:space="preserve">53 Alexandra Drive </t>
  </si>
  <si>
    <t>CBDL3782</t>
  </si>
  <si>
    <t>Pantglas Farm Llanfynydd Road</t>
  </si>
  <si>
    <t>SA32 7BZ</t>
  </si>
  <si>
    <t>CBDL4000</t>
  </si>
  <si>
    <t>Unit 22 Capel Hendre Industrial Estate</t>
  </si>
  <si>
    <t>CBDL4001</t>
  </si>
  <si>
    <t>Tyn Y Morfa Gwespyr</t>
  </si>
  <si>
    <t>CBDL4271</t>
  </si>
  <si>
    <t xml:space="preserve">21 Plover Crescent </t>
  </si>
  <si>
    <t>NP26 5ET</t>
  </si>
  <si>
    <t>CBDL4943</t>
  </si>
  <si>
    <t>21 Highfield Park Eversley Road</t>
  </si>
  <si>
    <t>Arborfield Cross</t>
  </si>
  <si>
    <t>RG2 9PP</t>
  </si>
  <si>
    <t>CBDL4948</t>
  </si>
  <si>
    <t xml:space="preserve">6 Tudor Lane </t>
  </si>
  <si>
    <t>CBDL4949</t>
  </si>
  <si>
    <t>33 Maesteg Road Tondu</t>
  </si>
  <si>
    <t>CF32 9DP</t>
  </si>
  <si>
    <t>CBDL4952</t>
  </si>
  <si>
    <t>24C The Beeches Mobile Home Park Old London Road</t>
  </si>
  <si>
    <t>Chipping Norton</t>
  </si>
  <si>
    <t>OX7 5XD</t>
  </si>
  <si>
    <t>CBDL4695</t>
  </si>
  <si>
    <t>104 Charlotte Court Townhill</t>
  </si>
  <si>
    <t>SA1 6RF</t>
  </si>
  <si>
    <t>CBDL4702</t>
  </si>
  <si>
    <t xml:space="preserve">Llansteffan </t>
  </si>
  <si>
    <t>SA33 5JG</t>
  </si>
  <si>
    <t>CBDU5438</t>
  </si>
  <si>
    <t>99 Penlan Road Llandough</t>
  </si>
  <si>
    <t>CF642NY</t>
  </si>
  <si>
    <t>CBDL5442</t>
  </si>
  <si>
    <t xml:space="preserve">14 Crabtree Green </t>
  </si>
  <si>
    <t>LD1 6EP</t>
  </si>
  <si>
    <t>CBDL5443</t>
  </si>
  <si>
    <t>Loughton Park Clayford Road</t>
  </si>
  <si>
    <t>SA68 0RR</t>
  </si>
  <si>
    <t>CBDU5444</t>
  </si>
  <si>
    <t xml:space="preserve">12 Wasdale Close </t>
  </si>
  <si>
    <t>CF23 5NY</t>
  </si>
  <si>
    <t>CBDL5446</t>
  </si>
  <si>
    <t>Unit 5 Contractors Yard</t>
  </si>
  <si>
    <t>Tank Farm Road</t>
  </si>
  <si>
    <t>CBDU5448</t>
  </si>
  <si>
    <t>19 Llangorse Road Penlan</t>
  </si>
  <si>
    <t>SA5 7EJ</t>
  </si>
  <si>
    <t>CBDU5449</t>
  </si>
  <si>
    <t xml:space="preserve">19 Lon Yr Efail </t>
  </si>
  <si>
    <t>CF5 5QF</t>
  </si>
  <si>
    <t>CBDU5453</t>
  </si>
  <si>
    <t xml:space="preserve">89 High Street </t>
  </si>
  <si>
    <t>PE16 6NP</t>
  </si>
  <si>
    <t>CBDU5704</t>
  </si>
  <si>
    <t>1 Heol Wenallt Cwmgwrach</t>
  </si>
  <si>
    <t>SA11 5PS</t>
  </si>
  <si>
    <t>CBDU5706</t>
  </si>
  <si>
    <t>30 Albemarle Road Gorleston</t>
  </si>
  <si>
    <t>NR31 7AR</t>
  </si>
  <si>
    <t>CBDL5710</t>
  </si>
  <si>
    <t>Unit A Invest House</t>
  </si>
  <si>
    <t>CBDL5711</t>
  </si>
  <si>
    <t xml:space="preserve">5 Herrick Gardens </t>
  </si>
  <si>
    <t>DN4 8NA</t>
  </si>
  <si>
    <t>CBDU6204</t>
  </si>
  <si>
    <t>UNIT D Hirwaun Industrial estate</t>
  </si>
  <si>
    <t>hirwaun</t>
  </si>
  <si>
    <t>cf44 9UP</t>
  </si>
  <si>
    <t>CBDU6208</t>
  </si>
  <si>
    <t>Tir Becca Adpar</t>
  </si>
  <si>
    <t>SA38 9EL</t>
  </si>
  <si>
    <t>CBDU5961</t>
  </si>
  <si>
    <t>8 Lon Cefn Mably Y Rhws</t>
  </si>
  <si>
    <t>CF62 3DY</t>
  </si>
  <si>
    <t>CBDL5962</t>
  </si>
  <si>
    <t xml:space="preserve">Sandy Road </t>
  </si>
  <si>
    <t>SA15 4DS</t>
  </si>
  <si>
    <t>CBDL5966</t>
  </si>
  <si>
    <t xml:space="preserve">16 Pottery Street </t>
  </si>
  <si>
    <t>SA15 1TA</t>
  </si>
  <si>
    <t>CBDU5967</t>
  </si>
  <si>
    <t xml:space="preserve">2 South Place </t>
  </si>
  <si>
    <t>CF36 3DB</t>
  </si>
  <si>
    <t>CBDU6758</t>
  </si>
  <si>
    <t xml:space="preserve">2 Llwyn Elwy </t>
  </si>
  <si>
    <t>LL17 0NN</t>
  </si>
  <si>
    <t>CBDU6760</t>
  </si>
  <si>
    <t>20 Van Terrace</t>
  </si>
  <si>
    <t>Rudry</t>
  </si>
  <si>
    <t>CF83 3EE</t>
  </si>
  <si>
    <t>CBDU6762</t>
  </si>
  <si>
    <t>8 Pencaemawr Penegoes</t>
  </si>
  <si>
    <t>SY20 8PF</t>
  </si>
  <si>
    <t>CBDL6764</t>
  </si>
  <si>
    <t xml:space="preserve">6 Oaks Close </t>
  </si>
  <si>
    <t>NP20 3GD</t>
  </si>
  <si>
    <t>CBDL6768</t>
  </si>
  <si>
    <t>15 Heol Y Bwlch Cwmavon</t>
  </si>
  <si>
    <t>SA12 9LW</t>
  </si>
  <si>
    <t>CBDL6769</t>
  </si>
  <si>
    <t>58 Pentwyn Baglan Road Baglan</t>
  </si>
  <si>
    <t>SA12 8EB</t>
  </si>
  <si>
    <t>CBDU6511</t>
  </si>
  <si>
    <t>Bryneirlyn Cwmann</t>
  </si>
  <si>
    <t>CBDL6518</t>
  </si>
  <si>
    <t>Old Manor Way Bae Cinmel</t>
  </si>
  <si>
    <t>LL18 5BE</t>
  </si>
  <si>
    <t>CBDL6520</t>
  </si>
  <si>
    <t>70 West St.</t>
  </si>
  <si>
    <t>SA65 9NL</t>
  </si>
  <si>
    <t>CBDU6523</t>
  </si>
  <si>
    <t>Unit 3 Hatherleigh place</t>
  </si>
  <si>
    <t>Union rd west</t>
  </si>
  <si>
    <t xml:space="preserve">Abergavenny </t>
  </si>
  <si>
    <t>Np77rl</t>
  </si>
  <si>
    <t>CBDU6524</t>
  </si>
  <si>
    <t>14 Avon Close Bettws</t>
  </si>
  <si>
    <t>NP20 7BZ</t>
  </si>
  <si>
    <t>CBDU6525</t>
  </si>
  <si>
    <t>Unit 1 Gallaghers yard</t>
  </si>
  <si>
    <t>Green avenue</t>
  </si>
  <si>
    <t>Kinmel bay</t>
  </si>
  <si>
    <t xml:space="preserve">Ll185et </t>
  </si>
  <si>
    <t>CBDU6983</t>
  </si>
  <si>
    <t>48 Tan Yr Allt Avenue Mochdre</t>
  </si>
  <si>
    <t>LL28 5AP</t>
  </si>
  <si>
    <t>CBDU6984</t>
  </si>
  <si>
    <t>Llys Awel Pool Road</t>
  </si>
  <si>
    <t>SY21 0SF</t>
  </si>
  <si>
    <t>CBDL6986</t>
  </si>
  <si>
    <t xml:space="preserve">Cefn Pennar Uchaf Farm </t>
  </si>
  <si>
    <t>CF45 4EF</t>
  </si>
  <si>
    <t>CBDU6987</t>
  </si>
  <si>
    <t>29 Hawthorn Avenue  Cimla</t>
  </si>
  <si>
    <t>CBDU6988</t>
  </si>
  <si>
    <t>Maes Hyfryd Llanfihangel-Yng-Ngwynfa</t>
  </si>
  <si>
    <t>SY22 5JF</t>
  </si>
  <si>
    <t>CBDU6991</t>
  </si>
  <si>
    <t>26 Edward Terrace Abertridwr</t>
  </si>
  <si>
    <t>CF83 4FL</t>
  </si>
  <si>
    <t>CBDU6992</t>
  </si>
  <si>
    <t>6 New Buildings Sardis</t>
  </si>
  <si>
    <t>SA69 9AW</t>
  </si>
  <si>
    <t>CBDU6995</t>
  </si>
  <si>
    <t>Upper Hillmoor Farm Portfield Gate</t>
  </si>
  <si>
    <t>SA62 3LT</t>
  </si>
  <si>
    <t>CBDU6997</t>
  </si>
  <si>
    <t>206 College Road Eglwys Newydd</t>
  </si>
  <si>
    <t>CF14 2NZ</t>
  </si>
  <si>
    <t>CBDL6998</t>
  </si>
  <si>
    <t>Bryncaerau Trimsaran</t>
  </si>
  <si>
    <t>SA17 4DT</t>
  </si>
  <si>
    <t>CBDU7355</t>
  </si>
  <si>
    <t>27 New Road Pengelli</t>
  </si>
  <si>
    <t>SA4 4WE</t>
  </si>
  <si>
    <t>CBDU7356</t>
  </si>
  <si>
    <t xml:space="preserve">Glanina </t>
  </si>
  <si>
    <t>SA39 9AS</t>
  </si>
  <si>
    <t>CBDU7357</t>
  </si>
  <si>
    <t xml:space="preserve">13 Grange Avenue </t>
  </si>
  <si>
    <t>LL18 4AR</t>
  </si>
  <si>
    <t>CBDU7361</t>
  </si>
  <si>
    <t>87 Lluest Ystradgynlais</t>
  </si>
  <si>
    <t>SA9 1HU</t>
  </si>
  <si>
    <t>CBDU7362</t>
  </si>
  <si>
    <t>Fern Lodge Station Road</t>
  </si>
  <si>
    <t>LL64 5QP</t>
  </si>
  <si>
    <t>CBDL7363</t>
  </si>
  <si>
    <t>70 Cavendish Close Thornhill</t>
  </si>
  <si>
    <t>CF14 9HG</t>
  </si>
  <si>
    <t>CBDU7364</t>
  </si>
  <si>
    <t>72 Coychurch Road Pen-Coed</t>
  </si>
  <si>
    <t>CBDU7101</t>
  </si>
  <si>
    <t>129a old road</t>
  </si>
  <si>
    <t>Headington</t>
  </si>
  <si>
    <t>ox3 8sy</t>
  </si>
  <si>
    <t>CBDU7109</t>
  </si>
  <si>
    <t xml:space="preserve">14D The Tower </t>
  </si>
  <si>
    <t>NP44 3QZ</t>
  </si>
  <si>
    <t>CBDL7111</t>
  </si>
  <si>
    <t>Hafodydd Brithion Nant Gwynant</t>
  </si>
  <si>
    <t>LL55 4NL</t>
  </si>
  <si>
    <t>CBDU7114</t>
  </si>
  <si>
    <t xml:space="preserve">65 Janet Street </t>
  </si>
  <si>
    <t>CF24 2BG</t>
  </si>
  <si>
    <t>CBDL7590</t>
  </si>
  <si>
    <t>JUST IN NEWS 215 DEPTFORD HIGH STREET</t>
  </si>
  <si>
    <t>DEPTFORD</t>
  </si>
  <si>
    <t>SE8 3NT</t>
  </si>
  <si>
    <t>CBDU7594</t>
  </si>
  <si>
    <t>CBDU7596</t>
  </si>
  <si>
    <t>14 Graig Y Darren Godrergraig</t>
  </si>
  <si>
    <t>SA9 2DW</t>
  </si>
  <si>
    <t>CBDL7599</t>
  </si>
  <si>
    <t>Ffosrhys Hospital Road</t>
  </si>
  <si>
    <t>LD3 0EE</t>
  </si>
  <si>
    <t>CBDU7601</t>
  </si>
  <si>
    <t>66 Afon Road Llangennech</t>
  </si>
  <si>
    <t>SA14 8UL</t>
  </si>
  <si>
    <t>CBDL7603</t>
  </si>
  <si>
    <t xml:space="preserve">92 Aston Crescent </t>
  </si>
  <si>
    <t>NP20 5RB</t>
  </si>
  <si>
    <t>CBDU7604</t>
  </si>
  <si>
    <t>10 Benson Avenue Rogerstone</t>
  </si>
  <si>
    <t>NP10 9GW</t>
  </si>
  <si>
    <t>CBDL7997</t>
  </si>
  <si>
    <t>Old Crofftau Cantref</t>
  </si>
  <si>
    <t>LD3 8LL</t>
  </si>
  <si>
    <t>CBDU8001</t>
  </si>
  <si>
    <t>Cwrtyrabad Garthbrengy</t>
  </si>
  <si>
    <t>LD3 9TP</t>
  </si>
  <si>
    <t>CBDU7770</t>
  </si>
  <si>
    <t>Flat 2 42 Swan Road</t>
  </si>
  <si>
    <t>SA12 8LA</t>
  </si>
  <si>
    <t>CBDU7771</t>
  </si>
  <si>
    <t>Unit 3-4 Raglan Enterprise Park</t>
  </si>
  <si>
    <t>Chepstow Road</t>
  </si>
  <si>
    <t>Rhaglan</t>
  </si>
  <si>
    <t>NP15 2JB</t>
  </si>
  <si>
    <t>CBDU7776</t>
  </si>
  <si>
    <t>Upper Bridge Farm Mathry Road</t>
  </si>
  <si>
    <t>Treletert</t>
  </si>
  <si>
    <t>SA62 5EE</t>
  </si>
  <si>
    <t>CBDU7777</t>
  </si>
  <si>
    <t>Tylebrithos Cantref</t>
  </si>
  <si>
    <t>CBDU8236</t>
  </si>
  <si>
    <t xml:space="preserve">19 Aldsworth Road </t>
  </si>
  <si>
    <t>CF5 1AA</t>
  </si>
  <si>
    <t>CBDL8238</t>
  </si>
  <si>
    <t>161 Caravan Site St. Thomas's Road</t>
  </si>
  <si>
    <t>LU2 7UD</t>
  </si>
  <si>
    <t>CBDU8240</t>
  </si>
  <si>
    <t xml:space="preserve">23 Church Road </t>
  </si>
  <si>
    <t>SA16 0SB</t>
  </si>
  <si>
    <t>CBDU8246</t>
  </si>
  <si>
    <t>15 Tan Y Bwlch Mynydd Llandygai</t>
  </si>
  <si>
    <t>CBDU8248</t>
  </si>
  <si>
    <t>1 Butterley Drive</t>
  </si>
  <si>
    <t>CH7 3GA</t>
  </si>
  <si>
    <t>CBDL8412</t>
  </si>
  <si>
    <t>Linden House Station Avenue</t>
  </si>
  <si>
    <t>LL14 5LS</t>
  </si>
  <si>
    <t>CBDL8413</t>
  </si>
  <si>
    <t>120 Brynglas Hollybush</t>
  </si>
  <si>
    <t>NP44 7LL</t>
  </si>
  <si>
    <t>CBDU8414</t>
  </si>
  <si>
    <t>CBDU8654</t>
  </si>
  <si>
    <t>29 Heol Y Cloddiau Dafen</t>
  </si>
  <si>
    <t>SA14 8QX</t>
  </si>
  <si>
    <t>CBDL8658</t>
  </si>
  <si>
    <t>Bwthyn Cynidr Forge Road</t>
  </si>
  <si>
    <t>NP81LU</t>
  </si>
  <si>
    <t>CBDL8666</t>
  </si>
  <si>
    <t>1 Pentwyn Terrace Abersychan</t>
  </si>
  <si>
    <t>NP4 7TH</t>
  </si>
  <si>
    <t>CBDU8672</t>
  </si>
  <si>
    <t>9 Bryn Caseg Gerlan</t>
  </si>
  <si>
    <t>LL57 3RW</t>
  </si>
  <si>
    <t>CBDL8673</t>
  </si>
  <si>
    <t xml:space="preserve">Maesybwlch </t>
  </si>
  <si>
    <t>SA39 9BY</t>
  </si>
  <si>
    <t>CBDL9042</t>
  </si>
  <si>
    <t xml:space="preserve">7 Chester Avenue </t>
  </si>
  <si>
    <t>PR7 4AG</t>
  </si>
  <si>
    <t>CBDL9045</t>
  </si>
  <si>
    <t>The Laurels 10 Brynteg Terrace</t>
  </si>
  <si>
    <t>CF47 0DP</t>
  </si>
  <si>
    <t>CBDU9050</t>
  </si>
  <si>
    <t>The Lodge Cefn Stylle Road</t>
  </si>
  <si>
    <t>SA4 3QY</t>
  </si>
  <si>
    <t>CBDU9051</t>
  </si>
  <si>
    <t>26 Red Hall Avenue Connah's Quay</t>
  </si>
  <si>
    <t>CH5 4RB</t>
  </si>
  <si>
    <t>CBDU9054</t>
  </si>
  <si>
    <t>Maesydderwen Trawsmawr</t>
  </si>
  <si>
    <t>CBDU9055</t>
  </si>
  <si>
    <t>10 Heol Y Fedwen Ton-Teg</t>
  </si>
  <si>
    <t>CF38 1TB</t>
  </si>
  <si>
    <t>CBDU9056</t>
  </si>
  <si>
    <t>3 Bowens Buildings Llanasa</t>
  </si>
  <si>
    <t>CBDL9299</t>
  </si>
  <si>
    <t xml:space="preserve">28 Dynea Road </t>
  </si>
  <si>
    <t>CF37 5DP</t>
  </si>
  <si>
    <t>CBDU9301</t>
  </si>
  <si>
    <t xml:space="preserve">61 Richmond Road </t>
  </si>
  <si>
    <t>NP19 7GH</t>
  </si>
  <si>
    <t>CBDL9306</t>
  </si>
  <si>
    <t>45 West View Crescent Trelewis</t>
  </si>
  <si>
    <t>CF46 6DE</t>
  </si>
  <si>
    <t>CBDL9734</t>
  </si>
  <si>
    <t xml:space="preserve">138 Lawrenny Avenue </t>
  </si>
  <si>
    <t>CF11 8BQ</t>
  </si>
  <si>
    <t>CBDU9735</t>
  </si>
  <si>
    <t>CBDU9740</t>
  </si>
  <si>
    <t>31 Maesyrhaf Cross Hands</t>
  </si>
  <si>
    <t>SA14 6LT</t>
  </si>
  <si>
    <t>CBDL9741</t>
  </si>
  <si>
    <t>The Limes Middlewich Road</t>
  </si>
  <si>
    <t>Allostock</t>
  </si>
  <si>
    <t>Knutsford</t>
  </si>
  <si>
    <t>WA16 9JQ</t>
  </si>
  <si>
    <t>CBDU9745</t>
  </si>
  <si>
    <t>10 Bailey Crescent Garndiffaith</t>
  </si>
  <si>
    <t>NP4 7RP</t>
  </si>
  <si>
    <t>CBDU9521</t>
  </si>
  <si>
    <t>13 high view brackla</t>
  </si>
  <si>
    <t>cf311tl</t>
  </si>
  <si>
    <t>CBDL9524</t>
  </si>
  <si>
    <t>3 Rectory Sq</t>
  </si>
  <si>
    <t>SA45 9RE</t>
  </si>
  <si>
    <t>CBDU9976</t>
  </si>
  <si>
    <t>Llanfaes Farm Llangoed</t>
  </si>
  <si>
    <t>LL58 8LY</t>
  </si>
  <si>
    <t>CBDU9983</t>
  </si>
  <si>
    <t xml:space="preserve">35 Blodwen Street </t>
  </si>
  <si>
    <t>SA12 6ER</t>
  </si>
  <si>
    <t>CBDU9986</t>
  </si>
  <si>
    <t>Adeje Ffordd Felin Seiont</t>
  </si>
  <si>
    <t>LL55 2YL</t>
  </si>
  <si>
    <t>CBDU10301</t>
  </si>
  <si>
    <t>Salem Chapel Heol Salem</t>
  </si>
  <si>
    <t>SA31 3HT</t>
  </si>
  <si>
    <t>CBDL10303</t>
  </si>
  <si>
    <t>Pyllau Pant-y-Dwr</t>
  </si>
  <si>
    <t>LD6 5LR</t>
  </si>
  <si>
    <t>CBDU10306</t>
  </si>
  <si>
    <t xml:space="preserve">7 Maes Y Dail </t>
  </si>
  <si>
    <t>SA18 3TL</t>
  </si>
  <si>
    <t>CBDU10307</t>
  </si>
  <si>
    <t>Old Chapel Site Longlane Pentre</t>
  </si>
  <si>
    <t>LL11 6BT</t>
  </si>
  <si>
    <t>CBDU10313</t>
  </si>
  <si>
    <t xml:space="preserve">9 Crispin Avenue </t>
  </si>
  <si>
    <t>SA31 3EH</t>
  </si>
  <si>
    <t>CBDU10549</t>
  </si>
  <si>
    <t>Martin northey Penlan</t>
  </si>
  <si>
    <t>SA5 9AD</t>
  </si>
  <si>
    <t>CBDL10551</t>
  </si>
  <si>
    <t>8 Highland Court Bryncethin</t>
  </si>
  <si>
    <t>CF32 9US</t>
  </si>
  <si>
    <t>CBDL10555</t>
  </si>
  <si>
    <t>54 Ty Fry Road Rumney</t>
  </si>
  <si>
    <t>CF3 3JN</t>
  </si>
  <si>
    <t>CBDL10557</t>
  </si>
  <si>
    <t>4-5  Longbridge</t>
  </si>
  <si>
    <t>CBDU10559</t>
  </si>
  <si>
    <t>Mountain View Caravans Pontypool</t>
  </si>
  <si>
    <t>CBDL10904</t>
  </si>
  <si>
    <t>25 Brice Road Higham</t>
  </si>
  <si>
    <t>ME3 7AB</t>
  </si>
  <si>
    <t>CBDU10905</t>
  </si>
  <si>
    <t>Bryn bedw Vicarage road</t>
  </si>
  <si>
    <t>Ll20 8hf</t>
  </si>
  <si>
    <t>CBDU10906</t>
  </si>
  <si>
    <t xml:space="preserve">49 Penrhyn Avenue </t>
  </si>
  <si>
    <t>LL57 1LS</t>
  </si>
  <si>
    <t>CBDU10912</t>
  </si>
  <si>
    <t>65 Mynydd Garnllwyd Road Morriston</t>
  </si>
  <si>
    <t>SA6 7PB</t>
  </si>
  <si>
    <t>CBDU10913</t>
  </si>
  <si>
    <t>51 Hendre Road Tycroes</t>
  </si>
  <si>
    <t>SA18 3LA</t>
  </si>
  <si>
    <t>CBDL10915</t>
  </si>
  <si>
    <t>Flat 2 Blenheim Park</t>
  </si>
  <si>
    <t>41 Blenheim Road</t>
  </si>
  <si>
    <t>Minehead</t>
  </si>
  <si>
    <t>TA24 5QA</t>
  </si>
  <si>
    <t>CBDU11160</t>
  </si>
  <si>
    <t xml:space="preserve">13 Belmont Terrace </t>
  </si>
  <si>
    <t>CF39 9LB</t>
  </si>
  <si>
    <t>CBDL11166</t>
  </si>
  <si>
    <t>Flat 3 4 Carrington Terrace</t>
  </si>
  <si>
    <t>LL26 0EB</t>
  </si>
  <si>
    <t>CBDL11167</t>
  </si>
  <si>
    <t>Pontddewi 5 Bro-Hedydd</t>
  </si>
  <si>
    <t>Four Roads</t>
  </si>
  <si>
    <t>SA17 4SQ</t>
  </si>
  <si>
    <t>CBDL11170</t>
  </si>
  <si>
    <t xml:space="preserve">12 Carlisle Street </t>
  </si>
  <si>
    <t>ST3 4HL</t>
  </si>
  <si>
    <t>CBDU11171</t>
  </si>
  <si>
    <t>34 Nant Celyn Crynant</t>
  </si>
  <si>
    <t>SA10 8PZ</t>
  </si>
  <si>
    <t>CBDU11172</t>
  </si>
  <si>
    <t>Hafoty Ty Isaf Llanfihangel Glyn Myfyr</t>
  </si>
  <si>
    <t>LL21 9UF</t>
  </si>
  <si>
    <t>CBDU11175</t>
  </si>
  <si>
    <t>CBDU11177</t>
  </si>
  <si>
    <t>Llwyndu Farm Ynysymond Road</t>
  </si>
  <si>
    <t>Glais</t>
  </si>
  <si>
    <t>SA7 9JA</t>
  </si>
  <si>
    <t>CBDU11982</t>
  </si>
  <si>
    <t xml:space="preserve">8 Gnoll Drive </t>
  </si>
  <si>
    <t>SA11 3TH</t>
  </si>
  <si>
    <t>CBDU11988</t>
  </si>
  <si>
    <t>Omagh Enterprise Centre Great Northen Road</t>
  </si>
  <si>
    <t>Omagh</t>
  </si>
  <si>
    <t>BT78 5LU</t>
  </si>
  <si>
    <t>CBDU11995</t>
  </si>
  <si>
    <t>Quinton Hazel Enterprise Parc Glan y Wern Road</t>
  </si>
  <si>
    <t>CBDL11433</t>
  </si>
  <si>
    <t>Mire House Threlkeld</t>
  </si>
  <si>
    <t>Keswick</t>
  </si>
  <si>
    <t>CA12 4TT</t>
  </si>
  <si>
    <t>CBDL11435</t>
  </si>
  <si>
    <t xml:space="preserve">17 Preston Road </t>
  </si>
  <si>
    <t>BN1 4QE</t>
  </si>
  <si>
    <t>CBDL11439</t>
  </si>
  <si>
    <t>The Long Barn Hasguard Farm</t>
  </si>
  <si>
    <t>Hasguard</t>
  </si>
  <si>
    <t>SA62 3DT</t>
  </si>
  <si>
    <t>CBDL11441</t>
  </si>
  <si>
    <t xml:space="preserve">50 Gladstone Street </t>
  </si>
  <si>
    <t>NP13 1NE</t>
  </si>
  <si>
    <t>CBDU11444</t>
  </si>
  <si>
    <t xml:space="preserve">4 Springfield Road </t>
  </si>
  <si>
    <t>NE5 3DS</t>
  </si>
  <si>
    <t>CBDL11664</t>
  </si>
  <si>
    <t>17 Glyndwr Street Merthyr Vale</t>
  </si>
  <si>
    <t>CF48 4SH</t>
  </si>
  <si>
    <t>CBDU11667</t>
  </si>
  <si>
    <t>Ty-Fry Farm New Bethel</t>
  </si>
  <si>
    <t>NP12 2BA</t>
  </si>
  <si>
    <t>CBDL11668</t>
  </si>
  <si>
    <t>Pied House 4 Fir Court Avenue</t>
  </si>
  <si>
    <t>Church Stoke</t>
  </si>
  <si>
    <t>SY15 6BA</t>
  </si>
  <si>
    <t>CBDU11669</t>
  </si>
  <si>
    <t xml:space="preserve">6 Coed Pwll </t>
  </si>
  <si>
    <t>CF83 1RT</t>
  </si>
  <si>
    <t>CBDU11670</t>
  </si>
  <si>
    <t xml:space="preserve">39 Lydstep Crescent </t>
  </si>
  <si>
    <t>CBDU11675</t>
  </si>
  <si>
    <t>8 Cooperative Terrace Fencehouses</t>
  </si>
  <si>
    <t>Houghton Le Spring</t>
  </si>
  <si>
    <t>DH4 6AE</t>
  </si>
  <si>
    <t>CBDL11676</t>
  </si>
  <si>
    <t>91 Gwyddon Road Abercarn</t>
  </si>
  <si>
    <t>NP11 5GY</t>
  </si>
  <si>
    <t>CBDL11888</t>
  </si>
  <si>
    <t>Rambo Mobile 4x4 Services Kingsley Terrace</t>
  </si>
  <si>
    <t xml:space="preserve">Twynyrodyn </t>
  </si>
  <si>
    <t>CF47 0nr</t>
  </si>
  <si>
    <t>CBDU12188</t>
  </si>
  <si>
    <t>179 Cwmgarw Road Upper Brynamman</t>
  </si>
  <si>
    <t>CBDU12190</t>
  </si>
  <si>
    <t>Star Showroom Star</t>
  </si>
  <si>
    <t>CBDU12199</t>
  </si>
  <si>
    <t>Glyncoed Clyne</t>
  </si>
  <si>
    <t>SA11 4BW</t>
  </si>
  <si>
    <t>CBDU12418</t>
  </si>
  <si>
    <t>25 Bronywawr Pontardawe</t>
  </si>
  <si>
    <t>SA8 4JY</t>
  </si>
  <si>
    <t>CBDU12419</t>
  </si>
  <si>
    <t xml:space="preserve">2 Lakeview Close </t>
  </si>
  <si>
    <t>SA15 3DG</t>
  </si>
  <si>
    <t>CBDU12740</t>
  </si>
  <si>
    <t>camps transport the docks</t>
  </si>
  <si>
    <t>riverside road</t>
  </si>
  <si>
    <t>port talbot</t>
  </si>
  <si>
    <t>sa13 1rh</t>
  </si>
  <si>
    <t>CBDL12744</t>
  </si>
  <si>
    <t xml:space="preserve">6 Fernhill Road </t>
  </si>
  <si>
    <t>SA61 1LE</t>
  </si>
  <si>
    <t>CBDL12749</t>
  </si>
  <si>
    <t>26 Kestrel way</t>
  </si>
  <si>
    <t>Duffryn</t>
  </si>
  <si>
    <t>Newport gwent</t>
  </si>
  <si>
    <t>Np108wf</t>
  </si>
  <si>
    <t>CBDL12751</t>
  </si>
  <si>
    <t>72 Swallow Way Duffryn</t>
  </si>
  <si>
    <t>CBDU12753</t>
  </si>
  <si>
    <t>The Tan Yard South Street</t>
  </si>
  <si>
    <t>CBDU12754</t>
  </si>
  <si>
    <t>35 Cefn Llan Road Pontardawe</t>
  </si>
  <si>
    <t>SA8 4NA</t>
  </si>
  <si>
    <t>CBDL12756</t>
  </si>
  <si>
    <t>52 Town Gate Wyke</t>
  </si>
  <si>
    <t>BD12 9JA</t>
  </si>
  <si>
    <t>CBDU12757</t>
  </si>
  <si>
    <t>Old Station House Church Road</t>
  </si>
  <si>
    <t>Talywain</t>
  </si>
  <si>
    <t>NP4 7EE</t>
  </si>
  <si>
    <t>CBDU12536</t>
  </si>
  <si>
    <t>Cheshire Farm Oakenholt Lane</t>
  </si>
  <si>
    <t>CH6 5SU</t>
  </si>
  <si>
    <t>CBDU12540</t>
  </si>
  <si>
    <t>15 Oystermouth Way Coedkernew</t>
  </si>
  <si>
    <t>NP10 8EA</t>
  </si>
  <si>
    <t>CBDL12542</t>
  </si>
  <si>
    <t xml:space="preserve">48 Station Road </t>
  </si>
  <si>
    <t>CBDU12543</t>
  </si>
  <si>
    <t>Glyntelori Pontardulais Road</t>
  </si>
  <si>
    <t>SA14 6PG</t>
  </si>
  <si>
    <t>CBDL12544</t>
  </si>
  <si>
    <t xml:space="preserve">113 Bingham Road </t>
  </si>
  <si>
    <t>CR0 7EL</t>
  </si>
  <si>
    <t>CBDU12550</t>
  </si>
  <si>
    <t>Unit 7 Miners Park Road</t>
  </si>
  <si>
    <t>CBDU12961</t>
  </si>
  <si>
    <t xml:space="preserve">54 Erskine Road </t>
  </si>
  <si>
    <t>LL29 8EU</t>
  </si>
  <si>
    <t>CBDU12963</t>
  </si>
  <si>
    <t>36 Cilfodan Street Carneddi</t>
  </si>
  <si>
    <t>LL57 3RZ</t>
  </si>
  <si>
    <t>CBDU12965</t>
  </si>
  <si>
    <t xml:space="preserve">1 Pontypridd Street </t>
  </si>
  <si>
    <t>CF63 2HH</t>
  </si>
  <si>
    <t>CBDL12968</t>
  </si>
  <si>
    <t xml:space="preserve">14 Clarence Street </t>
  </si>
  <si>
    <t>SA1 3QR</t>
  </si>
  <si>
    <t>CBDU12971</t>
  </si>
  <si>
    <t xml:space="preserve">The Meadows </t>
  </si>
  <si>
    <t>SY22 5EN</t>
  </si>
  <si>
    <t>CBDL12974</t>
  </si>
  <si>
    <t>2 Mansel Terrace Cwmbwrla</t>
  </si>
  <si>
    <t>CBDU13343</t>
  </si>
  <si>
    <t>25 St. Marks Close Merlins Bridge</t>
  </si>
  <si>
    <t>CBDU13345</t>
  </si>
  <si>
    <t>12 Ty Isaf Park Circle Risca</t>
  </si>
  <si>
    <t>NP11 6NF</t>
  </si>
  <si>
    <t>CBDL13136</t>
  </si>
  <si>
    <t>69 Nightingale Street Abercanaid</t>
  </si>
  <si>
    <t>CF48 1EJ</t>
  </si>
  <si>
    <t>CBDL13138</t>
  </si>
  <si>
    <t>15 John Street Aberavon</t>
  </si>
  <si>
    <t>SA12 6EB</t>
  </si>
  <si>
    <t>CBDU13139</t>
  </si>
  <si>
    <t>11 Treaserth Estate Llangaffo</t>
  </si>
  <si>
    <t>LL60 6NP</t>
  </si>
  <si>
    <t>CBDL13141</t>
  </si>
  <si>
    <t>Denver Beech Lane</t>
  </si>
  <si>
    <t>Woodcote</t>
  </si>
  <si>
    <t>RG8 0PX</t>
  </si>
  <si>
    <t>CBDU13142</t>
  </si>
  <si>
    <t xml:space="preserve">7 Latch Square </t>
  </si>
  <si>
    <t>NP20 2RB</t>
  </si>
  <si>
    <t>CBDL13531</t>
  </si>
  <si>
    <t xml:space="preserve">115 Heolgerrig </t>
  </si>
  <si>
    <t>CF48 1RN</t>
  </si>
  <si>
    <t>CBDU13537</t>
  </si>
  <si>
    <t>Pandy Chwilog</t>
  </si>
  <si>
    <t>LL53 6NX</t>
  </si>
  <si>
    <t>CBDL13543</t>
  </si>
  <si>
    <t>White Dog Cottage Llangybi</t>
  </si>
  <si>
    <t>CBDU13544</t>
  </si>
  <si>
    <t xml:space="preserve">14 Tirforgan </t>
  </si>
  <si>
    <t>SA14 8PL</t>
  </si>
  <si>
    <t>CBDU13545</t>
  </si>
  <si>
    <t>43 The Woodlands Brackla</t>
  </si>
  <si>
    <t>CF31 2JF</t>
  </si>
  <si>
    <t>CBDU13548</t>
  </si>
  <si>
    <t>Flat 1 Tyn y Graig</t>
  </si>
  <si>
    <t>SA10 8TB</t>
  </si>
  <si>
    <t>CBDL74</t>
  </si>
  <si>
    <t>33 Old Port Road</t>
  </si>
  <si>
    <t>CF5 6AL</t>
  </si>
  <si>
    <t>CBDL75</t>
  </si>
  <si>
    <t>Coed Ceirios Heyope Road</t>
  </si>
  <si>
    <t>Knucklas</t>
  </si>
  <si>
    <t>LD7 1PT</t>
  </si>
  <si>
    <t>CBDL80</t>
  </si>
  <si>
    <t>Unit 1 Blenheim Stores</t>
  </si>
  <si>
    <t>Blenhein Road</t>
  </si>
  <si>
    <t>CBDL83</t>
  </si>
  <si>
    <t>Disgwylfa Meidrim</t>
  </si>
  <si>
    <t>SA33 5PJ</t>
  </si>
  <si>
    <t>CBDL86</t>
  </si>
  <si>
    <t>17 trem y ffridd</t>
  </si>
  <si>
    <t>bala</t>
  </si>
  <si>
    <t>LL23 7dg</t>
  </si>
  <si>
    <t>CBDL319</t>
  </si>
  <si>
    <t>Border View Arddleen</t>
  </si>
  <si>
    <t>SY22 6PU</t>
  </si>
  <si>
    <t>CBDL321</t>
  </si>
  <si>
    <t>25-27 Ivor Street</t>
  </si>
  <si>
    <t>Barry Island</t>
  </si>
  <si>
    <t>CF62 5UL</t>
  </si>
  <si>
    <t>CBDL322</t>
  </si>
  <si>
    <t>179 Conway Road</t>
  </si>
  <si>
    <t>LL31 9AY</t>
  </si>
  <si>
    <t>CBDL324</t>
  </si>
  <si>
    <t>16 Queens Road</t>
  </si>
  <si>
    <t>Craig Y Don</t>
  </si>
  <si>
    <t>LL30 1AZ</t>
  </si>
  <si>
    <t>CBDL578</t>
  </si>
  <si>
    <t>The Fishermans Cottages Stanley Court</t>
  </si>
  <si>
    <t>SA52 2EY</t>
  </si>
  <si>
    <t>CBDL580</t>
  </si>
  <si>
    <t>Penllys Farm Llanfechain</t>
  </si>
  <si>
    <t>SY22 6XE</t>
  </si>
  <si>
    <t>CBDL581</t>
  </si>
  <si>
    <t>7 Castle Street</t>
  </si>
  <si>
    <t>CBDL586</t>
  </si>
  <si>
    <t>35  hawthorn ave</t>
  </si>
  <si>
    <t>sa44xd</t>
  </si>
  <si>
    <t>CBDL587</t>
  </si>
  <si>
    <t>Ty Croes Rhoslefan</t>
  </si>
  <si>
    <t>LL36 9NH</t>
  </si>
  <si>
    <t>CBDL589</t>
  </si>
  <si>
    <t>Tyndings Knighton Road</t>
  </si>
  <si>
    <t>Clun</t>
  </si>
  <si>
    <t>SY7 8LS</t>
  </si>
  <si>
    <t>CBDL590</t>
  </si>
  <si>
    <t>64 Cowbridge Road East</t>
  </si>
  <si>
    <t>CF11 9DU</t>
  </si>
  <si>
    <t>CBDL1017</t>
  </si>
  <si>
    <t>32 Heol Ty Maen</t>
  </si>
  <si>
    <t>Cefn Glas</t>
  </si>
  <si>
    <t>CF31 4QF</t>
  </si>
  <si>
    <t>CBDL1018</t>
  </si>
  <si>
    <t>9e high street</t>
  </si>
  <si>
    <t>ogmore vale</t>
  </si>
  <si>
    <t>cf32 7ab</t>
  </si>
  <si>
    <t>CBDL1022</t>
  </si>
  <si>
    <t>5 Willings Passage 11 Main Street</t>
  </si>
  <si>
    <t>SA71 4JS</t>
  </si>
  <si>
    <t>CBDL1023</t>
  </si>
  <si>
    <t>2 Waterton Close</t>
  </si>
  <si>
    <t>Waterton</t>
  </si>
  <si>
    <t>CBDL1024</t>
  </si>
  <si>
    <t>22a cilmaengwyn road</t>
  </si>
  <si>
    <t>sa84ql</t>
  </si>
  <si>
    <t>CBDL1025</t>
  </si>
  <si>
    <t>19 heol miskin</t>
  </si>
  <si>
    <t>pontyclun</t>
  </si>
  <si>
    <t>cf729aj</t>
  </si>
  <si>
    <t>CBDL1026</t>
  </si>
  <si>
    <t>CBDL1028</t>
  </si>
  <si>
    <t>Westend Farm South Dairy</t>
  </si>
  <si>
    <t>Wiston</t>
  </si>
  <si>
    <t>SA624BD</t>
  </si>
  <si>
    <t>CBDL1269</t>
  </si>
  <si>
    <t>CBDL1274</t>
  </si>
  <si>
    <t>llanrwst dental practice  24a watling street</t>
  </si>
  <si>
    <t>ll26 0ls</t>
  </si>
  <si>
    <t>CBDL1501</t>
  </si>
  <si>
    <t>22 Llys David lord</t>
  </si>
  <si>
    <t>Ll137nz</t>
  </si>
  <si>
    <t>CBDL1506</t>
  </si>
  <si>
    <t>24 Trenarfon</t>
  </si>
  <si>
    <t>LL26 0BP</t>
  </si>
  <si>
    <t>CBDL1512</t>
  </si>
  <si>
    <t>STREAMSIDE GARAGE DOLYHIR</t>
  </si>
  <si>
    <t>LD8 2RW</t>
  </si>
  <si>
    <t>CBDL1513</t>
  </si>
  <si>
    <t>5 Station Road Radyr</t>
  </si>
  <si>
    <t>CF15 8AA</t>
  </si>
  <si>
    <t>CBDL1721</t>
  </si>
  <si>
    <t>Unit 5 Glan Llwyd</t>
  </si>
  <si>
    <t>SA4 8SF</t>
  </si>
  <si>
    <t>CBDL1724</t>
  </si>
  <si>
    <t>8 Dyffryn Road Gorseinon</t>
  </si>
  <si>
    <t>SA4 6BB</t>
  </si>
  <si>
    <t>CBDL1728</t>
  </si>
  <si>
    <t xml:space="preserve">18 Winston Street </t>
  </si>
  <si>
    <t>CBDL1985</t>
  </si>
  <si>
    <t xml:space="preserve">1 Broad Street </t>
  </si>
  <si>
    <t>CBDL1986</t>
  </si>
  <si>
    <t>2 Tan Y Garreg Dinas</t>
  </si>
  <si>
    <t>LL53 8UD</t>
  </si>
  <si>
    <t>CBDL2364</t>
  </si>
  <si>
    <t xml:space="preserve">5 Florence Street </t>
  </si>
  <si>
    <t>SA15 2HT</t>
  </si>
  <si>
    <t>CBDL2610</t>
  </si>
  <si>
    <t xml:space="preserve">4 Commercial Street </t>
  </si>
  <si>
    <t>SA11 1SB</t>
  </si>
  <si>
    <t>CBDL2621</t>
  </si>
  <si>
    <t>pinfold lane pinfold  lane</t>
  </si>
  <si>
    <t xml:space="preserve">alltami </t>
  </si>
  <si>
    <t>ch76nz</t>
  </si>
  <si>
    <t>CBDL2624</t>
  </si>
  <si>
    <t>Iceguard HouseMold Road Cefn-Y-BeddWrexhamFlintshire</t>
  </si>
  <si>
    <t>LL12 9UL</t>
  </si>
  <si>
    <t>CBDL2629</t>
  </si>
  <si>
    <t xml:space="preserve">5 Exeter Road </t>
  </si>
  <si>
    <t>NP19 8DB</t>
  </si>
  <si>
    <t>CBDL2630</t>
  </si>
  <si>
    <t>CBDL3059</t>
  </si>
  <si>
    <t>25 Main Road Cil-Ffriw</t>
  </si>
  <si>
    <t>SA10 8LP</t>
  </si>
  <si>
    <t>CBDL3062</t>
  </si>
  <si>
    <t xml:space="preserve">34A Ceg Y Ffordd </t>
  </si>
  <si>
    <t>LL19 7YE</t>
  </si>
  <si>
    <t>CBDL2831</t>
  </si>
  <si>
    <t xml:space="preserve">2 Pant Teg </t>
  </si>
  <si>
    <t>LL44 2ER</t>
  </si>
  <si>
    <t>CBDL2839</t>
  </si>
  <si>
    <t xml:space="preserve">21 Heol Llanfair </t>
  </si>
  <si>
    <t>CBDL2840</t>
  </si>
  <si>
    <t>Saith Seren Nantmel</t>
  </si>
  <si>
    <t>LD1 6EN</t>
  </si>
  <si>
    <t>CBDL2842</t>
  </si>
  <si>
    <t>34 Arthurs Gate Pool Road</t>
  </si>
  <si>
    <t>SY15 6QU</t>
  </si>
  <si>
    <t>CBDL3286</t>
  </si>
  <si>
    <t>31 Treowen Road Newbridge</t>
  </si>
  <si>
    <t>NP11 3DL</t>
  </si>
  <si>
    <t>CBDL3293</t>
  </si>
  <si>
    <t>Long House Mathri</t>
  </si>
  <si>
    <t>SA62 5AN</t>
  </si>
  <si>
    <t>CBDL3296</t>
  </si>
  <si>
    <t>Llansanffraid-Ym-Mechain</t>
  </si>
  <si>
    <t>CBDL3565</t>
  </si>
  <si>
    <t>Keepers Cottage 4 Ruby Cottages</t>
  </si>
  <si>
    <t>The Nant</t>
  </si>
  <si>
    <t>Rhydymwyn</t>
  </si>
  <si>
    <t>CH7 5QB</t>
  </si>
  <si>
    <t>CBDL3571</t>
  </si>
  <si>
    <t>1 Tan Y Llan Tregynon</t>
  </si>
  <si>
    <t>SY16 3HA</t>
  </si>
  <si>
    <t>CBDL3796</t>
  </si>
  <si>
    <t xml:space="preserve">Sancler </t>
  </si>
  <si>
    <t>SA33 4NA</t>
  </si>
  <si>
    <t>CBDL4011</t>
  </si>
  <si>
    <t>Tyisha Road Stores 54 Tyisha Road</t>
  </si>
  <si>
    <t>SA15 1RW</t>
  </si>
  <si>
    <t>CBDL4028</t>
  </si>
  <si>
    <t>27 Pen Y Pwll Pontarddulais</t>
  </si>
  <si>
    <t>CBDL4029</t>
  </si>
  <si>
    <t>196 Heritage Park Llaneirwg</t>
  </si>
  <si>
    <t>CF3 0DU</t>
  </si>
  <si>
    <t>CBDL4277</t>
  </si>
  <si>
    <t>9 Ty Crwyn Pentre'r Eglwys</t>
  </si>
  <si>
    <t>CF38 2HX</t>
  </si>
  <si>
    <t>CBDL4293</t>
  </si>
  <si>
    <t>1 South View Brynna Road</t>
  </si>
  <si>
    <t>CF35 6PB</t>
  </si>
  <si>
    <t>CBDL4297</t>
  </si>
  <si>
    <t xml:space="preserve">88 Gainsborough Drive </t>
  </si>
  <si>
    <t>SS0 9AN</t>
  </si>
  <si>
    <t>CBDL4526</t>
  </si>
  <si>
    <t xml:space="preserve">34 Thomas Street </t>
  </si>
  <si>
    <t>CBDL4530</t>
  </si>
  <si>
    <t>Cartrefle Maenclochog</t>
  </si>
  <si>
    <t>SA66 7LB</t>
  </si>
  <si>
    <t>CBDL4533</t>
  </si>
  <si>
    <t>16 Clos Cadno Cwmrhydyceirw</t>
  </si>
  <si>
    <t>SA6 6TT</t>
  </si>
  <si>
    <t>CBDL4968</t>
  </si>
  <si>
    <t>1 Hillside Llwydcoed Road</t>
  </si>
  <si>
    <t>CF44 0TN</t>
  </si>
  <si>
    <t>CBDL4043</t>
  </si>
  <si>
    <t>26 Ashford Drive Kingswood</t>
  </si>
  <si>
    <t>Maidstone</t>
  </si>
  <si>
    <t>ME17 3PA</t>
  </si>
  <si>
    <t>CBDL4045</t>
  </si>
  <si>
    <t>30 South View Drive Rumney</t>
  </si>
  <si>
    <t>CF3 3LY</t>
  </si>
  <si>
    <t>CBDL4047</t>
  </si>
  <si>
    <t>Chapel House Cleirwy</t>
  </si>
  <si>
    <t>HR3 5SE</t>
  </si>
  <si>
    <t>CBDL4049</t>
  </si>
  <si>
    <t>Flat 3 Quayside</t>
  </si>
  <si>
    <t>Topsham</t>
  </si>
  <si>
    <t>EX3 0JJ</t>
  </si>
  <si>
    <t>CBDL4051</t>
  </si>
  <si>
    <t xml:space="preserve">57 Cocker Avenue </t>
  </si>
  <si>
    <t>NP44 7JJ</t>
  </si>
  <si>
    <t>CBDL4056</t>
  </si>
  <si>
    <t xml:space="preserve">4 Springfield Court </t>
  </si>
  <si>
    <t>NN3 8NA</t>
  </si>
  <si>
    <t>CBDL4708</t>
  </si>
  <si>
    <t>Waterloo Farm Sealand Road</t>
  </si>
  <si>
    <t>CH5 2LQ</t>
  </si>
  <si>
    <t>CBDL4711</t>
  </si>
  <si>
    <t xml:space="preserve">Tyn Pwll </t>
  </si>
  <si>
    <t>CBDL4715</t>
  </si>
  <si>
    <t>51 Stanley Road Gelli</t>
  </si>
  <si>
    <t>CF41 7NH</t>
  </si>
  <si>
    <t>CBDU5458</t>
  </si>
  <si>
    <t>Crossways Portskewett</t>
  </si>
  <si>
    <t>NP26 5US</t>
  </si>
  <si>
    <t>CBDL5463</t>
  </si>
  <si>
    <t xml:space="preserve">24 Ida Road </t>
  </si>
  <si>
    <t>Skegness</t>
  </si>
  <si>
    <t>PE25 2AR</t>
  </si>
  <si>
    <t>CBDU5465</t>
  </si>
  <si>
    <t>1 Bro Llechylched Bryngwran</t>
  </si>
  <si>
    <t>LL65 3AE</t>
  </si>
  <si>
    <t>CBDL5466</t>
  </si>
  <si>
    <t xml:space="preserve">6 Maes Nott </t>
  </si>
  <si>
    <t>CBDL5468</t>
  </si>
  <si>
    <t>23 Llandeilo Rd</t>
  </si>
  <si>
    <t>CBDU5724</t>
  </si>
  <si>
    <t>34 High Street Llanhilleth</t>
  </si>
  <si>
    <t>NP13 2JP</t>
  </si>
  <si>
    <t>CBDU6215</t>
  </si>
  <si>
    <t>Tan Dinas Cottage Dinas Dinlle</t>
  </si>
  <si>
    <t>LL54 5TW</t>
  </si>
  <si>
    <t>CBDU6220</t>
  </si>
  <si>
    <t>10 Maes Dolwen Llannefydd</t>
  </si>
  <si>
    <t>LL16 5EQ</t>
  </si>
  <si>
    <t>CBDL6221</t>
  </si>
  <si>
    <t>137 Barton Road Stretford</t>
  </si>
  <si>
    <t>M32 8DN</t>
  </si>
  <si>
    <t>CBDU6223</t>
  </si>
  <si>
    <t xml:space="preserve">74 Maesglas Grove </t>
  </si>
  <si>
    <t>NP20 3DL</t>
  </si>
  <si>
    <t>CBDL6224</t>
  </si>
  <si>
    <t xml:space="preserve">2 Beckgrove Close </t>
  </si>
  <si>
    <t>CF24 2SE</t>
  </si>
  <si>
    <t>CBDU6225</t>
  </si>
  <si>
    <t>Flat 10 Timothy House</t>
  </si>
  <si>
    <t>6 Kale Road</t>
  </si>
  <si>
    <t>Erith</t>
  </si>
  <si>
    <t>DA18 4BQ</t>
  </si>
  <si>
    <t>CBDL6230</t>
  </si>
  <si>
    <t>Bourne Brook Farm Sutton Road</t>
  </si>
  <si>
    <t>Tamworth</t>
  </si>
  <si>
    <t>B78 3DX</t>
  </si>
  <si>
    <t>CBDU5968</t>
  </si>
  <si>
    <t>14  Blackthorn Court</t>
  </si>
  <si>
    <t>Llanharry</t>
  </si>
  <si>
    <t xml:space="preserve"> CF72 9WU</t>
  </si>
  <si>
    <t>CBDU5972</t>
  </si>
  <si>
    <t xml:space="preserve">20 Poplars Avenue </t>
  </si>
  <si>
    <t>SA11 3NS</t>
  </si>
  <si>
    <t>CBDU5973</t>
  </si>
  <si>
    <t>Llangynog Farm Llangynog</t>
  </si>
  <si>
    <t>SA33 5HS</t>
  </si>
  <si>
    <t>CBDL5975</t>
  </si>
  <si>
    <t>Flat 123 High Street</t>
  </si>
  <si>
    <t>GL20 5JU</t>
  </si>
  <si>
    <t>CBDU5977</t>
  </si>
  <si>
    <t>Mardy House Mardy Road</t>
  </si>
  <si>
    <t>CBDU5978</t>
  </si>
  <si>
    <t>15 Pontardawe Road Clydach</t>
  </si>
  <si>
    <t>SA6 5NS</t>
  </si>
  <si>
    <t>CBDL5979</t>
  </si>
  <si>
    <t xml:space="preserve">33 The Glebe </t>
  </si>
  <si>
    <t>SA70 8HA</t>
  </si>
  <si>
    <t>CBDU6774</t>
  </si>
  <si>
    <t xml:space="preserve">7 Howard Close </t>
  </si>
  <si>
    <t>NP19 9FR</t>
  </si>
  <si>
    <t>CBDU6775</t>
  </si>
  <si>
    <t>10 Vale View Maesycwmmer</t>
  </si>
  <si>
    <t>CF82 7PW</t>
  </si>
  <si>
    <t>CBDU6776</t>
  </si>
  <si>
    <t xml:space="preserve">21 Derwen Drive </t>
  </si>
  <si>
    <t>LL18 2PB</t>
  </si>
  <si>
    <t>CBDU6779</t>
  </si>
  <si>
    <t>3 Paddock Close Pontnewydd</t>
  </si>
  <si>
    <t>NP44 1LL</t>
  </si>
  <si>
    <t>CBDU6780</t>
  </si>
  <si>
    <t xml:space="preserve">3 Ledbrook Close </t>
  </si>
  <si>
    <t>NP44 7JT</t>
  </si>
  <si>
    <t>CBDU6781</t>
  </si>
  <si>
    <t>CBDL6785</t>
  </si>
  <si>
    <t>The Brambles Ryelands Lane</t>
  </si>
  <si>
    <t>SA68 0UY</t>
  </si>
  <si>
    <t>CBDL6787</t>
  </si>
  <si>
    <t xml:space="preserve">17 Clos Morfudd </t>
  </si>
  <si>
    <t>LL18 4JA</t>
  </si>
  <si>
    <t>CBDU6527</t>
  </si>
  <si>
    <t>39 Fontygary Road Rhoose</t>
  </si>
  <si>
    <t>CF62 3DS</t>
  </si>
  <si>
    <t>CBDU6528</t>
  </si>
  <si>
    <t>NP12 1NW</t>
  </si>
  <si>
    <t>CBDU6533</t>
  </si>
  <si>
    <t>CBDU6536</t>
  </si>
  <si>
    <t>Garth Fach Bungalow Glais</t>
  </si>
  <si>
    <t>SA7 9EP</t>
  </si>
  <si>
    <t>CBDU6538</t>
  </si>
  <si>
    <t xml:space="preserve">33 Bryn Teg </t>
  </si>
  <si>
    <t>SA11 2YH</t>
  </si>
  <si>
    <t>CBDL6541</t>
  </si>
  <si>
    <t xml:space="preserve">38 Treforis </t>
  </si>
  <si>
    <t>SA18 2RA</t>
  </si>
  <si>
    <t>CBDU6542</t>
  </si>
  <si>
    <t>11 Cae Bach Aur Estate Bodffordd</t>
  </si>
  <si>
    <t>LL77 7JS</t>
  </si>
  <si>
    <t>CBDU7005</t>
  </si>
  <si>
    <t>Dollar Park Bagillt Road</t>
  </si>
  <si>
    <t>CH8 7EZ</t>
  </si>
  <si>
    <t>CBDU7010</t>
  </si>
  <si>
    <t>The Bungalow Brynhill Golf Club</t>
  </si>
  <si>
    <t>Little Brynhill Lane</t>
  </si>
  <si>
    <t>CF62 8PN</t>
  </si>
  <si>
    <t>CBDU7367</t>
  </si>
  <si>
    <t>Glasfryn Capel Dewi</t>
  </si>
  <si>
    <t>SA32 8AD</t>
  </si>
  <si>
    <t>CBDU7369</t>
  </si>
  <si>
    <t>1 Railway Terrace Tonmawr</t>
  </si>
  <si>
    <t>SA12 9SU</t>
  </si>
  <si>
    <t>CBDU7370</t>
  </si>
  <si>
    <t>23 Avondale Street Abercynon</t>
  </si>
  <si>
    <t>CF45 4YU</t>
  </si>
  <si>
    <t>CBDL7373</t>
  </si>
  <si>
    <t>Ty Nant Chapel Street</t>
  </si>
  <si>
    <t>Newborough</t>
  </si>
  <si>
    <t>LL61 6RU</t>
  </si>
  <si>
    <t>CBDU7376</t>
  </si>
  <si>
    <t>4 Denver Road</t>
  </si>
  <si>
    <t>SA5 4DA</t>
  </si>
  <si>
    <t>CBDU7120</t>
  </si>
  <si>
    <t>1 Popehill Bridge Cottages Popehill</t>
  </si>
  <si>
    <t>CBDU7128</t>
  </si>
  <si>
    <t xml:space="preserve">24 Milford Drive </t>
  </si>
  <si>
    <t>BH11 9HJ</t>
  </si>
  <si>
    <t>CBDU7129</t>
  </si>
  <si>
    <t>64  Cefndre</t>
  </si>
  <si>
    <t xml:space="preserve"> LL13 9PB</t>
  </si>
  <si>
    <t>CBDU7131</t>
  </si>
  <si>
    <t>Chacksfield Rye Road</t>
  </si>
  <si>
    <t>Sandhurst</t>
  </si>
  <si>
    <t>Cranbrook</t>
  </si>
  <si>
    <t>TN18 5PH</t>
  </si>
  <si>
    <t>CBDL7132</t>
  </si>
  <si>
    <t>64 church street</t>
  </si>
  <si>
    <t>np22 3dr</t>
  </si>
  <si>
    <t>CBDU7133</t>
  </si>
  <si>
    <t xml:space="preserve">95 Heol Sandown </t>
  </si>
  <si>
    <t>CBDU7134</t>
  </si>
  <si>
    <t xml:space="preserve">2 Caemawr </t>
  </si>
  <si>
    <t>SA18 2HH</t>
  </si>
  <si>
    <t>CBDU7135</t>
  </si>
  <si>
    <t>59 Station Road Fforestfach</t>
  </si>
  <si>
    <t>SA5 5AU</t>
  </si>
  <si>
    <t>CBDU7607</t>
  </si>
  <si>
    <t>49 Bron Y Graig Bodedern</t>
  </si>
  <si>
    <t>LL65 3SY</t>
  </si>
  <si>
    <t>CBDU7609</t>
  </si>
  <si>
    <t>46 Pengors Road Llangyfelach</t>
  </si>
  <si>
    <t>SA5 7JF</t>
  </si>
  <si>
    <t>CBDU7611</t>
  </si>
  <si>
    <t xml:space="preserve">Dulas Bridge Coal Yard </t>
  </si>
  <si>
    <t>LL70 9EJ</t>
  </si>
  <si>
    <t>CBDU7614</t>
  </si>
  <si>
    <t>5 Rowan Close Nelson</t>
  </si>
  <si>
    <t>CF46 6EN</t>
  </si>
  <si>
    <t>CBDU7616</t>
  </si>
  <si>
    <t xml:space="preserve">143 Dolau Fan Road </t>
  </si>
  <si>
    <t>SA16 0RP</t>
  </si>
  <si>
    <t>CBDL7621</t>
  </si>
  <si>
    <t>20 CHESTER ROAD</t>
  </si>
  <si>
    <t>CH73AE</t>
  </si>
  <si>
    <t>CBDU7624</t>
  </si>
  <si>
    <t>Hillside Wenallt Road</t>
  </si>
  <si>
    <t>CF44 0RT</t>
  </si>
  <si>
    <t>CBDL7625</t>
  </si>
  <si>
    <t>Main Road Tintern</t>
  </si>
  <si>
    <t>NP16 6SE</t>
  </si>
  <si>
    <t>CBDU8014</t>
  </si>
  <si>
    <t xml:space="preserve">54 Gifford Terrace Road </t>
  </si>
  <si>
    <t>PL3 4JE</t>
  </si>
  <si>
    <t>CBDL8016</t>
  </si>
  <si>
    <t>CBDL8018</t>
  </si>
  <si>
    <t xml:space="preserve">36 Eastley Crescent </t>
  </si>
  <si>
    <t>CV34 5RX</t>
  </si>
  <si>
    <t>CBDU8026</t>
  </si>
  <si>
    <t>Unit 11 Hollands Yard</t>
  </si>
  <si>
    <t>Rectors Lane</t>
  </si>
  <si>
    <t>CH5 2DH</t>
  </si>
  <si>
    <t>CBDU8027</t>
  </si>
  <si>
    <t>Hill Court Main Road</t>
  </si>
  <si>
    <t>Cil-Ffriw</t>
  </si>
  <si>
    <t>SA10 8LW</t>
  </si>
  <si>
    <t>CBDL7784</t>
  </si>
  <si>
    <t xml:space="preserve">1 Waterloo Gardens </t>
  </si>
  <si>
    <t>CF23 5AA</t>
  </si>
  <si>
    <t>CBDU7786</t>
  </si>
  <si>
    <t xml:space="preserve">17 Maengwynne </t>
  </si>
  <si>
    <t>SA15 4NL</t>
  </si>
  <si>
    <t>CBDU8250</t>
  </si>
  <si>
    <t>5 Eppynt Road Penlan</t>
  </si>
  <si>
    <t>SA5 7AZ</t>
  </si>
  <si>
    <t>CBDL8424</t>
  </si>
  <si>
    <t xml:space="preserve">12 Acton Gardens </t>
  </si>
  <si>
    <t>LL12 8DD</t>
  </si>
  <si>
    <t>CBDL8431</t>
  </si>
  <si>
    <t>48 Toll Bar Road Swinton</t>
  </si>
  <si>
    <t>Mexborough</t>
  </si>
  <si>
    <t>S64 8HH</t>
  </si>
  <si>
    <t>CBDU8432</t>
  </si>
  <si>
    <t xml:space="preserve">5 Waen Wen </t>
  </si>
  <si>
    <t>LL57 4UF</t>
  </si>
  <si>
    <t>CBDU8440</t>
  </si>
  <si>
    <t>45 Dan-y-Coed Tonmawr</t>
  </si>
  <si>
    <t>SA12 9UL</t>
  </si>
  <si>
    <t>CBDU8677</t>
  </si>
  <si>
    <t>CBDU8679</t>
  </si>
  <si>
    <t>26 Ysbryd-y-Coed Pen-y-Fai</t>
  </si>
  <si>
    <t>CF31 4GF</t>
  </si>
  <si>
    <t>CBDU8682</t>
  </si>
  <si>
    <t>20A Church Street Bedwas</t>
  </si>
  <si>
    <t>CF83 8EB</t>
  </si>
  <si>
    <t>CBDU8683</t>
  </si>
  <si>
    <t xml:space="preserve">15 Clos Yr Hendre </t>
  </si>
  <si>
    <t>CBDU8684</t>
  </si>
  <si>
    <t>Afallon Llanelltyd</t>
  </si>
  <si>
    <t>LL40 2ST</t>
  </si>
  <si>
    <t>CBDL9059</t>
  </si>
  <si>
    <t>CBDL9061</t>
  </si>
  <si>
    <t>Bwthyn Yr Helyg Ffordd Ty Du</t>
  </si>
  <si>
    <t>Llanberis</t>
  </si>
  <si>
    <t>LL55 4HD</t>
  </si>
  <si>
    <t>CBDU9062</t>
  </si>
  <si>
    <t xml:space="preserve">44 Hillcrest Avenue </t>
  </si>
  <si>
    <t>CF44 6YH</t>
  </si>
  <si>
    <t>CBDL9066</t>
  </si>
  <si>
    <t>CBDU9071</t>
  </si>
  <si>
    <t>Tynewydd Farm Llantrisant Road</t>
  </si>
  <si>
    <t>CBDL9316</t>
  </si>
  <si>
    <t>The Bramble  Shed Usk Road</t>
  </si>
  <si>
    <t xml:space="preserve">Shirenewton </t>
  </si>
  <si>
    <t xml:space="preserve">Chepstow </t>
  </si>
  <si>
    <t>NP166RY</t>
  </si>
  <si>
    <t>CBDL9318</t>
  </si>
  <si>
    <t>20 Long Acre North Cornelly</t>
  </si>
  <si>
    <t>CF33 4BE</t>
  </si>
  <si>
    <t>CBDL9326</t>
  </si>
  <si>
    <t>25 Heol Meurig Cwm-Twrch Isaf</t>
  </si>
  <si>
    <t>SA9 1DJ</t>
  </si>
  <si>
    <t>CBDU9750</t>
  </si>
  <si>
    <t>Cwmbargoed Cynghordy</t>
  </si>
  <si>
    <t>SA20 0LU</t>
  </si>
  <si>
    <t>CBDU9751</t>
  </si>
  <si>
    <t>35 Valon Road Arborfield</t>
  </si>
  <si>
    <t>RG2 9LT</t>
  </si>
  <si>
    <t>CBDU9752</t>
  </si>
  <si>
    <t xml:space="preserve">30 Kennet Square </t>
  </si>
  <si>
    <t>CR4 3RR</t>
  </si>
  <si>
    <t>CBDL9755</t>
  </si>
  <si>
    <t xml:space="preserve">87 Cae Morfa </t>
  </si>
  <si>
    <t>SA10 6EE</t>
  </si>
  <si>
    <t>CBDU9756</t>
  </si>
  <si>
    <t>Cefn Cerrig Lon Yr Ardd</t>
  </si>
  <si>
    <t>SA20 0BN</t>
  </si>
  <si>
    <t>CBDU9757</t>
  </si>
  <si>
    <t>43 South View Mynydd Cynffig</t>
  </si>
  <si>
    <t>CBDL9760</t>
  </si>
  <si>
    <t>Clwt-Patrwn Llanfair Clydogau</t>
  </si>
  <si>
    <t>SA48 8ND</t>
  </si>
  <si>
    <t>CBDU9764</t>
  </si>
  <si>
    <t xml:space="preserve">30 Cricklewood Close </t>
  </si>
  <si>
    <t>CF31 4RB</t>
  </si>
  <si>
    <t>CBDU9531</t>
  </si>
  <si>
    <t>15 Clos Odyn Pentwyn</t>
  </si>
  <si>
    <t>NP4 7TY</t>
  </si>
  <si>
    <t>CBDL9532</t>
  </si>
  <si>
    <t>60 Folly View Penygarn</t>
  </si>
  <si>
    <t>NP4 8BU</t>
  </si>
  <si>
    <t>CBDU9533</t>
  </si>
  <si>
    <t>46 Llannant Road Gorseinon</t>
  </si>
  <si>
    <t>SA4 4ND</t>
  </si>
  <si>
    <t>CBDL9541</t>
  </si>
  <si>
    <t xml:space="preserve">25 Glencairn Drive </t>
  </si>
  <si>
    <t>W5 1RT</t>
  </si>
  <si>
    <t>CBDL9543</t>
  </si>
  <si>
    <t>Mathom Groesllwyd</t>
  </si>
  <si>
    <t>Cegidfa</t>
  </si>
  <si>
    <t>SY21 9BZ</t>
  </si>
  <si>
    <t>CBDU9987</t>
  </si>
  <si>
    <t>CBDU9988</t>
  </si>
  <si>
    <t>11 Glynne Way Penarlag</t>
  </si>
  <si>
    <t>CH5 3NX</t>
  </si>
  <si>
    <t>CBDU9991</t>
  </si>
  <si>
    <t>2 Crown Street Gwalchmai</t>
  </si>
  <si>
    <t>LL65 4RT</t>
  </si>
  <si>
    <t>CBDU9992</t>
  </si>
  <si>
    <t>8 Forest Lane Terrace Llangybi</t>
  </si>
  <si>
    <t>CBDU9996</t>
  </si>
  <si>
    <t xml:space="preserve">20 Navigation Street </t>
  </si>
  <si>
    <t>CF45 4BW</t>
  </si>
  <si>
    <t>CBDU9997</t>
  </si>
  <si>
    <t xml:space="preserve">1 Salisbury Road </t>
  </si>
  <si>
    <t>LL13 7AS</t>
  </si>
  <si>
    <t>CBDL9998</t>
  </si>
  <si>
    <t xml:space="preserve">3 Fullers Close </t>
  </si>
  <si>
    <t>RM5 3JS</t>
  </si>
  <si>
    <t>CBDU9999</t>
  </si>
  <si>
    <t>78  Cemetery Road</t>
  </si>
  <si>
    <t>Trecynon</t>
  </si>
  <si>
    <t>CF44 8HG</t>
  </si>
  <si>
    <t>CBDU10000</t>
  </si>
  <si>
    <t xml:space="preserve">10 Hester Place </t>
  </si>
  <si>
    <t>Burnham-on-Crouch</t>
  </si>
  <si>
    <t>CM0 8SA</t>
  </si>
  <si>
    <t>CBDL10001</t>
  </si>
  <si>
    <t>29 Bronallt Coed-Llai</t>
  </si>
  <si>
    <t>CH7 4RZ</t>
  </si>
  <si>
    <t>CBDL10002</t>
  </si>
  <si>
    <t>86 Wern Road Ystalyfera</t>
  </si>
  <si>
    <t>SA9 2LY</t>
  </si>
  <si>
    <t>CBDU10319</t>
  </si>
  <si>
    <t>3 Waldsassen Road Pencoed</t>
  </si>
  <si>
    <t>CF35 5LW</t>
  </si>
  <si>
    <t>CBDU10324</t>
  </si>
  <si>
    <t xml:space="preserve">97 Rhuddlan Road </t>
  </si>
  <si>
    <t>LL18 2RE</t>
  </si>
  <si>
    <t>CBDU10326</t>
  </si>
  <si>
    <t>2 Ty Coed Hafod Court Road</t>
  </si>
  <si>
    <t>NP44 5TT</t>
  </si>
  <si>
    <t>CBDU10327</t>
  </si>
  <si>
    <t xml:space="preserve">438 Caerleon Road </t>
  </si>
  <si>
    <t>CBDU10332</t>
  </si>
  <si>
    <t>Elfre Tanlan</t>
  </si>
  <si>
    <t>CH8 9JY</t>
  </si>
  <si>
    <t>CBDL10086</t>
  </si>
  <si>
    <t>75 Moorland Crescent Beddau</t>
  </si>
  <si>
    <t>CF38 2DW</t>
  </si>
  <si>
    <t>CBDU10087</t>
  </si>
  <si>
    <t xml:space="preserve">27 Llanwonno Road </t>
  </si>
  <si>
    <t>CF39 0HU</t>
  </si>
  <si>
    <t>CBDL10089</t>
  </si>
  <si>
    <t>Dolberthog Beulah</t>
  </si>
  <si>
    <t>LD5 4YG</t>
  </si>
  <si>
    <t>CBDU10094</t>
  </si>
  <si>
    <t>Llysygof Llangwyryfon</t>
  </si>
  <si>
    <t>SY23 4HA</t>
  </si>
  <si>
    <t>CBDL10096</t>
  </si>
  <si>
    <t>8 High Street Blaendulais</t>
  </si>
  <si>
    <t>SA10 9DN</t>
  </si>
  <si>
    <t>CBDL10097</t>
  </si>
  <si>
    <t>The Old Post Office 35 Towy Terrace</t>
  </si>
  <si>
    <t>SA19 6ST</t>
  </si>
  <si>
    <t>CBDU10098</t>
  </si>
  <si>
    <t>14 Albion Place Mynydd Cynffig</t>
  </si>
  <si>
    <t>CF33 6NS</t>
  </si>
  <si>
    <t>CBDU10563</t>
  </si>
  <si>
    <t xml:space="preserve">16 Llwyd-y-Berth </t>
  </si>
  <si>
    <t>CF83 2QF</t>
  </si>
  <si>
    <t>CBDL10568</t>
  </si>
  <si>
    <t xml:space="preserve">21 Mansfield Street </t>
  </si>
  <si>
    <t>BS3 5PS</t>
  </si>
  <si>
    <t>CBDU10569</t>
  </si>
  <si>
    <t xml:space="preserve">17 Goat Street </t>
  </si>
  <si>
    <t>SA61 1PX</t>
  </si>
  <si>
    <t>CBDU10570</t>
  </si>
  <si>
    <t>177 Glebe Road Loughor</t>
  </si>
  <si>
    <t>SA4 6SJ</t>
  </si>
  <si>
    <t>CBDU10574</t>
  </si>
  <si>
    <t xml:space="preserve">10 St. Davids Place </t>
  </si>
  <si>
    <t>CF34 9LR</t>
  </si>
  <si>
    <t>CBDU10575</t>
  </si>
  <si>
    <t>Cefn Uchaf Farm Intervalley Road</t>
  </si>
  <si>
    <t>SA11 5TY</t>
  </si>
  <si>
    <t>CBDU10922</t>
  </si>
  <si>
    <t>15 Cae Cadno Church Village</t>
  </si>
  <si>
    <t>CF38 1UL</t>
  </si>
  <si>
    <t>CBDU10924</t>
  </si>
  <si>
    <t xml:space="preserve">28 Cliff Street </t>
  </si>
  <si>
    <t>WF2 0DW</t>
  </si>
  <si>
    <t>CBDU10925</t>
  </si>
  <si>
    <t>22 Crugyn Dimai Rhydyfelin</t>
  </si>
  <si>
    <t>SY23 4PR</t>
  </si>
  <si>
    <t>CBDU10927</t>
  </si>
  <si>
    <t>2 Y Gilfach Ystalyfera</t>
  </si>
  <si>
    <t>CBDU10929</t>
  </si>
  <si>
    <t xml:space="preserve">6 Broad Street </t>
  </si>
  <si>
    <t>SA20 0AR</t>
  </si>
  <si>
    <t>CBDL10932</t>
  </si>
  <si>
    <t>3 Erwlas Parcllyn</t>
  </si>
  <si>
    <t>SA43 2DQ</t>
  </si>
  <si>
    <t>CBDU11179</t>
  </si>
  <si>
    <t>The Rowans Middle Flat</t>
  </si>
  <si>
    <t>Wellwood Drive</t>
  </si>
  <si>
    <t>CF644TN</t>
  </si>
  <si>
    <t>CBDU11182</t>
  </si>
  <si>
    <t>4 Spionkop Road Ynystawe</t>
  </si>
  <si>
    <t>SA6 5AN</t>
  </si>
  <si>
    <t>CBDU11184</t>
  </si>
  <si>
    <t>Seaview Cottage Cefn Stylle Road</t>
  </si>
  <si>
    <t>CBDU11187</t>
  </si>
  <si>
    <t>9 Gwerthonor Lane Gilfach</t>
  </si>
  <si>
    <t>CF81 8JT</t>
  </si>
  <si>
    <t>CBDU11189</t>
  </si>
  <si>
    <t>51 Cheriton Crescent Portmead</t>
  </si>
  <si>
    <t>SA5 5LA</t>
  </si>
  <si>
    <t>CBDL11190</t>
  </si>
  <si>
    <t>19 Dan Y Bryn Pembrey</t>
  </si>
  <si>
    <t>SA16 0UU</t>
  </si>
  <si>
    <t>CBDU11195</t>
  </si>
  <si>
    <t>Dol Dinerth Dinerth Hall Road</t>
  </si>
  <si>
    <t>LL28 4PX</t>
  </si>
  <si>
    <t>CBDL11999</t>
  </si>
  <si>
    <t xml:space="preserve">1 Teifi Place </t>
  </si>
  <si>
    <t>CF5 4GT</t>
  </si>
  <si>
    <t>CBDL12000</t>
  </si>
  <si>
    <t>Llyn Dwr Dolfor</t>
  </si>
  <si>
    <t>SY16 4BP</t>
  </si>
  <si>
    <t>CBDU12001</t>
  </si>
  <si>
    <t>19 Gleneagles Close Hubberston</t>
  </si>
  <si>
    <t>SA73 3SG</t>
  </si>
  <si>
    <t>CBDU12002</t>
  </si>
  <si>
    <t>Harela Tynygongl Farm</t>
  </si>
  <si>
    <t>LL74 8SG</t>
  </si>
  <si>
    <t>CBDL12006</t>
  </si>
  <si>
    <t xml:space="preserve">216 Corporation Road </t>
  </si>
  <si>
    <t>CBDU12009</t>
  </si>
  <si>
    <t xml:space="preserve">60 Draycott Road </t>
  </si>
  <si>
    <t>BH10 5AR</t>
  </si>
  <si>
    <t>CBDU12010</t>
  </si>
  <si>
    <t xml:space="preserve">1 Tennyson Close </t>
  </si>
  <si>
    <t>CF37 5EP</t>
  </si>
  <si>
    <t>CBDL11447</t>
  </si>
  <si>
    <t>Old Tether Barn Penygroes</t>
  </si>
  <si>
    <t>SA41 3SQ</t>
  </si>
  <si>
    <t>CBDU11451</t>
  </si>
  <si>
    <t>Unit 20.8 Trostre Industrial Park</t>
  </si>
  <si>
    <t>CBDU11452</t>
  </si>
  <si>
    <t>CBDL11455</t>
  </si>
  <si>
    <t xml:space="preserve">37 Bryn Road </t>
  </si>
  <si>
    <t>SA15 2LN</t>
  </si>
  <si>
    <t>CBDL11456</t>
  </si>
  <si>
    <t xml:space="preserve">11 Heol Dafydd </t>
  </si>
  <si>
    <t>LL12 8JJ</t>
  </si>
  <si>
    <t>CBDU11460</t>
  </si>
  <si>
    <t>73 Maesceinion Waunfawr</t>
  </si>
  <si>
    <t>SY23 3QQ</t>
  </si>
  <si>
    <t>CBDU11461</t>
  </si>
  <si>
    <t>48 Refail Farm Estate Four Mile Bridge</t>
  </si>
  <si>
    <t>LL65 2EX</t>
  </si>
  <si>
    <t>CBDL11462</t>
  </si>
  <si>
    <t>Bryn Hir Home Farm Llwynygroes</t>
  </si>
  <si>
    <t>SY25 6PY</t>
  </si>
  <si>
    <t>CBDL11463</t>
  </si>
  <si>
    <t>Penbwlch Mawr Llwynygroes</t>
  </si>
  <si>
    <t>SY25 6QE</t>
  </si>
  <si>
    <t>CBDL11465</t>
  </si>
  <si>
    <t>St. Agathas Esplanade</t>
  </si>
  <si>
    <t>CBDU11679</t>
  </si>
  <si>
    <t>3 Green Lane Waterston</t>
  </si>
  <si>
    <t>SA73 1DS</t>
  </si>
  <si>
    <t>CBDL11680</t>
  </si>
  <si>
    <t>Unit 305 Ystradgynlais Workshops</t>
  </si>
  <si>
    <t>CBDU11681</t>
  </si>
  <si>
    <t>Pantseiri Uchaf Glynarthen</t>
  </si>
  <si>
    <t>SA44 6PA</t>
  </si>
  <si>
    <t>CBDU11682</t>
  </si>
  <si>
    <t>Ty'r Waun Four Roads</t>
  </si>
  <si>
    <t>SA17 4SE</t>
  </si>
  <si>
    <t>CBDU11686</t>
  </si>
  <si>
    <t>3 High Street Abertridwr</t>
  </si>
  <si>
    <t>CF83 4DD</t>
  </si>
  <si>
    <t>CBDU11691</t>
  </si>
  <si>
    <t>62 Myrddin Road Bonymaen</t>
  </si>
  <si>
    <t>SA1 7HE</t>
  </si>
  <si>
    <t>CBDU12203</t>
  </si>
  <si>
    <t xml:space="preserve">28 Dynevor Avenue </t>
  </si>
  <si>
    <t>SA19 6EA</t>
  </si>
  <si>
    <t>CBDU12205</t>
  </si>
  <si>
    <t>Unit B2 the Old Power House Block B</t>
  </si>
  <si>
    <t>CBDU12209</t>
  </si>
  <si>
    <t>CBDU12421</t>
  </si>
  <si>
    <t>CBDL12422</t>
  </si>
  <si>
    <t>8 Dee Park Holt</t>
  </si>
  <si>
    <t>LL13 9YS</t>
  </si>
  <si>
    <t>CBDU12428</t>
  </si>
  <si>
    <t>Cherrel Cottage Bryn Yorkin Lane</t>
  </si>
  <si>
    <t>LL12 9HP</t>
  </si>
  <si>
    <t>CBDL12429</t>
  </si>
  <si>
    <t>SY23 5HA</t>
  </si>
  <si>
    <t>CBDL12433</t>
  </si>
  <si>
    <t>Maescoed Llandefalle</t>
  </si>
  <si>
    <t>LD3 0ND</t>
  </si>
  <si>
    <t>CBDL12765</t>
  </si>
  <si>
    <t>Pantyddeuddwr Pontardulais Road</t>
  </si>
  <si>
    <t>SA14 6NT</t>
  </si>
  <si>
    <t>CBDU12768</t>
  </si>
  <si>
    <t xml:space="preserve">37 Norfolk Road </t>
  </si>
  <si>
    <t>RM7 9DL</t>
  </si>
  <si>
    <t>CBDL12769</t>
  </si>
  <si>
    <t xml:space="preserve">8 Goleufryn </t>
  </si>
  <si>
    <t>CBDU12770</t>
  </si>
  <si>
    <t>CBDU12552</t>
  </si>
  <si>
    <t>JR Quarter Moy Road Industrial Estate</t>
  </si>
  <si>
    <t>CBDU12553</t>
  </si>
  <si>
    <t>16 Saddler Street Landore</t>
  </si>
  <si>
    <t>SA1 2PP</t>
  </si>
  <si>
    <t>CBDL12554</t>
  </si>
  <si>
    <t>CBDU12985</t>
  </si>
  <si>
    <t xml:space="preserve">57 South Street </t>
  </si>
  <si>
    <t>CF39 0EF</t>
  </si>
  <si>
    <t>CBDU12990</t>
  </si>
  <si>
    <t xml:space="preserve">27 Woodland Street </t>
  </si>
  <si>
    <t>NP44 3LP</t>
  </si>
  <si>
    <t>CBDU13357</t>
  </si>
  <si>
    <t xml:space="preserve">77 Cardiff Road </t>
  </si>
  <si>
    <t>CF63 2NW</t>
  </si>
  <si>
    <t>CBDL13360</t>
  </si>
  <si>
    <t>Nantgavenny Lane Mardy</t>
  </si>
  <si>
    <t>NP7 6LG</t>
  </si>
  <si>
    <t>CBDU13361</t>
  </si>
  <si>
    <t>Pantyffynon House Graig Fawr</t>
  </si>
  <si>
    <t>SA4 8QN</t>
  </si>
  <si>
    <t>CBDL13150</t>
  </si>
  <si>
    <t xml:space="preserve">18 Cavendish Street </t>
  </si>
  <si>
    <t>WR5 3DU</t>
  </si>
  <si>
    <t>CBDL13550</t>
  </si>
  <si>
    <t>16 Kimberley Terrace Llanishen</t>
  </si>
  <si>
    <t>CF14 5EA</t>
  </si>
  <si>
    <t>CBDU13551</t>
  </si>
  <si>
    <t>Ty Hen Rhostrehwfa</t>
  </si>
  <si>
    <t>LL77 7YP</t>
  </si>
  <si>
    <t>CBDU13552</t>
  </si>
  <si>
    <t>Unit 4 Tonypandy Enterprise Park</t>
  </si>
  <si>
    <t>CBDU13553</t>
  </si>
  <si>
    <t xml:space="preserve">4 Longacre Drive </t>
  </si>
  <si>
    <t>CH6 6DZ</t>
  </si>
  <si>
    <t>CBDU13560</t>
  </si>
  <si>
    <t xml:space="preserve">35 Oaklands </t>
  </si>
  <si>
    <t>LD2 3ET</t>
  </si>
  <si>
    <t>CBDL13564</t>
  </si>
  <si>
    <t xml:space="preserve">4 Trelawney Square </t>
  </si>
  <si>
    <t>CH6 5NN</t>
  </si>
  <si>
    <t>CBDL88</t>
  </si>
  <si>
    <t>17 trem y ffrid trem y ffridd</t>
  </si>
  <si>
    <t>CBDL97</t>
  </si>
  <si>
    <t>The Old Medical Hall Irfon Crescent</t>
  </si>
  <si>
    <t>LD5 4ST</t>
  </si>
  <si>
    <t>CBDL98</t>
  </si>
  <si>
    <t>CBDL99</t>
  </si>
  <si>
    <t>CBDL105</t>
  </si>
  <si>
    <t>Lancaster Square Conwy</t>
  </si>
  <si>
    <t>Conwy County Borough</t>
  </si>
  <si>
    <t>CBDL107</t>
  </si>
  <si>
    <t>113A St Martins Road</t>
  </si>
  <si>
    <t>CF83 1EH</t>
  </si>
  <si>
    <t>CBDL108</t>
  </si>
  <si>
    <t>98 Woodfield Street</t>
  </si>
  <si>
    <t>SA6 8AS</t>
  </si>
  <si>
    <t>CBDL350</t>
  </si>
  <si>
    <t>68 Stannes Road</t>
  </si>
  <si>
    <t>SA73 3PA</t>
  </si>
  <si>
    <t>CBDL594</t>
  </si>
  <si>
    <t>147 Clifton Street</t>
  </si>
  <si>
    <t>CF24 1LZ</t>
  </si>
  <si>
    <t>CBDL596</t>
  </si>
  <si>
    <t>33 Ffordd Spoonley</t>
  </si>
  <si>
    <t>SY22 6FB</t>
  </si>
  <si>
    <t>CBDL598</t>
  </si>
  <si>
    <t>Maes yr Afon Caravan Park</t>
  </si>
  <si>
    <t>SY21 8BQ</t>
  </si>
  <si>
    <t>CBDL600</t>
  </si>
  <si>
    <t>Unit 11A Pembrey Industrial Estate</t>
  </si>
  <si>
    <t>SA16 0HZ</t>
  </si>
  <si>
    <t>CBDL601</t>
  </si>
  <si>
    <t>127 Woodfield Street</t>
  </si>
  <si>
    <t>SA6 8AL</t>
  </si>
  <si>
    <t>CBDL602</t>
  </si>
  <si>
    <t>Caermarchog Llanigon</t>
  </si>
  <si>
    <t>HR3 5RJ</t>
  </si>
  <si>
    <t>CBDL603</t>
  </si>
  <si>
    <t>The Gaer Golfa</t>
  </si>
  <si>
    <t>SY21 9BD</t>
  </si>
  <si>
    <t>CBDL606</t>
  </si>
  <si>
    <t>14 Trilwm</t>
  </si>
  <si>
    <t>SA17 4AW</t>
  </si>
  <si>
    <t>CBDL607</t>
  </si>
  <si>
    <t>728 Gower Road</t>
  </si>
  <si>
    <t>Upper Killay</t>
  </si>
  <si>
    <t>SA2 7HQ</t>
  </si>
  <si>
    <t>CBDL608</t>
  </si>
  <si>
    <t>19 Ddole Enterprise Park</t>
  </si>
  <si>
    <t>CBDL1036</t>
  </si>
  <si>
    <t>35  broad st</t>
  </si>
  <si>
    <t>cf62 7ad</t>
  </si>
  <si>
    <t>CBDL1039</t>
  </si>
  <si>
    <t>Tir Uchaf Cottage Derwen Road</t>
  </si>
  <si>
    <t>SA8 3AU</t>
  </si>
  <si>
    <t>CBDL1040</t>
  </si>
  <si>
    <t>Pencwm Capel Seion</t>
  </si>
  <si>
    <t>SY23 4EE</t>
  </si>
  <si>
    <t>CBDL1041</t>
  </si>
  <si>
    <t>CBDL1045</t>
  </si>
  <si>
    <t>6 Gilfach Penywern</t>
  </si>
  <si>
    <t>Ystalyfern</t>
  </si>
  <si>
    <t>CBDL1046</t>
  </si>
  <si>
    <t>10 Caelynch</t>
  </si>
  <si>
    <t>SA10 6DJ</t>
  </si>
  <si>
    <t>CBDL1047</t>
  </si>
  <si>
    <t>12 Sidney Webb Close</t>
  </si>
  <si>
    <t>SA73 1UB</t>
  </si>
  <si>
    <t>CBDL1282</t>
  </si>
  <si>
    <t>Bodhyfryd Llandyrnog</t>
  </si>
  <si>
    <t>LL16 4LG</t>
  </si>
  <si>
    <t>CBDL1283</t>
  </si>
  <si>
    <t>65 Henllan Street</t>
  </si>
  <si>
    <t>LL16 3PF</t>
  </si>
  <si>
    <t>CBDL1285</t>
  </si>
  <si>
    <t>82 Station Road</t>
  </si>
  <si>
    <t>SA7 9HE</t>
  </si>
  <si>
    <t>CBDL1286</t>
  </si>
  <si>
    <t>15 Glan Road</t>
  </si>
  <si>
    <t>ll285dg</t>
  </si>
  <si>
    <t>CBDL1289</t>
  </si>
  <si>
    <t>Gelli Aur Pant y Crug</t>
  </si>
  <si>
    <t>CBDL1290</t>
  </si>
  <si>
    <t>CBDL1291</t>
  </si>
  <si>
    <t>104 Borough Road</t>
  </si>
  <si>
    <t>CBDL1518</t>
  </si>
  <si>
    <t>26 Colomendy Ind. Est</t>
  </si>
  <si>
    <t>CBDL1519</t>
  </si>
  <si>
    <t>The Rectory Llanllyfni</t>
  </si>
  <si>
    <t>LL54 6DF</t>
  </si>
  <si>
    <t>CBDL1521</t>
  </si>
  <si>
    <t>2 Y Crofft Treffynnon</t>
  </si>
  <si>
    <t>SA62 5LB</t>
  </si>
  <si>
    <t>CBDL1522</t>
  </si>
  <si>
    <t xml:space="preserve">Norberry House  Colomendy Industrial Estate </t>
  </si>
  <si>
    <t xml:space="preserve">Denbigh </t>
  </si>
  <si>
    <t>CBDL1523</t>
  </si>
  <si>
    <t>42 Buxton Court</t>
  </si>
  <si>
    <t>CF83 1RG</t>
  </si>
  <si>
    <t>CBDL1527</t>
  </si>
  <si>
    <t>24  Celtic Close</t>
  </si>
  <si>
    <t>NP26 3PB</t>
  </si>
  <si>
    <t>CBDL1531</t>
  </si>
  <si>
    <t>83 Crwys Road</t>
  </si>
  <si>
    <t>CF24 4NF</t>
  </si>
  <si>
    <t>CBDU1741</t>
  </si>
  <si>
    <t>59 Caeconna Road Portmead</t>
  </si>
  <si>
    <t>SA5 5HY</t>
  </si>
  <si>
    <t>CBDL1990</t>
  </si>
  <si>
    <t>13 Pen Y Fan Close Libanus</t>
  </si>
  <si>
    <t>LD3 8EJ</t>
  </si>
  <si>
    <t>CBDL2391</t>
  </si>
  <si>
    <t>21 Raglan Road Sketty</t>
  </si>
  <si>
    <t>CBDL2635</t>
  </si>
  <si>
    <t xml:space="preserve">113A Silver Birch Close </t>
  </si>
  <si>
    <t>CF14 1EP</t>
  </si>
  <si>
    <t>CBDL2636</t>
  </si>
  <si>
    <t>28 Bank Street Golborne</t>
  </si>
  <si>
    <t>WA3 3SA</t>
  </si>
  <si>
    <t>CBDL3068</t>
  </si>
  <si>
    <t>Priory Mill Hay Road</t>
  </si>
  <si>
    <t>LD3 7SR</t>
  </si>
  <si>
    <t>CBDL3071</t>
  </si>
  <si>
    <t>123 Albion Road Baglan</t>
  </si>
  <si>
    <t>CBDL3072</t>
  </si>
  <si>
    <t>29 Heol Y Coed Rhiwbina</t>
  </si>
  <si>
    <t>CF14 6HQ</t>
  </si>
  <si>
    <t>CBDL3077</t>
  </si>
  <si>
    <t xml:space="preserve">Blaenbwlan </t>
  </si>
  <si>
    <t>SA37 0JZ</t>
  </si>
  <si>
    <t>CBDL2850</t>
  </si>
  <si>
    <t>Brynant Cottage Soar</t>
  </si>
  <si>
    <t>LD3 9LT</t>
  </si>
  <si>
    <t>CBDL3301</t>
  </si>
  <si>
    <t>131 Saunders Way Sketty</t>
  </si>
  <si>
    <t>SA2 8BJ</t>
  </si>
  <si>
    <t>CBDL3302</t>
  </si>
  <si>
    <t>22 Trannon Court Thornhill</t>
  </si>
  <si>
    <t>NP44 5US</t>
  </si>
  <si>
    <t>CBDL3310</t>
  </si>
  <si>
    <t>17 Foxholes Close Deanshanger</t>
  </si>
  <si>
    <t>MK19 6HA</t>
  </si>
  <si>
    <t>CBDL3577</t>
  </si>
  <si>
    <t xml:space="preserve">73 Pottery Street </t>
  </si>
  <si>
    <t>CBDL3581</t>
  </si>
  <si>
    <t>THE SCRAPYARD GARTH LANE</t>
  </si>
  <si>
    <t>KNIGHTON</t>
  </si>
  <si>
    <t>CBDL3587</t>
  </si>
  <si>
    <t>5 Crows Nest Farm Sychnant Pass Road</t>
  </si>
  <si>
    <t>LL32 8AZ</t>
  </si>
  <si>
    <t>CBDL3811</t>
  </si>
  <si>
    <t>Unit 9 Phoenix Workshops</t>
  </si>
  <si>
    <t>CBDL4035</t>
  </si>
  <si>
    <t>Trewyn Rockwood Road</t>
  </si>
  <si>
    <t>NP16 5DT</t>
  </si>
  <si>
    <t>CBDL4039</t>
  </si>
  <si>
    <t>Unit 7 Two Mile Industrial Estate</t>
  </si>
  <si>
    <t>Quarry Road</t>
  </si>
  <si>
    <t>LL11 6AB</t>
  </si>
  <si>
    <t>CBDL4304</t>
  </si>
  <si>
    <t>CBDL4308</t>
  </si>
  <si>
    <t xml:space="preserve">156-162 Edleston Road </t>
  </si>
  <si>
    <t>CW2 7EZ</t>
  </si>
  <si>
    <t>CBDL4551</t>
  </si>
  <si>
    <t xml:space="preserve">14 Bryn Heulog </t>
  </si>
  <si>
    <t>LL36 9DY</t>
  </si>
  <si>
    <t>CBDL4068</t>
  </si>
  <si>
    <t>Raynes Park Railway Station Station Approach</t>
  </si>
  <si>
    <t>SW20 0JY</t>
  </si>
  <si>
    <t>CBDL4717</t>
  </si>
  <si>
    <t xml:space="preserve"> Kopernika 1</t>
  </si>
  <si>
    <t>63-820 Piaski</t>
  </si>
  <si>
    <t>PL</t>
  </si>
  <si>
    <t>CBDL4720</t>
  </si>
  <si>
    <t>1 Rhandir Bach Llangadfan</t>
  </si>
  <si>
    <t>CBDL4721</t>
  </si>
  <si>
    <t xml:space="preserve">74 Park Road </t>
  </si>
  <si>
    <t>LL29 7UL</t>
  </si>
  <si>
    <t>CBDL4725</t>
  </si>
  <si>
    <t>CBDU5476</t>
  </si>
  <si>
    <t xml:space="preserve">23 Whitegate Road </t>
  </si>
  <si>
    <t>LL13 8RB</t>
  </si>
  <si>
    <t>CBDU5478</t>
  </si>
  <si>
    <t>36 Jubilee Crescent Sarn</t>
  </si>
  <si>
    <t>CF32 9SR</t>
  </si>
  <si>
    <t>CBDL5479</t>
  </si>
  <si>
    <t xml:space="preserve">45 Shakespeare Drive </t>
  </si>
  <si>
    <t>CV11 6NW</t>
  </si>
  <si>
    <t>CBDU5482</t>
  </si>
  <si>
    <t xml:space="preserve">24 St. Davids Way </t>
  </si>
  <si>
    <t>CBDU5484</t>
  </si>
  <si>
    <t xml:space="preserve">34 Harrier Road </t>
  </si>
  <si>
    <t>SA61 2TU</t>
  </si>
  <si>
    <t>CBDL5485</t>
  </si>
  <si>
    <t>14 Hurford Street Maes-y-Coed</t>
  </si>
  <si>
    <t>CF37 1EW</t>
  </si>
  <si>
    <t>CBDU5487</t>
  </si>
  <si>
    <t xml:space="preserve">86 Llangewydd Road </t>
  </si>
  <si>
    <t>CF31 4JX</t>
  </si>
  <si>
    <t>CBDU5488</t>
  </si>
  <si>
    <t>Ty Mawr Llanrhychwyn</t>
  </si>
  <si>
    <t>LL27 0YJ</t>
  </si>
  <si>
    <t>CBDU5489</t>
  </si>
  <si>
    <t xml:space="preserve">38 Craddock Street </t>
  </si>
  <si>
    <t>CF11 6EU</t>
  </si>
  <si>
    <t>CBDU5495</t>
  </si>
  <si>
    <t>1 Brynheulog Brynna</t>
  </si>
  <si>
    <t>CF72 9QS</t>
  </si>
  <si>
    <t>CBDL5727</t>
  </si>
  <si>
    <t>1 Hendre Brynach Llanddew</t>
  </si>
  <si>
    <t>LD3 0TS</t>
  </si>
  <si>
    <t>CBDU5728</t>
  </si>
  <si>
    <t>14 Heol Illtyd Llantrisant</t>
  </si>
  <si>
    <t>CF72 8DE</t>
  </si>
  <si>
    <t>CBDU5737</t>
  </si>
  <si>
    <t>27 Heol Pentregwenlais Llandebie</t>
  </si>
  <si>
    <t>SA18 3JQ</t>
  </si>
  <si>
    <t>CBDU5738</t>
  </si>
  <si>
    <t>52 King George Street Shotton</t>
  </si>
  <si>
    <t>CH5 1DZ</t>
  </si>
  <si>
    <t>CBDU6232</t>
  </si>
  <si>
    <t>6 Harford Gardens</t>
  </si>
  <si>
    <t>Blaenaugwent</t>
  </si>
  <si>
    <t>NP22 4QX</t>
  </si>
  <si>
    <t>CBDU6239</t>
  </si>
  <si>
    <t>3 Ton-y-Groes Pen-Coed</t>
  </si>
  <si>
    <t>CF35 5PL</t>
  </si>
  <si>
    <t>CBDU6245</t>
  </si>
  <si>
    <t>Ynysnedd Farm New Road</t>
  </si>
  <si>
    <t>Clyne</t>
  </si>
  <si>
    <t>SA11 4ET</t>
  </si>
  <si>
    <t>CBDU5983</t>
  </si>
  <si>
    <t xml:space="preserve">72 Pine Grove </t>
  </si>
  <si>
    <t>SA11 3RG</t>
  </si>
  <si>
    <t>CBDU5984</t>
  </si>
  <si>
    <t>11 Fir Tree Lane Hetton-le-Hole</t>
  </si>
  <si>
    <t>DH5 0GA</t>
  </si>
  <si>
    <t>CBDL5985</t>
  </si>
  <si>
    <t>Brynygroes Farm Ystradgynlais</t>
  </si>
  <si>
    <t>SA9 1LF</t>
  </si>
  <si>
    <t>CBDL5986</t>
  </si>
  <si>
    <t>26 Milano Rise Darfield</t>
  </si>
  <si>
    <t>S73 9PH</t>
  </si>
  <si>
    <t>CBDL5991</t>
  </si>
  <si>
    <t xml:space="preserve">3 The Green </t>
  </si>
  <si>
    <t>SA70 8EY</t>
  </si>
  <si>
    <t>CBDL5995</t>
  </si>
  <si>
    <t>Deunant Mynydd Lane</t>
  </si>
  <si>
    <t>LL28 5YW</t>
  </si>
  <si>
    <t>CBDU5996</t>
  </si>
  <si>
    <t>Greenacres Dinas Cross</t>
  </si>
  <si>
    <t>SA42 0XY</t>
  </si>
  <si>
    <t>CBDU5998</t>
  </si>
  <si>
    <t xml:space="preserve">7 Glenview Avenue </t>
  </si>
  <si>
    <t>SA72 6EJ</t>
  </si>
  <si>
    <t>CBDL6790</t>
  </si>
  <si>
    <t xml:space="preserve">33 Lady Lane </t>
  </si>
  <si>
    <t>CM2 0TG</t>
  </si>
  <si>
    <t>CBDU6792</t>
  </si>
  <si>
    <t>129 Brecon Road Ystradgynlais</t>
  </si>
  <si>
    <t>SA9 1QL</t>
  </si>
  <si>
    <t>CBDU6793</t>
  </si>
  <si>
    <t xml:space="preserve">13 Craig-y-Dorth View </t>
  </si>
  <si>
    <t>NP25 5FH</t>
  </si>
  <si>
    <t>CBDL6795</t>
  </si>
  <si>
    <t>11 Maes Road Llangennech</t>
  </si>
  <si>
    <t>SA14 8UH</t>
  </si>
  <si>
    <t>CBDL6799</t>
  </si>
  <si>
    <t>Penllyn Cwmavon</t>
  </si>
  <si>
    <t>SA12 9PY</t>
  </si>
  <si>
    <t>CBDU6801</t>
  </si>
  <si>
    <t xml:space="preserve">7 Pleasant View </t>
  </si>
  <si>
    <t>CF41 7PJ</t>
  </si>
  <si>
    <t>CBDU6802</t>
  </si>
  <si>
    <t>Brynawel Cwmann</t>
  </si>
  <si>
    <t>CBDL6546</t>
  </si>
  <si>
    <t xml:space="preserve">4 Grove Park </t>
  </si>
  <si>
    <t>LL29 7TU</t>
  </si>
  <si>
    <t>CBDL6548</t>
  </si>
  <si>
    <t>Penybank Cregina</t>
  </si>
  <si>
    <t>LD2 3YB</t>
  </si>
  <si>
    <t>CBDL6549</t>
  </si>
  <si>
    <t>LD8 2DU</t>
  </si>
  <si>
    <t>CBDU6554</t>
  </si>
  <si>
    <t>Mikela Bishpool Lane</t>
  </si>
  <si>
    <t>NP19 9EF</t>
  </si>
  <si>
    <t>CBDU6559</t>
  </si>
  <si>
    <t xml:space="preserve">16 Coed Y Dryw </t>
  </si>
  <si>
    <t>SA10 7PU</t>
  </si>
  <si>
    <t>CBDU7018</t>
  </si>
  <si>
    <t xml:space="preserve">15 Rhes Brickyard Row </t>
  </si>
  <si>
    <t>SA15 2DZ</t>
  </si>
  <si>
    <t>CBDU7023</t>
  </si>
  <si>
    <t>5 Hibiscus Court Llanilltud Faerdref</t>
  </si>
  <si>
    <t>CF38 2NQ</t>
  </si>
  <si>
    <t>CBDU7381</t>
  </si>
  <si>
    <t xml:space="preserve">34 Hendidley Way </t>
  </si>
  <si>
    <t>SY16 2AL</t>
  </si>
  <si>
    <t>CBDL7384</t>
  </si>
  <si>
    <t xml:space="preserve">246 New Road </t>
  </si>
  <si>
    <t>CBDU7385</t>
  </si>
  <si>
    <t>CBDL7389</t>
  </si>
  <si>
    <t>88 Ael-y-Bryn Road Fforestfach</t>
  </si>
  <si>
    <t>SA5 8JB</t>
  </si>
  <si>
    <t>CBDU7142</t>
  </si>
  <si>
    <t xml:space="preserve">7 Sitwell Grove </t>
  </si>
  <si>
    <t>YO26 5JG</t>
  </si>
  <si>
    <t>CBDL7144</t>
  </si>
  <si>
    <t>23 Gorof Road Cwm-Twrch Isaf</t>
  </si>
  <si>
    <t>SA9 1EH</t>
  </si>
  <si>
    <t>CBDU7145</t>
  </si>
  <si>
    <t>Preswylfa Ffordd Dewi Sant</t>
  </si>
  <si>
    <t>Nefyn</t>
  </si>
  <si>
    <t>CBDU7150</t>
  </si>
  <si>
    <t xml:space="preserve">15 Pen Yr Heol </t>
  </si>
  <si>
    <t>SA10 6YT</t>
  </si>
  <si>
    <t>CBDL7152</t>
  </si>
  <si>
    <t>33 Bryn Road Waunarlwydd</t>
  </si>
  <si>
    <t>SA5 4RA</t>
  </si>
  <si>
    <t>CBDU7629</t>
  </si>
  <si>
    <t>Oak Tree Cottage Allt-yr-Yn</t>
  </si>
  <si>
    <t>NP20 5EL</t>
  </si>
  <si>
    <t>CBDL7631</t>
  </si>
  <si>
    <t xml:space="preserve">2 Berriew Street </t>
  </si>
  <si>
    <t>CBDL7636</t>
  </si>
  <si>
    <t xml:space="preserve">12 The Friars </t>
  </si>
  <si>
    <t>Canterbury</t>
  </si>
  <si>
    <t>CT1 2AS</t>
  </si>
  <si>
    <t>CBDU7641</t>
  </si>
  <si>
    <t>Yr Hen Felin Llannefydd Road</t>
  </si>
  <si>
    <t>LL16 5BD</t>
  </si>
  <si>
    <t>CBDL8030</t>
  </si>
  <si>
    <t xml:space="preserve">12 Ffordd Wern </t>
  </si>
  <si>
    <t>LL55 2EA</t>
  </si>
  <si>
    <t>CBDL8033</t>
  </si>
  <si>
    <t>40 Blaen Y Maes Drive Blaenymaes</t>
  </si>
  <si>
    <t>SA5 5NT</t>
  </si>
  <si>
    <t>CBDU8035</t>
  </si>
  <si>
    <t>16 Coedcae Row Dowlais</t>
  </si>
  <si>
    <t>CF48 3PT</t>
  </si>
  <si>
    <t>CBDU8037</t>
  </si>
  <si>
    <t>1A Rosser Terrace Cil-Ffriw</t>
  </si>
  <si>
    <t>SA10 8LH</t>
  </si>
  <si>
    <t>CBDU8040</t>
  </si>
  <si>
    <t>Greenacres Llanfairtalhaiarn</t>
  </si>
  <si>
    <t>CBDL8042</t>
  </si>
  <si>
    <t>Tyn Y Coed Rhosygwalia</t>
  </si>
  <si>
    <t>CBDU8043</t>
  </si>
  <si>
    <t xml:space="preserve">18 Min Menai </t>
  </si>
  <si>
    <t>LL57 2LB</t>
  </si>
  <si>
    <t>CBDU7794</t>
  </si>
  <si>
    <t xml:space="preserve">11 Alton Street </t>
  </si>
  <si>
    <t>CA2 4DX</t>
  </si>
  <si>
    <t>CBDL7795</t>
  </si>
  <si>
    <t xml:space="preserve">4 Bron Y Dre </t>
  </si>
  <si>
    <t>SA43 1LD</t>
  </si>
  <si>
    <t>CBDU7800</t>
  </si>
  <si>
    <t>Fernbank The Rock</t>
  </si>
  <si>
    <t>NP12 0AB</t>
  </si>
  <si>
    <t>CBDU7803</t>
  </si>
  <si>
    <t>Plas Rhyd Llandegla</t>
  </si>
  <si>
    <t>LL11 3AU</t>
  </si>
  <si>
    <t>CBDU7804</t>
  </si>
  <si>
    <t>Harddfan Verwig Road</t>
  </si>
  <si>
    <t>SA43 1PJ</t>
  </si>
  <si>
    <t>CBDL7807</t>
  </si>
  <si>
    <t>89 Stryd Fawr Cefncoedycymer</t>
  </si>
  <si>
    <t>CF48 2PN</t>
  </si>
  <si>
    <t>CBDL8444</t>
  </si>
  <si>
    <t>Dolwen Penrhyncoch</t>
  </si>
  <si>
    <t>SY23 3EF</t>
  </si>
  <si>
    <t>CBDU8447</t>
  </si>
  <si>
    <t>35 Honiton Road Llanrumney</t>
  </si>
  <si>
    <t>CF3 5QJ</t>
  </si>
  <si>
    <t>CBDL8449</t>
  </si>
  <si>
    <t>8 Pentre Street Llay</t>
  </si>
  <si>
    <t>CBDU8450</t>
  </si>
  <si>
    <t>1 Heol Tir-y-Llan Aberbargoed</t>
  </si>
  <si>
    <t>CF81 9FJ</t>
  </si>
  <si>
    <t>CBDU8456</t>
  </si>
  <si>
    <t>1 Bryn Morfa Bodelwyddan</t>
  </si>
  <si>
    <t>LL18 5TP</t>
  </si>
  <si>
    <t>CBDL8697</t>
  </si>
  <si>
    <t xml:space="preserve">Woodbine </t>
  </si>
  <si>
    <t>SA63 4QS</t>
  </si>
  <si>
    <t>CBDU8698</t>
  </si>
  <si>
    <t>14 Coed-y-Gores Llanedeyrn</t>
  </si>
  <si>
    <t>CF23 9ND</t>
  </si>
  <si>
    <t>CBDL8699</t>
  </si>
  <si>
    <t>59-61 The Avenue Griffithstown</t>
  </si>
  <si>
    <t>NP4 5AE</t>
  </si>
  <si>
    <t>CBDU8700</t>
  </si>
  <si>
    <t>19 Tycoch Road Sketty</t>
  </si>
  <si>
    <t>SA2 9EE</t>
  </si>
  <si>
    <t>CBDL8701</t>
  </si>
  <si>
    <t>58 The Ridgeway Penarlag</t>
  </si>
  <si>
    <t>CH5 3ES</t>
  </si>
  <si>
    <t>CBDL8704</t>
  </si>
  <si>
    <t>151-153 High Street Easington Lane</t>
  </si>
  <si>
    <t>DH5 0JS</t>
  </si>
  <si>
    <t>CBDU8705</t>
  </si>
  <si>
    <t>Carregwen Granston</t>
  </si>
  <si>
    <t>Casmorys</t>
  </si>
  <si>
    <t>SA62 5UR</t>
  </si>
  <si>
    <t>CBDU8707</t>
  </si>
  <si>
    <t xml:space="preserve">1A Salop Place </t>
  </si>
  <si>
    <t>CF64 1HP</t>
  </si>
  <si>
    <t>CBDL9072</t>
  </si>
  <si>
    <t>11 Clos Ray Powell Pen-Coed</t>
  </si>
  <si>
    <t>CF35 5JA</t>
  </si>
  <si>
    <t>CBDU9073</t>
  </si>
  <si>
    <t>130B Dynevor Road Sgiwen</t>
  </si>
  <si>
    <t>SA10 6TH</t>
  </si>
  <si>
    <t>CBDU9086</t>
  </si>
  <si>
    <t>29 Claremont Avenue</t>
  </si>
  <si>
    <t>CF3 4LR</t>
  </si>
  <si>
    <t>CBDL9087</t>
  </si>
  <si>
    <t>Woodside Rudry Road</t>
  </si>
  <si>
    <t>CF14 0SN</t>
  </si>
  <si>
    <t>CBDU9333</t>
  </si>
  <si>
    <t>19 Cwmnantllwyd Road Gellinudd</t>
  </si>
  <si>
    <t>CBDU9335</t>
  </si>
  <si>
    <t xml:space="preserve">12 Heol Pen Y Coed </t>
  </si>
  <si>
    <t>SA11 3SP</t>
  </si>
  <si>
    <t>CBDL9337</t>
  </si>
  <si>
    <t>Baglan House Llandyfaelog</t>
  </si>
  <si>
    <t>SA17 5PW</t>
  </si>
  <si>
    <t>CBDL9338</t>
  </si>
  <si>
    <t xml:space="preserve">9 Wingfield Drive </t>
  </si>
  <si>
    <t>Ilkeston</t>
  </si>
  <si>
    <t>DE7 8UZ</t>
  </si>
  <si>
    <t>CBDL9339</t>
  </si>
  <si>
    <t>50 Moorland Green Gorseinon</t>
  </si>
  <si>
    <t>CBDU9341</t>
  </si>
  <si>
    <t>Blaenwaun Llangrannog</t>
  </si>
  <si>
    <t>SA44 6RP</t>
  </si>
  <si>
    <t>CBDU9345</t>
  </si>
  <si>
    <t>9 Deiniols Road Mancot</t>
  </si>
  <si>
    <t>CH5 2ER</t>
  </si>
  <si>
    <t>CBDU9768</t>
  </si>
  <si>
    <t xml:space="preserve">146 Nantgarw Road </t>
  </si>
  <si>
    <t>CF83 1AP</t>
  </si>
  <si>
    <t>CBDU9775</t>
  </si>
  <si>
    <t>Fawnog Farm Bersham</t>
  </si>
  <si>
    <t>LL14 4HR</t>
  </si>
  <si>
    <t>CBDU9777</t>
  </si>
  <si>
    <t xml:space="preserve">9 Arnold Street </t>
  </si>
  <si>
    <t>CF45 4LF</t>
  </si>
  <si>
    <t>CBDU9779</t>
  </si>
  <si>
    <t xml:space="preserve">71 Walsall Street </t>
  </si>
  <si>
    <t>CV4 8EZ</t>
  </si>
  <si>
    <t>CBDU9544</t>
  </si>
  <si>
    <t>CBDU9545</t>
  </si>
  <si>
    <t>Eastfield Lon Isaf</t>
  </si>
  <si>
    <t>Morfa Nefyn</t>
  </si>
  <si>
    <t>LL53 6BS</t>
  </si>
  <si>
    <t>CBDL9547</t>
  </si>
  <si>
    <t xml:space="preserve">9 Pendred Road </t>
  </si>
  <si>
    <t>RG2 8QL</t>
  </si>
  <si>
    <t>CBDL9549</t>
  </si>
  <si>
    <t>33 Kennington Road Fulwood</t>
  </si>
  <si>
    <t>PR2 8BT</t>
  </si>
  <si>
    <t>CBDL9551</t>
  </si>
  <si>
    <t xml:space="preserve">3 West View </t>
  </si>
  <si>
    <t>CH7 1DW</t>
  </si>
  <si>
    <t>CBDU9552</t>
  </si>
  <si>
    <t>41 Huntingdon Road Brampton</t>
  </si>
  <si>
    <t>Huntingdon</t>
  </si>
  <si>
    <t>PE28 4PB</t>
  </si>
  <si>
    <t>CBDU9559</t>
  </si>
  <si>
    <t xml:space="preserve">147 Ninian Park Road </t>
  </si>
  <si>
    <t>CF11 6HY</t>
  </si>
  <si>
    <t>CBDU10006</t>
  </si>
  <si>
    <t xml:space="preserve">217 Bedwas Road </t>
  </si>
  <si>
    <t>CF83 3AR</t>
  </si>
  <si>
    <t>CBDU10009</t>
  </si>
  <si>
    <t xml:space="preserve">3 Shakespeare Avenue </t>
  </si>
  <si>
    <t>CF64 2RU</t>
  </si>
  <si>
    <t>CBDU10019</t>
  </si>
  <si>
    <t>5 Pontyshute Morriston</t>
  </si>
  <si>
    <t>SA6 8NS</t>
  </si>
  <si>
    <t>CBDL10334</t>
  </si>
  <si>
    <t>Maes-y-Deri Farm Cross Inn</t>
  </si>
  <si>
    <t>Laugharne</t>
  </si>
  <si>
    <t>SA33 4QR</t>
  </si>
  <si>
    <t>CBDU10335</t>
  </si>
  <si>
    <t>SA70 7PE</t>
  </si>
  <si>
    <t>CBDU10337</t>
  </si>
  <si>
    <t>20 Parc Y Berllan Bronllys</t>
  </si>
  <si>
    <t>LD3 0LP</t>
  </si>
  <si>
    <t>CBDL10338</t>
  </si>
  <si>
    <t>Flat 7 Felindre</t>
  </si>
  <si>
    <t>LL15 1HL</t>
  </si>
  <si>
    <t>CBDU10339</t>
  </si>
  <si>
    <t xml:space="preserve">25 Maes Y Dail </t>
  </si>
  <si>
    <t>CBDL10343</t>
  </si>
  <si>
    <t xml:space="preserve">8 Pier Road </t>
  </si>
  <si>
    <t>Littlehampton</t>
  </si>
  <si>
    <t>BN17 5BA</t>
  </si>
  <si>
    <t>CBDL10345</t>
  </si>
  <si>
    <t xml:space="preserve">141A Old Nazeing Road </t>
  </si>
  <si>
    <t>Broxbourne</t>
  </si>
  <si>
    <t>EN10 6RF</t>
  </si>
  <si>
    <t>CBDU10348</t>
  </si>
  <si>
    <t>Graig Ddu Manod Road</t>
  </si>
  <si>
    <t>CBDL10103</t>
  </si>
  <si>
    <t>36 Ffordd Talfan Garden Village</t>
  </si>
  <si>
    <t>SA4 4HN</t>
  </si>
  <si>
    <t>CBDU10104</t>
  </si>
  <si>
    <t>Cae Rhos Farm Llanrug</t>
  </si>
  <si>
    <t>LL55 4RD</t>
  </si>
  <si>
    <t>CBDU10105</t>
  </si>
  <si>
    <t>22 Ynys Y Gwas Cwmavon</t>
  </si>
  <si>
    <t>SA12 9AB</t>
  </si>
  <si>
    <t>CBDL10108</t>
  </si>
  <si>
    <t>Little Oaks Martletwy</t>
  </si>
  <si>
    <t>SA67 8AD</t>
  </si>
  <si>
    <t>CBDU10111</t>
  </si>
  <si>
    <t xml:space="preserve">231 Maes-y-Felin </t>
  </si>
  <si>
    <t>CF31 1YY</t>
  </si>
  <si>
    <t>CBDU10113</t>
  </si>
  <si>
    <t>2 Heol Llansaint Llansaint</t>
  </si>
  <si>
    <t>SA17 5JD</t>
  </si>
  <si>
    <t>CBDU10114</t>
  </si>
  <si>
    <t xml:space="preserve">101 Victoria Road </t>
  </si>
  <si>
    <t>LL19 7SR</t>
  </si>
  <si>
    <t>CBDU10577</t>
  </si>
  <si>
    <t xml:space="preserve">4 Narrabeen Road </t>
  </si>
  <si>
    <t>CT19 4DD</t>
  </si>
  <si>
    <t>CBDU10579</t>
  </si>
  <si>
    <t xml:space="preserve">25 Goya Place </t>
  </si>
  <si>
    <t>SA12 6RB</t>
  </si>
  <si>
    <t>CBDU10580</t>
  </si>
  <si>
    <t>2 Bryn Tyrion Bodffordd</t>
  </si>
  <si>
    <t>LL77 7LQ</t>
  </si>
  <si>
    <t>CBDU10587</t>
  </si>
  <si>
    <t>CBDU10933</t>
  </si>
  <si>
    <t>44 Windermere Road Morriston</t>
  </si>
  <si>
    <t>SA6 7QE</t>
  </si>
  <si>
    <t>CBDU10934</t>
  </si>
  <si>
    <t>4 Plas Newydd Grovesend</t>
  </si>
  <si>
    <t>SA4 4WN</t>
  </si>
  <si>
    <t>CBDU10935</t>
  </si>
  <si>
    <t xml:space="preserve">13 Marlpit Lane </t>
  </si>
  <si>
    <t>CF36 5EG</t>
  </si>
  <si>
    <t>CBDL10936</t>
  </si>
  <si>
    <t>Gwenallt Llansadwrn</t>
  </si>
  <si>
    <t>LL59 5SL</t>
  </si>
  <si>
    <t>CBDU10940</t>
  </si>
  <si>
    <t>55 Goronwy Road Cockett</t>
  </si>
  <si>
    <t>CBDU10945</t>
  </si>
  <si>
    <t>Rhiw Saithbren Brechfa</t>
  </si>
  <si>
    <t>SA32 7BP</t>
  </si>
  <si>
    <t>CBDL10946</t>
  </si>
  <si>
    <t>Y Berllan Vicarage Road</t>
  </si>
  <si>
    <t>CH7 5HL</t>
  </si>
  <si>
    <t>CBDU10947</t>
  </si>
  <si>
    <t xml:space="preserve">6 Ffordd Yr Afon </t>
  </si>
  <si>
    <t>CF31 4UB</t>
  </si>
  <si>
    <t>CBDU10949</t>
  </si>
  <si>
    <t xml:space="preserve">Penrallt </t>
  </si>
  <si>
    <t>LL74 8SY</t>
  </si>
  <si>
    <t>CBDU10953</t>
  </si>
  <si>
    <t>79 Main Road Maesycwmmer</t>
  </si>
  <si>
    <t>CF82 7PP</t>
  </si>
  <si>
    <t>CBDU10954</t>
  </si>
  <si>
    <t>109 Manor Way Risca</t>
  </si>
  <si>
    <t>NP11 6AH</t>
  </si>
  <si>
    <t>CBDL10686</t>
  </si>
  <si>
    <t>Heol-y-Sarn Llantrisant</t>
  </si>
  <si>
    <t>CF72 8DA</t>
  </si>
  <si>
    <t>CBDL10687</t>
  </si>
  <si>
    <t xml:space="preserve">85 High Street </t>
  </si>
  <si>
    <t>CF62 7DX</t>
  </si>
  <si>
    <t>CBDU10693</t>
  </si>
  <si>
    <t xml:space="preserve">9 Rockfield Avenue </t>
  </si>
  <si>
    <t>NP25 5BB</t>
  </si>
  <si>
    <t>CBDU10695</t>
  </si>
  <si>
    <t>2 Dolafon Cwm-y-Glo</t>
  </si>
  <si>
    <t>LL55 4DB</t>
  </si>
  <si>
    <t>CBDU10697</t>
  </si>
  <si>
    <t>Tyn Y Gareg Seven Sisters</t>
  </si>
  <si>
    <t>CBDL10700</t>
  </si>
  <si>
    <t xml:space="preserve">15 Lindsey Way </t>
  </si>
  <si>
    <t>IP14 2PD</t>
  </si>
  <si>
    <t>CBDU10701</t>
  </si>
  <si>
    <t>Caer Llwyn Bungalow Crabtree Walk</t>
  </si>
  <si>
    <t>CF48 2EY</t>
  </si>
  <si>
    <t>CBDL11196</t>
  </si>
  <si>
    <t>4 Alabaster Close Hadleigh</t>
  </si>
  <si>
    <t>IP7 5SW</t>
  </si>
  <si>
    <t>CBDL11199</t>
  </si>
  <si>
    <t>The Old Coach House Tibberton</t>
  </si>
  <si>
    <t>GL2 8DZ</t>
  </si>
  <si>
    <t>CBDU11200</t>
  </si>
  <si>
    <t xml:space="preserve">194 Gladstone Road </t>
  </si>
  <si>
    <t>CBDU11203</t>
  </si>
  <si>
    <t>1 Blodwen Terrace Penclawdd</t>
  </si>
  <si>
    <t>SA4 3XU</t>
  </si>
  <si>
    <t>CBDL11204</t>
  </si>
  <si>
    <t>77 Hill View Road Llanrhos</t>
  </si>
  <si>
    <t>LL30 1SL</t>
  </si>
  <si>
    <t>CBDL11207</t>
  </si>
  <si>
    <t>Longbarn Llansteffan Road</t>
  </si>
  <si>
    <t>SA31 3QU</t>
  </si>
  <si>
    <t>CBDL11208</t>
  </si>
  <si>
    <t>CBDU11212</t>
  </si>
  <si>
    <t>Ty Capel Jerusalem Mynydd Mechell</t>
  </si>
  <si>
    <t>LL68 0TG</t>
  </si>
  <si>
    <t>CBDU12012</t>
  </si>
  <si>
    <t>16 James Street Hakin</t>
  </si>
  <si>
    <t>SA73 3ND</t>
  </si>
  <si>
    <t>CBDL12013</t>
  </si>
  <si>
    <t xml:space="preserve">60 Campbell Drive </t>
  </si>
  <si>
    <t>CF11 7TQ</t>
  </si>
  <si>
    <t>CBDU12016</t>
  </si>
  <si>
    <t>Hendre Fawr Rhuallt</t>
  </si>
  <si>
    <t>LL17 0TY</t>
  </si>
  <si>
    <t>CBDL12025</t>
  </si>
  <si>
    <t xml:space="preserve">8 Brynglas </t>
  </si>
  <si>
    <t>SY21 7TL</t>
  </si>
  <si>
    <t>CBDL11467</t>
  </si>
  <si>
    <t>8 Cefn Elan Llanrug</t>
  </si>
  <si>
    <t>CBDU11470</t>
  </si>
  <si>
    <t xml:space="preserve">109 Rhes Brickyard Row </t>
  </si>
  <si>
    <t>CBDU11471</t>
  </si>
  <si>
    <t>3 Glan Dwr Lon Capel</t>
  </si>
  <si>
    <t>LL61 6RW</t>
  </si>
  <si>
    <t>CBDU11479</t>
  </si>
  <si>
    <t>Dolfach Henllan Amgoed</t>
  </si>
  <si>
    <t>SA34 0SL</t>
  </si>
  <si>
    <t>CBDL11480</t>
  </si>
  <si>
    <t>Woodland farm Holt road</t>
  </si>
  <si>
    <t>Hoe</t>
  </si>
  <si>
    <t xml:space="preserve">Dereham </t>
  </si>
  <si>
    <t>Nr204bh</t>
  </si>
  <si>
    <t>CBDU11481</t>
  </si>
  <si>
    <t xml:space="preserve">73 Parkfields Road </t>
  </si>
  <si>
    <t>CF31 4BJ</t>
  </si>
  <si>
    <t>CBDL11485</t>
  </si>
  <si>
    <t xml:space="preserve">Libeneth Road </t>
  </si>
  <si>
    <t>NP19 9AP</t>
  </si>
  <si>
    <t>CBDL11487</t>
  </si>
  <si>
    <t>3 Rectory Close Ousden</t>
  </si>
  <si>
    <t>CB8 8UD</t>
  </si>
  <si>
    <t>CBDU11693</t>
  </si>
  <si>
    <t>Rhasfach Heol Mansant</t>
  </si>
  <si>
    <t>Pontyates</t>
  </si>
  <si>
    <t>SA15 5SB</t>
  </si>
  <si>
    <t>CBDU11695</t>
  </si>
  <si>
    <t>Caeffwrn Yard Carmel</t>
  </si>
  <si>
    <t>SA14 7TL</t>
  </si>
  <si>
    <t>CBDU11696</t>
  </si>
  <si>
    <t>33 Fron Wen Fairview</t>
  </si>
  <si>
    <t>NP12 3PB</t>
  </si>
  <si>
    <t>CBDU11698</t>
  </si>
  <si>
    <t>39 Beaufort Street Brynmawr</t>
  </si>
  <si>
    <t>NP23 4AQ</t>
  </si>
  <si>
    <t>CBDU11699</t>
  </si>
  <si>
    <t>(Owen) Brynffynnon</t>
  </si>
  <si>
    <t>Treffgarne</t>
  </si>
  <si>
    <t>SA62 5LR</t>
  </si>
  <si>
    <t>CBDU11700</t>
  </si>
  <si>
    <t>Teilia Farm Ffordd Teilia</t>
  </si>
  <si>
    <t>Gwaenysgor</t>
  </si>
  <si>
    <t>LL18 6EQ</t>
  </si>
  <si>
    <t>CBDU11704</t>
  </si>
  <si>
    <t xml:space="preserve">162 Glynbridge Gardens </t>
  </si>
  <si>
    <t>CF31 1LW</t>
  </si>
  <si>
    <t>CBDU11707</t>
  </si>
  <si>
    <t>116 VALE ROAD</t>
  </si>
  <si>
    <t>LL182PD</t>
  </si>
  <si>
    <t>CBDU11708</t>
  </si>
  <si>
    <t>83 Llwynmawr Close Sketty</t>
  </si>
  <si>
    <t>SA2 9HD</t>
  </si>
  <si>
    <t>CBDL12216</t>
  </si>
  <si>
    <t>Llwynonn Maesquarre Road</t>
  </si>
  <si>
    <t>SA18 2LF</t>
  </si>
  <si>
    <t>CBDL12217</t>
  </si>
  <si>
    <t>3 The Marino Cotmaton Road</t>
  </si>
  <si>
    <t>Sidmouth</t>
  </si>
  <si>
    <t>EX10 8SN</t>
  </si>
  <si>
    <t>CBDU12218</t>
  </si>
  <si>
    <t>Crud Yr Awel Glanamman</t>
  </si>
  <si>
    <t>SA18 1AQ</t>
  </si>
  <si>
    <t>CBDU12219</t>
  </si>
  <si>
    <t xml:space="preserve">35 Caradog Street </t>
  </si>
  <si>
    <t>SA13 1UF</t>
  </si>
  <si>
    <t>CBDU12438</t>
  </si>
  <si>
    <t>148 Heol Y Gors Cwmgors</t>
  </si>
  <si>
    <t>SA18 1RR</t>
  </si>
  <si>
    <t>CBDL12439</t>
  </si>
  <si>
    <t xml:space="preserve">1 Bull Cliff Walk </t>
  </si>
  <si>
    <t>CF62 6UB</t>
  </si>
  <si>
    <t>CBDL12441</t>
  </si>
  <si>
    <t xml:space="preserve">28 Jasmine Close </t>
  </si>
  <si>
    <t>Lutterworth</t>
  </si>
  <si>
    <t>LE17 4FE</t>
  </si>
  <si>
    <t>CBDL12445</t>
  </si>
  <si>
    <t xml:space="preserve">15 Kingsfield </t>
  </si>
  <si>
    <t>BA15 1AN</t>
  </si>
  <si>
    <t>CBDU12772</t>
  </si>
  <si>
    <t>Tyn Ffynnon Ceirchiog</t>
  </si>
  <si>
    <t>LL63 5UN</t>
  </si>
  <si>
    <t>CBDL12777</t>
  </si>
  <si>
    <t>1 Walkham Court Gwersyllt</t>
  </si>
  <si>
    <t>LL11 4GA</t>
  </si>
  <si>
    <t>CBDU12778</t>
  </si>
  <si>
    <t xml:space="preserve">20 St. Michaels Road </t>
  </si>
  <si>
    <t>CF36 5SB</t>
  </si>
  <si>
    <t>CBDU12779</t>
  </si>
  <si>
    <t xml:space="preserve">11 Ffordd Hooson </t>
  </si>
  <si>
    <t>LL12 7LS</t>
  </si>
  <si>
    <t>CBDU12780</t>
  </si>
  <si>
    <t>2 Weavers Road Ystradgynlais</t>
  </si>
  <si>
    <t>SA9 1PQ</t>
  </si>
  <si>
    <t>CBDL12781</t>
  </si>
  <si>
    <t>5 Parsonage Terrace Vicarage Road</t>
  </si>
  <si>
    <t>Finchingfield</t>
  </si>
  <si>
    <t>Braintree</t>
  </si>
  <si>
    <t>CM7 4LD</t>
  </si>
  <si>
    <t>CBDU12782</t>
  </si>
  <si>
    <t>22 High Street Skewen</t>
  </si>
  <si>
    <t>SA10 6NB</t>
  </si>
  <si>
    <t>CBDU12783</t>
  </si>
  <si>
    <t>16 Shelley Close Croespenmaen</t>
  </si>
  <si>
    <t>NP11 3AW</t>
  </si>
  <si>
    <t>CBDU12784</t>
  </si>
  <si>
    <t>24 Highfield Avenue Mynydd Isa</t>
  </si>
  <si>
    <t>CBDL12565</t>
  </si>
  <si>
    <t xml:space="preserve">1 Wolston Close </t>
  </si>
  <si>
    <t>LU1 5SS</t>
  </si>
  <si>
    <t>CBDL12569</t>
  </si>
  <si>
    <t xml:space="preserve">11 North View Terrace </t>
  </si>
  <si>
    <t>CF44 6BJ</t>
  </si>
  <si>
    <t>CBDU12574</t>
  </si>
  <si>
    <t xml:space="preserve">1 Allan Durst Close </t>
  </si>
  <si>
    <t>CF5 2RP</t>
  </si>
  <si>
    <t>CBDU12575</t>
  </si>
  <si>
    <t xml:space="preserve">9 Lamb Park </t>
  </si>
  <si>
    <t>EX34 8DH</t>
  </si>
  <si>
    <t>CBDL12992</t>
  </si>
  <si>
    <t>81 Mount Pleasant Gowerton</t>
  </si>
  <si>
    <t>SA4 3EW</t>
  </si>
  <si>
    <t>CBDL12993</t>
  </si>
  <si>
    <t>22 Herbert Street Abercynon</t>
  </si>
  <si>
    <t>CF45 4RH</t>
  </si>
  <si>
    <t>CBDL12994</t>
  </si>
  <si>
    <t>43 Tremynoddfa Carno</t>
  </si>
  <si>
    <t>SY17 5LJ</t>
  </si>
  <si>
    <t>CBDL12995</t>
  </si>
  <si>
    <t>Unit 3 Buenos Industrial Estate</t>
  </si>
  <si>
    <t>Be them Road</t>
  </si>
  <si>
    <t>SA92HW</t>
  </si>
  <si>
    <t>CBDL12996</t>
  </si>
  <si>
    <t xml:space="preserve">32 Queen Elizabeth Drive </t>
  </si>
  <si>
    <t>Paignton</t>
  </si>
  <si>
    <t>TQ3 3YS</t>
  </si>
  <si>
    <t>CBDU13002</t>
  </si>
  <si>
    <t xml:space="preserve">11 Charlton Road </t>
  </si>
  <si>
    <t>B44 0BH</t>
  </si>
  <si>
    <t>CBDU13003</t>
  </si>
  <si>
    <t>White Hall Penyrheol</t>
  </si>
  <si>
    <t>NP4 5XZ</t>
  </si>
  <si>
    <t>CBDL13007</t>
  </si>
  <si>
    <t xml:space="preserve">19 Portman Street </t>
  </si>
  <si>
    <t>TA2 7BT</t>
  </si>
  <si>
    <t>CBDU13156</t>
  </si>
  <si>
    <t>19 Jericho Road St. Thomas</t>
  </si>
  <si>
    <t>SA1 8DS</t>
  </si>
  <si>
    <t>CBDU13157</t>
  </si>
  <si>
    <t>Bryn Bach Ochr Y Bryn</t>
  </si>
  <si>
    <t>LL16 5AT</t>
  </si>
  <si>
    <t>CBDU13160</t>
  </si>
  <si>
    <t>Church View Chirk</t>
  </si>
  <si>
    <t>LL14 5PE</t>
  </si>
  <si>
    <t>CBDL13163</t>
  </si>
  <si>
    <t>84 Mount Pleasant Gowerton</t>
  </si>
  <si>
    <t>CBDL13164</t>
  </si>
  <si>
    <t xml:space="preserve">1 Pemberton Park </t>
  </si>
  <si>
    <t>SA14 8NN</t>
  </si>
  <si>
    <t>CBDU13165</t>
  </si>
  <si>
    <t>CBDL13364</t>
  </si>
  <si>
    <t>Rose Cottage Windsor Road</t>
  </si>
  <si>
    <t>SS13 2LH</t>
  </si>
  <si>
    <t>CBDU13365</t>
  </si>
  <si>
    <t>Deerhurst King Street</t>
  </si>
  <si>
    <t>CH7 1LB</t>
  </si>
  <si>
    <t>CBDL13370</t>
  </si>
  <si>
    <t xml:space="preserve">9 Juniper Close </t>
  </si>
  <si>
    <t>LL12 7SN</t>
  </si>
  <si>
    <t>CBDL13372</t>
  </si>
  <si>
    <t>26 Bryn Aber Abertridwr</t>
  </si>
  <si>
    <t>CF83 4EY</t>
  </si>
  <si>
    <t>CBDL13373</t>
  </si>
  <si>
    <t>New Parc Bungalow St. Donat's</t>
  </si>
  <si>
    <t>CBDL13374</t>
  </si>
  <si>
    <t>Church Hill Farm Birches Road</t>
  </si>
  <si>
    <t>NP25 4AW</t>
  </si>
  <si>
    <t>CBDL13565</t>
  </si>
  <si>
    <t>Pontenion Farm Connah's Quay Road</t>
  </si>
  <si>
    <t>CBDL13569</t>
  </si>
  <si>
    <t>134 Glebe Road Loughor</t>
  </si>
  <si>
    <t>SA4 6SL</t>
  </si>
  <si>
    <t>CBDL13570</t>
  </si>
  <si>
    <t>West Marsh Farm Laugharne</t>
  </si>
  <si>
    <t>SA33 4RS</t>
  </si>
  <si>
    <t>CBDU13571</t>
  </si>
  <si>
    <t>Hillcrest Station Cottages</t>
  </si>
  <si>
    <t>NP22 3SP</t>
  </si>
  <si>
    <t>CBDU13572</t>
  </si>
  <si>
    <t xml:space="preserve">8 Spring Gardens </t>
  </si>
  <si>
    <t>LL22 7DH</t>
  </si>
  <si>
    <t>CBDU13573</t>
  </si>
  <si>
    <t>Gwrhyd Farm Werfa</t>
  </si>
  <si>
    <t>Abernant</t>
  </si>
  <si>
    <t>CF44 0RU</t>
  </si>
  <si>
    <t>CBDL13574</t>
  </si>
  <si>
    <t>Plas Y Coed Caepontbren</t>
  </si>
  <si>
    <t>SA15 5TX</t>
  </si>
  <si>
    <t>CBDU13575</t>
  </si>
  <si>
    <t>44 Glan Yr Afon Court Sketty</t>
  </si>
  <si>
    <t>SA2 9JB</t>
  </si>
  <si>
    <t>CBDU13576</t>
  </si>
  <si>
    <t>Pembridge Swanbridge Road</t>
  </si>
  <si>
    <t>CF64 5UF</t>
  </si>
  <si>
    <t>CBDL113</t>
  </si>
  <si>
    <t>3 Heol Deiniol</t>
  </si>
  <si>
    <t>NP4 0RE</t>
  </si>
  <si>
    <t>CBDL114</t>
  </si>
  <si>
    <t>10 Goucester Court</t>
  </si>
  <si>
    <t>NP18 3FG</t>
  </si>
  <si>
    <t>CBDL117</t>
  </si>
  <si>
    <t>Gwel-y-Don Marian Glas</t>
  </si>
  <si>
    <t>LL73 8PA</t>
  </si>
  <si>
    <t>CBDL118</t>
  </si>
  <si>
    <t>54-56 Commecial Street</t>
  </si>
  <si>
    <t>NP24 6AA</t>
  </si>
  <si>
    <t>CBDL120</t>
  </si>
  <si>
    <t>95 Rhosmaen</t>
  </si>
  <si>
    <t>SA19 6HA</t>
  </si>
  <si>
    <t>CBDL122</t>
  </si>
  <si>
    <t>3 Barry road</t>
  </si>
  <si>
    <t>CF63 1BA</t>
  </si>
  <si>
    <t>CBDL123</t>
  </si>
  <si>
    <t>11 Great North Road</t>
  </si>
  <si>
    <t>SA73 2LH</t>
  </si>
  <si>
    <t>CBDL124</t>
  </si>
  <si>
    <t>Unit 5A Ddol Road</t>
  </si>
  <si>
    <t>LD7 6DF</t>
  </si>
  <si>
    <t>CBDL610</t>
  </si>
  <si>
    <t>32 Camden Road</t>
  </si>
  <si>
    <t>CBDL611</t>
  </si>
  <si>
    <t>Centre for Alternative Technologies Machynlleth</t>
  </si>
  <si>
    <t>SY20 9AZ</t>
  </si>
  <si>
    <t>CBDL612</t>
  </si>
  <si>
    <t>62 Frampton Road</t>
  </si>
  <si>
    <t>Eorseinion</t>
  </si>
  <si>
    <t>SA4 4YZ</t>
  </si>
  <si>
    <t>CBDL614</t>
  </si>
  <si>
    <t>Llangum Shop and Post Office Main Street</t>
  </si>
  <si>
    <t>Llangum</t>
  </si>
  <si>
    <t>SA62 4HP</t>
  </si>
  <si>
    <t>CBDL618</t>
  </si>
  <si>
    <t>64 Duke Street</t>
  </si>
  <si>
    <t>NP13 1BB</t>
  </si>
  <si>
    <t>CBDL619</t>
  </si>
  <si>
    <t>Gardeners Rest Grove Hill</t>
  </si>
  <si>
    <t>SA71 5PU</t>
  </si>
  <si>
    <t>CBDL622</t>
  </si>
  <si>
    <t>66 Lon brynawel</t>
  </si>
  <si>
    <t>Sa79sy</t>
  </si>
  <si>
    <t>CBDL625</t>
  </si>
  <si>
    <t>1 Heol Morfa</t>
  </si>
  <si>
    <t>Brening Johnstown</t>
  </si>
  <si>
    <t>SA31 2PA</t>
  </si>
  <si>
    <t>CBDL805</t>
  </si>
  <si>
    <t>7  Saint Govan's Place</t>
  </si>
  <si>
    <t>SA5 4QZ</t>
  </si>
  <si>
    <t>CBDL807</t>
  </si>
  <si>
    <t>4 grenfell avenue</t>
  </si>
  <si>
    <t>sa4 4yn</t>
  </si>
  <si>
    <t>CBDL808</t>
  </si>
  <si>
    <t>33 Mallory Close</t>
  </si>
  <si>
    <t>CF62 4JJ</t>
  </si>
  <si>
    <t>CBDL809</t>
  </si>
  <si>
    <t>CBDL810</t>
  </si>
  <si>
    <t>66 baring gould way BARING GOULD WAY</t>
  </si>
  <si>
    <t>sa61 2sd</t>
  </si>
  <si>
    <t>CBDL811</t>
  </si>
  <si>
    <t>2 bryn y werydd</t>
  </si>
  <si>
    <t>st nicholas</t>
  </si>
  <si>
    <t>goodwick</t>
  </si>
  <si>
    <t>sa64 0lh</t>
  </si>
  <si>
    <t>CBDL820</t>
  </si>
  <si>
    <t>The Black Lion Abergorlech</t>
  </si>
  <si>
    <t>SA32 7SN</t>
  </si>
  <si>
    <t>CBDL1048</t>
  </si>
  <si>
    <t>Minffordd Waunfawr</t>
  </si>
  <si>
    <t>LL55 4EQ</t>
  </si>
  <si>
    <t>CBDL1050</t>
  </si>
  <si>
    <t>83 mount pleasant</t>
  </si>
  <si>
    <t>sa43ew</t>
  </si>
  <si>
    <t>CBDL1051</t>
  </si>
  <si>
    <t>35  Brynhyfryd street</t>
  </si>
  <si>
    <t>cf47 9yn</t>
  </si>
  <si>
    <t>CBDL1052</t>
  </si>
  <si>
    <t>5 john</t>
  </si>
  <si>
    <t>llangollen</t>
  </si>
  <si>
    <t>ll208rf</t>
  </si>
  <si>
    <t>CBDL1053</t>
  </si>
  <si>
    <t xml:space="preserve">rear of 24 - 26  South Avenue </t>
  </si>
  <si>
    <t>rhyl</t>
  </si>
  <si>
    <t>LL18 1HU</t>
  </si>
  <si>
    <t>CBDL1055</t>
  </si>
  <si>
    <t>9 Flat 5</t>
  </si>
  <si>
    <t>The Norton</t>
  </si>
  <si>
    <t>SA708AA</t>
  </si>
  <si>
    <t>CBDL1058</t>
  </si>
  <si>
    <t xml:space="preserve">Cartref  </t>
  </si>
  <si>
    <t>Maenclochog</t>
  </si>
  <si>
    <t>CBDL1063</t>
  </si>
  <si>
    <t>parciau  bach bangor  road</t>
  </si>
  <si>
    <t>caernarfon</t>
  </si>
  <si>
    <t>ll55 1tp</t>
  </si>
  <si>
    <t>CBDL1292</t>
  </si>
  <si>
    <t>plas du bwlchderwin</t>
  </si>
  <si>
    <t>garndolbenmaen</t>
  </si>
  <si>
    <t>LL519EJ</t>
  </si>
  <si>
    <t>CBDL1296</t>
  </si>
  <si>
    <t>3 Leighton Close</t>
  </si>
  <si>
    <t>LD5 4RN</t>
  </si>
  <si>
    <t>CBDL1297</t>
  </si>
  <si>
    <t>Ashford Redbrith</t>
  </si>
  <si>
    <t>SA70 8RY</t>
  </si>
  <si>
    <t>CBDL1300</t>
  </si>
  <si>
    <t>3 Castle Terrace</t>
  </si>
  <si>
    <t>SA71 4LA</t>
  </si>
  <si>
    <t>CBDL1306</t>
  </si>
  <si>
    <t>royal house 13 penrallt street</t>
  </si>
  <si>
    <t>CBDL1307</t>
  </si>
  <si>
    <t>41 The Ridings</t>
  </si>
  <si>
    <t>CF44 8AJ</t>
  </si>
  <si>
    <t>CBDL1533</t>
  </si>
  <si>
    <t>16  clos cadno</t>
  </si>
  <si>
    <t>sa66tt</t>
  </si>
  <si>
    <t>CBDL1534</t>
  </si>
  <si>
    <t>village wine shop high street</t>
  </si>
  <si>
    <t>saundersfoot</t>
  </si>
  <si>
    <t>sa699ej</t>
  </si>
  <si>
    <t>CBDL1540</t>
  </si>
  <si>
    <t>15 Llandaff rd</t>
  </si>
  <si>
    <t>NP23 5RL</t>
  </si>
  <si>
    <t>CBDL1543</t>
  </si>
  <si>
    <t>4 riverside terrace</t>
  </si>
  <si>
    <t>ely</t>
  </si>
  <si>
    <t>cf5 5ar</t>
  </si>
  <si>
    <t>CBDL1544</t>
  </si>
  <si>
    <t>159 Mostyn Street</t>
  </si>
  <si>
    <t>CBDL1545</t>
  </si>
  <si>
    <t>5A Queen Street</t>
  </si>
  <si>
    <t>Pontrhydyfen</t>
  </si>
  <si>
    <t>SA12 9TF</t>
  </si>
  <si>
    <t>CBDL1546</t>
  </si>
  <si>
    <t>15 Bronllan</t>
  </si>
  <si>
    <t>Winch Wen</t>
  </si>
  <si>
    <t>CBDL1547</t>
  </si>
  <si>
    <t>Glangwy Llangurig</t>
  </si>
  <si>
    <t>SY18 6RS</t>
  </si>
  <si>
    <t>CBDL1754</t>
  </si>
  <si>
    <t>Pencoed Hebron</t>
  </si>
  <si>
    <t>SA34 0YP</t>
  </si>
  <si>
    <t>CBDL2399</t>
  </si>
  <si>
    <t>1 Oldcastle Avenue Cegidfa</t>
  </si>
  <si>
    <t>SY21 9PA</t>
  </si>
  <si>
    <t>CBDL2406</t>
  </si>
  <si>
    <t xml:space="preserve">Allt </t>
  </si>
  <si>
    <t>SA17 5AY</t>
  </si>
  <si>
    <t>CBDL2650</t>
  </si>
  <si>
    <t xml:space="preserve">27 Clos Castell Newydd </t>
  </si>
  <si>
    <t>CF31 5DR</t>
  </si>
  <si>
    <t>CBDL2651</t>
  </si>
  <si>
    <t>2 Cae Garw Caravan Site Pil</t>
  </si>
  <si>
    <t>CBDL2652</t>
  </si>
  <si>
    <t xml:space="preserve">56 Waun Fach </t>
  </si>
  <si>
    <t>CF23 7BB</t>
  </si>
  <si>
    <t>CBDL2655</t>
  </si>
  <si>
    <t xml:space="preserve">5 Delabeche Street </t>
  </si>
  <si>
    <t>SA15 1AT</t>
  </si>
  <si>
    <t>CBDL3089</t>
  </si>
  <si>
    <t>Heol Y Parc Llangennech</t>
  </si>
  <si>
    <t>SA14 8TL</t>
  </si>
  <si>
    <t>CBDL2868</t>
  </si>
  <si>
    <t xml:space="preserve">15 Ffordd Islwyn </t>
  </si>
  <si>
    <t>LL57 1AR</t>
  </si>
  <si>
    <t>CBDL2870</t>
  </si>
  <si>
    <t>11 Cae Lewis Tongwynlais</t>
  </si>
  <si>
    <t>CF15 7LQ</t>
  </si>
  <si>
    <t>CBDL2872</t>
  </si>
  <si>
    <t>Ty Wennol Glantwymyn</t>
  </si>
  <si>
    <t>CBDL3317</t>
  </si>
  <si>
    <t>Crud Awelon Crai</t>
  </si>
  <si>
    <t>LD3 8YP</t>
  </si>
  <si>
    <t>CBDL3320</t>
  </si>
  <si>
    <t xml:space="preserve">5 Kerry Place </t>
  </si>
  <si>
    <t>LL12 7DA</t>
  </si>
  <si>
    <t>CBDL3323</t>
  </si>
  <si>
    <t>Tremafon Highfield Park</t>
  </si>
  <si>
    <t>LL22 7AU</t>
  </si>
  <si>
    <t>CBDL3592</t>
  </si>
  <si>
    <t>21 Broad Street Y Gelli Gandryll</t>
  </si>
  <si>
    <t>CBDL3594</t>
  </si>
  <si>
    <t xml:space="preserve">Winifred Road </t>
  </si>
  <si>
    <t>SA10 6HP</t>
  </si>
  <si>
    <t>CBDL3596</t>
  </si>
  <si>
    <t>Llanishen farm Peterstone wentloog</t>
  </si>
  <si>
    <t>Cf32tn</t>
  </si>
  <si>
    <t>CBDL3598</t>
  </si>
  <si>
    <t>Village Store The Square</t>
  </si>
  <si>
    <t>CBDL3821</t>
  </si>
  <si>
    <t>14 Denver Road Fforestfach</t>
  </si>
  <si>
    <t>CBDL3822</t>
  </si>
  <si>
    <t>St. Julians House Old St. Mellons</t>
  </si>
  <si>
    <t>CF3 6YJ</t>
  </si>
  <si>
    <t>CBDL4327</t>
  </si>
  <si>
    <t xml:space="preserve">19 Maes-y-Felin </t>
  </si>
  <si>
    <t>CF31 1YN</t>
  </si>
  <si>
    <t>CBDL4334</t>
  </si>
  <si>
    <t xml:space="preserve">Wenllys </t>
  </si>
  <si>
    <t>LL71 8EG</t>
  </si>
  <si>
    <t>CBDL4335</t>
  </si>
  <si>
    <t xml:space="preserve">21 Bangor Road </t>
  </si>
  <si>
    <t>LL32 8NG</t>
  </si>
  <si>
    <t>CBDL4554</t>
  </si>
  <si>
    <t>The Manse Panteg</t>
  </si>
  <si>
    <t>Felinwen</t>
  </si>
  <si>
    <t>SA32 7HE</t>
  </si>
  <si>
    <t>CBDL4556</t>
  </si>
  <si>
    <t>15 West View Chirk</t>
  </si>
  <si>
    <t>LL14 5HW</t>
  </si>
  <si>
    <t>CBDL4558</t>
  </si>
  <si>
    <t xml:space="preserve">206 Lon Y Wennol </t>
  </si>
  <si>
    <t>SY16 1JZ</t>
  </si>
  <si>
    <t>CBDL4560</t>
  </si>
  <si>
    <t xml:space="preserve">14 Bryneglwys Gardens </t>
  </si>
  <si>
    <t>CF36 5PR</t>
  </si>
  <si>
    <t>CBDL4999</t>
  </si>
  <si>
    <t xml:space="preserve">Ffordd Y Parc </t>
  </si>
  <si>
    <t>LL42 1PH</t>
  </si>
  <si>
    <t>CBDL4081</t>
  </si>
  <si>
    <t>Camelot House Cae Glas Road</t>
  </si>
  <si>
    <t>CF3 3JU</t>
  </si>
  <si>
    <t>CBDL4753</t>
  </si>
  <si>
    <t>CBDU5500</t>
  </si>
  <si>
    <t>Drysiog Farm High Street</t>
  </si>
  <si>
    <t>NP23 6BU</t>
  </si>
  <si>
    <t>CBDU5501</t>
  </si>
  <si>
    <t>CBDU5502</t>
  </si>
  <si>
    <t xml:space="preserve">2 Maryville Avenue </t>
  </si>
  <si>
    <t>Brighouse</t>
  </si>
  <si>
    <t>HD6 2NX</t>
  </si>
  <si>
    <t>CBDU5507</t>
  </si>
  <si>
    <t>Ty Lwyfan Graig Y Bedw</t>
  </si>
  <si>
    <t>CBDU5509</t>
  </si>
  <si>
    <t xml:space="preserve">196-200 Stryd Fawr </t>
  </si>
  <si>
    <t>LL57 1NU</t>
  </si>
  <si>
    <t>CBDU5510</t>
  </si>
  <si>
    <t>Rosedene Park End Lane</t>
  </si>
  <si>
    <t>CF23 6JW</t>
  </si>
  <si>
    <t>CBDU5747</t>
  </si>
  <si>
    <t>Bryntaf Quarry Bryntaf</t>
  </si>
  <si>
    <t>Aberfan</t>
  </si>
  <si>
    <t>CF48 4PJ</t>
  </si>
  <si>
    <t>CBDU5748</t>
  </si>
  <si>
    <t xml:space="preserve">4 Birdsfield Cottages </t>
  </si>
  <si>
    <t>CF37 1LE</t>
  </si>
  <si>
    <t>CBDU5749</t>
  </si>
  <si>
    <t xml:space="preserve">21 Laura Street </t>
  </si>
  <si>
    <t>CF63 2NU</t>
  </si>
  <si>
    <t>CBDL5752</t>
  </si>
  <si>
    <t xml:space="preserve">1 Broadway </t>
  </si>
  <si>
    <t>NN15 6DD</t>
  </si>
  <si>
    <t>CBDL5755</t>
  </si>
  <si>
    <t>Yr Hen Lety Pantllyn</t>
  </si>
  <si>
    <t>CBDL5757</t>
  </si>
  <si>
    <t xml:space="preserve">22 Penuel Street </t>
  </si>
  <si>
    <t>CF47 0PN</t>
  </si>
  <si>
    <t>CBDU6246</t>
  </si>
  <si>
    <t>48 Hamilton Avenue Sandycroft</t>
  </si>
  <si>
    <t>CH5 2PB</t>
  </si>
  <si>
    <t>CBDL6248</t>
  </si>
  <si>
    <t xml:space="preserve">9 Thorley Close </t>
  </si>
  <si>
    <t>CF23 6HS</t>
  </si>
  <si>
    <t>CBDU6250</t>
  </si>
  <si>
    <t xml:space="preserve">8 Ael Y Bryn Close </t>
  </si>
  <si>
    <t>SA15 3PQ</t>
  </si>
  <si>
    <t>CBDU6253</t>
  </si>
  <si>
    <t>15 Martin Road</t>
  </si>
  <si>
    <t>CBDU6257</t>
  </si>
  <si>
    <t>Hurley business park Black even hill</t>
  </si>
  <si>
    <t>Roborough</t>
  </si>
  <si>
    <t>PL6 7AD</t>
  </si>
  <si>
    <t>CBDU6258</t>
  </si>
  <si>
    <t xml:space="preserve">2 Castle Terrace </t>
  </si>
  <si>
    <t>CBDL6259</t>
  </si>
  <si>
    <t xml:space="preserve">31 Croft Close </t>
  </si>
  <si>
    <t>Redditch</t>
  </si>
  <si>
    <t>B98 0JT</t>
  </si>
  <si>
    <t>CBDU6260</t>
  </si>
  <si>
    <t>26 Harlech Road Rumney</t>
  </si>
  <si>
    <t>CF3 3HS</t>
  </si>
  <si>
    <t>CBDU6264</t>
  </si>
  <si>
    <t>Dolfach Pentrefelin</t>
  </si>
  <si>
    <t>LD3 8TT</t>
  </si>
  <si>
    <t>CBDU5999</t>
  </si>
  <si>
    <t>Hazeldene Rhydargaeau</t>
  </si>
  <si>
    <t>SA33 6BL</t>
  </si>
  <si>
    <t>CBDU6000</t>
  </si>
  <si>
    <t>Ireland Cottage Rake Lane</t>
  </si>
  <si>
    <t>CH4 3PN</t>
  </si>
  <si>
    <t>CBDU6003</t>
  </si>
  <si>
    <t>North Tenement Dredgeman Hill</t>
  </si>
  <si>
    <t>SA61 1XL</t>
  </si>
  <si>
    <t>CBDU6008</t>
  </si>
  <si>
    <t>63 Manor Park Maids Moreton</t>
  </si>
  <si>
    <t>MK18 1RB</t>
  </si>
  <si>
    <t>CBDU6009</t>
  </si>
  <si>
    <t>48 Bethel Road Cwm-Twrch Isaf</t>
  </si>
  <si>
    <t>SA9 2PT</t>
  </si>
  <si>
    <t>CBDU6011</t>
  </si>
  <si>
    <t xml:space="preserve">12 Regent Street </t>
  </si>
  <si>
    <t>CF42 6PR</t>
  </si>
  <si>
    <t>CBDL6805</t>
  </si>
  <si>
    <t>10 Kelvin Close</t>
  </si>
  <si>
    <t>NP20 6FZ</t>
  </si>
  <si>
    <t>CBDU6808</t>
  </si>
  <si>
    <t>208 Emlyn Road Mayhill</t>
  </si>
  <si>
    <t>CBDU6809</t>
  </si>
  <si>
    <t xml:space="preserve">63 The Crescent </t>
  </si>
  <si>
    <t>CF83 2SU</t>
  </si>
  <si>
    <t>CBDL6810</t>
  </si>
  <si>
    <t xml:space="preserve">36 Bunkers Hill </t>
  </si>
  <si>
    <t>Newbury</t>
  </si>
  <si>
    <t>RG14 6TF</t>
  </si>
  <si>
    <t>CBDU6811</t>
  </si>
  <si>
    <t>14 Heol Fryn Mochdre</t>
  </si>
  <si>
    <t>LL28 5BD</t>
  </si>
  <si>
    <t>CBDU6815</t>
  </si>
  <si>
    <t>Llwyn Pentre Uchaf</t>
  </si>
  <si>
    <t>LL53 8DX</t>
  </si>
  <si>
    <t>CBDU6816</t>
  </si>
  <si>
    <t>Cae Garw Bach Rhostrehwfa</t>
  </si>
  <si>
    <t>CBDL6560</t>
  </si>
  <si>
    <t xml:space="preserve">36 Heol Elfed </t>
  </si>
  <si>
    <t>SA16 0AL</t>
  </si>
  <si>
    <t>CBDL6564</t>
  </si>
  <si>
    <t xml:space="preserve">Peasmarsh </t>
  </si>
  <si>
    <t>Ilminster</t>
  </si>
  <si>
    <t>TA19 0SG</t>
  </si>
  <si>
    <t>CBDU6565</t>
  </si>
  <si>
    <t>272 Ystrad Road Fforestfach</t>
  </si>
  <si>
    <t>SA5 4ND</t>
  </si>
  <si>
    <t>CBDU6569</t>
  </si>
  <si>
    <t>4 Lon Las Pwlltrap</t>
  </si>
  <si>
    <t>SA33 4AU</t>
  </si>
  <si>
    <t>CBDU6572</t>
  </si>
  <si>
    <t>5 The Poplars New Park Road</t>
  </si>
  <si>
    <t>NP11 7AP</t>
  </si>
  <si>
    <t>CBDL6573</t>
  </si>
  <si>
    <t>28 Henders Stony Stratford</t>
  </si>
  <si>
    <t>MK11 1RB</t>
  </si>
  <si>
    <t>CBDL7391</t>
  </si>
  <si>
    <t xml:space="preserve">58 Cardiff Road </t>
  </si>
  <si>
    <t>CF64 4JX</t>
  </si>
  <si>
    <t>CBDU7392</t>
  </si>
  <si>
    <t>Great Merrixton Stepaside</t>
  </si>
  <si>
    <t>SA67 8PJ</t>
  </si>
  <si>
    <t>CBDL7393</t>
  </si>
  <si>
    <t>Brynteg Nantgaredig</t>
  </si>
  <si>
    <t>SA32 7NY</t>
  </si>
  <si>
    <t>CBDU7400</t>
  </si>
  <si>
    <t>41 Bryn Rhosog</t>
  </si>
  <si>
    <t>SA4 6SH</t>
  </si>
  <si>
    <t>CBDU7401</t>
  </si>
  <si>
    <t xml:space="preserve"> 16  Exchange st</t>
  </si>
  <si>
    <t>Bridend</t>
  </si>
  <si>
    <t>CF34 9EA</t>
  </si>
  <si>
    <t>CBDU7402</t>
  </si>
  <si>
    <t>Pen Y Bryn Rhewl</t>
  </si>
  <si>
    <t>LL15 2TS</t>
  </si>
  <si>
    <t>CBDU7157</t>
  </si>
  <si>
    <t>The Willows Abercanaid</t>
  </si>
  <si>
    <t>CBDL7159</t>
  </si>
  <si>
    <t>Glas-y-Dorlan Cilgerran Road</t>
  </si>
  <si>
    <t>Penybryn</t>
  </si>
  <si>
    <t>SA43 3NQ</t>
  </si>
  <si>
    <t>CBDU7160</t>
  </si>
  <si>
    <t>Unit 88 Springvale Industrial Estate</t>
  </si>
  <si>
    <t>CBDU7161</t>
  </si>
  <si>
    <t>47 Brynteg Green Beddau</t>
  </si>
  <si>
    <t>CF38 2QA</t>
  </si>
  <si>
    <t>CBDU7164</t>
  </si>
  <si>
    <t>107 Headley Road Woodley</t>
  </si>
  <si>
    <t>RG5 4JD</t>
  </si>
  <si>
    <t>CBDU7167</t>
  </si>
  <si>
    <t>247 Danygraig Road Port Tennant</t>
  </si>
  <si>
    <t>SA1 8NL</t>
  </si>
  <si>
    <t>CBDU8046</t>
  </si>
  <si>
    <t xml:space="preserve">1 Ael Y Bryn Road </t>
  </si>
  <si>
    <t>LL29 7HD</t>
  </si>
  <si>
    <t>CBDU8050</t>
  </si>
  <si>
    <t>Crachlwyn Farm Gwrhyd Road</t>
  </si>
  <si>
    <t>SA9 2SB</t>
  </si>
  <si>
    <t>CBDL7808</t>
  </si>
  <si>
    <t>Little Greenmeadow Farm Mountain Road</t>
  </si>
  <si>
    <t>NP44 5AA</t>
  </si>
  <si>
    <t>CBDU7812</t>
  </si>
  <si>
    <t>25 Llanrumney Avenue Llanrumney</t>
  </si>
  <si>
    <t>CF3 4BP</t>
  </si>
  <si>
    <t>CBDU7815</t>
  </si>
  <si>
    <t xml:space="preserve">2 Twyn-y-Fedwen Road </t>
  </si>
  <si>
    <t>CF14 1HU</t>
  </si>
  <si>
    <t>CBDL7817</t>
  </si>
  <si>
    <t xml:space="preserve">67 Wendover Road </t>
  </si>
  <si>
    <t>Staines-upon-Thames</t>
  </si>
  <si>
    <t>TW18 3DD</t>
  </si>
  <si>
    <t>CBDL7818</t>
  </si>
  <si>
    <t xml:space="preserve">75 Harvey Lane </t>
  </si>
  <si>
    <t>NR7 0AG</t>
  </si>
  <si>
    <t>CBDU7819</t>
  </si>
  <si>
    <t xml:space="preserve">42 Pant Morfa </t>
  </si>
  <si>
    <t>CBDL7820</t>
  </si>
  <si>
    <t>Delia Bungalow Wrexham Road</t>
  </si>
  <si>
    <t>CBDL7821</t>
  </si>
  <si>
    <t>Billhole Farm Black Dog</t>
  </si>
  <si>
    <t>Crediton</t>
  </si>
  <si>
    <t>EX17 4QH</t>
  </si>
  <si>
    <t>CBDL8457</t>
  </si>
  <si>
    <t xml:space="preserve">126 Providence Road </t>
  </si>
  <si>
    <t>S6 5BE</t>
  </si>
  <si>
    <t>CBDU8458</t>
  </si>
  <si>
    <t xml:space="preserve">34 Brynawelon </t>
  </si>
  <si>
    <t>SA14 8PU</t>
  </si>
  <si>
    <t>CBDU8459</t>
  </si>
  <si>
    <t>Gilcrest Yard Neville's Dock</t>
  </si>
  <si>
    <t>SA152NW</t>
  </si>
  <si>
    <t>CBDU8460</t>
  </si>
  <si>
    <t>CBDU8461</t>
  </si>
  <si>
    <t xml:space="preserve">23 Maesincla </t>
  </si>
  <si>
    <t>LL55 1BY</t>
  </si>
  <si>
    <t>CBDU8466</t>
  </si>
  <si>
    <t>Frowen Cwmann</t>
  </si>
  <si>
    <t>SA48 8ED</t>
  </si>
  <si>
    <t>CBDL8468</t>
  </si>
  <si>
    <t>6 Ynysydarren Road Ystalyfera</t>
  </si>
  <si>
    <t>SA9 2DY</t>
  </si>
  <si>
    <t>CBDU8469</t>
  </si>
  <si>
    <t>Bodlew Isaf Llanddaniel</t>
  </si>
  <si>
    <t>LL60 6NL</t>
  </si>
  <si>
    <t>CBDL8714</t>
  </si>
  <si>
    <t xml:space="preserve">13 Landraw Road </t>
  </si>
  <si>
    <t>CF37 1EU</t>
  </si>
  <si>
    <t>CBDU8720</t>
  </si>
  <si>
    <t>33 Gadlas Road Llysfaen</t>
  </si>
  <si>
    <t>LL29 8TB</t>
  </si>
  <si>
    <t>CBDU9092</t>
  </si>
  <si>
    <t xml:space="preserve">18 Kingdon Owen Road </t>
  </si>
  <si>
    <t>SA11 1JS</t>
  </si>
  <si>
    <t>CBDU9097</t>
  </si>
  <si>
    <t xml:space="preserve">102 Channel View Road </t>
  </si>
  <si>
    <t>CF11 7EP</t>
  </si>
  <si>
    <t>CBDU9101</t>
  </si>
  <si>
    <t>Willowdene Llandogo</t>
  </si>
  <si>
    <t>CBDU9102</t>
  </si>
  <si>
    <t xml:space="preserve">22 Ferndale </t>
  </si>
  <si>
    <t>Tunbridge Wells</t>
  </si>
  <si>
    <t>TN2 3NS</t>
  </si>
  <si>
    <t>CBDL9351</t>
  </si>
  <si>
    <t>11 Beaufort Street</t>
  </si>
  <si>
    <t>NP23 4AF</t>
  </si>
  <si>
    <t>CBDU9358</t>
  </si>
  <si>
    <t xml:space="preserve">2 Richmond Road </t>
  </si>
  <si>
    <t>NP7 5RD</t>
  </si>
  <si>
    <t>CBDU9359</t>
  </si>
  <si>
    <t xml:space="preserve">21 Cricklewood Close </t>
  </si>
  <si>
    <t>CBDU9364</t>
  </si>
  <si>
    <t>78 Heol Hir Llanishen</t>
  </si>
  <si>
    <t>CF14 5AB</t>
  </si>
  <si>
    <t>CBDL9365</t>
  </si>
  <si>
    <t>vision house bridge st</t>
  </si>
  <si>
    <t>ll22 7ha</t>
  </si>
  <si>
    <t>CBDL9781</t>
  </si>
  <si>
    <t xml:space="preserve">22 St. Andrews Drive </t>
  </si>
  <si>
    <t>CH7 2NF</t>
  </si>
  <si>
    <t>CBDU9784</t>
  </si>
  <si>
    <t>Hafod-y-Bont Hafod</t>
  </si>
  <si>
    <t>Rhiwabon</t>
  </si>
  <si>
    <t>CBDU9786</t>
  </si>
  <si>
    <t>182 Rhys Street Trealaw</t>
  </si>
  <si>
    <t>CF40 2QD</t>
  </si>
  <si>
    <t>CBDL9788</t>
  </si>
  <si>
    <t>29 Station Road Ketley</t>
  </si>
  <si>
    <t>Telford</t>
  </si>
  <si>
    <t>TF1 5AQ</t>
  </si>
  <si>
    <t>CBDU9790</t>
  </si>
  <si>
    <t>Flat 9 Newlands Court</t>
  </si>
  <si>
    <t>NP4 8ND</t>
  </si>
  <si>
    <t>CBDU9792</t>
  </si>
  <si>
    <t>34 Maesgwern Y Tymbl</t>
  </si>
  <si>
    <t>CBDU9793</t>
  </si>
  <si>
    <t xml:space="preserve">68 Wernddu Road </t>
  </si>
  <si>
    <t>SA18 2NE</t>
  </si>
  <si>
    <t>CBDU9794</t>
  </si>
  <si>
    <t>CBDL9797</t>
  </si>
  <si>
    <t xml:space="preserve">14 Sir Len Hutton Drive </t>
  </si>
  <si>
    <t>Goole</t>
  </si>
  <si>
    <t>DN14 6FB</t>
  </si>
  <si>
    <t>CBDL9566</t>
  </si>
  <si>
    <t>CBDU9568</t>
  </si>
  <si>
    <t>The Dell Station Road</t>
  </si>
  <si>
    <t>Govilon</t>
  </si>
  <si>
    <t>NP7 9RG</t>
  </si>
  <si>
    <t>CBDL9569</t>
  </si>
  <si>
    <t>48 High Street Connah's Quay</t>
  </si>
  <si>
    <t>CH5 4DD</t>
  </si>
  <si>
    <t>CBDL9570</t>
  </si>
  <si>
    <t>25 Kensington Avenue Hen Golwyn</t>
  </si>
  <si>
    <t>LL29 9SP</t>
  </si>
  <si>
    <t>CBDU9572</t>
  </si>
  <si>
    <t xml:space="preserve">Ty Brith </t>
  </si>
  <si>
    <t>SY22 6YG</t>
  </si>
  <si>
    <t>CBDL9573</t>
  </si>
  <si>
    <t>13 Gwelfor Llandrillo-yn-Rhos</t>
  </si>
  <si>
    <t>LL28 4AJ</t>
  </si>
  <si>
    <t>CBDU9575</t>
  </si>
  <si>
    <t>CBDU9576</t>
  </si>
  <si>
    <t xml:space="preserve">38 Pontmorlais </t>
  </si>
  <si>
    <t>CF47 8UN</t>
  </si>
  <si>
    <t>CBDU9578</t>
  </si>
  <si>
    <t xml:space="preserve">22 Oakfield Road </t>
  </si>
  <si>
    <t>CH7 2AR</t>
  </si>
  <si>
    <t>CBDU10020</t>
  </si>
  <si>
    <t xml:space="preserve">91 Meliden Road </t>
  </si>
  <si>
    <t>LL19 8RL</t>
  </si>
  <si>
    <t>CBDU10021</t>
  </si>
  <si>
    <t>Ty Isa Rhewl</t>
  </si>
  <si>
    <t>LL15 1TH</t>
  </si>
  <si>
    <t>CBDL10028</t>
  </si>
  <si>
    <t xml:space="preserve">77 Middle Street </t>
  </si>
  <si>
    <t>CF37 4PP</t>
  </si>
  <si>
    <t>CBDL10029</t>
  </si>
  <si>
    <t xml:space="preserve">150 Poplar Drive </t>
  </si>
  <si>
    <t>Herne Bay</t>
  </si>
  <si>
    <t>CT6 7QB</t>
  </si>
  <si>
    <t>CBDL10354</t>
  </si>
  <si>
    <t>53 MALPAS ROAD</t>
  </si>
  <si>
    <t>NP205PJ</t>
  </si>
  <si>
    <t>CBDL10357</t>
  </si>
  <si>
    <t>58 Windsor Road Griffithstown</t>
  </si>
  <si>
    <t>CBDU10359</t>
  </si>
  <si>
    <t xml:space="preserve">26 Ardd Fawr </t>
  </si>
  <si>
    <t>LL40 2YD</t>
  </si>
  <si>
    <t>CBDL10360</t>
  </si>
  <si>
    <t>11 Victoria Street Pontycymer</t>
  </si>
  <si>
    <t>CF32 8NW</t>
  </si>
  <si>
    <t>CBDL10362</t>
  </si>
  <si>
    <t>89 High Street Rhymney</t>
  </si>
  <si>
    <t>CBDU10364</t>
  </si>
  <si>
    <t>Plassau Bungalow Kerry</t>
  </si>
  <si>
    <t>SY16 4DN</t>
  </si>
  <si>
    <t>CBDL10366</t>
  </si>
  <si>
    <t>CBDU10115</t>
  </si>
  <si>
    <t xml:space="preserve">133 Miskin Road </t>
  </si>
  <si>
    <t>CBDL10116</t>
  </si>
  <si>
    <t>43 Mill View Estate</t>
  </si>
  <si>
    <t>Cf340dd</t>
  </si>
  <si>
    <t>CBDL10117</t>
  </si>
  <si>
    <t>Garnets Orchard Poorscript Lane</t>
  </si>
  <si>
    <t>Grosmont</t>
  </si>
  <si>
    <t>NP7 8LP</t>
  </si>
  <si>
    <t>CBDU10122</t>
  </si>
  <si>
    <t>1 Tribute Avenue Cwmcarn</t>
  </si>
  <si>
    <t>NP11 7EQ</t>
  </si>
  <si>
    <t>CBDU10123</t>
  </si>
  <si>
    <t xml:space="preserve">10 Lavinia Drive </t>
  </si>
  <si>
    <t>SA72 6QY</t>
  </si>
  <si>
    <t>CBDU10124</t>
  </si>
  <si>
    <t xml:space="preserve">11 Pencoedtre Road </t>
  </si>
  <si>
    <t>CF63 1SD</t>
  </si>
  <si>
    <t>CBDU10126</t>
  </si>
  <si>
    <t xml:space="preserve">17 Hillside Road </t>
  </si>
  <si>
    <t>LL29 7EL</t>
  </si>
  <si>
    <t>CBDU10592</t>
  </si>
  <si>
    <t>110 Moss Lane Hesketh Bank</t>
  </si>
  <si>
    <t>PR4 6AD</t>
  </si>
  <si>
    <t>CBDU10594</t>
  </si>
  <si>
    <t>Llysceri Cynwyl Elfed</t>
  </si>
  <si>
    <t>CBDL10595</t>
  </si>
  <si>
    <t xml:space="preserve">90 Shakespeare Avenue </t>
  </si>
  <si>
    <t>SA73 2JL</t>
  </si>
  <si>
    <t>CBDL10597</t>
  </si>
  <si>
    <t>80 Llannon Road Pontyberem</t>
  </si>
  <si>
    <t>SA15 5NB</t>
  </si>
  <si>
    <t>CBDL10959</t>
  </si>
  <si>
    <t xml:space="preserve">6 Heol Dyfed </t>
  </si>
  <si>
    <t>SA65 9DR</t>
  </si>
  <si>
    <t>CBDU10962</t>
  </si>
  <si>
    <t xml:space="preserve">15 Heol Panteg </t>
  </si>
  <si>
    <t>SA16 0YH</t>
  </si>
  <si>
    <t>CBDU10963</t>
  </si>
  <si>
    <t>128 School Street Llanbradach</t>
  </si>
  <si>
    <t>CF83 3NB</t>
  </si>
  <si>
    <t>CBDU10967</t>
  </si>
  <si>
    <t>4 Tan Y Bryn Llandygai</t>
  </si>
  <si>
    <t>LL57 4LG</t>
  </si>
  <si>
    <t>CBDU10968</t>
  </si>
  <si>
    <t>Garthmyn Isaf Maenan</t>
  </si>
  <si>
    <t>LL26 0UF</t>
  </si>
  <si>
    <t>CBDU10706</t>
  </si>
  <si>
    <t>Dan-y-Coed Olmarch Farm</t>
  </si>
  <si>
    <t>Llandeloy</t>
  </si>
  <si>
    <t>SA62 6NB</t>
  </si>
  <si>
    <t>CBDU10710</t>
  </si>
  <si>
    <t>156 Clydach Road Morriston</t>
  </si>
  <si>
    <t>SA6 6QB</t>
  </si>
  <si>
    <t>CBDU10711</t>
  </si>
  <si>
    <t xml:space="preserve">8 Trafalgar Road </t>
  </si>
  <si>
    <t>SA73 2AS</t>
  </si>
  <si>
    <t>CBDU10713</t>
  </si>
  <si>
    <t>Bryndewi Llanddewi Brefi</t>
  </si>
  <si>
    <t>SY25 6RX</t>
  </si>
  <si>
    <t>CBDU10715</t>
  </si>
  <si>
    <t xml:space="preserve">47 Maesycoed </t>
  </si>
  <si>
    <t>SA18 2JB</t>
  </si>
  <si>
    <t>CBDU10716</t>
  </si>
  <si>
    <t xml:space="preserve">6 Solva Close </t>
  </si>
  <si>
    <t>CF62 9EJ</t>
  </si>
  <si>
    <t>CBDL11219</t>
  </si>
  <si>
    <t xml:space="preserve">Village Road </t>
  </si>
  <si>
    <t>LL33 0NW</t>
  </si>
  <si>
    <t>CBDU11221</t>
  </si>
  <si>
    <t>92A Alexandra Road Gorseinon</t>
  </si>
  <si>
    <t>SA4 4NX</t>
  </si>
  <si>
    <t>CBDU11223</t>
  </si>
  <si>
    <t>234 Heol Dulais Birchgrove</t>
  </si>
  <si>
    <t>SA7 9LH</t>
  </si>
  <si>
    <t>CBDL11226</t>
  </si>
  <si>
    <t>Sunset Llanddewi Rhydderch</t>
  </si>
  <si>
    <t>NP7 9TP</t>
  </si>
  <si>
    <t>CBDU11227</t>
  </si>
  <si>
    <t>Ty Engan Sarn</t>
  </si>
  <si>
    <t>LL53 8EY</t>
  </si>
  <si>
    <t>CBDU11230</t>
  </si>
  <si>
    <t xml:space="preserve">54 Glamorgan Street </t>
  </si>
  <si>
    <t>CF45 3HX</t>
  </si>
  <si>
    <t>CBDL11231</t>
  </si>
  <si>
    <t xml:space="preserve">48 Denbigh Court </t>
  </si>
  <si>
    <t>CF83 2UN</t>
  </si>
  <si>
    <t>CBDL12027</t>
  </si>
  <si>
    <t xml:space="preserve">145 Marsh Road </t>
  </si>
  <si>
    <t>CBDU12028</t>
  </si>
  <si>
    <t>West Lodge East Lexham</t>
  </si>
  <si>
    <t>PE32 2QL</t>
  </si>
  <si>
    <t>CBDU12029</t>
  </si>
  <si>
    <t>42 Village Farm Bonvilston</t>
  </si>
  <si>
    <t>CF5 6TY</t>
  </si>
  <si>
    <t>CBDU12031</t>
  </si>
  <si>
    <t>10 Cynlas Kinmel Bay</t>
  </si>
  <si>
    <t>LL18 5LP</t>
  </si>
  <si>
    <t>CBDL12033</t>
  </si>
  <si>
    <t xml:space="preserve">96 Belchers Lane </t>
  </si>
  <si>
    <t>B8 3EX</t>
  </si>
  <si>
    <t>CBDU12034</t>
  </si>
  <si>
    <t>CBDL12036</t>
  </si>
  <si>
    <t xml:space="preserve">68 Maes Gwynedd </t>
  </si>
  <si>
    <t>CBDU12039</t>
  </si>
  <si>
    <t>Penarddwnion Fach Rhydymain</t>
  </si>
  <si>
    <t>LL40 2BY</t>
  </si>
  <si>
    <t>CBDU11490</t>
  </si>
  <si>
    <t>22 Lougher Place North Cornelly</t>
  </si>
  <si>
    <t>CF33 4BL</t>
  </si>
  <si>
    <t>CBDL11494</t>
  </si>
  <si>
    <t xml:space="preserve">10 Lady Park </t>
  </si>
  <si>
    <t>SA70 8JH</t>
  </si>
  <si>
    <t>CBDU11500</t>
  </si>
  <si>
    <t xml:space="preserve">15 Herbert Street </t>
  </si>
  <si>
    <t>CF31 1TJ</t>
  </si>
  <si>
    <t>CBDU11710</t>
  </si>
  <si>
    <t>Ivy Barn Cottage West Side</t>
  </si>
  <si>
    <t>North Littleton</t>
  </si>
  <si>
    <t>WR11 8QP</t>
  </si>
  <si>
    <t>CBDL11711</t>
  </si>
  <si>
    <t>Talcen Tylwch</t>
  </si>
  <si>
    <t>SY18 6JP</t>
  </si>
  <si>
    <t>CBDU11716</t>
  </si>
  <si>
    <t>6 Penrice Street Morriston</t>
  </si>
  <si>
    <t>CBDU11722</t>
  </si>
  <si>
    <t>58 Caldicot Road Rogiet</t>
  </si>
  <si>
    <t>NP26 3SG</t>
  </si>
  <si>
    <t>CBDU11723</t>
  </si>
  <si>
    <t xml:space="preserve">42 Graham Court </t>
  </si>
  <si>
    <t>CBDU11727</t>
  </si>
  <si>
    <t xml:space="preserve">4 Bridge Street </t>
  </si>
  <si>
    <t>SA20 0DS</t>
  </si>
  <si>
    <t>CBDL11728</t>
  </si>
  <si>
    <t xml:space="preserve">22 Bryn Siriol </t>
  </si>
  <si>
    <t>SA14 8AB</t>
  </si>
  <si>
    <t>CBDU12229</t>
  </si>
  <si>
    <t>91 Pant Bryn Isaf Llwynhendy</t>
  </si>
  <si>
    <t>SA14 9EQ</t>
  </si>
  <si>
    <t>CBDU12231</t>
  </si>
  <si>
    <t>1 Groesffordd Chwilog</t>
  </si>
  <si>
    <t>LL53 6PS</t>
  </si>
  <si>
    <t>CBDU12234</t>
  </si>
  <si>
    <t>Flat 2 Dros Y Mor</t>
  </si>
  <si>
    <t>LL46 2SW</t>
  </si>
  <si>
    <t>CBDU12235</t>
  </si>
  <si>
    <t>Acorn House Devitts Green Lane</t>
  </si>
  <si>
    <t>Arley</t>
  </si>
  <si>
    <t>CV7 8HP</t>
  </si>
  <si>
    <t>CBDL12239</t>
  </si>
  <si>
    <t>Flat 6 Llys Dewi</t>
  </si>
  <si>
    <t>Maes Dyfed</t>
  </si>
  <si>
    <t>SA62 6RZ</t>
  </si>
  <si>
    <t>CBDL12245</t>
  </si>
  <si>
    <t>111 Cwmbach Road Fforestfach</t>
  </si>
  <si>
    <t>CBDL12449</t>
  </si>
  <si>
    <t>10 Elm avenue</t>
  </si>
  <si>
    <t>Np263ex</t>
  </si>
  <si>
    <t>CBDU12450</t>
  </si>
  <si>
    <t xml:space="preserve">98 Kimberley Road </t>
  </si>
  <si>
    <t>CF23 5DN</t>
  </si>
  <si>
    <t>CBDL12452</t>
  </si>
  <si>
    <t xml:space="preserve">18 Greenfields Way </t>
  </si>
  <si>
    <t>BS23 3EZ</t>
  </si>
  <si>
    <t>CBDU12455</t>
  </si>
  <si>
    <t>CBDL12458</t>
  </si>
  <si>
    <t>Clydfan Llanuwchllyn</t>
  </si>
  <si>
    <t>LL23 7TY</t>
  </si>
  <si>
    <t>CBDL12462</t>
  </si>
  <si>
    <t>Rock View Cottage St. Davids</t>
  </si>
  <si>
    <t>SA62 6QD</t>
  </si>
  <si>
    <t>CBDL12790</t>
  </si>
  <si>
    <t xml:space="preserve">14 Nant-Ddu Terrace </t>
  </si>
  <si>
    <t>CF46 5NL</t>
  </si>
  <si>
    <t>CBDL12796</t>
  </si>
  <si>
    <t xml:space="preserve">8 St. Marys Court </t>
  </si>
  <si>
    <t>SA70 7HH</t>
  </si>
  <si>
    <t>CBDU12799</t>
  </si>
  <si>
    <t>38 Maes Y Wern Carway</t>
  </si>
  <si>
    <t>SA17 4HF</t>
  </si>
  <si>
    <t>CBDU12589</t>
  </si>
  <si>
    <t xml:space="preserve">35 Sullivan Close </t>
  </si>
  <si>
    <t>CF64 3QR</t>
  </si>
  <si>
    <t>CBDU12591</t>
  </si>
  <si>
    <t>CBDU12593</t>
  </si>
  <si>
    <t xml:space="preserve">36 Woods Row Court </t>
  </si>
  <si>
    <t>SA31 1BY</t>
  </si>
  <si>
    <t>CBDU13011</t>
  </si>
  <si>
    <t xml:space="preserve">16 Gron Ffordd </t>
  </si>
  <si>
    <t>CF14 6SJ</t>
  </si>
  <si>
    <t>CBDU13012</t>
  </si>
  <si>
    <t>Penyfodau Fawr Farm Gorseinon</t>
  </si>
  <si>
    <t>SA4 4LN</t>
  </si>
  <si>
    <t>CBDL13014</t>
  </si>
  <si>
    <t>49 Victoria Street Dowlais</t>
  </si>
  <si>
    <t>CF48 3RW</t>
  </si>
  <si>
    <t>CBDL13016</t>
  </si>
  <si>
    <t>Triol Brith Rhos</t>
  </si>
  <si>
    <t>SA44 5AE</t>
  </si>
  <si>
    <t>CBDU13017</t>
  </si>
  <si>
    <t xml:space="preserve">17 Princess Street </t>
  </si>
  <si>
    <t>SA15 2TB</t>
  </si>
  <si>
    <t>CBDL13022</t>
  </si>
  <si>
    <t>25 Plumley Close North Cornelly</t>
  </si>
  <si>
    <t>CF33 4LP</t>
  </si>
  <si>
    <t>CBDU13175</t>
  </si>
  <si>
    <t>Pen Cae Drain Farm Pontneddfechan</t>
  </si>
  <si>
    <t>Glyn Neath</t>
  </si>
  <si>
    <t>SA11 5NF</t>
  </si>
  <si>
    <t>CBDU13176</t>
  </si>
  <si>
    <t>Anchor Lodge Anchor Lane</t>
  </si>
  <si>
    <t>Deal</t>
  </si>
  <si>
    <t>CT14 6AJ</t>
  </si>
  <si>
    <t>CBDL13182</t>
  </si>
  <si>
    <t>Unit 2  Maesdu Road</t>
  </si>
  <si>
    <t>CBDU13579</t>
  </si>
  <si>
    <t xml:space="preserve">47 Castle Hill </t>
  </si>
  <si>
    <t>LL16 3ND</t>
  </si>
  <si>
    <t>CBDU13580</t>
  </si>
  <si>
    <t xml:space="preserve">2 Brigstocke Terrace </t>
  </si>
  <si>
    <t>SA17 5SH</t>
  </si>
  <si>
    <t>CBDU13582</t>
  </si>
  <si>
    <t>Silverstone Church Lake Terrace</t>
  </si>
  <si>
    <t>SA73 1RX</t>
  </si>
  <si>
    <t>CBDU13583</t>
  </si>
  <si>
    <t xml:space="preserve">28 Gower View </t>
  </si>
  <si>
    <t>SA15 3SN</t>
  </si>
  <si>
    <t>CBDU13584</t>
  </si>
  <si>
    <t>65 Llwyn Crwn Road Llansamlet</t>
  </si>
  <si>
    <t>SA7 9QW</t>
  </si>
  <si>
    <t>CBDU13585</t>
  </si>
  <si>
    <t>19 Harris Avenue Rumney</t>
  </si>
  <si>
    <t>CF3 1QA</t>
  </si>
  <si>
    <t>CBDU13591</t>
  </si>
  <si>
    <t>129 Lamby Way Ind Park</t>
  </si>
  <si>
    <t>CBDL125</t>
  </si>
  <si>
    <t>CBDL126</t>
  </si>
  <si>
    <t>Coytrahen Post Office Heol Cefn Ydfa</t>
  </si>
  <si>
    <t>CF32 0DU</t>
  </si>
  <si>
    <t>CBDL127</t>
  </si>
  <si>
    <t>CBDL130</t>
  </si>
  <si>
    <t>12 Lalestone Close</t>
  </si>
  <si>
    <t>CF63 1UA</t>
  </si>
  <si>
    <t>CBDL131</t>
  </si>
  <si>
    <t>CBDL134</t>
  </si>
  <si>
    <t>Hidden Valley Caravan Park Maesmawr</t>
  </si>
  <si>
    <t>SY21 9DB</t>
  </si>
  <si>
    <t>CBDL139</t>
  </si>
  <si>
    <t>Caersws Fish Bar Station Road</t>
  </si>
  <si>
    <t>SY17 5EQ</t>
  </si>
  <si>
    <t>CBDL140</t>
  </si>
  <si>
    <t>1 The Close</t>
  </si>
  <si>
    <t>Upper Bryn Coch</t>
  </si>
  <si>
    <t>CH7 1QA</t>
  </si>
  <si>
    <t>CBDL374</t>
  </si>
  <si>
    <t>CF64 1LU</t>
  </si>
  <si>
    <t>CBDL375</t>
  </si>
  <si>
    <t>CBDL376</t>
  </si>
  <si>
    <t>CBDL377</t>
  </si>
  <si>
    <t>CBDL378</t>
  </si>
  <si>
    <t>CBDL379</t>
  </si>
  <si>
    <t>CBDL380</t>
  </si>
  <si>
    <t>CBDL381</t>
  </si>
  <si>
    <t>CBDL382</t>
  </si>
  <si>
    <t>CBDL383</t>
  </si>
  <si>
    <t>CBDL384</t>
  </si>
  <si>
    <t>CBDL627</t>
  </si>
  <si>
    <t>2 Castle View</t>
  </si>
  <si>
    <t>Berrien Road</t>
  </si>
  <si>
    <t>SY21 7SR</t>
  </si>
  <si>
    <t>CBDL628</t>
  </si>
  <si>
    <t>Y Berth Brynfiencyn</t>
  </si>
  <si>
    <t>LL61 6SQ</t>
  </si>
  <si>
    <t>CBDL631</t>
  </si>
  <si>
    <t>129 Splott Road</t>
  </si>
  <si>
    <t>CF24 2BY</t>
  </si>
  <si>
    <t>CBDL632</t>
  </si>
  <si>
    <t>Go Le Gallois Resturant Pont yr Afon</t>
  </si>
  <si>
    <t>Penmaen Mawr</t>
  </si>
  <si>
    <t>LL34 6AD</t>
  </si>
  <si>
    <t>CBDL634</t>
  </si>
  <si>
    <t>Half Moon Cottage Chamcery Lane</t>
  </si>
  <si>
    <t>HR3 5BL</t>
  </si>
  <si>
    <t>CBDL637</t>
  </si>
  <si>
    <t>6 William Nichols Drive</t>
  </si>
  <si>
    <t>CF3 5DE</t>
  </si>
  <si>
    <t>CBDL639</t>
  </si>
  <si>
    <t>Colhugh Villa Flanders road</t>
  </si>
  <si>
    <t>CBDL641</t>
  </si>
  <si>
    <t>23 Davis Street</t>
  </si>
  <si>
    <t>Plasmarl</t>
  </si>
  <si>
    <t>SA6 8LF</t>
  </si>
  <si>
    <t>CBDL822</t>
  </si>
  <si>
    <t>47  Newton Nottage road</t>
  </si>
  <si>
    <t>Cf36 5rr</t>
  </si>
  <si>
    <t>CBDL824</t>
  </si>
  <si>
    <t>11 Penrhyn road</t>
  </si>
  <si>
    <t>Ll298lg</t>
  </si>
  <si>
    <t>CBDL827</t>
  </si>
  <si>
    <t>Salop House Wern Fechan</t>
  </si>
  <si>
    <t>CBDL828</t>
  </si>
  <si>
    <t>CBDL829</t>
  </si>
  <si>
    <t>7 FAIRVIEW CRESCENT</t>
  </si>
  <si>
    <t>LL198SB</t>
  </si>
  <si>
    <t>CBDL831</t>
  </si>
  <si>
    <t>29 Arbourcourt Avenue</t>
  </si>
  <si>
    <t>Esh Winning</t>
  </si>
  <si>
    <t>DH7 9HZ</t>
  </si>
  <si>
    <t>CBDL834</t>
  </si>
  <si>
    <t>Mounds Caravan Park Tyn y morfa</t>
  </si>
  <si>
    <t>Hollywell</t>
  </si>
  <si>
    <t>CBDL1065</t>
  </si>
  <si>
    <t>copybush farm st florence</t>
  </si>
  <si>
    <t>tenby</t>
  </si>
  <si>
    <t>sa708lx</t>
  </si>
  <si>
    <t>CBDL1070</t>
  </si>
  <si>
    <t>148 north road</t>
  </si>
  <si>
    <t>ferndale</t>
  </si>
  <si>
    <t>cf434ra</t>
  </si>
  <si>
    <t>CBDL1073</t>
  </si>
  <si>
    <t>9 - 12 Market Arcade</t>
  </si>
  <si>
    <t>CBDL1076</t>
  </si>
  <si>
    <t>Haulwen Tregynon</t>
  </si>
  <si>
    <t>CBDL1078</t>
  </si>
  <si>
    <t>LLWYN LLANDRE</t>
  </si>
  <si>
    <t>BOW STREET</t>
  </si>
  <si>
    <t>CBDL1308</t>
  </si>
  <si>
    <t>94 aneurin bevan ave</t>
  </si>
  <si>
    <t>gelligaer</t>
  </si>
  <si>
    <t>cf828et</t>
  </si>
  <si>
    <t>CBDL1309</t>
  </si>
  <si>
    <t>Bryncelyn High Street</t>
  </si>
  <si>
    <t>Senny Bridge</t>
  </si>
  <si>
    <t>LD3 8PG</t>
  </si>
  <si>
    <t>CBDL1310</t>
  </si>
  <si>
    <t>20 tan y coed</t>
  </si>
  <si>
    <t>ll13 8yh</t>
  </si>
  <si>
    <t>CBDL1312</t>
  </si>
  <si>
    <t>120 High Street</t>
  </si>
  <si>
    <t>LL19 9BH</t>
  </si>
  <si>
    <t>CBDL1313</t>
  </si>
  <si>
    <t>1 Talbot Street</t>
  </si>
  <si>
    <t>SA3 4AL</t>
  </si>
  <si>
    <t>CBDL1318</t>
  </si>
  <si>
    <t>20 burton cresent</t>
  </si>
  <si>
    <t>weobley</t>
  </si>
  <si>
    <t>herefordshire</t>
  </si>
  <si>
    <t>hr48tb</t>
  </si>
  <si>
    <t>CBDL1320</t>
  </si>
  <si>
    <t xml:space="preserve">Peacehaven  Capel Isaac </t>
  </si>
  <si>
    <t>Capel Isaac</t>
  </si>
  <si>
    <t>Sa197ud</t>
  </si>
  <si>
    <t>CBDL1548</t>
  </si>
  <si>
    <t xml:space="preserve">5 Heol Trenewydd </t>
  </si>
  <si>
    <t>Caerau</t>
  </si>
  <si>
    <t>cf5 5lu</t>
  </si>
  <si>
    <t>CBDL1550</t>
  </si>
  <si>
    <t>30 port lion</t>
  </si>
  <si>
    <t>llangwm</t>
  </si>
  <si>
    <t>SA624JT</t>
  </si>
  <si>
    <t>CBDL1551</t>
  </si>
  <si>
    <t>33 Catherine drive</t>
  </si>
  <si>
    <t xml:space="preserve">Cardiff </t>
  </si>
  <si>
    <t xml:space="preserve">Cf157jt </t>
  </si>
  <si>
    <t>CBDL1552</t>
  </si>
  <si>
    <t>Old Mills Trewern</t>
  </si>
  <si>
    <t>SY21 8ED</t>
  </si>
  <si>
    <t>CBDL1553</t>
  </si>
  <si>
    <t>84 mount pleasant gowerton mount pleasant gowerton</t>
  </si>
  <si>
    <t>CBDL1554</t>
  </si>
  <si>
    <t>CBDL1555</t>
  </si>
  <si>
    <t>16a Field View Road</t>
  </si>
  <si>
    <t>CF63 1ED</t>
  </si>
  <si>
    <t>CBDL1561</t>
  </si>
  <si>
    <t>Abernant Landrovers Abernant Colliery</t>
  </si>
  <si>
    <t>Rhyd y Fro</t>
  </si>
  <si>
    <t>CBDL1759</t>
  </si>
  <si>
    <t>Longridge Hill Street</t>
  </si>
  <si>
    <t>LL14 3JQ</t>
  </si>
  <si>
    <t>CBDL1763</t>
  </si>
  <si>
    <t xml:space="preserve">20 Bridge Street </t>
  </si>
  <si>
    <t>CBDL1769</t>
  </si>
  <si>
    <t>Heatherlea Four Crosses</t>
  </si>
  <si>
    <t>CBDL1772</t>
  </si>
  <si>
    <t xml:space="preserve">13 Bertram Street </t>
  </si>
  <si>
    <t>CF24 1NX</t>
  </si>
  <si>
    <t>CBDL1773</t>
  </si>
  <si>
    <t xml:space="preserve">4 Tai Clwch  Rhosmeirch </t>
  </si>
  <si>
    <t xml:space="preserve">Llangefni </t>
  </si>
  <si>
    <t xml:space="preserve">LL777sj </t>
  </si>
  <si>
    <t>CBDL2013</t>
  </si>
  <si>
    <t>Royal Boot Stores West Street</t>
  </si>
  <si>
    <t>SA65 9AE</t>
  </si>
  <si>
    <t>CBDL2199</t>
  </si>
  <si>
    <t>6 Green Avenue Bae Cinmel</t>
  </si>
  <si>
    <t>CBDL2669</t>
  </si>
  <si>
    <t xml:space="preserve">60 Ffordd Garnedd </t>
  </si>
  <si>
    <t>LL56 4QY</t>
  </si>
  <si>
    <t>CBDL2671</t>
  </si>
  <si>
    <t xml:space="preserve">22 Llys Y Brenin </t>
  </si>
  <si>
    <t>LD8 2AJ</t>
  </si>
  <si>
    <t>CBDL2678</t>
  </si>
  <si>
    <t xml:space="preserve">15 Clos Coed Bach </t>
  </si>
  <si>
    <t>NP12 1GT</t>
  </si>
  <si>
    <t>CBDL3094</t>
  </si>
  <si>
    <t>59 Hill View Road Llanrhos</t>
  </si>
  <si>
    <t>CBDL3099</t>
  </si>
  <si>
    <t>33 Glynne Way Penarlag</t>
  </si>
  <si>
    <t>CH5 3NS</t>
  </si>
  <si>
    <t>CBDL3102</t>
  </si>
  <si>
    <t xml:space="preserve">52 Bryn Coch </t>
  </si>
  <si>
    <t>LL11 3DN</t>
  </si>
  <si>
    <t>CBDL3103</t>
  </si>
  <si>
    <t>Flat 6 Sutherland Court</t>
  </si>
  <si>
    <t>Cranleigh Rise</t>
  </si>
  <si>
    <t>CF3 4AP</t>
  </si>
  <si>
    <t>CBDL2878</t>
  </si>
  <si>
    <t xml:space="preserve">9 Suffolk Drive </t>
  </si>
  <si>
    <t>SS15 6PL</t>
  </si>
  <si>
    <t>CBDL2881</t>
  </si>
  <si>
    <t>Gwarycoed Pantypwllau</t>
  </si>
  <si>
    <t>CF35 6BP</t>
  </si>
  <si>
    <t>CBDL2882</t>
  </si>
  <si>
    <t>Gellygarn Llanllyr</t>
  </si>
  <si>
    <t>LD1 6EY</t>
  </si>
  <si>
    <t>CBDL3328</t>
  </si>
  <si>
    <t>Yr Aber Dinas Mawddwy</t>
  </si>
  <si>
    <t>SY20 9JG</t>
  </si>
  <si>
    <t>CBDL3334</t>
  </si>
  <si>
    <t>Pen Yr Heol Cantref</t>
  </si>
  <si>
    <t>LD3 8LP</t>
  </si>
  <si>
    <t>CBDL3601</t>
  </si>
  <si>
    <t>23 Tan Yr Allt Avenue Mochdre</t>
  </si>
  <si>
    <t>CBDL3602</t>
  </si>
  <si>
    <t>64 Heol Cwmaman Glanamman</t>
  </si>
  <si>
    <t>CBDL3614</t>
  </si>
  <si>
    <t xml:space="preserve">50 Gurnos Road </t>
  </si>
  <si>
    <t>CF47 9RF</t>
  </si>
  <si>
    <t>CBDL3837</t>
  </si>
  <si>
    <t>Castle Cottage Penycaemawr</t>
  </si>
  <si>
    <t>NP15 1NA</t>
  </si>
  <si>
    <t>CBDL4346</t>
  </si>
  <si>
    <t>CBDL4347</t>
  </si>
  <si>
    <t>38 Delhi Street St. Thomas</t>
  </si>
  <si>
    <t>SA1 8BW</t>
  </si>
  <si>
    <t>CBDL4348</t>
  </si>
  <si>
    <t>CBDL4582</t>
  </si>
  <si>
    <t>6 Gwarfelin Llanilar</t>
  </si>
  <si>
    <t>SY23 4PE</t>
  </si>
  <si>
    <t>CBDL5016</t>
  </si>
  <si>
    <t xml:space="preserve">36 Pen Y Cae </t>
  </si>
  <si>
    <t>LL22 9AX</t>
  </si>
  <si>
    <t>CBDL4102</t>
  </si>
  <si>
    <t xml:space="preserve">5 Lon-y-Nant </t>
  </si>
  <si>
    <t>CF14 4ST</t>
  </si>
  <si>
    <t>CBDL4104</t>
  </si>
  <si>
    <t>gwerthonor road gilfach</t>
  </si>
  <si>
    <t>bargoed</t>
  </si>
  <si>
    <t>mid glam</t>
  </si>
  <si>
    <t>cf81 8js</t>
  </si>
  <si>
    <t>CBDL4108</t>
  </si>
  <si>
    <t xml:space="preserve">19 Adversane Road </t>
  </si>
  <si>
    <t>BN14 7QJ</t>
  </si>
  <si>
    <t>CBDL4767</t>
  </si>
  <si>
    <t xml:space="preserve">60 Marl Drive </t>
  </si>
  <si>
    <t>LL31 9LL</t>
  </si>
  <si>
    <t>CBDU5521</t>
  </si>
  <si>
    <t>36 Fountain Road Pontymoile</t>
  </si>
  <si>
    <t>NP4 8HU</t>
  </si>
  <si>
    <t>CBDL5522</t>
  </si>
  <si>
    <t xml:space="preserve">9 Ger-y-Castell </t>
  </si>
  <si>
    <t>SA17 4TS</t>
  </si>
  <si>
    <t>CBDU5525</t>
  </si>
  <si>
    <t xml:space="preserve">31 High Street </t>
  </si>
  <si>
    <t>SA15 2RF</t>
  </si>
  <si>
    <t>CBDU5528</t>
  </si>
  <si>
    <t xml:space="preserve">25 Cambria Street </t>
  </si>
  <si>
    <t>LL65 1NH</t>
  </si>
  <si>
    <t>CBDU5768</t>
  </si>
  <si>
    <t>34 Sandy Lane Garden City</t>
  </si>
  <si>
    <t>CH5 2JG</t>
  </si>
  <si>
    <t>CBDL5774</t>
  </si>
  <si>
    <t>Copnill Farm Ashby Road</t>
  </si>
  <si>
    <t>B79 0BT</t>
  </si>
  <si>
    <t>CBDU5775</t>
  </si>
  <si>
    <t xml:space="preserve">50 New Road </t>
  </si>
  <si>
    <t>LL11 2ES</t>
  </si>
  <si>
    <t>CBDU5776</t>
  </si>
  <si>
    <t xml:space="preserve">106 Pontshonnorton Road </t>
  </si>
  <si>
    <t>CF37 4ND</t>
  </si>
  <si>
    <t>CBDU5778</t>
  </si>
  <si>
    <t xml:space="preserve">121 Wellington Road </t>
  </si>
  <si>
    <t>LL18 1LE</t>
  </si>
  <si>
    <t>CBDL5779</t>
  </si>
  <si>
    <t>42 Dan Caerlan Llantrisant</t>
  </si>
  <si>
    <t>CF72 8HB</t>
  </si>
  <si>
    <t>CBDU5781</t>
  </si>
  <si>
    <t>Torrington Court 23 Lynmouth Crescent</t>
  </si>
  <si>
    <t>CF3 4AT</t>
  </si>
  <si>
    <t>CBDL5252</t>
  </si>
  <si>
    <t>Gwarcal Tagy Roch</t>
  </si>
  <si>
    <t>SA62 6HF</t>
  </si>
  <si>
    <t>CBDU6268</t>
  </si>
  <si>
    <t>Llygad Yr Ych 31 Capel Isaf Road</t>
  </si>
  <si>
    <t>SA15 1QD</t>
  </si>
  <si>
    <t>CBDU6276</t>
  </si>
  <si>
    <t>3 Capital Buildings Gurnos Road</t>
  </si>
  <si>
    <t>SA9 2JS</t>
  </si>
  <si>
    <t>CBDU6278</t>
  </si>
  <si>
    <t>Gerdinen Ganol Felindre</t>
  </si>
  <si>
    <t>SA5 7PX</t>
  </si>
  <si>
    <t>CBDL6282</t>
  </si>
  <si>
    <t>1 Blackthorn Court Llanhari</t>
  </si>
  <si>
    <t>CF72 9WU</t>
  </si>
  <si>
    <t>CBDU6283</t>
  </si>
  <si>
    <t>Yr Efail Aberbechan</t>
  </si>
  <si>
    <t>SY16 3AX</t>
  </si>
  <si>
    <t>CBDU6284</t>
  </si>
  <si>
    <t>10 Brynteg Avenue Pontllanfraith</t>
  </si>
  <si>
    <t>NP12 2BY</t>
  </si>
  <si>
    <t>CBDL6285</t>
  </si>
  <si>
    <t>4 Cae'r Berllan Llangaffo</t>
  </si>
  <si>
    <t>LL60 6ND</t>
  </si>
  <si>
    <t>CBDL6289</t>
  </si>
  <si>
    <t xml:space="preserve">4 Stryd Rolant </t>
  </si>
  <si>
    <t>LL55 1EH</t>
  </si>
  <si>
    <t>CBDU6016</t>
  </si>
  <si>
    <t>Siop Newydd Bodffordd</t>
  </si>
  <si>
    <t>CBDU6018</t>
  </si>
  <si>
    <t xml:space="preserve">5 Ty Mawr </t>
  </si>
  <si>
    <t>LL59 5LJ</t>
  </si>
  <si>
    <t>CBDL6026</t>
  </si>
  <si>
    <t>4 Gerddi'r Berse Berse Road</t>
  </si>
  <si>
    <t>Caego</t>
  </si>
  <si>
    <t>LL11 6TQ</t>
  </si>
  <si>
    <t>CBDU6027</t>
  </si>
  <si>
    <t>Tyle Crwn Woodlands Llanfilo</t>
  </si>
  <si>
    <t>LD3 0RF</t>
  </si>
  <si>
    <t>CBDU6028</t>
  </si>
  <si>
    <t>33 Clos Bevan Gowerton</t>
  </si>
  <si>
    <t>SA4 3GY</t>
  </si>
  <si>
    <t>CBDU6029</t>
  </si>
  <si>
    <t xml:space="preserve">15 Tree Tops Avenue </t>
  </si>
  <si>
    <t>NP12 1JF</t>
  </si>
  <si>
    <t>CBDL6032</t>
  </si>
  <si>
    <t>9 Clos Bryn Haul Llwynhendy</t>
  </si>
  <si>
    <t>SA14 9DZ</t>
  </si>
  <si>
    <t>CBDU6817</t>
  </si>
  <si>
    <t xml:space="preserve">17 Ffordd Manod </t>
  </si>
  <si>
    <t>CBDU6820</t>
  </si>
  <si>
    <t>Hafod y Bie Ponthirwain</t>
  </si>
  <si>
    <t>Sa43 2RL</t>
  </si>
  <si>
    <t>CBDU6821</t>
  </si>
  <si>
    <t>48 Fontygary Road Y Rhws</t>
  </si>
  <si>
    <t>CBDU6822</t>
  </si>
  <si>
    <t>69 Yr Aran Dunvant</t>
  </si>
  <si>
    <t>SA2 7PX</t>
  </si>
  <si>
    <t>CBDU6823</t>
  </si>
  <si>
    <t>Brookfield Llangyfelach</t>
  </si>
  <si>
    <t>SA5 7PA</t>
  </si>
  <si>
    <t>CBDU6825</t>
  </si>
  <si>
    <t>Unit 16 Lamby Workshop</t>
  </si>
  <si>
    <t>CBDU6575</t>
  </si>
  <si>
    <t>42 Flanshaw lane 42 Flanshaw lane</t>
  </si>
  <si>
    <t>Wf2 9jg</t>
  </si>
  <si>
    <t>CBDL6577</t>
  </si>
  <si>
    <t xml:space="preserve">82-84 Port Road East </t>
  </si>
  <si>
    <t>CBDU6578</t>
  </si>
  <si>
    <t xml:space="preserve">2 Vyrnwy Way </t>
  </si>
  <si>
    <t>LL13 9LE</t>
  </si>
  <si>
    <t>CBDL6580</t>
  </si>
  <si>
    <t>Pentre Hardd Farm Heol Troeon Bach</t>
  </si>
  <si>
    <t>SA4 0YU</t>
  </si>
  <si>
    <t>CBDL6581</t>
  </si>
  <si>
    <t xml:space="preserve">163 Mynachdy Road </t>
  </si>
  <si>
    <t>CF14 3HL</t>
  </si>
  <si>
    <t>CBDU6588</t>
  </si>
  <si>
    <t>4 gurnos road</t>
  </si>
  <si>
    <t>ystalyfera</t>
  </si>
  <si>
    <t>sa92hy</t>
  </si>
  <si>
    <t>CBDL7404</t>
  </si>
  <si>
    <t>190 Main Road Bryncoch</t>
  </si>
  <si>
    <t>CBDU7408</t>
  </si>
  <si>
    <t xml:space="preserve">145 Grand Avenue </t>
  </si>
  <si>
    <t>CF5 4LG</t>
  </si>
  <si>
    <t>CBDU7409</t>
  </si>
  <si>
    <t>Tyn-y-Caeau House New Road</t>
  </si>
  <si>
    <t>CF35 5LD</t>
  </si>
  <si>
    <t>CBDU7412</t>
  </si>
  <si>
    <t>24 Church Meadow Rhydymwyn</t>
  </si>
  <si>
    <t>CH7 5HX</t>
  </si>
  <si>
    <t>CBDU7417</t>
  </si>
  <si>
    <t>3 Gardd Eryri Dwygyfylchi</t>
  </si>
  <si>
    <t>LL34 6PW</t>
  </si>
  <si>
    <t>CBDL7418</t>
  </si>
  <si>
    <t>Bryn Celyn Login</t>
  </si>
  <si>
    <t>SA34 0TG</t>
  </si>
  <si>
    <t>CBDU7421</t>
  </si>
  <si>
    <t>SA38 9BX</t>
  </si>
  <si>
    <t>CBDU7422</t>
  </si>
  <si>
    <t>12 Penscynor</t>
  </si>
  <si>
    <t>Cilfrew</t>
  </si>
  <si>
    <t>SA10 8LF</t>
  </si>
  <si>
    <t>CBDL7173</t>
  </si>
  <si>
    <t xml:space="preserve">46 Maes Yr Ehedydd </t>
  </si>
  <si>
    <t>SA31 3GB</t>
  </si>
  <si>
    <t>CBDU7176</t>
  </si>
  <si>
    <t xml:space="preserve">3 Gwent Terrace </t>
  </si>
  <si>
    <t>CF39 0DF</t>
  </si>
  <si>
    <t>CBDL7178</t>
  </si>
  <si>
    <t>1 Police Houses Pemberton Road</t>
  </si>
  <si>
    <t>SA14 9BL</t>
  </si>
  <si>
    <t>CBDU7182</t>
  </si>
  <si>
    <t xml:space="preserve">13 Rosehill Road </t>
  </si>
  <si>
    <t>CBDU7183</t>
  </si>
  <si>
    <t xml:space="preserve">137 Fforddisa </t>
  </si>
  <si>
    <t>LL19 8EA</t>
  </si>
  <si>
    <t>CBDU7187</t>
  </si>
  <si>
    <t>48 Glaslyn Court</t>
  </si>
  <si>
    <t>NP44 2JE</t>
  </si>
  <si>
    <t>CBDU8061</t>
  </si>
  <si>
    <t xml:space="preserve">52 Eastville Avenue </t>
  </si>
  <si>
    <t>LL18 3TN</t>
  </si>
  <si>
    <t>CBDU8062</t>
  </si>
  <si>
    <t>84 Rhodfa'r Eos Cwmrhydyceirw</t>
  </si>
  <si>
    <t>SA6 6SW</t>
  </si>
  <si>
    <t>CBDL8064</t>
  </si>
  <si>
    <t>Tyddyn Bedol Isaf Mount Road</t>
  </si>
  <si>
    <t>LL33 0DW</t>
  </si>
  <si>
    <t>CBDL8065</t>
  </si>
  <si>
    <t>Clattwm Plas Chambres Road</t>
  </si>
  <si>
    <t>LL16 5UP</t>
  </si>
  <si>
    <t>CBDU8066</t>
  </si>
  <si>
    <t xml:space="preserve">48 Heol Hendre </t>
  </si>
  <si>
    <t>CF14 6PL</t>
  </si>
  <si>
    <t>CBDU8071</t>
  </si>
  <si>
    <t xml:space="preserve">Derwen Deg </t>
  </si>
  <si>
    <t>LL71 8EL</t>
  </si>
  <si>
    <t>CBDU8074</t>
  </si>
  <si>
    <t>37 Cae Rhedyn Rhos</t>
  </si>
  <si>
    <t>SA8 3HX</t>
  </si>
  <si>
    <t>CBDU8078</t>
  </si>
  <si>
    <t>CBDL8079</t>
  </si>
  <si>
    <t>11 Penybryn Street Gilfach Goch</t>
  </si>
  <si>
    <t>CF39 8TN</t>
  </si>
  <si>
    <t>CBDL8082</t>
  </si>
  <si>
    <t>38 Viaduct Court Lower Cwm</t>
  </si>
  <si>
    <t>NP4 5SP</t>
  </si>
  <si>
    <t>CBDU8084</t>
  </si>
  <si>
    <t>Cardiff House Clearance Unit 20B</t>
  </si>
  <si>
    <t>Wholesale Fruit Centre</t>
  </si>
  <si>
    <t>CF11 8BB</t>
  </si>
  <si>
    <t>CBDU7828</t>
  </si>
  <si>
    <t>Y Stabl Ty Nant</t>
  </si>
  <si>
    <t>LL21 0PR</t>
  </si>
  <si>
    <t>CBDU7831</t>
  </si>
  <si>
    <t>22 Greenfield Terrace Pontyberem</t>
  </si>
  <si>
    <t>SA15 5AW</t>
  </si>
  <si>
    <t>CBDL7832</t>
  </si>
  <si>
    <t>90 March Hywel</t>
  </si>
  <si>
    <t>SA10 8ND</t>
  </si>
  <si>
    <t>CBDU7836</t>
  </si>
  <si>
    <t>95 Heol Cwmmawr Drefach</t>
  </si>
  <si>
    <t>SA14 7AE</t>
  </si>
  <si>
    <t>CBDL8471</t>
  </si>
  <si>
    <t>24 Dolithel Bryncrug</t>
  </si>
  <si>
    <t>LL36 9RR</t>
  </si>
  <si>
    <t>CBDU8473</t>
  </si>
  <si>
    <t xml:space="preserve">40 Cardiff Road </t>
  </si>
  <si>
    <t>CF44 6HJ</t>
  </si>
  <si>
    <t>CBDL8474</t>
  </si>
  <si>
    <t>19 Aelybryn Pantygraigwen</t>
  </si>
  <si>
    <t>CF37 2RU</t>
  </si>
  <si>
    <t>CBDU8477</t>
  </si>
  <si>
    <t>Unit D South Blackvein Ind Est</t>
  </si>
  <si>
    <t>Crosskeys Gwent</t>
  </si>
  <si>
    <t>CBDU8480</t>
  </si>
  <si>
    <t>12 Maesgrenig Glanamman</t>
  </si>
  <si>
    <t>SA18 1EZ</t>
  </si>
  <si>
    <t>CBDU8482</t>
  </si>
  <si>
    <t>10 Upper Colbren Road Gwaun Cae Gurwen</t>
  </si>
  <si>
    <t>SA18 1HR</t>
  </si>
  <si>
    <t>CBDL8485</t>
  </si>
  <si>
    <t>Aberkinsey Farm Dyserth</t>
  </si>
  <si>
    <t>LL18 6BL</t>
  </si>
  <si>
    <t>CBDU8727</t>
  </si>
  <si>
    <t>CBDU8730</t>
  </si>
  <si>
    <t>9 Milfraen Avenue Nantyglo</t>
  </si>
  <si>
    <t>NP23 4PR</t>
  </si>
  <si>
    <t>CBDU8731</t>
  </si>
  <si>
    <t>Unit 12-13 Martin Road</t>
  </si>
  <si>
    <t>CBDL8732</t>
  </si>
  <si>
    <t>2 Pant Road Dowlais</t>
  </si>
  <si>
    <t>CBDL8733</t>
  </si>
  <si>
    <t>16-18 Commercial Street Pontnewydd</t>
  </si>
  <si>
    <t>NP44 1DZ</t>
  </si>
  <si>
    <t>CBDU8737</t>
  </si>
  <si>
    <t>Cae Gwyn Nant Peris</t>
  </si>
  <si>
    <t>LL55 4UH</t>
  </si>
  <si>
    <t>CBDU9105</t>
  </si>
  <si>
    <t xml:space="preserve">14 Brithweunydd Road </t>
  </si>
  <si>
    <t>CF40 2UB</t>
  </si>
  <si>
    <t>CBDL9109</t>
  </si>
  <si>
    <t xml:space="preserve">2 Llwyn Berry </t>
  </si>
  <si>
    <t>CF48 1DB</t>
  </si>
  <si>
    <t>CBDU9115</t>
  </si>
  <si>
    <t>152 Heol Dulais Birchgrove</t>
  </si>
  <si>
    <t>SA7 9LN</t>
  </si>
  <si>
    <t>CBDU9117</t>
  </si>
  <si>
    <t xml:space="preserve">Plas Y Cadno </t>
  </si>
  <si>
    <t>LD5 4SA</t>
  </si>
  <si>
    <t>CBDU9367</t>
  </si>
  <si>
    <t>Heol Ffaldau Brackla Ind Est</t>
  </si>
  <si>
    <t>CBDU9372</t>
  </si>
  <si>
    <t>14 Coleridge Crescent Killay</t>
  </si>
  <si>
    <t>SA2 7DJ</t>
  </si>
  <si>
    <t>CBDU9375</t>
  </si>
  <si>
    <t>39 Swallow Way Duffryn</t>
  </si>
  <si>
    <t>NP10 8WJ</t>
  </si>
  <si>
    <t>CBDL9381</t>
  </si>
  <si>
    <t>Beavers Hill The Ridgeway</t>
  </si>
  <si>
    <t>Manorbier</t>
  </si>
  <si>
    <t>SA70 8LQ</t>
  </si>
  <si>
    <t>CBDU9382</t>
  </si>
  <si>
    <t>Ty Mawr St. Brides Wentlooge</t>
  </si>
  <si>
    <t>CBDU9383</t>
  </si>
  <si>
    <t>Rhydymoch Llandysilio</t>
  </si>
  <si>
    <t>SA66 7UR</t>
  </si>
  <si>
    <t>CBDL9801</t>
  </si>
  <si>
    <t>Maesgwyn Station Terrace</t>
  </si>
  <si>
    <t>CBDU9805</t>
  </si>
  <si>
    <t>Flat 2 Clement Court</t>
  </si>
  <si>
    <t>4 Clement Avenue</t>
  </si>
  <si>
    <t>LL30 2ED</t>
  </si>
  <si>
    <t>CBDL9807</t>
  </si>
  <si>
    <t>CBDL9808</t>
  </si>
  <si>
    <t>1 Brynithon Ithon Road</t>
  </si>
  <si>
    <t>CBDU9809</t>
  </si>
  <si>
    <t xml:space="preserve">58 Tanygroes Street </t>
  </si>
  <si>
    <t>SA13 1EE</t>
  </si>
  <si>
    <t>CBDU9810</t>
  </si>
  <si>
    <t>Nyth Clyd Ffrwd Road</t>
  </si>
  <si>
    <t>NP4 8PF</t>
  </si>
  <si>
    <t>CBDU9814</t>
  </si>
  <si>
    <t>38 Maes Yr Efail Dunvant</t>
  </si>
  <si>
    <t>SA2 7PY</t>
  </si>
  <si>
    <t>CBDU9816</t>
  </si>
  <si>
    <t xml:space="preserve">7 Grove Terrace </t>
  </si>
  <si>
    <t>CF64 2NL</t>
  </si>
  <si>
    <t>CBDU9817</t>
  </si>
  <si>
    <t xml:space="preserve">113-114 Commercial Road </t>
  </si>
  <si>
    <t>CBDU9579</t>
  </si>
  <si>
    <t xml:space="preserve">65 Rothesay Road </t>
  </si>
  <si>
    <t>ST3 4QP</t>
  </si>
  <si>
    <t>CBDU9580</t>
  </si>
  <si>
    <t xml:space="preserve">30 Fircroft Avenue </t>
  </si>
  <si>
    <t>BN15 0NL</t>
  </si>
  <si>
    <t>CBDU9583</t>
  </si>
  <si>
    <t>45 Pastoral Way Sketty</t>
  </si>
  <si>
    <t>CBDL9586</t>
  </si>
  <si>
    <t>70  mallow road</t>
  </si>
  <si>
    <t>ip24 2yd</t>
  </si>
  <si>
    <t>CBDU9588</t>
  </si>
  <si>
    <t>32 Drage Road East Peckham</t>
  </si>
  <si>
    <t>Tonbridge</t>
  </si>
  <si>
    <t>TN12 5DA</t>
  </si>
  <si>
    <t>CBDL10038</t>
  </si>
  <si>
    <t xml:space="preserve">20 Avern Road </t>
  </si>
  <si>
    <t>KT8 2JB</t>
  </si>
  <si>
    <t>CBDU10039</t>
  </si>
  <si>
    <t>59 Awel Mor Llanedeyrn</t>
  </si>
  <si>
    <t>CF23 9QB</t>
  </si>
  <si>
    <t>CBDU10044</t>
  </si>
  <si>
    <t>242 Bonymaen Road Bonymaen</t>
  </si>
  <si>
    <t>CBDL10045</t>
  </si>
  <si>
    <t>48 Coastline Village Ostend Road</t>
  </si>
  <si>
    <t>Walcott</t>
  </si>
  <si>
    <t>NR12 0NE</t>
  </si>
  <si>
    <t>CBDU10050</t>
  </si>
  <si>
    <t>57 Glynderi Glanamman</t>
  </si>
  <si>
    <t>SA18 2JG</t>
  </si>
  <si>
    <t>CBDL10051</t>
  </si>
  <si>
    <t xml:space="preserve">26 Pentre Nicklaus Village </t>
  </si>
  <si>
    <t>SA15 2DE</t>
  </si>
  <si>
    <t>CBDL10052</t>
  </si>
  <si>
    <t>55 Swansea Road Waunarlwydd</t>
  </si>
  <si>
    <t>SA5 4TD</t>
  </si>
  <si>
    <t>CBDL10053</t>
  </si>
  <si>
    <t xml:space="preserve">28 Dukesfield Drive </t>
  </si>
  <si>
    <t>CH7 3HN</t>
  </si>
  <si>
    <t>CBDU10371</t>
  </si>
  <si>
    <t xml:space="preserve">15 Llys Caradog </t>
  </si>
  <si>
    <t>SA14 9HE</t>
  </si>
  <si>
    <t>CBDU10373</t>
  </si>
  <si>
    <t>1 Lon Derw Sketty</t>
  </si>
  <si>
    <t>SA2 9ET</t>
  </si>
  <si>
    <t>CBDU10132</t>
  </si>
  <si>
    <t>Flat 12 Sullivan's Rise</t>
  </si>
  <si>
    <t>CH5 4DB</t>
  </si>
  <si>
    <t>CBDU10133</t>
  </si>
  <si>
    <t>L T S Auto Centre Rhymney Walk</t>
  </si>
  <si>
    <t>NP22 5DX</t>
  </si>
  <si>
    <t>CBDU10137</t>
  </si>
  <si>
    <t xml:space="preserve">60 West Park Drive </t>
  </si>
  <si>
    <t>CF36 3RL</t>
  </si>
  <si>
    <t>CBDL10142</t>
  </si>
  <si>
    <t>Hengoed Bangor Road</t>
  </si>
  <si>
    <t>LL57 3LU</t>
  </si>
  <si>
    <t>CBDU10602</t>
  </si>
  <si>
    <t>9 Clevedon Avenue Sully</t>
  </si>
  <si>
    <t>CF64 5SX</t>
  </si>
  <si>
    <t>CBDL10603</t>
  </si>
  <si>
    <t>53 Winsford Road Sully</t>
  </si>
  <si>
    <t>CF64 5SB</t>
  </si>
  <si>
    <t>CBDU10605</t>
  </si>
  <si>
    <t>22 Harriet Town Troedyrhiw</t>
  </si>
  <si>
    <t>CF48 4HJ</t>
  </si>
  <si>
    <t>CBDL10607</t>
  </si>
  <si>
    <t>Orchard End Norton</t>
  </si>
  <si>
    <t>LD8 2EH</t>
  </si>
  <si>
    <t>CBDL10610</t>
  </si>
  <si>
    <t>22 Hafod Y Ddol Mostyn</t>
  </si>
  <si>
    <t>CH8 9EJ</t>
  </si>
  <si>
    <t>CBDL10611</t>
  </si>
  <si>
    <t xml:space="preserve">9 Oakridge Drive </t>
  </si>
  <si>
    <t>LD1 5EW</t>
  </si>
  <si>
    <t>CBDL10971</t>
  </si>
  <si>
    <t>Unit 19 Western Ind Est</t>
  </si>
  <si>
    <t>CBDU10973</t>
  </si>
  <si>
    <t xml:space="preserve">Castell Conin </t>
  </si>
  <si>
    <t>SA66 7HL</t>
  </si>
  <si>
    <t>CBDU10976</t>
  </si>
  <si>
    <t>Epona Cottage Black Lion Road</t>
  </si>
  <si>
    <t>SA14 6RU</t>
  </si>
  <si>
    <t>CBDU10980</t>
  </si>
  <si>
    <t xml:space="preserve">30 Rochford Garden Way </t>
  </si>
  <si>
    <t>SS4 1QH</t>
  </si>
  <si>
    <t>CBDL10717</t>
  </si>
  <si>
    <t>42 Heol-y-Bryn Fochriw</t>
  </si>
  <si>
    <t>CBDU10726</t>
  </si>
  <si>
    <t>4 Maes Gwynedd Capel Coch</t>
  </si>
  <si>
    <t>LL77 7UR</t>
  </si>
  <si>
    <t>CBDU10727</t>
  </si>
  <si>
    <t xml:space="preserve">13 Llantarnam Road </t>
  </si>
  <si>
    <t>CF14 3EF</t>
  </si>
  <si>
    <t>CBDU10728</t>
  </si>
  <si>
    <t xml:space="preserve">46 Rhiwgarn Road </t>
  </si>
  <si>
    <t>CF39 9HJ</t>
  </si>
  <si>
    <t>CBDL10730</t>
  </si>
  <si>
    <t xml:space="preserve">16 Liverpool Street </t>
  </si>
  <si>
    <t>SO14 6FW</t>
  </si>
  <si>
    <t>CBDU10732</t>
  </si>
  <si>
    <t>10 Maes Sant Teilo Llangyfelach</t>
  </si>
  <si>
    <t>SA5 7HF</t>
  </si>
  <si>
    <t>CBDL10734</t>
  </si>
  <si>
    <t xml:space="preserve">51 Sandilands Road </t>
  </si>
  <si>
    <t>LL36 9AT</t>
  </si>
  <si>
    <t>CBDU10735</t>
  </si>
  <si>
    <t xml:space="preserve">23 Margam Place </t>
  </si>
  <si>
    <t>SA15 1DE</t>
  </si>
  <si>
    <t>CBDL10736</t>
  </si>
  <si>
    <t>CBDL11234</t>
  </si>
  <si>
    <t>North Brook Shop North Street</t>
  </si>
  <si>
    <t xml:space="preserve">Rhayader </t>
  </si>
  <si>
    <t>LD6 5bt</t>
  </si>
  <si>
    <t>CBDU11235</t>
  </si>
  <si>
    <t>137 St. John Street Ogmore Vale</t>
  </si>
  <si>
    <t>CF32 7BB</t>
  </si>
  <si>
    <t>CBDU11236</t>
  </si>
  <si>
    <t>The Starlings Malthouse Lane</t>
  </si>
  <si>
    <t>NP18 3SL</t>
  </si>
  <si>
    <t>CBDU11239</t>
  </si>
  <si>
    <t xml:space="preserve">9 Lawsone Rise </t>
  </si>
  <si>
    <t>HP13 5NS</t>
  </si>
  <si>
    <t>CBDU11240</t>
  </si>
  <si>
    <t>CBDU11242</t>
  </si>
  <si>
    <t>CBDL11245</t>
  </si>
  <si>
    <t xml:space="preserve">Babell </t>
  </si>
  <si>
    <t>CH8 8PZ</t>
  </si>
  <si>
    <t>CBDL11247</t>
  </si>
  <si>
    <t xml:space="preserve">13 Hillen Road </t>
  </si>
  <si>
    <t>PE30 5LE</t>
  </si>
  <si>
    <t>CBDU12044</t>
  </si>
  <si>
    <t xml:space="preserve">29 Beach Road </t>
  </si>
  <si>
    <t>LL56 4RQ</t>
  </si>
  <si>
    <t>CBDU12048</t>
  </si>
  <si>
    <t>Trem Y Foel Llanfairtalhaiarn</t>
  </si>
  <si>
    <t>CBDL12049</t>
  </si>
  <si>
    <t>Flat 473 Sulivan Court</t>
  </si>
  <si>
    <t>Peterborough Road</t>
  </si>
  <si>
    <t>SW6 3BX</t>
  </si>
  <si>
    <t>CBDU12051</t>
  </si>
  <si>
    <t xml:space="preserve">26 Alexandra Road </t>
  </si>
  <si>
    <t>SY23 1LN</t>
  </si>
  <si>
    <t>CBDL12055</t>
  </si>
  <si>
    <t xml:space="preserve">21 Charles Road </t>
  </si>
  <si>
    <t>SA71 4AX</t>
  </si>
  <si>
    <t>CBDU11503</t>
  </si>
  <si>
    <t>179 PENARTH ROAD</t>
  </si>
  <si>
    <t>CF116JW</t>
  </si>
  <si>
    <t>CBDL11507</t>
  </si>
  <si>
    <t>Ysbryd Y Mor Jason Road</t>
  </si>
  <si>
    <t>SA71 5LE</t>
  </si>
  <si>
    <t>CBDU11514</t>
  </si>
  <si>
    <t>28 Heol Cleddau Waunarlwydd</t>
  </si>
  <si>
    <t>SA5 4QF</t>
  </si>
  <si>
    <t>CBDU11731</t>
  </si>
  <si>
    <t>26 The Wheate Close Rhoose</t>
  </si>
  <si>
    <t>CF62 3HH</t>
  </si>
  <si>
    <t>CBDL11732</t>
  </si>
  <si>
    <t>CBDL11733</t>
  </si>
  <si>
    <t xml:space="preserve">143 Blendon Road </t>
  </si>
  <si>
    <t>Bexley</t>
  </si>
  <si>
    <t>DA5 1BT</t>
  </si>
  <si>
    <t>CBDL11735</t>
  </si>
  <si>
    <t>6 Court Field Drive Simpson Cross</t>
  </si>
  <si>
    <t>SA62 6EQ</t>
  </si>
  <si>
    <t>CBDL11736</t>
  </si>
  <si>
    <t>14 Hoyles Close Penally</t>
  </si>
  <si>
    <t>SA70 7NY</t>
  </si>
  <si>
    <t>CBDL11738</t>
  </si>
  <si>
    <t>88 Fairwood Drive Baglan</t>
  </si>
  <si>
    <t>SA12 8NU</t>
  </si>
  <si>
    <t>CBDU11745</t>
  </si>
  <si>
    <t xml:space="preserve">Unit b Invest house </t>
  </si>
  <si>
    <t>Bruce rd</t>
  </si>
  <si>
    <t>Sa54hs</t>
  </si>
  <si>
    <t>CBDU12251</t>
  </si>
  <si>
    <t>Groes Anthony St. Brides Major</t>
  </si>
  <si>
    <t>CF32 0SA</t>
  </si>
  <si>
    <t>CBDU12253</t>
  </si>
  <si>
    <t>Maesymeillion Llangwyddfan Lane</t>
  </si>
  <si>
    <t>SA18 2TG</t>
  </si>
  <si>
    <t>CBDU12258</t>
  </si>
  <si>
    <t>2 Cefn Fforest Avenue Cefn Fforest</t>
  </si>
  <si>
    <t>NP12 3NW</t>
  </si>
  <si>
    <t>CBDU12465</t>
  </si>
  <si>
    <t>67 Gors Avenue Mayhill</t>
  </si>
  <si>
    <t>SA1 6RL</t>
  </si>
  <si>
    <t>CBDU12467</t>
  </si>
  <si>
    <t>Brynymor Llangennith</t>
  </si>
  <si>
    <t>SA3 1JE</t>
  </si>
  <si>
    <t>CBDU12469</t>
  </si>
  <si>
    <t xml:space="preserve">31 Princess Street </t>
  </si>
  <si>
    <t>CF34 9BD</t>
  </si>
  <si>
    <t>CBDL12472</t>
  </si>
  <si>
    <t>17 Parc Y Llan Henllan</t>
  </si>
  <si>
    <t>LL16 5AS</t>
  </si>
  <si>
    <t>CBDL12476</t>
  </si>
  <si>
    <t xml:space="preserve">4 Bloomfield Park </t>
  </si>
  <si>
    <t>BA2 2BY</t>
  </si>
  <si>
    <t>CBDL12479</t>
  </si>
  <si>
    <t>Trawsty Bungalow Penybont</t>
  </si>
  <si>
    <t>LD1 5SR</t>
  </si>
  <si>
    <t>CBDU12801</t>
  </si>
  <si>
    <t>Brynhfryd New Cross</t>
  </si>
  <si>
    <t>SY23 4LZ</t>
  </si>
  <si>
    <t>CBDU12809</t>
  </si>
  <si>
    <t>3 Court Rise Llanddewi Rhydderch</t>
  </si>
  <si>
    <t>NP7 9YH</t>
  </si>
  <si>
    <t>CBDL12594</t>
  </si>
  <si>
    <t>52 Pentre Gwyn</t>
  </si>
  <si>
    <t>Ll138ye</t>
  </si>
  <si>
    <t>CBDL12595</t>
  </si>
  <si>
    <t xml:space="preserve">2 Maes Morfa </t>
  </si>
  <si>
    <t>SA42 0TR</t>
  </si>
  <si>
    <t>CBDU12599</t>
  </si>
  <si>
    <t>51 Clos-Glanlliw Pontlliw</t>
  </si>
  <si>
    <t>CBDU12600</t>
  </si>
  <si>
    <t>1 Cae Pentice Cefn Cribwr</t>
  </si>
  <si>
    <t>CF32 0BX</t>
  </si>
  <si>
    <t>CBDL12603</t>
  </si>
  <si>
    <t>50 Cumberland Road Partington</t>
  </si>
  <si>
    <t>M31 4LB</t>
  </si>
  <si>
    <t>CBDL12605</t>
  </si>
  <si>
    <t>39 Wells Court Wells Road</t>
  </si>
  <si>
    <t>ME2 2PW</t>
  </si>
  <si>
    <t>CBDL12606</t>
  </si>
  <si>
    <t xml:space="preserve">64 Thomas Chapman Grove </t>
  </si>
  <si>
    <t>NN4 8RQ</t>
  </si>
  <si>
    <t>CBDL12608</t>
  </si>
  <si>
    <t xml:space="preserve">1C Emma Street </t>
  </si>
  <si>
    <t>SA15 1BB</t>
  </si>
  <si>
    <t>CBDL13025</t>
  </si>
  <si>
    <t>30 Dunns Lane Mumbles</t>
  </si>
  <si>
    <t>SA3 4AA</t>
  </si>
  <si>
    <t>CBDU13026</t>
  </si>
  <si>
    <t>15 Withy Road West Huntspill</t>
  </si>
  <si>
    <t>TA9 3RA</t>
  </si>
  <si>
    <t>CBDL13028</t>
  </si>
  <si>
    <t xml:space="preserve">Bath Road </t>
  </si>
  <si>
    <t>GL5 3JY</t>
  </si>
  <si>
    <t>CBDL13030</t>
  </si>
  <si>
    <t>42 Meadow Vale Dale</t>
  </si>
  <si>
    <t>SA62 3RH</t>
  </si>
  <si>
    <t>CBDL13031</t>
  </si>
  <si>
    <t xml:space="preserve">1 Primrose Close </t>
  </si>
  <si>
    <t>Eastbourne</t>
  </si>
  <si>
    <t>BN23 8BY</t>
  </si>
  <si>
    <t>CBDU13032</t>
  </si>
  <si>
    <t>2 Edwards Close Briggs Lane</t>
  </si>
  <si>
    <t>Pant</t>
  </si>
  <si>
    <t>SY10 8PS</t>
  </si>
  <si>
    <t>CBDL13037</t>
  </si>
  <si>
    <t>Old Village Hall Newbridge-on-Wye</t>
  </si>
  <si>
    <t>LD1 6LD</t>
  </si>
  <si>
    <t>CBDL13186</t>
  </si>
  <si>
    <t>Penboyr Beulah Road</t>
  </si>
  <si>
    <t>SA38 9QA</t>
  </si>
  <si>
    <t>CBDU13189</t>
  </si>
  <si>
    <t>51 Rhos Las Tregynwr</t>
  </si>
  <si>
    <t>SA31 2DZ</t>
  </si>
  <si>
    <t>CBDL13192</t>
  </si>
  <si>
    <t xml:space="preserve">20 Station Road </t>
  </si>
  <si>
    <t>SA16 0LR</t>
  </si>
  <si>
    <t>CBDU13196</t>
  </si>
  <si>
    <t xml:space="preserve">Cain Valley Trading Estate </t>
  </si>
  <si>
    <t>SY22 5DD</t>
  </si>
  <si>
    <t>CBDL13385</t>
  </si>
  <si>
    <t>Glynperffaith Llanboidy</t>
  </si>
  <si>
    <t>SA34 0DD</t>
  </si>
  <si>
    <t>CBDU13386</t>
  </si>
  <si>
    <t>ALEXANDRA ROAD CAERAU MAESTEG</t>
  </si>
  <si>
    <t>CF34 0PL</t>
  </si>
  <si>
    <t>CBDU13387</t>
  </si>
  <si>
    <t>SA70 7HU</t>
  </si>
  <si>
    <t>CBDU13389</t>
  </si>
  <si>
    <t>103 Wern Road Ystalyfera</t>
  </si>
  <si>
    <t>SA9 2LZ</t>
  </si>
  <si>
    <t>CBDU13390</t>
  </si>
  <si>
    <t>Heulwen Gellifor</t>
  </si>
  <si>
    <t>LL15 1RY</t>
  </si>
  <si>
    <t>CBDL142</t>
  </si>
  <si>
    <t>14 Libeneth Road</t>
  </si>
  <si>
    <t>Somerton</t>
  </si>
  <si>
    <t>CBDL144</t>
  </si>
  <si>
    <t>Bronllys Brecon</t>
  </si>
  <si>
    <t>LD3 0LD</t>
  </si>
  <si>
    <t>CBDL148</t>
  </si>
  <si>
    <t>Aquatic Supplies Wales Unit 7</t>
  </si>
  <si>
    <t>Queenway Business Centre</t>
  </si>
  <si>
    <t>SA5 4DT</t>
  </si>
  <si>
    <t>CBDL150</t>
  </si>
  <si>
    <t>The Butchers Arms Powtsticill</t>
  </si>
  <si>
    <t>CF48 2UE</t>
  </si>
  <si>
    <t>CBDL151</t>
  </si>
  <si>
    <t>Tyn y Nant Cottage Coed Cernew</t>
  </si>
  <si>
    <t>NP10 8US</t>
  </si>
  <si>
    <t>CBDL385</t>
  </si>
  <si>
    <t>CBDL386</t>
  </si>
  <si>
    <t>CBDL387</t>
  </si>
  <si>
    <t>CBDL388</t>
  </si>
  <si>
    <t>CBDL389</t>
  </si>
  <si>
    <t>CBDL390</t>
  </si>
  <si>
    <t>CBDL391</t>
  </si>
  <si>
    <t>CBDL392</t>
  </si>
  <si>
    <t>CBDL643</t>
  </si>
  <si>
    <t>49 Foxwood Drive</t>
  </si>
  <si>
    <t>Bersham</t>
  </si>
  <si>
    <t>CBDL644</t>
  </si>
  <si>
    <t>26 Marine Road</t>
  </si>
  <si>
    <t>Pensarnie Cafe</t>
  </si>
  <si>
    <t>LL22 7PR</t>
  </si>
  <si>
    <t>CBDL647</t>
  </si>
  <si>
    <t>2 Pen y Graig Drove</t>
  </si>
  <si>
    <t>SA67 8SU</t>
  </si>
  <si>
    <t>CBDL648</t>
  </si>
  <si>
    <t>30 Short Bridge Street</t>
  </si>
  <si>
    <t>SY16 2LW</t>
  </si>
  <si>
    <t>CBDL654</t>
  </si>
  <si>
    <t>20 Pen y Wern</t>
  </si>
  <si>
    <t>SA15 4DF</t>
  </si>
  <si>
    <t>CBDL657</t>
  </si>
  <si>
    <t>56 Glanyrafon Road Ystalyfera</t>
  </si>
  <si>
    <t>SA9 2HA</t>
  </si>
  <si>
    <t>CBDL839</t>
  </si>
  <si>
    <t>5 Cilycwm Road</t>
  </si>
  <si>
    <t>SA20 0DU</t>
  </si>
  <si>
    <t>CBDL842</t>
  </si>
  <si>
    <t>116 Abergele Road</t>
  </si>
  <si>
    <t>LL29 7PS</t>
  </si>
  <si>
    <t>CBDL843</t>
  </si>
  <si>
    <t>PENYBRYN PONTROBERT</t>
  </si>
  <si>
    <t>MEIFOD</t>
  </si>
  <si>
    <t>SY22 6JG</t>
  </si>
  <si>
    <t>CBDL844</t>
  </si>
  <si>
    <t>1 McCale Avenue</t>
  </si>
  <si>
    <t>CF5 3HY</t>
  </si>
  <si>
    <t>CBDL847</t>
  </si>
  <si>
    <t>32 Silver street</t>
  </si>
  <si>
    <t>Pontywaun</t>
  </si>
  <si>
    <t>Np11 7fx</t>
  </si>
  <si>
    <t>CBDL851</t>
  </si>
  <si>
    <t>5 Court Close</t>
  </si>
  <si>
    <t>CF71 7EH</t>
  </si>
  <si>
    <t>CBDL852</t>
  </si>
  <si>
    <t>70 Ffordd Ty Newydd</t>
  </si>
  <si>
    <t>Meliden</t>
  </si>
  <si>
    <t>LL198PQ</t>
  </si>
  <si>
    <t>CBDL1080</t>
  </si>
  <si>
    <t>40 Western Grove</t>
  </si>
  <si>
    <t>LD2 3AW</t>
  </si>
  <si>
    <t>CBDL1082</t>
  </si>
  <si>
    <t>3 Church street</t>
  </si>
  <si>
    <t>Pl266sp</t>
  </si>
  <si>
    <t>CBDL1086</t>
  </si>
  <si>
    <t>40  western grove</t>
  </si>
  <si>
    <t>builth wells</t>
  </si>
  <si>
    <t>ld2 3aw</t>
  </si>
  <si>
    <t>CBDL1087</t>
  </si>
  <si>
    <t>239 Waltwood road</t>
  </si>
  <si>
    <t>Np18 2ey</t>
  </si>
  <si>
    <t>CBDL1094</t>
  </si>
  <si>
    <t>61 Bronybuckley</t>
  </si>
  <si>
    <t>SY21 7NH</t>
  </si>
  <si>
    <t>CBDL1095</t>
  </si>
  <si>
    <t>CBDL1328</t>
  </si>
  <si>
    <t xml:space="preserve"> 9 heritage business park</t>
  </si>
  <si>
    <t>wick road</t>
  </si>
  <si>
    <t>LLANTWIT MAJOR</t>
  </si>
  <si>
    <t>CF61 1yu</t>
  </si>
  <si>
    <t>CBDL1331</t>
  </si>
  <si>
    <t>12  Pentre Gwyn</t>
  </si>
  <si>
    <t>SY21 8DY</t>
  </si>
  <si>
    <t>CBDL1566</t>
  </si>
  <si>
    <t>pant y defaid tanners lane</t>
  </si>
  <si>
    <t>sa431qr</t>
  </si>
  <si>
    <t>CBDL1568</t>
  </si>
  <si>
    <t>1 WESLEY STREET</t>
  </si>
  <si>
    <t>CF61 1RA</t>
  </si>
  <si>
    <t>CBDL1569</t>
  </si>
  <si>
    <t>Clive buildings Church street</t>
  </si>
  <si>
    <t>Sy21 7dq</t>
  </si>
  <si>
    <t>CBDL1571</t>
  </si>
  <si>
    <t>The spinney Fronhir</t>
  </si>
  <si>
    <t>Ld7 1ht</t>
  </si>
  <si>
    <t>CBDL1573</t>
  </si>
  <si>
    <t>261 Heathwood road</t>
  </si>
  <si>
    <t>Cf144hs</t>
  </si>
  <si>
    <t>CBDL1575</t>
  </si>
  <si>
    <t>263 Heathwood road</t>
  </si>
  <si>
    <t>CBDL1775</t>
  </si>
  <si>
    <t>25 Bettws Road Penlan</t>
  </si>
  <si>
    <t>SA5 7AY</t>
  </si>
  <si>
    <t>CBDL2039</t>
  </si>
  <si>
    <t>2 Glan Gors Coed Y Parc</t>
  </si>
  <si>
    <t>CBDL2422</t>
  </si>
  <si>
    <t xml:space="preserve">35 Borfa Green </t>
  </si>
  <si>
    <t>SY21 7QJ</t>
  </si>
  <si>
    <t>CBDL2428</t>
  </si>
  <si>
    <t>Old Panteg Quarry Hillcrest</t>
  </si>
  <si>
    <t>Old Tram Road</t>
  </si>
  <si>
    <t>NP11 4FZ</t>
  </si>
  <si>
    <t>CBDL2433</t>
  </si>
  <si>
    <t>Genffordd Talgarth</t>
  </si>
  <si>
    <t>LD3 0EW</t>
  </si>
  <si>
    <t>CBDL2211</t>
  </si>
  <si>
    <t>25 Woodlands Avenue Talgarth</t>
  </si>
  <si>
    <t>LD3 0AU</t>
  </si>
  <si>
    <t>CBDL2215</t>
  </si>
  <si>
    <t>1 Farm Road Trebanos</t>
  </si>
  <si>
    <t>SA8 4DE</t>
  </si>
  <si>
    <t>CBDL2216</t>
  </si>
  <si>
    <t>16 Edmondes Street Tylorstown</t>
  </si>
  <si>
    <t>CF43 3HH</t>
  </si>
  <si>
    <t>CBDL2219</t>
  </si>
  <si>
    <t>Dolbedwyn Llannewydd</t>
  </si>
  <si>
    <t>HR5 3QQ</t>
  </si>
  <si>
    <t>CBDL2683</t>
  </si>
  <si>
    <t xml:space="preserve">Lon Parcwr Industrial Estate </t>
  </si>
  <si>
    <t>CBDL2685</t>
  </si>
  <si>
    <t xml:space="preserve">24 Heol-y-Twyn </t>
  </si>
  <si>
    <t>CF44 8TF</t>
  </si>
  <si>
    <t>CBDL2693</t>
  </si>
  <si>
    <t>15 Marine Road Pensarn</t>
  </si>
  <si>
    <t>CBDL3110</t>
  </si>
  <si>
    <t>awel y mor chapel lane</t>
  </si>
  <si>
    <t>llanteg</t>
  </si>
  <si>
    <t>sa67 8pu</t>
  </si>
  <si>
    <t>CBDL3111</t>
  </si>
  <si>
    <t xml:space="preserve">14 Oakridge Drive </t>
  </si>
  <si>
    <t>CBDL3114</t>
  </si>
  <si>
    <t>Rockleigh House 7 Rock Villas</t>
  </si>
  <si>
    <t>Edwardsville</t>
  </si>
  <si>
    <t>CF46 5ND</t>
  </si>
  <si>
    <t>CBDL3117</t>
  </si>
  <si>
    <t>Pen Y Bont Llanfigael</t>
  </si>
  <si>
    <t>LL65 4DB</t>
  </si>
  <si>
    <t>CBDL2890</t>
  </si>
  <si>
    <t>Powys House 29 Heol Maengwyn</t>
  </si>
  <si>
    <t>CBDL3339</t>
  </si>
  <si>
    <t>Unit 14 Pembrey Industrial Estate</t>
  </si>
  <si>
    <t>CBDL3848</t>
  </si>
  <si>
    <t>7 Tan Yr Allt Abercraf</t>
  </si>
  <si>
    <t>SA9 1XF</t>
  </si>
  <si>
    <t>CBDL3849</t>
  </si>
  <si>
    <t>32 High Street</t>
  </si>
  <si>
    <t>SY21 7JP</t>
  </si>
  <si>
    <t>CBDL3850</t>
  </si>
  <si>
    <t>70 High Street Wargrave</t>
  </si>
  <si>
    <t>RG10 8BY</t>
  </si>
  <si>
    <t>CBDL4354</t>
  </si>
  <si>
    <t>Esgair Forest Pantperthog</t>
  </si>
  <si>
    <t>SY20 9AY</t>
  </si>
  <si>
    <t>CBDL4358</t>
  </si>
  <si>
    <t xml:space="preserve">25 Mayorlowe Avenue </t>
  </si>
  <si>
    <t>SK5 8DB</t>
  </si>
  <si>
    <t>CBDL4359</t>
  </si>
  <si>
    <t>Penprys Farm Bryn</t>
  </si>
  <si>
    <t>SA14 8BJ</t>
  </si>
  <si>
    <t>CBDL5025</t>
  </si>
  <si>
    <t>CBDL5029</t>
  </si>
  <si>
    <t>8 Heliston Place Pontrilas</t>
  </si>
  <si>
    <t>HR2 0UD</t>
  </si>
  <si>
    <t>CBDL4120</t>
  </si>
  <si>
    <t xml:space="preserve">9 Dynevor Street </t>
  </si>
  <si>
    <t>CF48 1AY</t>
  </si>
  <si>
    <t>CBDL4777</t>
  </si>
  <si>
    <t>Fairhaven Kinnerton Road</t>
  </si>
  <si>
    <t>Lower Kinnerton</t>
  </si>
  <si>
    <t>CH4 9AE</t>
  </si>
  <si>
    <t>CBDL4790</t>
  </si>
  <si>
    <t>16 toftland</t>
  </si>
  <si>
    <t>peterborough</t>
  </si>
  <si>
    <t>pe25pe</t>
  </si>
  <si>
    <t>CBDL5537</t>
  </si>
  <si>
    <t xml:space="preserve">17 Gladiator Green </t>
  </si>
  <si>
    <t>DT1 2RW</t>
  </si>
  <si>
    <t>CBDL5541</t>
  </si>
  <si>
    <t>4 Berryfields Fillongley</t>
  </si>
  <si>
    <t>CV7 8EX</t>
  </si>
  <si>
    <t>CBDU5542</t>
  </si>
  <si>
    <t>55 Kensington Avenue Hen Golwyn</t>
  </si>
  <si>
    <t>CBDL5547</t>
  </si>
  <si>
    <t>Lapstone Cottage Broad Campden</t>
  </si>
  <si>
    <t>Chipping Campden</t>
  </si>
  <si>
    <t>GL55 6UR</t>
  </si>
  <si>
    <t>CBDU5795</t>
  </si>
  <si>
    <t xml:space="preserve">103 Aberporth Road </t>
  </si>
  <si>
    <t>CF14 2PQ</t>
  </si>
  <si>
    <t>CBDU5797</t>
  </si>
  <si>
    <t>39 Woodside Crescent Clydach</t>
  </si>
  <si>
    <t>SA6 5DP</t>
  </si>
  <si>
    <t>CBDL5272</t>
  </si>
  <si>
    <t>The Magnolias Sealand Road</t>
  </si>
  <si>
    <t>CH5 2RH</t>
  </si>
  <si>
    <t>CBDU6290</t>
  </si>
  <si>
    <t xml:space="preserve">15 Ystad Castell Morfa </t>
  </si>
  <si>
    <t>LL46 2GA</t>
  </si>
  <si>
    <t>CBDU6292</t>
  </si>
  <si>
    <t>The Old Post Office Llanwnog</t>
  </si>
  <si>
    <t>SY17 5JG</t>
  </si>
  <si>
    <t>CBDU6293</t>
  </si>
  <si>
    <t>51 Main Road Dyffryn Cellwen</t>
  </si>
  <si>
    <t>SA10 9HR</t>
  </si>
  <si>
    <t>CBDU6294</t>
  </si>
  <si>
    <t>Glasfryn Llithfaen</t>
  </si>
  <si>
    <t>LL53 6NW</t>
  </si>
  <si>
    <t>CBDU6296</t>
  </si>
  <si>
    <t xml:space="preserve">10 Somerset Road East </t>
  </si>
  <si>
    <t>CF63 1BE</t>
  </si>
  <si>
    <t>CBDL6306</t>
  </si>
  <si>
    <t>Roseneath Poolmouth Road</t>
  </si>
  <si>
    <t>Highfield</t>
  </si>
  <si>
    <t>LL11 4UR</t>
  </si>
  <si>
    <t>CBDL6045</t>
  </si>
  <si>
    <t xml:space="preserve">12 Helen Street </t>
  </si>
  <si>
    <t>CF24 1NN</t>
  </si>
  <si>
    <t>CBDU6047</t>
  </si>
  <si>
    <t>Rhyd-y-Felin Drefach</t>
  </si>
  <si>
    <t>SA40 9YB</t>
  </si>
  <si>
    <t>CBDU6049</t>
  </si>
  <si>
    <t xml:space="preserve">21 Golwg Y Twr </t>
  </si>
  <si>
    <t>SA17 4RJ</t>
  </si>
  <si>
    <t>CBDU6051</t>
  </si>
  <si>
    <t>10 Maendy Wood Rise Pontnewydd</t>
  </si>
  <si>
    <t>NP44 1JY</t>
  </si>
  <si>
    <t>CBDU6053</t>
  </si>
  <si>
    <t>26 Twynrefail Place Gwaun Cae Gurwen</t>
  </si>
  <si>
    <t>SA18 1HY</t>
  </si>
  <si>
    <t>CBDU6055</t>
  </si>
  <si>
    <t>11 Market Square Tremadog</t>
  </si>
  <si>
    <t>LL49 9RB</t>
  </si>
  <si>
    <t>CBDU6056</t>
  </si>
  <si>
    <t>Gwrych Cottage Llanddulas Road</t>
  </si>
  <si>
    <t>LL22 8EU</t>
  </si>
  <si>
    <t>CBDL6833</t>
  </si>
  <si>
    <t>Forge Farm Dwrbach</t>
  </si>
  <si>
    <t>SA65 9RJ</t>
  </si>
  <si>
    <t>CBDL6836</t>
  </si>
  <si>
    <t>CBDU6839</t>
  </si>
  <si>
    <t>22 Torrington Road Llanrumney</t>
  </si>
  <si>
    <t>CF3 5QD</t>
  </si>
  <si>
    <t>CBDU6843</t>
  </si>
  <si>
    <t>38 Twyni Teg Killay</t>
  </si>
  <si>
    <t>SA2 7NS</t>
  </si>
  <si>
    <t>CBDU6845</t>
  </si>
  <si>
    <t>Old Bridge Inn Station Lane</t>
  </si>
  <si>
    <t>Padeswood</t>
  </si>
  <si>
    <t>CH7 4JD</t>
  </si>
  <si>
    <t>CBDL6851</t>
  </si>
  <si>
    <t>38A Heol Pantgwyn Llanhari</t>
  </si>
  <si>
    <t>CF72 9HW</t>
  </si>
  <si>
    <t>CBDU6852</t>
  </si>
  <si>
    <t>60 Cleviston Park Llangennech</t>
  </si>
  <si>
    <t>SA14 9UP</t>
  </si>
  <si>
    <t>CBDU6592</t>
  </si>
  <si>
    <t xml:space="preserve">2 Sandy Lane </t>
  </si>
  <si>
    <t>CF36 5BW</t>
  </si>
  <si>
    <t>CBDU6593</t>
  </si>
  <si>
    <t>71 Llanelian Road Hen Golwyn</t>
  </si>
  <si>
    <t>LL29 9UH</t>
  </si>
  <si>
    <t>CBDU6597</t>
  </si>
  <si>
    <t xml:space="preserve">29 Lime Grove </t>
  </si>
  <si>
    <t>SA11 3PT</t>
  </si>
  <si>
    <t>CBDU6601</t>
  </si>
  <si>
    <t>Graig Sryn  Elim Road</t>
  </si>
  <si>
    <t>South Wales</t>
  </si>
  <si>
    <t xml:space="preserve"> SA31 1TX</t>
  </si>
  <si>
    <t>CBDL6602</t>
  </si>
  <si>
    <t>Copper Beech Carmarthen Road</t>
  </si>
  <si>
    <t>SA68 0UJ</t>
  </si>
  <si>
    <t>CBDL6604</t>
  </si>
  <si>
    <t>Crud Y Graig Ffordd Hen Ysgol</t>
  </si>
  <si>
    <t>LL61 5RZ</t>
  </si>
  <si>
    <t>CBDL6605</t>
  </si>
  <si>
    <t>Fairview Commercial Road</t>
  </si>
  <si>
    <t>Llanhilleth</t>
  </si>
  <si>
    <t>NP13 2HS</t>
  </si>
  <si>
    <t>CBDU6606</t>
  </si>
  <si>
    <t>Birsemohr Hylas Lane</t>
  </si>
  <si>
    <t>CBDL6607</t>
  </si>
  <si>
    <t>Plot 9 Unit c The Cornstores</t>
  </si>
  <si>
    <t>cf34 0bq</t>
  </si>
  <si>
    <t>CBDU7430</t>
  </si>
  <si>
    <t>Llwyn Yr Eos Llannon</t>
  </si>
  <si>
    <t>SA14 8JT</t>
  </si>
  <si>
    <t>CBDL7188</t>
  </si>
  <si>
    <t>124b Penarth Road</t>
  </si>
  <si>
    <t>CF11 6NH</t>
  </si>
  <si>
    <t>CBDL7190</t>
  </si>
  <si>
    <t>29 Gardner Avenue Corringham</t>
  </si>
  <si>
    <t>SS17 7SE</t>
  </si>
  <si>
    <t>CBDL7194</t>
  </si>
  <si>
    <t>40 Broom Drive Grassmoor</t>
  </si>
  <si>
    <t>S42 5AJ</t>
  </si>
  <si>
    <t>CBDL7198</t>
  </si>
  <si>
    <t>Top Floor Flat 9 Cliff Street</t>
  </si>
  <si>
    <t>CF64 1DG</t>
  </si>
  <si>
    <t>CBDU7200</t>
  </si>
  <si>
    <t>4 Coedlan Pedwar Penparcau</t>
  </si>
  <si>
    <t>SY23 1RA</t>
  </si>
  <si>
    <t>CBDU7204</t>
  </si>
  <si>
    <t xml:space="preserve">31 Greenway Road </t>
  </si>
  <si>
    <t>SA11 1HG</t>
  </si>
  <si>
    <t>CBDU7205</t>
  </si>
  <si>
    <t xml:space="preserve">9 Deepdale Close </t>
  </si>
  <si>
    <t>CF23 5LR</t>
  </si>
  <si>
    <t>CBDU8085</t>
  </si>
  <si>
    <t>37 Cwm Aur Llanilar</t>
  </si>
  <si>
    <t>SY23 4NT</t>
  </si>
  <si>
    <t>CBDU8088</t>
  </si>
  <si>
    <t>Laundry Cottage Doldowlod</t>
  </si>
  <si>
    <t>LD1 6HF</t>
  </si>
  <si>
    <t>CBDU8091</t>
  </si>
  <si>
    <t xml:space="preserve">158 Keighley Road </t>
  </si>
  <si>
    <t>Colne</t>
  </si>
  <si>
    <t>BB8 0PJ</t>
  </si>
  <si>
    <t>CBDL8096</t>
  </si>
  <si>
    <t>Woodland Street Blaenavon</t>
  </si>
  <si>
    <t>CBDL8097</t>
  </si>
  <si>
    <t xml:space="preserve">379 High Street </t>
  </si>
  <si>
    <t>GL50 3HU</t>
  </si>
  <si>
    <t>CBDL8098</t>
  </si>
  <si>
    <t xml:space="preserve">1 Gors Las </t>
  </si>
  <si>
    <t>LL59 5NF</t>
  </si>
  <si>
    <t>CBDU8100</t>
  </si>
  <si>
    <t>25 Swn Yr Afon Mynydd Cynffig</t>
  </si>
  <si>
    <t>CF33 6AJ</t>
  </si>
  <si>
    <t>CBDU7846</t>
  </si>
  <si>
    <t xml:space="preserve">11 Maesycoed </t>
  </si>
  <si>
    <t>SA18 2HZ</t>
  </si>
  <si>
    <t>CBDL7848</t>
  </si>
  <si>
    <t>Unit 11 Lansdown Industrial Estate</t>
  </si>
  <si>
    <t>Gloucester Road</t>
  </si>
  <si>
    <t>GL51 8PL</t>
  </si>
  <si>
    <t>CBDL8486</t>
  </si>
  <si>
    <t>Bodhyfryd Station Road</t>
  </si>
  <si>
    <t>SA32 7LG</t>
  </si>
  <si>
    <t>CBDU8488</t>
  </si>
  <si>
    <t>16 Windsor Drive Hen Golwyn</t>
  </si>
  <si>
    <t>LL29 8BB</t>
  </si>
  <si>
    <t>CBDU8489</t>
  </si>
  <si>
    <t>113 Bailey Street Deri</t>
  </si>
  <si>
    <t>CBDL8500</t>
  </si>
  <si>
    <t>CBDU8501</t>
  </si>
  <si>
    <t>Tregarron Capel Newydd Road</t>
  </si>
  <si>
    <t>NP4 9LS</t>
  </si>
  <si>
    <t>CBDU8254</t>
  </si>
  <si>
    <t xml:space="preserve">Market Street </t>
  </si>
  <si>
    <t>LD3 9AH</t>
  </si>
  <si>
    <t>CBDL8256</t>
  </si>
  <si>
    <t xml:space="preserve">26 St. Martins Park </t>
  </si>
  <si>
    <t>SA61 2HP</t>
  </si>
  <si>
    <t>CBDU8257</t>
  </si>
  <si>
    <t>20 Brynawel Cimla</t>
  </si>
  <si>
    <t>SA11 1JF</t>
  </si>
  <si>
    <t>CBDU8259</t>
  </si>
  <si>
    <t xml:space="preserve">3 Llys Merllyn </t>
  </si>
  <si>
    <t>CH6 6BD</t>
  </si>
  <si>
    <t>CBDL8744</t>
  </si>
  <si>
    <t>CBDL8747</t>
  </si>
  <si>
    <t xml:space="preserve">7A Morgan Street </t>
  </si>
  <si>
    <t>CF45 3YN</t>
  </si>
  <si>
    <t>CBDU8748</t>
  </si>
  <si>
    <t xml:space="preserve">35 Gelli Road </t>
  </si>
  <si>
    <t>SA14 9AB</t>
  </si>
  <si>
    <t>CBDU8750</t>
  </si>
  <si>
    <t>6 Bron Rhiw Machen</t>
  </si>
  <si>
    <t>CF83 8QG</t>
  </si>
  <si>
    <t>CBDL9122</t>
  </si>
  <si>
    <t>Unit 21 Glan Yr Afon Industrial Estate</t>
  </si>
  <si>
    <t>sy233jq</t>
  </si>
  <si>
    <t>CBDL9124</t>
  </si>
  <si>
    <t xml:space="preserve">139 Charles Street </t>
  </si>
  <si>
    <t>SA73 2HP</t>
  </si>
  <si>
    <t>CBDL9130</t>
  </si>
  <si>
    <t xml:space="preserve">24 Littlebank Street </t>
  </si>
  <si>
    <t>OL4 1JA</t>
  </si>
  <si>
    <t>CBDU9133</t>
  </si>
  <si>
    <t>Ty Nannau Llanystumdwy</t>
  </si>
  <si>
    <t>LL52 0LU</t>
  </si>
  <si>
    <t>CBDU9135</t>
  </si>
  <si>
    <t xml:space="preserve">54 Johnson Avenue </t>
  </si>
  <si>
    <t>NN8 2QT</t>
  </si>
  <si>
    <t>CBDL9138</t>
  </si>
  <si>
    <t xml:space="preserve">64 Patterson Road </t>
  </si>
  <si>
    <t>SE19 2LF</t>
  </si>
  <si>
    <t>CBDL9142</t>
  </si>
  <si>
    <t>Mount Pleasant Fron</t>
  </si>
  <si>
    <t>SY15 6SA</t>
  </si>
  <si>
    <t>CBDL8865</t>
  </si>
  <si>
    <t>Unit 1 Roberts avenue</t>
  </si>
  <si>
    <t>Galon uchaf</t>
  </si>
  <si>
    <t>Merthyr tydfil</t>
  </si>
  <si>
    <t>Cf47 9jh</t>
  </si>
  <si>
    <t>CBDU8867</t>
  </si>
  <si>
    <t xml:space="preserve">53 Danybanc </t>
  </si>
  <si>
    <t>SA15 4NS</t>
  </si>
  <si>
    <t>CBDL8870</t>
  </si>
  <si>
    <t>49 Tyla Coch Llanhari</t>
  </si>
  <si>
    <t>CBDL8871</t>
  </si>
  <si>
    <t>Arfor Celyn Street</t>
  </si>
  <si>
    <t>LL34 6LP</t>
  </si>
  <si>
    <t>CBDU8877</t>
  </si>
  <si>
    <t>CBDU8883</t>
  </si>
  <si>
    <t xml:space="preserve">16 Gnoll Bank </t>
  </si>
  <si>
    <t>SA11 3DY</t>
  </si>
  <si>
    <t>CBDU8884</t>
  </si>
  <si>
    <t>Penybryn Llanfihangel-Nant-Bran</t>
  </si>
  <si>
    <t>LD3 9NA</t>
  </si>
  <si>
    <t>CBDU9384</t>
  </si>
  <si>
    <t>Ynys-y-Frwenen Cottage Glanamman</t>
  </si>
  <si>
    <t>CBDU9389</t>
  </si>
  <si>
    <t xml:space="preserve">1 Victoria Terrace </t>
  </si>
  <si>
    <t>CH7 1LL</t>
  </si>
  <si>
    <t>CBDL9390</t>
  </si>
  <si>
    <t>Bryn Cwrt Bungalow Croesyceiliog</t>
  </si>
  <si>
    <t>NP44 2DB</t>
  </si>
  <si>
    <t>CBDU9391</t>
  </si>
  <si>
    <t xml:space="preserve">21 Ffordd Belmont </t>
  </si>
  <si>
    <t>LL57 2HY</t>
  </si>
  <si>
    <t>CBDL9392</t>
  </si>
  <si>
    <t>Progress Industrial Estate Station Road</t>
  </si>
  <si>
    <t>Rogiet</t>
  </si>
  <si>
    <t>NP26 3UE</t>
  </si>
  <si>
    <t>CBDU9401</t>
  </si>
  <si>
    <t>CBDL9402</t>
  </si>
  <si>
    <t>25a-27a  hillcrest road</t>
  </si>
  <si>
    <t>abergavenny</t>
  </si>
  <si>
    <t>np76bn</t>
  </si>
  <si>
    <t>CBDU9825</t>
  </si>
  <si>
    <t>The Hollies Dyffryn</t>
  </si>
  <si>
    <t>SA10 7AZ</t>
  </si>
  <si>
    <t>CBDL9826</t>
  </si>
  <si>
    <t>Greenacre Alltami Road</t>
  </si>
  <si>
    <t>CH7 6RW</t>
  </si>
  <si>
    <t>CBDU9827</t>
  </si>
  <si>
    <t xml:space="preserve">1 Pengeulan </t>
  </si>
  <si>
    <t>Dolwyddelan</t>
  </si>
  <si>
    <t>LL25 0UQ</t>
  </si>
  <si>
    <t>CBDU9831</t>
  </si>
  <si>
    <t xml:space="preserve">46 Heol Andrew </t>
  </si>
  <si>
    <t>SA15 3YP</t>
  </si>
  <si>
    <t>CBDU9594</t>
  </si>
  <si>
    <t>C C B Building Seaway Parade</t>
  </si>
  <si>
    <t>SA12 7BL</t>
  </si>
  <si>
    <t>CBDL9595</t>
  </si>
  <si>
    <t xml:space="preserve">28 Low Mead </t>
  </si>
  <si>
    <t>LA9 5PZ</t>
  </si>
  <si>
    <t>CBDL9597</t>
  </si>
  <si>
    <t>Hindmans way Hindmans way</t>
  </si>
  <si>
    <t>Rm96LF</t>
  </si>
  <si>
    <t>CBDU9603</t>
  </si>
  <si>
    <t>6 Berkrolles Avenue Saint Tathan</t>
  </si>
  <si>
    <t>CF62 4PY</t>
  </si>
  <si>
    <t>CBDU9604</t>
  </si>
  <si>
    <t xml:space="preserve">13 Meliden Road </t>
  </si>
  <si>
    <t>CF64 3UH</t>
  </si>
  <si>
    <t>CBDL10057</t>
  </si>
  <si>
    <t xml:space="preserve">173 Bartley Wilson Way </t>
  </si>
  <si>
    <t>CF11 8EP</t>
  </si>
  <si>
    <t>CBDU10059</t>
  </si>
  <si>
    <t>145 Middle Road Cwmbwrla</t>
  </si>
  <si>
    <t>SA5 8HE</t>
  </si>
  <si>
    <t>CBDU10062</t>
  </si>
  <si>
    <t>5 Randell Square Pen-Bre</t>
  </si>
  <si>
    <t>SA16 0TY</t>
  </si>
  <si>
    <t>CBDU10065</t>
  </si>
  <si>
    <t>9 Littlegates Holyland Road</t>
  </si>
  <si>
    <t>SA71 4BL</t>
  </si>
  <si>
    <t>CBDL10384</t>
  </si>
  <si>
    <t>CBDU10387</t>
  </si>
  <si>
    <t>56 Parc Castell-y-Mynach Creigiau</t>
  </si>
  <si>
    <t>CF15 9NZ</t>
  </si>
  <si>
    <t>CBDL10390</t>
  </si>
  <si>
    <t xml:space="preserve">31 Crawley Road </t>
  </si>
  <si>
    <t>Witney</t>
  </si>
  <si>
    <t>OX28 1HX</t>
  </si>
  <si>
    <t>CBDU10392</t>
  </si>
  <si>
    <t>8 Bron Eryri Terrace Rhosgadfan</t>
  </si>
  <si>
    <t>LL54 7HS</t>
  </si>
  <si>
    <t>CBDL10393</t>
  </si>
  <si>
    <t>36 Goldcroft Common</t>
  </si>
  <si>
    <t>CBDU10395</t>
  </si>
  <si>
    <t>Parc Coedffaldau Coedffaldau Road</t>
  </si>
  <si>
    <t>SA9 2RL</t>
  </si>
  <si>
    <t>CBDU10396</t>
  </si>
  <si>
    <t>Fern Lodge Sycamore Woods</t>
  </si>
  <si>
    <t>SA72 6QW</t>
  </si>
  <si>
    <t>CBDL10400</t>
  </si>
  <si>
    <t xml:space="preserve">6 Church Street </t>
  </si>
  <si>
    <t>LL77 7DU</t>
  </si>
  <si>
    <t>CBDL10146</t>
  </si>
  <si>
    <t xml:space="preserve">47 Dogfield Street </t>
  </si>
  <si>
    <t>CF24 4QL</t>
  </si>
  <si>
    <t>CBDU10147</t>
  </si>
  <si>
    <t>OVERLOOK HOUSE 1 MOUNT PLEASANT</t>
  </si>
  <si>
    <t>TREDEGAR</t>
  </si>
  <si>
    <t>NP22 3LL</t>
  </si>
  <si>
    <t>CBDL10149</t>
  </si>
  <si>
    <t xml:space="preserve">224 Limpsfield Road </t>
  </si>
  <si>
    <t>CR2 9DA</t>
  </si>
  <si>
    <t>CBDU10151</t>
  </si>
  <si>
    <t>28 Rhyd Y Felin Llansamlet</t>
  </si>
  <si>
    <t>CBDL10152</t>
  </si>
  <si>
    <t>Cae Bryntirion Llanddona</t>
  </si>
  <si>
    <t>LL58 8UL</t>
  </si>
  <si>
    <t>CBDU10153</t>
  </si>
  <si>
    <t>Flat 162 Newton Road</t>
  </si>
  <si>
    <t>Newton</t>
  </si>
  <si>
    <t>SA3 4UD</t>
  </si>
  <si>
    <t>CBDU10155</t>
  </si>
  <si>
    <t>80 Glan Y Wern Road</t>
  </si>
  <si>
    <t>SA7 9UH</t>
  </si>
  <si>
    <t>CBDU10620</t>
  </si>
  <si>
    <t>1 Mountain View</t>
  </si>
  <si>
    <t>Upper Race</t>
  </si>
  <si>
    <t>CBDU10624</t>
  </si>
  <si>
    <t xml:space="preserve">33 Hywel Crescent </t>
  </si>
  <si>
    <t>CF63 1DL</t>
  </si>
  <si>
    <t>CBDL10625</t>
  </si>
  <si>
    <t>Upper Trefnant Trefnant</t>
  </si>
  <si>
    <t>SY21 9JG</t>
  </si>
  <si>
    <t>CBDU10630</t>
  </si>
  <si>
    <t>Bryn Golau Lon Pant</t>
  </si>
  <si>
    <t>LL61 5YP</t>
  </si>
  <si>
    <t>CBDL10631</t>
  </si>
  <si>
    <t>Llwyn-Araul Dryslwyn</t>
  </si>
  <si>
    <t>CBDL10632</t>
  </si>
  <si>
    <t xml:space="preserve">93 Amanwy </t>
  </si>
  <si>
    <t>SA14 9AG</t>
  </si>
  <si>
    <t>CBDL10981</t>
  </si>
  <si>
    <t xml:space="preserve">22 St. Ilans Way </t>
  </si>
  <si>
    <t>CF83 1EW</t>
  </si>
  <si>
    <t>CBDL10982</t>
  </si>
  <si>
    <t>31 High Street Caerleon</t>
  </si>
  <si>
    <t>NP18 1AE</t>
  </si>
  <si>
    <t>CBDU10984</t>
  </si>
  <si>
    <t>19 Pontardulais Road Cadle</t>
  </si>
  <si>
    <t>SA5 4BA</t>
  </si>
  <si>
    <t>CBDU10985</t>
  </si>
  <si>
    <t>Dduallt Farm Ynysybwl</t>
  </si>
  <si>
    <t>CF37 3PG</t>
  </si>
  <si>
    <t>CBDU10987</t>
  </si>
  <si>
    <t xml:space="preserve">29 Carn Yr Ebol </t>
  </si>
  <si>
    <t>CF63 1EH</t>
  </si>
  <si>
    <t>CBDU10988</t>
  </si>
  <si>
    <t xml:space="preserve">2 Redstone Cottages </t>
  </si>
  <si>
    <t>SA67 7EX</t>
  </si>
  <si>
    <t>CBDU10989</t>
  </si>
  <si>
    <t>CBDL10993</t>
  </si>
  <si>
    <t xml:space="preserve">34 Seiriol Road </t>
  </si>
  <si>
    <t>LL34 6HB</t>
  </si>
  <si>
    <t>CBDU11002</t>
  </si>
  <si>
    <t>65 Feverills Road Little Clacton</t>
  </si>
  <si>
    <t>Clacton-on-Sea</t>
  </si>
  <si>
    <t>CO16 9NA</t>
  </si>
  <si>
    <t>CBDU11003</t>
  </si>
  <si>
    <t xml:space="preserve">Three Cocks </t>
  </si>
  <si>
    <t>CBDL10739</t>
  </si>
  <si>
    <t xml:space="preserve">99 Gorse Place </t>
  </si>
  <si>
    <t>CF5 3PD</t>
  </si>
  <si>
    <t>CBDU10741</t>
  </si>
  <si>
    <t xml:space="preserve">119 Hawthorn Rise </t>
  </si>
  <si>
    <t>CBDU10744</t>
  </si>
  <si>
    <t>13 Brookdale Avenue Connah's Quay</t>
  </si>
  <si>
    <t>CH5 4LT</t>
  </si>
  <si>
    <t>CBDU10748</t>
  </si>
  <si>
    <t>11 Aeron Place Bonymaen</t>
  </si>
  <si>
    <t>SA1 7BY</t>
  </si>
  <si>
    <t>CBDU10749</t>
  </si>
  <si>
    <t xml:space="preserve">122 Glanffornwg </t>
  </si>
  <si>
    <t>CF31 1RN</t>
  </si>
  <si>
    <t>CBDL10752</t>
  </si>
  <si>
    <t>Garth Close Trevethin</t>
  </si>
  <si>
    <t>CBDL11252</t>
  </si>
  <si>
    <t>17 Meadow Farm Caravan Site North Hykeham</t>
  </si>
  <si>
    <t>LN6 9RA</t>
  </si>
  <si>
    <t>CBDL11255</t>
  </si>
  <si>
    <t>284 Burnham Avenue Llanrumney</t>
  </si>
  <si>
    <t>CF3 5QR</t>
  </si>
  <si>
    <t>CBDL11256</t>
  </si>
  <si>
    <t>Powells Dental Surgery 5A Lion Street</t>
  </si>
  <si>
    <t>CBDL11257</t>
  </si>
  <si>
    <t>CBDU11259</t>
  </si>
  <si>
    <t>Maespica Farm Heol Maes Pica</t>
  </si>
  <si>
    <t>SA9 2PP</t>
  </si>
  <si>
    <t>CBDU11260</t>
  </si>
  <si>
    <t xml:space="preserve">28 Hookland Road </t>
  </si>
  <si>
    <t>CF36 5SF</t>
  </si>
  <si>
    <t>CBDU11263</t>
  </si>
  <si>
    <t>Watkinville Hospital Road</t>
  </si>
  <si>
    <t>NP4 8LF</t>
  </si>
  <si>
    <t>CBDU11266</t>
  </si>
  <si>
    <t>Frampton Cottage Alltami Road</t>
  </si>
  <si>
    <t>CBDU11267</t>
  </si>
  <si>
    <t>Lodge Farm Llanddarog</t>
  </si>
  <si>
    <t>CBDL12061</t>
  </si>
  <si>
    <t>CBDL12064</t>
  </si>
  <si>
    <t>CAPEL BANGOR ABERYSTWYTH</t>
  </si>
  <si>
    <t>SY233LT</t>
  </si>
  <si>
    <t>CBDU12065</t>
  </si>
  <si>
    <t>5 Harbour View St. Thomas</t>
  </si>
  <si>
    <t>SA1 8HW</t>
  </si>
  <si>
    <t>CBDU12066</t>
  </si>
  <si>
    <t>12 Greenfield Crescent Llansamlet</t>
  </si>
  <si>
    <t>SA7 9SR</t>
  </si>
  <si>
    <t>CBDU12069</t>
  </si>
  <si>
    <t xml:space="preserve">25 South Road </t>
  </si>
  <si>
    <t>SA71 4EG</t>
  </si>
  <si>
    <t>CBDL11519</t>
  </si>
  <si>
    <t>Conifers Filton Road</t>
  </si>
  <si>
    <t>Hambrook</t>
  </si>
  <si>
    <t>BS16 1QG</t>
  </si>
  <si>
    <t>CBDL11520</t>
  </si>
  <si>
    <t>Cefn Vaynor New House</t>
  </si>
  <si>
    <t>Cefn-y-Faenor</t>
  </si>
  <si>
    <t>SY21 8PP</t>
  </si>
  <si>
    <t>CBDU11527</t>
  </si>
  <si>
    <t xml:space="preserve">11 Parcydelyn </t>
  </si>
  <si>
    <t>SA31 1TS</t>
  </si>
  <si>
    <t>CBDU11753</t>
  </si>
  <si>
    <t>Nant Y Wenynen Ystradfellte</t>
  </si>
  <si>
    <t>CF44 9JD</t>
  </si>
  <si>
    <t>CBDL11754</t>
  </si>
  <si>
    <t>11 Orchard Street Llanfaes</t>
  </si>
  <si>
    <t>LD3 8AN</t>
  </si>
  <si>
    <t>CBDU11756</t>
  </si>
  <si>
    <t>32 John Street Aberavon</t>
  </si>
  <si>
    <t>CBDU11760</t>
  </si>
  <si>
    <t>23 Colonel Road Betws</t>
  </si>
  <si>
    <t>CBDL12265</t>
  </si>
  <si>
    <t xml:space="preserve">87 Garland Road </t>
  </si>
  <si>
    <t>SE18 2PL</t>
  </si>
  <si>
    <t>CBDL12267</t>
  </si>
  <si>
    <t xml:space="preserve">5 Church Street </t>
  </si>
  <si>
    <t>CF47 0BW</t>
  </si>
  <si>
    <t>CBDL12268</t>
  </si>
  <si>
    <t xml:space="preserve">8 College Grove </t>
  </si>
  <si>
    <t>Castleford</t>
  </si>
  <si>
    <t>WF10 5NS</t>
  </si>
  <si>
    <t>CBDU12269</t>
  </si>
  <si>
    <t>Sand Pits Farm Llantrithyd Road</t>
  </si>
  <si>
    <t>St. Hilary</t>
  </si>
  <si>
    <t>CF71 7DP</t>
  </si>
  <si>
    <t>CBDU12271</t>
  </si>
  <si>
    <t>43 Haulfryn Tregynwr</t>
  </si>
  <si>
    <t>SA31 2DS</t>
  </si>
  <si>
    <t>CBDU12275</t>
  </si>
  <si>
    <t xml:space="preserve">58 Leslie Terrace </t>
  </si>
  <si>
    <t>CF39 9TE</t>
  </si>
  <si>
    <t>CBDU12481</t>
  </si>
  <si>
    <t>The Yard Unit 7</t>
  </si>
  <si>
    <t>Cambrian Park Cillefwr Ind Est</t>
  </si>
  <si>
    <t>CBDU12482</t>
  </si>
  <si>
    <t xml:space="preserve">20 Maes-y-Deri </t>
  </si>
  <si>
    <t>CF44 6TF</t>
  </si>
  <si>
    <t>CBDL12483</t>
  </si>
  <si>
    <t xml:space="preserve">155 Boston Avenue </t>
  </si>
  <si>
    <t>Runcorn</t>
  </si>
  <si>
    <t>WA7 5XL</t>
  </si>
  <si>
    <t>CBDL12484</t>
  </si>
  <si>
    <t xml:space="preserve">56A Anlaby Park Road North </t>
  </si>
  <si>
    <t>HU4 6XT</t>
  </si>
  <si>
    <t>CBDL12485</t>
  </si>
  <si>
    <t xml:space="preserve">14 Sker Walk </t>
  </si>
  <si>
    <t>CF36 3RA</t>
  </si>
  <si>
    <t>CBDL12487</t>
  </si>
  <si>
    <t>1 The Limes Horsham Road</t>
  </si>
  <si>
    <t>Findon</t>
  </si>
  <si>
    <t>BN14 0UZ</t>
  </si>
  <si>
    <t>CBDL12490</t>
  </si>
  <si>
    <t>CBDU12821</t>
  </si>
  <si>
    <t>80 Village Farm Road</t>
  </si>
  <si>
    <t>CBDL12823</t>
  </si>
  <si>
    <t>45 Caer-Odyn Forgeside</t>
  </si>
  <si>
    <t>NP13 3AU</t>
  </si>
  <si>
    <t>CBDU12824</t>
  </si>
  <si>
    <t>unit 1  The Cornstores</t>
  </si>
  <si>
    <t>Heol Ty Gwyn</t>
  </si>
  <si>
    <t>CF340BQ</t>
  </si>
  <si>
    <t>CBDL12825</t>
  </si>
  <si>
    <t xml:space="preserve">27 Cosheston Road </t>
  </si>
  <si>
    <t>CF5 3NQ</t>
  </si>
  <si>
    <t>CBDU12827</t>
  </si>
  <si>
    <t xml:space="preserve">255 Pilton Vale </t>
  </si>
  <si>
    <t>NP20 6LP</t>
  </si>
  <si>
    <t>CBDU12829</t>
  </si>
  <si>
    <t>Lakeside Church Road</t>
  </si>
  <si>
    <t>SA14 7NF</t>
  </si>
  <si>
    <t>CBDU12610</t>
  </si>
  <si>
    <t>40 Lower Mount Pleasant Troedyrhiw</t>
  </si>
  <si>
    <t>CF48 4LT</t>
  </si>
  <si>
    <t>CBDU12615</t>
  </si>
  <si>
    <t>CBDU12619</t>
  </si>
  <si>
    <t xml:space="preserve">69 Bloomfield Road </t>
  </si>
  <si>
    <t>NP12 1LY</t>
  </si>
  <si>
    <t>CBDL13041</t>
  </si>
  <si>
    <t>Old School House Ruthin Road</t>
  </si>
  <si>
    <t>Gwernymynydd</t>
  </si>
  <si>
    <t>CH7 4AF</t>
  </si>
  <si>
    <t>CBDU13043</t>
  </si>
  <si>
    <t xml:space="preserve">115 Bonvilston Road </t>
  </si>
  <si>
    <t>CF37 4RG</t>
  </si>
  <si>
    <t>CBDL13045</t>
  </si>
  <si>
    <t>18-20 Hengoed Crescent Cefn Hengoed</t>
  </si>
  <si>
    <t>CF82 7HG</t>
  </si>
  <si>
    <t>CBDU13046</t>
  </si>
  <si>
    <t xml:space="preserve">78 Bradfield Road </t>
  </si>
  <si>
    <t>CF31 4HJ</t>
  </si>
  <si>
    <t>CBDU13050</t>
  </si>
  <si>
    <t>84 Crawshay Street</t>
  </si>
  <si>
    <t>Ynysybwl</t>
  </si>
  <si>
    <t>Cf37 3EG</t>
  </si>
  <si>
    <t>CBDL13053</t>
  </si>
  <si>
    <t>19 Worcester Close Heolgerrig</t>
  </si>
  <si>
    <t>CF48 1SP</t>
  </si>
  <si>
    <t>CBDU13202</t>
  </si>
  <si>
    <t>OFFICE 1 NEW ROAD GARAGE</t>
  </si>
  <si>
    <t>NANTYGLO</t>
  </si>
  <si>
    <t>EBBW VALE</t>
  </si>
  <si>
    <t>NP234JT</t>
  </si>
  <si>
    <t>CBDL13203</t>
  </si>
  <si>
    <t>CBDU13205</t>
  </si>
  <si>
    <t xml:space="preserve">10 Heulfryn Terrace </t>
  </si>
  <si>
    <t>LL41 3PR</t>
  </si>
  <si>
    <t>CBDU13207</t>
  </si>
  <si>
    <t>25 Richmond Road Pontnewydd</t>
  </si>
  <si>
    <t>CBDL13210</t>
  </si>
  <si>
    <t>35 Grosvenor Road</t>
  </si>
  <si>
    <t>NP7 6AH</t>
  </si>
  <si>
    <t>CBDU13212</t>
  </si>
  <si>
    <t>33 Llys Teg Dunvant</t>
  </si>
  <si>
    <t>CBDU13213</t>
  </si>
  <si>
    <t xml:space="preserve">1 Tempest Street </t>
  </si>
  <si>
    <t>LN2 5NB</t>
  </si>
  <si>
    <t>CBDU13216</t>
  </si>
  <si>
    <t xml:space="preserve">19 Wernoleu Road </t>
  </si>
  <si>
    <t>SA18 2JR</t>
  </si>
  <si>
    <t>CBDU13396</t>
  </si>
  <si>
    <t>107 Clos Dewi Sant Canton</t>
  </si>
  <si>
    <t>CF11 9EX</t>
  </si>
  <si>
    <t>CBDL13397</t>
  </si>
  <si>
    <t>32 Main Street Llangwm</t>
  </si>
  <si>
    <t>CBDU13400</t>
  </si>
  <si>
    <t xml:space="preserve">35 Heol Y Ffynnon </t>
  </si>
  <si>
    <t>LD3 9UF</t>
  </si>
  <si>
    <t>CBDU13403</t>
  </si>
  <si>
    <t>Rhos Boeth Amlwch Road</t>
  </si>
  <si>
    <t>CBDL158</t>
  </si>
  <si>
    <t>Ty Gwyn Hotel Rowen</t>
  </si>
  <si>
    <t>LL32 8YU</t>
  </si>
  <si>
    <t>CBDL161</t>
  </si>
  <si>
    <t>1 Vicarage Road</t>
  </si>
  <si>
    <t>LD3 8UW</t>
  </si>
  <si>
    <t>CBDL167</t>
  </si>
  <si>
    <t>Butchers Arms Newcwys</t>
  </si>
  <si>
    <t>CBDL660</t>
  </si>
  <si>
    <t>5 Sterney Road</t>
  </si>
  <si>
    <t>Pwll</t>
  </si>
  <si>
    <t>SA15 4AA</t>
  </si>
  <si>
    <t>CBDL661</t>
  </si>
  <si>
    <t>31 Sailsbury Road</t>
  </si>
  <si>
    <t>CBDL662</t>
  </si>
  <si>
    <t>Heol Gerrig Farm Street</t>
  </si>
  <si>
    <t>Mary Hill</t>
  </si>
  <si>
    <t>CF35 5ED</t>
  </si>
  <si>
    <t>CBDL668</t>
  </si>
  <si>
    <t>10 Widecombe Drive</t>
  </si>
  <si>
    <t>Rumney Hill</t>
  </si>
  <si>
    <t>CF3 4AQ</t>
  </si>
  <si>
    <t>CBDL673</t>
  </si>
  <si>
    <t>3A Gloddaeth Street</t>
  </si>
  <si>
    <t>LL30 2DD</t>
  </si>
  <si>
    <t>CBDL854</t>
  </si>
  <si>
    <t>14  Morlais Street</t>
  </si>
  <si>
    <t>CF63 2PB</t>
  </si>
  <si>
    <t>CBDL855</t>
  </si>
  <si>
    <t>3 Carters Well</t>
  </si>
  <si>
    <t xml:space="preserve">Barkers Well Lane </t>
  </si>
  <si>
    <t>Ll16 3YW</t>
  </si>
  <si>
    <t>CBDL856</t>
  </si>
  <si>
    <t>Fronheulog Hirnant</t>
  </si>
  <si>
    <t>Penybontfawr</t>
  </si>
  <si>
    <t>SY10 0HR</t>
  </si>
  <si>
    <t>CBDL857</t>
  </si>
  <si>
    <t>CBDL858</t>
  </si>
  <si>
    <t>1 Castle Quarry</t>
  </si>
  <si>
    <t xml:space="preserve">Long mains </t>
  </si>
  <si>
    <t>Sa714jb</t>
  </si>
  <si>
    <t>CBDL859</t>
  </si>
  <si>
    <t>Gelli Las Farm no street just Farm</t>
  </si>
  <si>
    <t>CBDL860</t>
  </si>
  <si>
    <t>The Brooks Penallt</t>
  </si>
  <si>
    <t>NP254AQ</t>
  </si>
  <si>
    <t>CBDL861</t>
  </si>
  <si>
    <t xml:space="preserve">6 ash place </t>
  </si>
  <si>
    <t>cf33pp</t>
  </si>
  <si>
    <t>CBDL864</t>
  </si>
  <si>
    <t>LLYSTEG Bronant</t>
  </si>
  <si>
    <t>SY23 4TG</t>
  </si>
  <si>
    <t>CBDL1096</t>
  </si>
  <si>
    <t>Tan Y Bryn Bryn Pydew Rd</t>
  </si>
  <si>
    <t>Llandudno Jct</t>
  </si>
  <si>
    <t>LL319JZ</t>
  </si>
  <si>
    <t>CBDL1097</t>
  </si>
  <si>
    <t>CBDL1099</t>
  </si>
  <si>
    <t>147  Station</t>
  </si>
  <si>
    <t>CBDL1100</t>
  </si>
  <si>
    <t>49 Blenheim Drive</t>
  </si>
  <si>
    <t>Bredon</t>
  </si>
  <si>
    <t>GL20 7LY</t>
  </si>
  <si>
    <t>CBDL1101</t>
  </si>
  <si>
    <t>21 Marshall Road</t>
  </si>
  <si>
    <t>Monkton</t>
  </si>
  <si>
    <t>SA71 4NE</t>
  </si>
  <si>
    <t>CBDL1107</t>
  </si>
  <si>
    <t>11 Elwy Crescent</t>
  </si>
  <si>
    <t>Halkyn Road Estate</t>
  </si>
  <si>
    <t>Ch6 5UG</t>
  </si>
  <si>
    <t>CBDL1108</t>
  </si>
  <si>
    <t>CBDL1109</t>
  </si>
  <si>
    <t>14 Heol Las Fawr</t>
  </si>
  <si>
    <t>SA10 8PB</t>
  </si>
  <si>
    <t>CBDL1111</t>
  </si>
  <si>
    <t>Nant Ucha Rhiwlas</t>
  </si>
  <si>
    <t>SY10 7JJ</t>
  </si>
  <si>
    <t>CBDL1340</t>
  </si>
  <si>
    <t>2 Doran Road</t>
  </si>
  <si>
    <t>LL14 1UT</t>
  </si>
  <si>
    <t>CBDL1341</t>
  </si>
  <si>
    <t>CBDL1342</t>
  </si>
  <si>
    <t>Eat at the green Abergele road</t>
  </si>
  <si>
    <t>LL18 5sr</t>
  </si>
  <si>
    <t>CBDL1345</t>
  </si>
  <si>
    <t>Bryn Goleu Llandyfrydog</t>
  </si>
  <si>
    <t>LL71 8AP</t>
  </si>
  <si>
    <t>CBDL1350</t>
  </si>
  <si>
    <t xml:space="preserve">44 penmark </t>
  </si>
  <si>
    <t>green</t>
  </si>
  <si>
    <t>cf54qn</t>
  </si>
  <si>
    <t>CBDL1353</t>
  </si>
  <si>
    <t>CBDL1580</t>
  </si>
  <si>
    <t>24 Beeches farm</t>
  </si>
  <si>
    <t>Knolbury</t>
  </si>
  <si>
    <t>Np263hg</t>
  </si>
  <si>
    <t>CBDL1582</t>
  </si>
  <si>
    <t>84 Heol hafdy</t>
  </si>
  <si>
    <t>Sa79rz</t>
  </si>
  <si>
    <t>CBDL1583</t>
  </si>
  <si>
    <t>6 Lambourne Drive</t>
  </si>
  <si>
    <t>SA3 4UW</t>
  </si>
  <si>
    <t>CBDL1795</t>
  </si>
  <si>
    <t>CBDL1804</t>
  </si>
  <si>
    <t>265 Coed-y-Gores Llanedeyrn</t>
  </si>
  <si>
    <t>CF23 9NN</t>
  </si>
  <si>
    <t>CBDL2043</t>
  </si>
  <si>
    <t>5 Llwynon Gelli Crescent</t>
  </si>
  <si>
    <t>NP11 6PR</t>
  </si>
  <si>
    <t>CBDL2057</t>
  </si>
  <si>
    <t>CBDL2441</t>
  </si>
  <si>
    <t xml:space="preserve">1 Nightingales Bush </t>
  </si>
  <si>
    <t>CF37 4BP</t>
  </si>
  <si>
    <t>CBDL2450</t>
  </si>
  <si>
    <t xml:space="preserve">1A Lon Troon </t>
  </si>
  <si>
    <t>LL29 6AW</t>
  </si>
  <si>
    <t>CBDL2704</t>
  </si>
  <si>
    <t>1 Orchard Place Peterchurch</t>
  </si>
  <si>
    <t>HR2 0RT</t>
  </si>
  <si>
    <t>CBDL3125</t>
  </si>
  <si>
    <t xml:space="preserve">52 High Street </t>
  </si>
  <si>
    <t>CBDL3130</t>
  </si>
  <si>
    <t>21 Neyland Drive Penlan</t>
  </si>
  <si>
    <t>SA5 7NE</t>
  </si>
  <si>
    <t>CBDL2916</t>
  </si>
  <si>
    <t>Cefnhir Fach Llanrhaeadr Ym Mochnant</t>
  </si>
  <si>
    <t>SY10 0DY</t>
  </si>
  <si>
    <t>CBDL2917</t>
  </si>
  <si>
    <t xml:space="preserve">36 Maesglas Road </t>
  </si>
  <si>
    <t>NP20 3DF</t>
  </si>
  <si>
    <t>CBDL2918</t>
  </si>
  <si>
    <t>53 The Meadows Cimla</t>
  </si>
  <si>
    <t>SA11 3XF</t>
  </si>
  <si>
    <t>CBDL3362</t>
  </si>
  <si>
    <t>14 Clark Avenue Pontnewydd</t>
  </si>
  <si>
    <t>NP44 1RY</t>
  </si>
  <si>
    <t>CBDL3365</t>
  </si>
  <si>
    <t>CBDL3871</t>
  </si>
  <si>
    <t>The Old Granary Norton</t>
  </si>
  <si>
    <t>Nr. Presteigne</t>
  </si>
  <si>
    <t>LD8 2EY</t>
  </si>
  <si>
    <t>CBDL3878</t>
  </si>
  <si>
    <t xml:space="preserve">95 Corhampton Road </t>
  </si>
  <si>
    <t>BH6 5NX</t>
  </si>
  <si>
    <t>CBDL4381</t>
  </si>
  <si>
    <t>Unit 5 Wembley Place</t>
  </si>
  <si>
    <t>Heol Y Pentre</t>
  </si>
  <si>
    <t>CBDL4606</t>
  </si>
  <si>
    <t xml:space="preserve">Garmon View </t>
  </si>
  <si>
    <t>LL27 0NJ</t>
  </si>
  <si>
    <t>CBDL4607</t>
  </si>
  <si>
    <t>CBDL4609</t>
  </si>
  <si>
    <t>119 Main Road Y Creunant</t>
  </si>
  <si>
    <t>CBDL4612</t>
  </si>
  <si>
    <t>8 Pontymason Close Rogerstone</t>
  </si>
  <si>
    <t>NP10 9HG</t>
  </si>
  <si>
    <t>CBDL4131</t>
  </si>
  <si>
    <t xml:space="preserve">24 Upper Street </t>
  </si>
  <si>
    <t>CF34 9DU</t>
  </si>
  <si>
    <t>CBDL4134</t>
  </si>
  <si>
    <t>Ty Cartref Gelliciebryn</t>
  </si>
  <si>
    <t>sa11 5ed</t>
  </si>
  <si>
    <t>CBDL4796</t>
  </si>
  <si>
    <t>24 St. Owains Crescent Ystradowen</t>
  </si>
  <si>
    <t>CF71 7TB</t>
  </si>
  <si>
    <t>CBDL4800</t>
  </si>
  <si>
    <t>Glanyrafon Meidrim Road</t>
  </si>
  <si>
    <t>SA33 4DW</t>
  </si>
  <si>
    <t>CBDL5555</t>
  </si>
  <si>
    <t>3 Bolts Row Chepstow Road</t>
  </si>
  <si>
    <t>NP19 9DD</t>
  </si>
  <si>
    <t>CBDU5557</t>
  </si>
  <si>
    <t>Merton Villa High Street</t>
  </si>
  <si>
    <t>LL36 9AD</t>
  </si>
  <si>
    <t>CBDU5558</t>
  </si>
  <si>
    <t>7a Kirkhouse street</t>
  </si>
  <si>
    <t>Rct</t>
  </si>
  <si>
    <t>CF371Lf</t>
  </si>
  <si>
    <t>CBDU5561</t>
  </si>
  <si>
    <t>Llwyn Celyn Dolwen</t>
  </si>
  <si>
    <t>SY18 6LH</t>
  </si>
  <si>
    <t>CBDU5562</t>
  </si>
  <si>
    <t xml:space="preserve">52 Elm Street </t>
  </si>
  <si>
    <t>CF37 5DG</t>
  </si>
  <si>
    <t>CBDU5569</t>
  </si>
  <si>
    <t>Suite B Newby Business Centre</t>
  </si>
  <si>
    <t>SA107DR</t>
  </si>
  <si>
    <t>CBDL5805</t>
  </si>
  <si>
    <t xml:space="preserve">Heol Andrew </t>
  </si>
  <si>
    <t>CBDU5809</t>
  </si>
  <si>
    <t xml:space="preserve">19 Victoria Avenue </t>
  </si>
  <si>
    <t>SY18 6AS</t>
  </si>
  <si>
    <t>CBDU5813</t>
  </si>
  <si>
    <t>Ty Ceriad Llanengan</t>
  </si>
  <si>
    <t>LL53 7LL</t>
  </si>
  <si>
    <t>CBDL5814</t>
  </si>
  <si>
    <t>Unit 4 Morgan Building</t>
  </si>
  <si>
    <t>CBDU5817</t>
  </si>
  <si>
    <t>Pentrefenter Capel Isaac</t>
  </si>
  <si>
    <t>SA19 7UB</t>
  </si>
  <si>
    <t>CBDL5818</t>
  </si>
  <si>
    <t xml:space="preserve">79 Raglan Road </t>
  </si>
  <si>
    <t>LS2 9DZ</t>
  </si>
  <si>
    <t>CBDL5821</t>
  </si>
  <si>
    <t xml:space="preserve">Heol Trelai </t>
  </si>
  <si>
    <t>CF5 5PH</t>
  </si>
  <si>
    <t>CBDL5280</t>
  </si>
  <si>
    <t>Hafod Y Plas Pontrhyd-y-Bont</t>
  </si>
  <si>
    <t>CBDU6312</t>
  </si>
  <si>
    <t>Sycamore Lodge Dwrbach</t>
  </si>
  <si>
    <t>SA65 9RT</t>
  </si>
  <si>
    <t>CBDU6313</t>
  </si>
  <si>
    <t>Newbridge Road Pontllanfraith</t>
  </si>
  <si>
    <t>NP12 2AX</t>
  </si>
  <si>
    <t>CBDU6315</t>
  </si>
  <si>
    <t xml:space="preserve">18 Greenwood Court </t>
  </si>
  <si>
    <t>CF83 1QJ</t>
  </si>
  <si>
    <t>CBDU6316</t>
  </si>
  <si>
    <t>1 Alma Cottages Station Road</t>
  </si>
  <si>
    <t>SA68 0XS</t>
  </si>
  <si>
    <t>CBDU6318</t>
  </si>
  <si>
    <t xml:space="preserve">46 Lynton Walk </t>
  </si>
  <si>
    <t>LL18 3RP</t>
  </si>
  <si>
    <t>CBDU6319</t>
  </si>
  <si>
    <t>10 Greenfield Terrace Park Street</t>
  </si>
  <si>
    <t>CBDL6323</t>
  </si>
  <si>
    <t>Beudy Newydd Llandegfan</t>
  </si>
  <si>
    <t>LL59 5PY</t>
  </si>
  <si>
    <t>CBDU6061</t>
  </si>
  <si>
    <t>CBDU6062</t>
  </si>
  <si>
    <t xml:space="preserve">80 Cardiff Road </t>
  </si>
  <si>
    <t>CBDU6063</t>
  </si>
  <si>
    <t xml:space="preserve">22 Lon Cadfan </t>
  </si>
  <si>
    <t>LL19 8HJ</t>
  </si>
  <si>
    <t>CBDU6067</t>
  </si>
  <si>
    <t>8 Clos-y-Talcen Pen-y-Fai</t>
  </si>
  <si>
    <t>CF31 4BU</t>
  </si>
  <si>
    <t>CBDU6068</t>
  </si>
  <si>
    <t>16 Pant Teg Deganwy</t>
  </si>
  <si>
    <t>LL31 9PS</t>
  </si>
  <si>
    <t>CBDU6071</t>
  </si>
  <si>
    <t xml:space="preserve">The Grove Yard </t>
  </si>
  <si>
    <t>SA63 4SP</t>
  </si>
  <si>
    <t>CBDU6075</t>
  </si>
  <si>
    <t xml:space="preserve">62 Bonnington Walk </t>
  </si>
  <si>
    <t>BS7 9XD</t>
  </si>
  <si>
    <t>CBDU6077</t>
  </si>
  <si>
    <t xml:space="preserve">Llysfryn </t>
  </si>
  <si>
    <t>CBDL6853</t>
  </si>
  <si>
    <t xml:space="preserve">Hafod Y Gan </t>
  </si>
  <si>
    <t>SA39 9ET</t>
  </si>
  <si>
    <t>CBDU6859</t>
  </si>
  <si>
    <t xml:space="preserve">76 Moorland Road </t>
  </si>
  <si>
    <t>CBDL6860</t>
  </si>
  <si>
    <t>54 Goonbarrow Meadow Bugle</t>
  </si>
  <si>
    <t>PL26 8FW</t>
  </si>
  <si>
    <t>CBDU6864</t>
  </si>
  <si>
    <t xml:space="preserve">Cae Main </t>
  </si>
  <si>
    <t>LL46 2UE</t>
  </si>
  <si>
    <t>CBDU6867</t>
  </si>
  <si>
    <t>36 Factory Road Clydach</t>
  </si>
  <si>
    <t>SA6 5EW</t>
  </si>
  <si>
    <t>CBDL6623</t>
  </si>
  <si>
    <t>Poplar Farm Delph Lane</t>
  </si>
  <si>
    <t>Daresbury</t>
  </si>
  <si>
    <t>WA4 6SS</t>
  </si>
  <si>
    <t>CBDU6624</t>
  </si>
  <si>
    <t>27 Cadwgan Road Hen Golwyn</t>
  </si>
  <si>
    <t>LL29 9RE</t>
  </si>
  <si>
    <t>CBDL6625</t>
  </si>
  <si>
    <t>22 Cedar Road Saint Tathan</t>
  </si>
  <si>
    <t>CF62 4JT</t>
  </si>
  <si>
    <t>CBDU6626</t>
  </si>
  <si>
    <t>6 Downs View Aberthin</t>
  </si>
  <si>
    <t>CF71 7HF</t>
  </si>
  <si>
    <t>CBDU6628</t>
  </si>
  <si>
    <t>8 Brynhyfryd Terrace Blaendulais</t>
  </si>
  <si>
    <t>SA10 9BA</t>
  </si>
  <si>
    <t>CBDU7437</t>
  </si>
  <si>
    <t>90 Trallwn Road Llansamlet</t>
  </si>
  <si>
    <t>SA7 9XA</t>
  </si>
  <si>
    <t>CBDU7439</t>
  </si>
  <si>
    <t>UNIT H CAERPHILLY BUSINESS PARK</t>
  </si>
  <si>
    <t>VAN RD</t>
  </si>
  <si>
    <t>CBDU7441</t>
  </si>
  <si>
    <t>Llettywennol Ciliau Aeron</t>
  </si>
  <si>
    <t>SA48 8DE</t>
  </si>
  <si>
    <t>CBDL7208</t>
  </si>
  <si>
    <t xml:space="preserve">4 Lon Y Ffin Ely </t>
  </si>
  <si>
    <t>CBDU7212</t>
  </si>
  <si>
    <t>Pendref Pontrhyd-y-Bont</t>
  </si>
  <si>
    <t>CBDU7213</t>
  </si>
  <si>
    <t>13 Tynewydd</t>
  </si>
  <si>
    <t>CF14 1NN</t>
  </si>
  <si>
    <t>CBDL7217</t>
  </si>
  <si>
    <t xml:space="preserve">6 Monckton Road </t>
  </si>
  <si>
    <t>Portsmouth</t>
  </si>
  <si>
    <t>PO3 5DH</t>
  </si>
  <si>
    <t>CBDU8106</t>
  </si>
  <si>
    <t>CBDU8107</t>
  </si>
  <si>
    <t>42 Broadmead Pontllanfraith</t>
  </si>
  <si>
    <t>NP12 2NL</t>
  </si>
  <si>
    <t>CBDU8110</t>
  </si>
  <si>
    <t>Frondeg Penpentre</t>
  </si>
  <si>
    <t>LD3 8DH</t>
  </si>
  <si>
    <t>CBDU8111</t>
  </si>
  <si>
    <t xml:space="preserve">12 Myrtle Road </t>
  </si>
  <si>
    <t>CH7 2NS</t>
  </si>
  <si>
    <t>CBDU8112</t>
  </si>
  <si>
    <t>4 Tan Y Ffordd Estate Bethel</t>
  </si>
  <si>
    <t>LL55 1UY</t>
  </si>
  <si>
    <t>CBDL8114</t>
  </si>
  <si>
    <t xml:space="preserve">8 Millbank Terrace </t>
  </si>
  <si>
    <t>LL65 1SY</t>
  </si>
  <si>
    <t>CBDU8115</t>
  </si>
  <si>
    <t>Dwylan Aberdaron</t>
  </si>
  <si>
    <t>LL53 8BG</t>
  </si>
  <si>
    <t>CBDL8116</t>
  </si>
  <si>
    <t>48 Craig Yr Eos Road Aberogwr</t>
  </si>
  <si>
    <t>CBDL7849</t>
  </si>
  <si>
    <t>22 Castle Street Y Gelli Gandryll</t>
  </si>
  <si>
    <t>CBDL7852</t>
  </si>
  <si>
    <t xml:space="preserve">17 Bro Ednyfed </t>
  </si>
  <si>
    <t>LL77 7WA</t>
  </si>
  <si>
    <t>CBDU7853</t>
  </si>
  <si>
    <t xml:space="preserve">77 Tanygroes Street </t>
  </si>
  <si>
    <t>SA13 1EG</t>
  </si>
  <si>
    <t>CBDL7866</t>
  </si>
  <si>
    <t>CBDU7867</t>
  </si>
  <si>
    <t>7 Penybryn Caravan Park Llwynhendy</t>
  </si>
  <si>
    <t>CBDL7869</t>
  </si>
  <si>
    <t>CBDL8510</t>
  </si>
  <si>
    <t xml:space="preserve">5 Preswylfa Street </t>
  </si>
  <si>
    <t>CF5 1FS</t>
  </si>
  <si>
    <t>CBDL8511</t>
  </si>
  <si>
    <t>Unit 35 Gelli Industrial Estate</t>
  </si>
  <si>
    <t>Gelli</t>
  </si>
  <si>
    <t>CF41 7UW</t>
  </si>
  <si>
    <t>CBDU8514</t>
  </si>
  <si>
    <t>27 Heol Glas Y Dorlan North Cornelly</t>
  </si>
  <si>
    <t>CF33 4NZ</t>
  </si>
  <si>
    <t>CBDU8516</t>
  </si>
  <si>
    <t>Golygfor 3 Golwg Y Mor</t>
  </si>
  <si>
    <t>Square and Compass</t>
  </si>
  <si>
    <t>SA62 5HP</t>
  </si>
  <si>
    <t>CBDL8517</t>
  </si>
  <si>
    <t>Puffin House Fernbrook Road</t>
  </si>
  <si>
    <t>LL34 6DE</t>
  </si>
  <si>
    <t>CBDU8518</t>
  </si>
  <si>
    <t>93 Siloh Road Landore</t>
  </si>
  <si>
    <t>SA1 2PE</t>
  </si>
  <si>
    <t>CBDU8520</t>
  </si>
  <si>
    <t>26 Grove Street Pennar</t>
  </si>
  <si>
    <t>SA72 6RE</t>
  </si>
  <si>
    <t>CBDU8264</t>
  </si>
  <si>
    <t>Fedw Fawr Llansannan</t>
  </si>
  <si>
    <t>LL16 5ND</t>
  </si>
  <si>
    <t>CBDL8266</t>
  </si>
  <si>
    <t>Bryn Fforch Bethel</t>
  </si>
  <si>
    <t>LL55 3PS</t>
  </si>
  <si>
    <t>CBDU8267</t>
  </si>
  <si>
    <t>Loganlea Pen Y Green Road</t>
  </si>
  <si>
    <t>SY18 6AJ</t>
  </si>
  <si>
    <t>CBDL8268</t>
  </si>
  <si>
    <t>CBDL8270</t>
  </si>
  <si>
    <t>CBDU8751</t>
  </si>
  <si>
    <t>2 Lower Green Trefeglwys Road</t>
  </si>
  <si>
    <t>SY17 5HL</t>
  </si>
  <si>
    <t>CBDL8753</t>
  </si>
  <si>
    <t>1 1 Park Street</t>
  </si>
  <si>
    <t xml:space="preserve">Mountain ash </t>
  </si>
  <si>
    <t>CF45 4PF</t>
  </si>
  <si>
    <t>CBDL8754</t>
  </si>
  <si>
    <t>20 Holloway Court Penally</t>
  </si>
  <si>
    <t>CBDL8757</t>
  </si>
  <si>
    <t>NP4 6EY</t>
  </si>
  <si>
    <t>CBDL8758</t>
  </si>
  <si>
    <t>91 Lluest Ystradgynlais</t>
  </si>
  <si>
    <t>CBDL8759</t>
  </si>
  <si>
    <t>727 Pentregethin Road Portmead</t>
  </si>
  <si>
    <t>SA5 5EY</t>
  </si>
  <si>
    <t>CBDL8761</t>
  </si>
  <si>
    <t xml:space="preserve">61 Bell Street </t>
  </si>
  <si>
    <t>OL1 3PY</t>
  </si>
  <si>
    <t>CBDL8762</t>
  </si>
  <si>
    <t xml:space="preserve">47 Brooklands </t>
  </si>
  <si>
    <t>CO1 2WA</t>
  </si>
  <si>
    <t>CBDL8763</t>
  </si>
  <si>
    <t xml:space="preserve">55 Upper Barresdale </t>
  </si>
  <si>
    <t>NE66 1DP</t>
  </si>
  <si>
    <t>CBDL9147</t>
  </si>
  <si>
    <t>100 Manselfield Road Murton</t>
  </si>
  <si>
    <t>CBDL9149</t>
  </si>
  <si>
    <t>28 Grange Avenue Gwenfo</t>
  </si>
  <si>
    <t>CF5 6AR</t>
  </si>
  <si>
    <t>CBDL9150</t>
  </si>
  <si>
    <t xml:space="preserve"> TRANDAFIRILOR 2C</t>
  </si>
  <si>
    <t>LOC. IUGANI</t>
  </si>
  <si>
    <t>COM. MIRCESTI</t>
  </si>
  <si>
    <t>CBDU9153</t>
  </si>
  <si>
    <t>1 Lon Tyrhaul Llansamlet</t>
  </si>
  <si>
    <t>SA7 9SF</t>
  </si>
  <si>
    <t>CBDU8894</t>
  </si>
  <si>
    <t>6 Abernethy Close Llaneirwg</t>
  </si>
  <si>
    <t>CF3 0SB</t>
  </si>
  <si>
    <t>CBDU8898</t>
  </si>
  <si>
    <t xml:space="preserve">24 Romney Road </t>
  </si>
  <si>
    <t>New Malden</t>
  </si>
  <si>
    <t>KT3 5NN</t>
  </si>
  <si>
    <t>CBDU8901</t>
  </si>
  <si>
    <t>Trefri Fach Llangaffo</t>
  </si>
  <si>
    <t>LL60 6LT</t>
  </si>
  <si>
    <t>CBDL8906</t>
  </si>
  <si>
    <t>Cobwebs Corner Brickyard</t>
  </si>
  <si>
    <t>CF36 5PP</t>
  </si>
  <si>
    <t>CBDL8907</t>
  </si>
  <si>
    <t>67 Beaufort Rise Beaufort</t>
  </si>
  <si>
    <t>NP23 5JG</t>
  </si>
  <si>
    <t>CBDL8908</t>
  </si>
  <si>
    <t>Unit 2 Thames Road</t>
  </si>
  <si>
    <t>E16 2EZ</t>
  </si>
  <si>
    <t>CBDU014007</t>
  </si>
  <si>
    <t>UNIT S HIRWAUN INDUSTRIAL ESTATE</t>
  </si>
  <si>
    <t>HIRWAUN</t>
  </si>
  <si>
    <t>ABERDARE</t>
  </si>
  <si>
    <t>CBDU014008</t>
  </si>
  <si>
    <t>Llangeitho</t>
  </si>
  <si>
    <t>SY25 6QG</t>
  </si>
  <si>
    <t>CBDU014009</t>
  </si>
  <si>
    <t>Beton Bauen Ltd</t>
  </si>
  <si>
    <t>Beton Haus</t>
  </si>
  <si>
    <t>Nantgarw Road Factory Access</t>
  </si>
  <si>
    <t>CF83 2BJ</t>
  </si>
  <si>
    <t>CBDU014010</t>
  </si>
  <si>
    <t>Gwelfor</t>
  </si>
  <si>
    <t>Bethania</t>
  </si>
  <si>
    <t>SY23 5NR</t>
  </si>
  <si>
    <t>CBDU014011</t>
  </si>
  <si>
    <t>Capital Plastics (Cardiff) LTD</t>
  </si>
  <si>
    <t>Unit 10 Llanelli Gate</t>
  </si>
  <si>
    <t>CBDU014012</t>
  </si>
  <si>
    <t>5A Parish Road</t>
  </si>
  <si>
    <t>Cwmgwrach</t>
  </si>
  <si>
    <t>CBDU014013</t>
  </si>
  <si>
    <t>Bowen Court</t>
  </si>
  <si>
    <t>LL17 0JE</t>
  </si>
  <si>
    <t>CBDU014014</t>
  </si>
  <si>
    <t>11 Llys Morfydd</t>
  </si>
  <si>
    <t>SA4 8TF</t>
  </si>
  <si>
    <t>CBDU014015</t>
  </si>
  <si>
    <t>43 Bryn Castell</t>
  </si>
  <si>
    <t>LL32 8LF</t>
  </si>
  <si>
    <t>CBDU014016</t>
  </si>
  <si>
    <t>15 Monterey Street</t>
  </si>
  <si>
    <t>SA5 9PF</t>
  </si>
  <si>
    <t>CBDU014017</t>
  </si>
  <si>
    <t>23 Cartersford Place</t>
  </si>
  <si>
    <t>SA3 5LH</t>
  </si>
  <si>
    <t>CBDU014019</t>
  </si>
  <si>
    <t>White House</t>
  </si>
  <si>
    <t>SA68 0QR</t>
  </si>
  <si>
    <t>CBDU014030</t>
  </si>
  <si>
    <t>69 Bedwellty Road</t>
  </si>
  <si>
    <t>NP12 3HB</t>
  </si>
  <si>
    <t>CBDU014031</t>
  </si>
  <si>
    <t>23A Greenfield Road</t>
  </si>
  <si>
    <t>CBDU014032</t>
  </si>
  <si>
    <t>Adwy'r Nant</t>
  </si>
  <si>
    <t>LL51 9DQ</t>
  </si>
  <si>
    <t>CBDU014033</t>
  </si>
  <si>
    <t>56 Avondale Gardens South</t>
  </si>
  <si>
    <t>CF11 7DZ</t>
  </si>
  <si>
    <t>CBDU014034</t>
  </si>
  <si>
    <t>32 Twynybedw Road Clydach</t>
  </si>
  <si>
    <t>CBDU014035</t>
  </si>
  <si>
    <t>CBDU014036</t>
  </si>
  <si>
    <t>99A High Street</t>
  </si>
  <si>
    <t>CF32 7AG</t>
  </si>
  <si>
    <t>CBDU014037</t>
  </si>
  <si>
    <t>10 Y Sgwar</t>
  </si>
  <si>
    <t>Heol Yr Orsaf</t>
  </si>
  <si>
    <t>CF64 4YR</t>
  </si>
  <si>
    <t>CBDU1851</t>
  </si>
  <si>
    <t>161 Brynglas</t>
  </si>
  <si>
    <t>CBDU1843</t>
  </si>
  <si>
    <t>Panteg Garage 208 Heol Y Meinciau</t>
  </si>
  <si>
    <t>Pont-Iets</t>
  </si>
  <si>
    <t>CBDU1840</t>
  </si>
  <si>
    <t>The West Farm Dingeston</t>
  </si>
  <si>
    <t>np25 4dx</t>
  </si>
  <si>
    <t>CBDL014038</t>
  </si>
  <si>
    <t>37 Bryn Derwen</t>
  </si>
  <si>
    <t>SA2 9GX</t>
  </si>
  <si>
    <t>CBDU2139</t>
  </si>
  <si>
    <t>30 Sycamore Road West Cross</t>
  </si>
  <si>
    <t>SA3 5LB</t>
  </si>
  <si>
    <t>CBDU2121</t>
  </si>
  <si>
    <t>Unit 3 Cwmtawe Business Park</t>
  </si>
  <si>
    <t>SA8 4EZ</t>
  </si>
  <si>
    <t>CBDU2143</t>
  </si>
  <si>
    <t>9 Winllan Avenue</t>
  </si>
  <si>
    <t>LL30 2YX</t>
  </si>
  <si>
    <t>CBDU2153</t>
  </si>
  <si>
    <t>Unit 12 Stad Ddiwydiannol Llandygai</t>
  </si>
  <si>
    <t>CBDU014053</t>
  </si>
  <si>
    <t>9 The Patch</t>
  </si>
  <si>
    <t>CF72 9LF</t>
  </si>
  <si>
    <t>CBDU014054</t>
  </si>
  <si>
    <t>T D W Distribution Ltd</t>
  </si>
  <si>
    <t>Ewenny Industrial Estate</t>
  </si>
  <si>
    <t>CBDU014055</t>
  </si>
  <si>
    <t>LL61 6TX</t>
  </si>
  <si>
    <t>CBDU014056</t>
  </si>
  <si>
    <t>CBDU014058</t>
  </si>
  <si>
    <t>23 Swanage Close</t>
  </si>
  <si>
    <t>CF3 0LS</t>
  </si>
  <si>
    <t>CBDU014060</t>
  </si>
  <si>
    <t>6 Derwendeg</t>
  </si>
  <si>
    <t>SA32 8PW</t>
  </si>
  <si>
    <t>CBDU014063</t>
  </si>
  <si>
    <t>Rainbow House</t>
  </si>
  <si>
    <t>Unit F Merthyr Tydfil Industrial Park</t>
  </si>
  <si>
    <t>CBDL014068</t>
  </si>
  <si>
    <t>44 Lancaster Street</t>
  </si>
  <si>
    <t>NP13 3EQ</t>
  </si>
  <si>
    <t>CBDU014069</t>
  </si>
  <si>
    <t>7 Sherwell Avenue</t>
  </si>
  <si>
    <t>LL13 9TZ</t>
  </si>
  <si>
    <t>CBDU014070</t>
  </si>
  <si>
    <t>Unit D</t>
  </si>
  <si>
    <t>Mochdre Ind Estate</t>
  </si>
  <si>
    <t>CBDU014072</t>
  </si>
  <si>
    <t>CBDU014073</t>
  </si>
  <si>
    <t>Unit 10 Quay Point</t>
  </si>
  <si>
    <t>Collivaud Place</t>
  </si>
  <si>
    <t>CF24 5PD</t>
  </si>
  <si>
    <t>IP18766R</t>
  </si>
  <si>
    <t>CBDU1884</t>
  </si>
  <si>
    <t>116 Ty Glas Road</t>
  </si>
  <si>
    <t>CF14 5EG</t>
  </si>
  <si>
    <t>CBDU1964</t>
  </si>
  <si>
    <t>Vale Removals &amp; Packing Supplies Ltd</t>
  </si>
  <si>
    <t>Unit 4 Llandough Trading Estate</t>
  </si>
  <si>
    <t>CBDU1976</t>
  </si>
  <si>
    <t>76 Fidlas Avenue</t>
  </si>
  <si>
    <t>CF14 0NZ</t>
  </si>
  <si>
    <t>CBDU2022</t>
  </si>
  <si>
    <t>Tyddyn Mon</t>
  </si>
  <si>
    <t>Brynrefail</t>
  </si>
  <si>
    <t>LL70 9PJ</t>
  </si>
  <si>
    <t>CBDU2097</t>
  </si>
  <si>
    <t>88 Tawe Park</t>
  </si>
  <si>
    <t>CBDU2098</t>
  </si>
  <si>
    <t>Indigo Telecom Group Ltd</t>
  </si>
  <si>
    <t>Wales 1 Business Park Newport Road</t>
  </si>
  <si>
    <t>NP26 3DG</t>
  </si>
  <si>
    <t>CBDU2112</t>
  </si>
  <si>
    <t>Plas Y Gwynt</t>
  </si>
  <si>
    <t>Llanfaethlu</t>
  </si>
  <si>
    <t>LL65 4PA</t>
  </si>
  <si>
    <t>CBDU014080</t>
  </si>
  <si>
    <t>Heulfryn</t>
  </si>
  <si>
    <t>Tregele</t>
  </si>
  <si>
    <t>LL67 0DW</t>
  </si>
  <si>
    <t>CBDU014082</t>
  </si>
  <si>
    <t>116 Pen-y-Bryn</t>
  </si>
  <si>
    <t>CF83 2LA</t>
  </si>
  <si>
    <t>CBDU014083</t>
  </si>
  <si>
    <t>P R W Construction</t>
  </si>
  <si>
    <t>Moy Road Industrial Estate</t>
  </si>
  <si>
    <t>CBDU014085</t>
  </si>
  <si>
    <t>Cornerswell Carpets</t>
  </si>
  <si>
    <t>9D Cornerswell Road</t>
  </si>
  <si>
    <t>CF64 2UW</t>
  </si>
  <si>
    <t>CBDL014090</t>
  </si>
  <si>
    <t>10 Sunningdale Avenue</t>
  </si>
  <si>
    <t>Mayals</t>
  </si>
  <si>
    <t>SA3 5HP</t>
  </si>
  <si>
    <t>CBDL014091</t>
  </si>
  <si>
    <t>Tyderi</t>
  </si>
  <si>
    <t>Talbenny</t>
  </si>
  <si>
    <t>SA62 3XE</t>
  </si>
  <si>
    <t>CBDU014092</t>
  </si>
  <si>
    <t>Cae Bach</t>
  </si>
  <si>
    <t>Felindre Road</t>
  </si>
  <si>
    <t>CF35 5BF</t>
  </si>
  <si>
    <t>CBDU014093</t>
  </si>
  <si>
    <t>Pencnwcmawr</t>
  </si>
  <si>
    <t>Eglwyswrw</t>
  </si>
  <si>
    <t>SA41 3UP</t>
  </si>
  <si>
    <t>CBDU014094</t>
  </si>
  <si>
    <t>Bwlch Gwyn Quarry</t>
  </si>
  <si>
    <t>Chwarel Bwlch Gwyn</t>
  </si>
  <si>
    <t>LL60 6AA</t>
  </si>
  <si>
    <t>CBDU014095</t>
  </si>
  <si>
    <t>57 Maes Yr Haf</t>
  </si>
  <si>
    <t>CBDU2833</t>
  </si>
  <si>
    <t>Brynmelyn Ffordd Llanbadarn</t>
  </si>
  <si>
    <t>SY23 1HB</t>
  </si>
  <si>
    <t>CBDU014100</t>
  </si>
  <si>
    <t>Concept Balustrades Ltd</t>
  </si>
  <si>
    <t>Unit 9</t>
  </si>
  <si>
    <t>Paper Mill Road</t>
  </si>
  <si>
    <t>CF11 8DH</t>
  </si>
  <si>
    <t>CBDU014102</t>
  </si>
  <si>
    <t>13 Glanville Terrace</t>
  </si>
  <si>
    <t>Maerdy</t>
  </si>
  <si>
    <t>CF43 4AW</t>
  </si>
  <si>
    <t>CBDL014103</t>
  </si>
  <si>
    <t>68 Clos Llysfaen</t>
  </si>
  <si>
    <t>CF14 0UP</t>
  </si>
  <si>
    <t>CBDL014104</t>
  </si>
  <si>
    <t>1 Llanyravon Way</t>
  </si>
  <si>
    <t>NP44 8RA</t>
  </si>
  <si>
    <t>CBDU2779</t>
  </si>
  <si>
    <t>103 Wern Fawr Road</t>
  </si>
  <si>
    <t>Port Tennant</t>
  </si>
  <si>
    <t>SA1 8LN</t>
  </si>
  <si>
    <t>CBDU3050</t>
  </si>
  <si>
    <t>Hen Efail Cae Drain Road</t>
  </si>
  <si>
    <t>CBDU2963</t>
  </si>
  <si>
    <t>Victoria House Rhodfa Fuddug</t>
  </si>
  <si>
    <t>CBDU014106</t>
  </si>
  <si>
    <t>28 North Street</t>
  </si>
  <si>
    <t>SA72 6QU</t>
  </si>
  <si>
    <t>CBDU014109</t>
  </si>
  <si>
    <t>Unit 8 Dragon24</t>
  </si>
  <si>
    <t>Parc Y Ddraig Penllergaer Business Park</t>
  </si>
  <si>
    <t>SA4 9HJ</t>
  </si>
  <si>
    <t>CBDU014111</t>
  </si>
  <si>
    <t>Capeston Farm</t>
  </si>
  <si>
    <t>Walwyns Castle</t>
  </si>
  <si>
    <t>SA62 3DY</t>
  </si>
  <si>
    <t>CBDU014112</t>
  </si>
  <si>
    <t>Egryn</t>
  </si>
  <si>
    <t>Cae Ysgawen</t>
  </si>
  <si>
    <t>LL78 8JP</t>
  </si>
  <si>
    <t>CBDU014113</t>
  </si>
  <si>
    <t>Decomate</t>
  </si>
  <si>
    <t>63-64 Bute Street</t>
  </si>
  <si>
    <t>CF42 6BD</t>
  </si>
  <si>
    <t>CBDU014114</t>
  </si>
  <si>
    <t>40 Dungarvan Drive</t>
  </si>
  <si>
    <t>CF23 8PY</t>
  </si>
  <si>
    <t>CBDU014115</t>
  </si>
  <si>
    <t>Grove Farm Autos</t>
  </si>
  <si>
    <t>Hirwaun Road</t>
  </si>
  <si>
    <t>CBDL014126</t>
  </si>
  <si>
    <t>Handpost LTD</t>
  </si>
  <si>
    <t>222 Stow Hill</t>
  </si>
  <si>
    <t>CBDU2966</t>
  </si>
  <si>
    <t>28 Caroline Road New Inn</t>
  </si>
  <si>
    <t>NP4 0QL</t>
  </si>
  <si>
    <t>CBDU014127</t>
  </si>
  <si>
    <t>Lewis Mobile Welding</t>
  </si>
  <si>
    <t>Unit 3 Old Parish Road</t>
  </si>
  <si>
    <t>CF37 3EY</t>
  </si>
  <si>
    <t>CBDU014128</t>
  </si>
  <si>
    <t>21 Penrhos Road</t>
  </si>
  <si>
    <t>LL57 2AX</t>
  </si>
  <si>
    <t>CBDU014129</t>
  </si>
  <si>
    <t>Rhos Y Medre 36 Brynwood Drive</t>
  </si>
  <si>
    <t>CBDU2420</t>
  </si>
  <si>
    <t>13 Albion Road Baglan</t>
  </si>
  <si>
    <t>CBDU014130</t>
  </si>
  <si>
    <t>Cae Newydd</t>
  </si>
  <si>
    <t>Llanynys</t>
  </si>
  <si>
    <t>ll16 4pa</t>
  </si>
  <si>
    <t>CBDL014131</t>
  </si>
  <si>
    <t>1126 Llangyfelach Road</t>
  </si>
  <si>
    <t>Tirdeunaw</t>
  </si>
  <si>
    <t>SA5 7HY</t>
  </si>
  <si>
    <t>CBDU2284</t>
  </si>
  <si>
    <t>5 Llanvair Road Caerwent</t>
  </si>
  <si>
    <t>NP26 5NY</t>
  </si>
  <si>
    <t>CBDU2392</t>
  </si>
  <si>
    <t>Iscoed Nantycaws</t>
  </si>
  <si>
    <t>SA32 8EW</t>
  </si>
  <si>
    <t>CBDU014134</t>
  </si>
  <si>
    <t>33 Woodland Road</t>
  </si>
  <si>
    <t>NP44 2DU</t>
  </si>
  <si>
    <t>CBDU2411</t>
  </si>
  <si>
    <t>CBDU1901</t>
  </si>
  <si>
    <t>Old Foundry Foundry Garage</t>
  </si>
  <si>
    <t>NP23 6UN</t>
  </si>
  <si>
    <t>CBDU2612</t>
  </si>
  <si>
    <t>150 Neath Road Landore</t>
  </si>
  <si>
    <t>SA1 2BD</t>
  </si>
  <si>
    <t>CBDU2600</t>
  </si>
  <si>
    <t>The Yard Station Road</t>
  </si>
  <si>
    <t>CH5 2PT</t>
  </si>
  <si>
    <t>CBDU2618</t>
  </si>
  <si>
    <t>Nash Road Nash</t>
  </si>
  <si>
    <t>CBDU2646</t>
  </si>
  <si>
    <t>38 Parkhill Terrace Treboeth</t>
  </si>
  <si>
    <t>SA5 7DJ</t>
  </si>
  <si>
    <t>CBDU2644</t>
  </si>
  <si>
    <t>47 Bryncelyn Road Pontnewydd</t>
  </si>
  <si>
    <t>NP44 1JW</t>
  </si>
  <si>
    <t>CBDU13558</t>
  </si>
  <si>
    <t>5 James Jones Close Llanfoist</t>
  </si>
  <si>
    <t>NP7 9PZ</t>
  </si>
  <si>
    <t>CBDU014135</t>
  </si>
  <si>
    <t>3 Bro Emrys</t>
  </si>
  <si>
    <t>Talgarreg</t>
  </si>
  <si>
    <t>SA44 4XB</t>
  </si>
  <si>
    <t>CBDU014136</t>
  </si>
  <si>
    <t>S G D Security Ltd</t>
  </si>
  <si>
    <t>Unit 5 Mellyn Mair Business Centre</t>
  </si>
  <si>
    <t>CBDU014137</t>
  </si>
  <si>
    <t>A D C Fire Systems Ltd</t>
  </si>
  <si>
    <t>CBDU2974</t>
  </si>
  <si>
    <t>Unit 1 Grange Industrial Estate</t>
  </si>
  <si>
    <t>CBDU014156</t>
  </si>
  <si>
    <t>Dalkeith</t>
  </si>
  <si>
    <t>Tai Mawr Way</t>
  </si>
  <si>
    <t>CF48 1LN</t>
  </si>
  <si>
    <t>CBDU014157</t>
  </si>
  <si>
    <t>1382 Carmarthen Road</t>
  </si>
  <si>
    <t>SA5 4BR</t>
  </si>
  <si>
    <t>CBDU014158</t>
  </si>
  <si>
    <t>Source Site Services Ltd</t>
  </si>
  <si>
    <t>Unit 14 Gripoly Mills</t>
  </si>
  <si>
    <t>CBDU014159</t>
  </si>
  <si>
    <t>J J Aggregates Ltd</t>
  </si>
  <si>
    <t>Geryllan Llanegwad</t>
  </si>
  <si>
    <t>SA32 7NJ</t>
  </si>
  <si>
    <t>CBDU014160</t>
  </si>
  <si>
    <t>107 Commercial Street</t>
  </si>
  <si>
    <t>CF83 4FZ</t>
  </si>
  <si>
    <t>CBDU014161</t>
  </si>
  <si>
    <t>25 Viola Road</t>
  </si>
  <si>
    <t>SA12 7HF</t>
  </si>
  <si>
    <t>CBDU014163</t>
  </si>
  <si>
    <t>41 Culfor Road</t>
  </si>
  <si>
    <t>SA4 6TZ</t>
  </si>
  <si>
    <t>CBDU014164</t>
  </si>
  <si>
    <t>51 Heol Y Parc</t>
  </si>
  <si>
    <t>Cefneithin</t>
  </si>
  <si>
    <t>SA14 7DE</t>
  </si>
  <si>
    <t>CBDU014167</t>
  </si>
  <si>
    <t>234 Bonymaen Road</t>
  </si>
  <si>
    <t>Bonymaen</t>
  </si>
  <si>
    <t>CBDL014169</t>
  </si>
  <si>
    <t>Goleugoed</t>
  </si>
  <si>
    <t>Llanwnog</t>
  </si>
  <si>
    <t>SY17 5PA</t>
  </si>
  <si>
    <t>CBDL014170</t>
  </si>
  <si>
    <t>5 Crud Yr Awel</t>
  </si>
  <si>
    <t>LL61 6SF</t>
  </si>
  <si>
    <t>CBDL014184</t>
  </si>
  <si>
    <t>Royal Welsh Agricultural Society Office</t>
  </si>
  <si>
    <t>Llanelwedd</t>
  </si>
  <si>
    <t>LD2 3SY</t>
  </si>
  <si>
    <t>CBDL014185</t>
  </si>
  <si>
    <t>Swansea Bay Logistics</t>
  </si>
  <si>
    <t>Unit 1 Wyndham Court</t>
  </si>
  <si>
    <t>SA6 8RB</t>
  </si>
  <si>
    <t>CBDL014186</t>
  </si>
  <si>
    <t>Evolve</t>
  </si>
  <si>
    <t>Victoria Street</t>
  </si>
  <si>
    <t>NP44 3JP</t>
  </si>
  <si>
    <t>CBDL014187</t>
  </si>
  <si>
    <t>Quay Bay Trading</t>
  </si>
  <si>
    <t>Glanmor Terrace</t>
  </si>
  <si>
    <t>SA45 9PS</t>
  </si>
  <si>
    <t>CBDL014188</t>
  </si>
  <si>
    <t>Upper Penrhyddlan</t>
  </si>
  <si>
    <t>SY17 5BB</t>
  </si>
  <si>
    <t>CBDL014189</t>
  </si>
  <si>
    <t>Torriad Farm</t>
  </si>
  <si>
    <t>Bowling Bank</t>
  </si>
  <si>
    <t>LL13 9RT</t>
  </si>
  <si>
    <t>CBDU3174</t>
  </si>
  <si>
    <t>Broughton Industrial Estate Broughton</t>
  </si>
  <si>
    <t>Mills Road</t>
  </si>
  <si>
    <t>CBDU3129</t>
  </si>
  <si>
    <t>Unit 4 Bridge Business Park</t>
  </si>
  <si>
    <t>LL18 2QA</t>
  </si>
  <si>
    <t>CBDU014212</t>
  </si>
  <si>
    <t>Twmp Barn</t>
  </si>
  <si>
    <t>LD30 0RU</t>
  </si>
  <si>
    <t>CBDU014213</t>
  </si>
  <si>
    <t>3 Thornberry Gardens</t>
  </si>
  <si>
    <t>Ludchurch</t>
  </si>
  <si>
    <t>SA67 8JQ</t>
  </si>
  <si>
    <t>CBDU014214</t>
  </si>
  <si>
    <t>CBDU014215</t>
  </si>
  <si>
    <t>102 Old Road</t>
  </si>
  <si>
    <t>SA11 2BU</t>
  </si>
  <si>
    <t>CBDU014216</t>
  </si>
  <si>
    <t>38 Maes Yr Efail</t>
  </si>
  <si>
    <t>SA14 8WD</t>
  </si>
  <si>
    <t>CBDU014217</t>
  </si>
  <si>
    <t>Dovecote</t>
  </si>
  <si>
    <t>Ambleston</t>
  </si>
  <si>
    <t>SA62 5QY</t>
  </si>
  <si>
    <t>CBDU014218</t>
  </si>
  <si>
    <t>Boilerhut LTD</t>
  </si>
  <si>
    <t>Above Willis Systems</t>
  </si>
  <si>
    <t>CBDU3126</t>
  </si>
  <si>
    <t>126 Newport Road Cwmcarn</t>
  </si>
  <si>
    <t>NP11 7LZ</t>
  </si>
  <si>
    <t>CBDU014219</t>
  </si>
  <si>
    <t>Pentreheylin</t>
  </si>
  <si>
    <t>SY22 6PG</t>
  </si>
  <si>
    <t>CBDU014220</t>
  </si>
  <si>
    <t>Penybryn Engineering LTD</t>
  </si>
  <si>
    <t>Penybryn Terrace</t>
  </si>
  <si>
    <t>CF82 7GG</t>
  </si>
  <si>
    <t>CBDU014221</t>
  </si>
  <si>
    <t>27 Syr Dafydd Avenue</t>
  </si>
  <si>
    <t>NP12 0LA</t>
  </si>
  <si>
    <t>CBDU014235</t>
  </si>
  <si>
    <t>47 Picton Gardens</t>
  </si>
  <si>
    <t>CF31 3HJ</t>
  </si>
  <si>
    <t>CBDU014236</t>
  </si>
  <si>
    <t>10 Glaslyn Court</t>
  </si>
  <si>
    <t>CBDU014237</t>
  </si>
  <si>
    <t>UC Bed Bargains</t>
  </si>
  <si>
    <t>333-335 High Street</t>
  </si>
  <si>
    <t>CBDU014238</t>
  </si>
  <si>
    <t>50 Moorland Green</t>
  </si>
  <si>
    <t>CBDU3225</t>
  </si>
  <si>
    <t>Coed Cochian</t>
  </si>
  <si>
    <t>LD6 5LT</t>
  </si>
  <si>
    <t>CBDU014241</t>
  </si>
  <si>
    <t>G Quaeck</t>
  </si>
  <si>
    <t>150 High Street</t>
  </si>
  <si>
    <t>LL49 9NS</t>
  </si>
  <si>
    <t>CBDU3360</t>
  </si>
  <si>
    <t>Principality Bldg Soc</t>
  </si>
  <si>
    <t>Principality House</t>
  </si>
  <si>
    <t>The Friary</t>
  </si>
  <si>
    <t>CF10 3FA</t>
  </si>
  <si>
    <t>CBDU014242</t>
  </si>
  <si>
    <t>18 Morawelon</t>
  </si>
  <si>
    <t>Malltraeth</t>
  </si>
  <si>
    <t>LL62 5AN</t>
  </si>
  <si>
    <t>CBDL014259</t>
  </si>
  <si>
    <t>25 Graham Drive</t>
  </si>
  <si>
    <t>LL18 3RS</t>
  </si>
  <si>
    <t>CBDL014269</t>
  </si>
  <si>
    <t>12 Beechwood Avenue</t>
  </si>
  <si>
    <t>CF31 4DQ</t>
  </si>
  <si>
    <t>CBDL014270</t>
  </si>
  <si>
    <t>Pennaf Ltd</t>
  </si>
  <si>
    <t>CBDU3356</t>
  </si>
  <si>
    <t>Forward House East Moors Road</t>
  </si>
  <si>
    <t>CBDU014285</t>
  </si>
  <si>
    <t>7 Willow Drive</t>
  </si>
  <si>
    <t>NP25 5DW</t>
  </si>
  <si>
    <t>CBDU014286</t>
  </si>
  <si>
    <t>53 Oakwood Avenue</t>
  </si>
  <si>
    <t>CF23 9EZ</t>
  </si>
  <si>
    <t>CBDU014287</t>
  </si>
  <si>
    <t>Aerial Road</t>
  </si>
  <si>
    <t>LL12 0TU</t>
  </si>
  <si>
    <t>CBDU014288</t>
  </si>
  <si>
    <t>5 Redwing Close</t>
  </si>
  <si>
    <t>CF31 2NZ</t>
  </si>
  <si>
    <t>CBDU014289</t>
  </si>
  <si>
    <t>Pant Yr Odyn</t>
  </si>
  <si>
    <t>Lixwm</t>
  </si>
  <si>
    <t>CH8 8NQ</t>
  </si>
  <si>
    <t>CBDU3182</t>
  </si>
  <si>
    <t>Penrhiw</t>
  </si>
  <si>
    <t>10 Tynycymmer Close</t>
  </si>
  <si>
    <t>CF39 9DE</t>
  </si>
  <si>
    <t>CBDU014301</t>
  </si>
  <si>
    <t>Avaya Group LTD</t>
  </si>
  <si>
    <t>Bynea</t>
  </si>
  <si>
    <t>CBDL014302</t>
  </si>
  <si>
    <t>21 Courtlands Way</t>
  </si>
  <si>
    <t>Ravenhill</t>
  </si>
  <si>
    <t>SA5 5DQ</t>
  </si>
  <si>
    <t>CBDU014303</t>
  </si>
  <si>
    <t>79 Pen-y-Maes Road</t>
  </si>
  <si>
    <t>CH8 7BD</t>
  </si>
  <si>
    <t>CBDU014304</t>
  </si>
  <si>
    <t>Splash Plumbing &amp; Heating</t>
  </si>
  <si>
    <t>5-6 Church Street</t>
  </si>
  <si>
    <t>SY21 7DL</t>
  </si>
  <si>
    <t>CBDU014305</t>
  </si>
  <si>
    <t>Cellar Farm Trallong</t>
  </si>
  <si>
    <t>LD3 8HD</t>
  </si>
  <si>
    <t>CBDU014306</t>
  </si>
  <si>
    <t>Tump Farm</t>
  </si>
  <si>
    <t>Llantilio Crossenny</t>
  </si>
  <si>
    <t>NP7 8TH</t>
  </si>
  <si>
    <t>CBDU014307</t>
  </si>
  <si>
    <t>53 Broadway</t>
  </si>
  <si>
    <t>CH5 4LR</t>
  </si>
  <si>
    <t>CBDU3024</t>
  </si>
  <si>
    <t>Amlwch Windows</t>
  </si>
  <si>
    <t>20 Mona Street</t>
  </si>
  <si>
    <t>LL68 9AN</t>
  </si>
  <si>
    <t>CBDU014316</t>
  </si>
  <si>
    <t>Unit E 26 Sir Alfred Owen Way</t>
  </si>
  <si>
    <t>CBDU014317</t>
  </si>
  <si>
    <t>4 Withy Park</t>
  </si>
  <si>
    <t>Bishopston</t>
  </si>
  <si>
    <t>SA3 3EY</t>
  </si>
  <si>
    <t>CBDU3382</t>
  </si>
  <si>
    <t>CBDU014318</t>
  </si>
  <si>
    <t>Sunnybank</t>
  </si>
  <si>
    <t>Newbridge-on-Wye</t>
  </si>
  <si>
    <t>CBDU014319</t>
  </si>
  <si>
    <t>88 Clos Ysbyty</t>
  </si>
  <si>
    <t>SA11 3PL</t>
  </si>
  <si>
    <t>CBDU014321</t>
  </si>
  <si>
    <t>23 Other Street</t>
  </si>
  <si>
    <t>CF37 3LN</t>
  </si>
  <si>
    <t>CBDU014322</t>
  </si>
  <si>
    <t>54 Glanmor Road</t>
  </si>
  <si>
    <t>SA2 0QB</t>
  </si>
  <si>
    <t>CBDU014324</t>
  </si>
  <si>
    <t>Dolwar</t>
  </si>
  <si>
    <t>Prenteg</t>
  </si>
  <si>
    <t>LL49 9SP</t>
  </si>
  <si>
    <t>CBDU3298</t>
  </si>
  <si>
    <t>3 Moor King Close Llaneirwg</t>
  </si>
  <si>
    <t>CF3 0RF</t>
  </si>
  <si>
    <t>CBDU014325</t>
  </si>
  <si>
    <t>P W &amp; T Windows</t>
  </si>
  <si>
    <t>Conwy Road</t>
  </si>
  <si>
    <t>LL31 9BA</t>
  </si>
  <si>
    <t>CBDU014326</t>
  </si>
  <si>
    <t>J P R Property &amp; Glazing Solutions</t>
  </si>
  <si>
    <t>Unit 5 Coed Park</t>
  </si>
  <si>
    <t>CBDU014327</t>
  </si>
  <si>
    <t>Towy Metals Ltd</t>
  </si>
  <si>
    <t>Towy Terrace</t>
  </si>
  <si>
    <t>CBDU3312</t>
  </si>
  <si>
    <t>Old Abbey Forge Monastery Road</t>
  </si>
  <si>
    <t>CBDU2719</t>
  </si>
  <si>
    <t>Lynsdale Old Wern Road</t>
  </si>
  <si>
    <t>SA9 2LL</t>
  </si>
  <si>
    <t>CBDU014329</t>
  </si>
  <si>
    <t>29 Welsh Oak Way</t>
  </si>
  <si>
    <t>NP10 9NS</t>
  </si>
  <si>
    <t>CBDU3347</t>
  </si>
  <si>
    <t>Unit 1A Century Park</t>
  </si>
  <si>
    <t>SA6 8RP</t>
  </si>
  <si>
    <t>CBDU3548</t>
  </si>
  <si>
    <t>Brithdir</t>
  </si>
  <si>
    <t>Rhosgadfan</t>
  </si>
  <si>
    <t>LL54 7ET</t>
  </si>
  <si>
    <t>CBDU3459</t>
  </si>
  <si>
    <t>Unit 12 Parc Busnes Cartrefi Conwy Business</t>
  </si>
  <si>
    <t>CBDU3366</t>
  </si>
  <si>
    <t>Delfryn</t>
  </si>
  <si>
    <t>Bwlchygroes</t>
  </si>
  <si>
    <t>SA35 0DP</t>
  </si>
  <si>
    <t>CBDU014331</t>
  </si>
  <si>
    <t>23 Parc Y Castell</t>
  </si>
  <si>
    <t>LD2 3DH</t>
  </si>
  <si>
    <t>CBDU3239</t>
  </si>
  <si>
    <t>64 Cae Collen</t>
  </si>
  <si>
    <t>NP12 1FF</t>
  </si>
  <si>
    <t>CBDU3186</t>
  </si>
  <si>
    <t>The Windmills</t>
  </si>
  <si>
    <t>Windmill Lane</t>
  </si>
  <si>
    <t>Llanblethian</t>
  </si>
  <si>
    <t>CF71 7HX</t>
  </si>
  <si>
    <t>CBDU014332</t>
  </si>
  <si>
    <t>52 New Road</t>
  </si>
  <si>
    <t>SA9 2YJ</t>
  </si>
  <si>
    <t>CBDU3303</t>
  </si>
  <si>
    <t>Sterling Rees Ltd</t>
  </si>
  <si>
    <t>The Business Centre</t>
  </si>
  <si>
    <t>CBDU3412</t>
  </si>
  <si>
    <t>Ty Traeth Clarach</t>
  </si>
  <si>
    <t>SY23 3DL</t>
  </si>
  <si>
    <t>CBDU3341</t>
  </si>
  <si>
    <t>Cerrig Baban</t>
  </si>
  <si>
    <t>Caergeiliog</t>
  </si>
  <si>
    <t>LL65 3YL</t>
  </si>
  <si>
    <t>CBDU3120</t>
  </si>
  <si>
    <t>Wern Farm</t>
  </si>
  <si>
    <t>Tredunnock</t>
  </si>
  <si>
    <t>NP15 1PE</t>
  </si>
  <si>
    <t>CBDU014333</t>
  </si>
  <si>
    <t>Unit 1 New Lodge Farm</t>
  </si>
  <si>
    <t>SA14 6PW</t>
  </si>
  <si>
    <t>CBDU3542</t>
  </si>
  <si>
    <t>14 Bastion Road</t>
  </si>
  <si>
    <t>LL19 7NB</t>
  </si>
  <si>
    <t>CBDU014334</t>
  </si>
  <si>
    <t>13 Chapel Street</t>
  </si>
  <si>
    <t>LL16 3SP</t>
  </si>
  <si>
    <t>CBDU014335</t>
  </si>
  <si>
    <t>2 Cambrian Walk</t>
  </si>
  <si>
    <t>LL18 4UR</t>
  </si>
  <si>
    <t>CBDL014352</t>
  </si>
  <si>
    <t>Coed Arian House</t>
  </si>
  <si>
    <t>CBDU014413</t>
  </si>
  <si>
    <t>A R Drainage Solutions</t>
  </si>
  <si>
    <t>Unit 19 Valley Enterprise</t>
  </si>
  <si>
    <t>Bedwas House Industrial Estate Bedwas</t>
  </si>
  <si>
    <t>CBDU3433</t>
  </si>
  <si>
    <t>Arfon Hylas Lane</t>
  </si>
  <si>
    <t>CBDL014414</t>
  </si>
  <si>
    <t>Brynderwen Surgery</t>
  </si>
  <si>
    <t>Crickhowell Road</t>
  </si>
  <si>
    <t>CBDU3385</t>
  </si>
  <si>
    <t>Tondu Enterprise Centre</t>
  </si>
  <si>
    <t>Bryn Road</t>
  </si>
  <si>
    <t>CBDU014415</t>
  </si>
  <si>
    <t>Trishki</t>
  </si>
  <si>
    <t>LD1 5RH</t>
  </si>
  <si>
    <t>CBDU3564</t>
  </si>
  <si>
    <t>Brierley House Ferry Farm Road</t>
  </si>
  <si>
    <t>LL31 9SF</t>
  </si>
  <si>
    <t>CBDU3526</t>
  </si>
  <si>
    <t>Anfield Pwlltrap</t>
  </si>
  <si>
    <t>CBDU3557</t>
  </si>
  <si>
    <t>Suite 18</t>
  </si>
  <si>
    <t>CBDU014416</t>
  </si>
  <si>
    <t>Penmount Farmhouse</t>
  </si>
  <si>
    <t>CF46 6SW</t>
  </si>
  <si>
    <t>CBDU1835</t>
  </si>
  <si>
    <t>6 Pant Gwyn Close Henllys</t>
  </si>
  <si>
    <t>NP44 6HA</t>
  </si>
  <si>
    <t>CBDU014417</t>
  </si>
  <si>
    <t>Kelston Farm Gwespyr</t>
  </si>
  <si>
    <t>CH8 9LU</t>
  </si>
  <si>
    <t>CBDU3741</t>
  </si>
  <si>
    <t>Unit 3 St. Ives Way</t>
  </si>
  <si>
    <t>CBDU014419</t>
  </si>
  <si>
    <t>R Matthews Contracting Ltd</t>
  </si>
  <si>
    <t>CBDU014420</t>
  </si>
  <si>
    <t>10 Coed Y Pica</t>
  </si>
  <si>
    <t>CF83 4ET</t>
  </si>
  <si>
    <t>CBDU014421</t>
  </si>
  <si>
    <t>Chestnut Cottage</t>
  </si>
  <si>
    <t>Blaenavon Road</t>
  </si>
  <si>
    <t>NP7 9PF</t>
  </si>
  <si>
    <t>CBDU014422</t>
  </si>
  <si>
    <t>90 King Edwards Road</t>
  </si>
  <si>
    <t>SA1 4LU</t>
  </si>
  <si>
    <t>CBDU014423</t>
  </si>
  <si>
    <t>Enterprise House</t>
  </si>
  <si>
    <t>CBDU3704</t>
  </si>
  <si>
    <t>CBDU014424</t>
  </si>
  <si>
    <t>87 Ystrad Road</t>
  </si>
  <si>
    <t>CBDL014425</t>
  </si>
  <si>
    <t>16 Croffta</t>
  </si>
  <si>
    <t>CF64 4UN</t>
  </si>
  <si>
    <t>CBDL014426</t>
  </si>
  <si>
    <t>Dafarn Newydd Lon Cae Cwta</t>
  </si>
  <si>
    <t>LL77 7SD</t>
  </si>
  <si>
    <t>CBDL014427</t>
  </si>
  <si>
    <t>22 Heol Yr Wylan</t>
  </si>
  <si>
    <t>Cwmrhydyceirw</t>
  </si>
  <si>
    <t>SA6 6TB</t>
  </si>
  <si>
    <t>CBDU3625</t>
  </si>
  <si>
    <t>45 Thomas Avenue Pont Henri</t>
  </si>
  <si>
    <t>CBDU3443</t>
  </si>
  <si>
    <t>Stradey Lodge Cwmbach Road</t>
  </si>
  <si>
    <t>SA15 4PH</t>
  </si>
  <si>
    <t>CBDL014443</t>
  </si>
  <si>
    <t>99 The Uplands</t>
  </si>
  <si>
    <t>NP10 9FE</t>
  </si>
  <si>
    <t>CBDL014444</t>
  </si>
  <si>
    <t>Llygadyrych</t>
  </si>
  <si>
    <t>SA19 7LQ</t>
  </si>
  <si>
    <t>CBDL014447</t>
  </si>
  <si>
    <t>3 Maes Wyre</t>
  </si>
  <si>
    <t>SY23 5AH</t>
  </si>
  <si>
    <t>CBDL014448</t>
  </si>
  <si>
    <t>1007 Argyle Street</t>
  </si>
  <si>
    <t>Lanarkshire</t>
  </si>
  <si>
    <t>G3 8LZ</t>
  </si>
  <si>
    <t>SC504947</t>
  </si>
  <si>
    <t>CBDU3503</t>
  </si>
  <si>
    <t>137 Moorland Road</t>
  </si>
  <si>
    <t>CF24 2LG</t>
  </si>
  <si>
    <t>CBDL014465</t>
  </si>
  <si>
    <t>2 Menelaus Square</t>
  </si>
  <si>
    <t>CF48 3LD</t>
  </si>
  <si>
    <t>CBDL014473</t>
  </si>
  <si>
    <t>9 Rockfield Avenue</t>
  </si>
  <si>
    <t>CBDU014481</t>
  </si>
  <si>
    <t>7 Hawthorne Avenue</t>
  </si>
  <si>
    <t>NP19 9AA</t>
  </si>
  <si>
    <t>CBDU3641</t>
  </si>
  <si>
    <t>Sky Views</t>
  </si>
  <si>
    <t>SA33 5BL</t>
  </si>
  <si>
    <t>CBDU3108</t>
  </si>
  <si>
    <t>North Wales Beds Ltd</t>
  </si>
  <si>
    <t>LL11 4AF</t>
  </si>
  <si>
    <t>CBDU014483</t>
  </si>
  <si>
    <t>Dee Tech Services Ltd</t>
  </si>
  <si>
    <t>Hawarden Industrial Park Hawarden</t>
  </si>
  <si>
    <t>CBDU3116</t>
  </si>
  <si>
    <t>2A Warren Hill</t>
  </si>
  <si>
    <t>SA11 2JH</t>
  </si>
  <si>
    <t>CBDU014485</t>
  </si>
  <si>
    <t>The Construction Hub</t>
  </si>
  <si>
    <t>Pen-y-Fan Pond Road South</t>
  </si>
  <si>
    <t>Manmoel</t>
  </si>
  <si>
    <t>NP12 0FD</t>
  </si>
  <si>
    <t>CBDU014486</t>
  </si>
  <si>
    <t>B D H C Chartered Accountants</t>
  </si>
  <si>
    <t>476A Cowbridge Road East</t>
  </si>
  <si>
    <t>CF5 1BL</t>
  </si>
  <si>
    <t>CBDU014487</t>
  </si>
  <si>
    <t>30 Trinity Avenue</t>
  </si>
  <si>
    <t>LL30 2TQ</t>
  </si>
  <si>
    <t>CBDU014488</t>
  </si>
  <si>
    <t>4 Wedgewood Drive</t>
  </si>
  <si>
    <t>NP26 5TL</t>
  </si>
  <si>
    <t>CBDU014489</t>
  </si>
  <si>
    <t>Williamston House</t>
  </si>
  <si>
    <t>7 Goat Street</t>
  </si>
  <si>
    <t>CBDU014493</t>
  </si>
  <si>
    <t>1 Carreg Erw</t>
  </si>
  <si>
    <t>SA13 2XY</t>
  </si>
  <si>
    <t>CBDU014494</t>
  </si>
  <si>
    <t>8 Bryn Terrace</t>
  </si>
  <si>
    <t>SA4 4DE</t>
  </si>
  <si>
    <t>CBDU014495</t>
  </si>
  <si>
    <t>Bron Y Berth</t>
  </si>
  <si>
    <t>LL53 7HL</t>
  </si>
  <si>
    <t>CBDU014496</t>
  </si>
  <si>
    <t>Solo Service Group Ltd</t>
  </si>
  <si>
    <t>Axis 1 Axis Court Mallard Way</t>
  </si>
  <si>
    <t>Riverside Business Park Swansea Vale</t>
  </si>
  <si>
    <t>CBDU014497</t>
  </si>
  <si>
    <t>21A Lower Row</t>
  </si>
  <si>
    <t>NP22 5QH</t>
  </si>
  <si>
    <t>CBDU014498</t>
  </si>
  <si>
    <t>Sheffield House</t>
  </si>
  <si>
    <t>SA45 9PX</t>
  </si>
  <si>
    <t>CBDU014499</t>
  </si>
  <si>
    <t>2 Brake Road</t>
  </si>
  <si>
    <t>CBDL014508</t>
  </si>
  <si>
    <t>11 Llys Celyn</t>
  </si>
  <si>
    <t>CH7 4UQ</t>
  </si>
  <si>
    <t>CBDL014509</t>
  </si>
  <si>
    <t>Window Rite Ltd</t>
  </si>
  <si>
    <t>Redwood House Snatchwood Road</t>
  </si>
  <si>
    <t>NP4 7BJ</t>
  </si>
  <si>
    <t>CBDU014537</t>
  </si>
  <si>
    <t>NP20 4SF</t>
  </si>
  <si>
    <t>CBDU014571</t>
  </si>
  <si>
    <t>33 Instow Place</t>
  </si>
  <si>
    <t>Llanrumney</t>
  </si>
  <si>
    <t>CF3 5TN</t>
  </si>
  <si>
    <t>CBDU014572</t>
  </si>
  <si>
    <t>Briton Ferry Construction</t>
  </si>
  <si>
    <t>C C B Building</t>
  </si>
  <si>
    <t>Seaway Parade</t>
  </si>
  <si>
    <t>CBDU3810</t>
  </si>
  <si>
    <t>4 Tycoch Maisonettes</t>
  </si>
  <si>
    <t>SA2 9ED</t>
  </si>
  <si>
    <t>CBDU3986</t>
  </si>
  <si>
    <t>Tank House Alltami Road</t>
  </si>
  <si>
    <t>CH7 6RH</t>
  </si>
  <si>
    <t>CBDU014573</t>
  </si>
  <si>
    <t>CBDU014574</t>
  </si>
  <si>
    <t>The Courtyard</t>
  </si>
  <si>
    <t>Bromborough</t>
  </si>
  <si>
    <t>CH62 4UE</t>
  </si>
  <si>
    <t>CBDU014575</t>
  </si>
  <si>
    <t>Unit 13A Atlantic Trading Estate</t>
  </si>
  <si>
    <t>CBDU014576</t>
  </si>
  <si>
    <t>17 Masefield Road</t>
  </si>
  <si>
    <t>NP26 4JY</t>
  </si>
  <si>
    <t>CBDU014577</t>
  </si>
  <si>
    <t>1 Lon Lwyd Isaf</t>
  </si>
  <si>
    <t>LL75 8LN</t>
  </si>
  <si>
    <t>CBDU014578</t>
  </si>
  <si>
    <t>4 Burton Terrace</t>
  </si>
  <si>
    <t>East Aberthaw</t>
  </si>
  <si>
    <t>CF62 3DE</t>
  </si>
  <si>
    <t>CBDU014579</t>
  </si>
  <si>
    <t>M Delacey &amp; Sons (Holding) Ltd</t>
  </si>
  <si>
    <t>CBDL014580</t>
  </si>
  <si>
    <t>Hydrainer Pump Hire Ltd</t>
  </si>
  <si>
    <t>47B Millers Avenue Brynmenyn Industrial Estate</t>
  </si>
  <si>
    <t>CBDU014581</t>
  </si>
  <si>
    <t>Morton &amp; Jones Ltd</t>
  </si>
  <si>
    <t>25 Grosvenor Road</t>
  </si>
  <si>
    <t>LL11 1BT</t>
  </si>
  <si>
    <t>CBDU3928</t>
  </si>
  <si>
    <t>39 Usk Road</t>
  </si>
  <si>
    <t>NP4 8AG</t>
  </si>
  <si>
    <t>CBDU014582</t>
  </si>
  <si>
    <t>Haulfryn</t>
  </si>
  <si>
    <t>Town Hill</t>
  </si>
  <si>
    <t>LL26 0NF</t>
  </si>
  <si>
    <t>CBDU014583</t>
  </si>
  <si>
    <t>SY16 4BT</t>
  </si>
  <si>
    <t>CBDU014584</t>
  </si>
  <si>
    <t>Glyn Gwernen Isaf</t>
  </si>
  <si>
    <t>Felinfoel</t>
  </si>
  <si>
    <t>SA14 8QD</t>
  </si>
  <si>
    <t>CBDU014588</t>
  </si>
  <si>
    <t>Swansea Grand Hotel</t>
  </si>
  <si>
    <t>Ivey Place</t>
  </si>
  <si>
    <t>SA1 1NX</t>
  </si>
  <si>
    <t>CBDU4044</t>
  </si>
  <si>
    <t>35 Megs Lane</t>
  </si>
  <si>
    <t>CBDU014589</t>
  </si>
  <si>
    <t>New Hafren</t>
  </si>
  <si>
    <t>LL65 4AP</t>
  </si>
  <si>
    <t>CBDU014590</t>
  </si>
  <si>
    <t>M C W Clearance Ltd</t>
  </si>
  <si>
    <t>Unit 10 Pembrey Industrial Estate</t>
  </si>
  <si>
    <t>CBDU1910</t>
  </si>
  <si>
    <t>51 Nant Brandie Brook</t>
  </si>
  <si>
    <t>LL14 2AH</t>
  </si>
  <si>
    <t>CBDU014591</t>
  </si>
  <si>
    <t>Gower Enterprises Ltd</t>
  </si>
  <si>
    <t>Unit 23 Crofty Industrial Estate</t>
  </si>
  <si>
    <t>CBDU3709</t>
  </si>
  <si>
    <t>Unit 8 Hill Street</t>
  </si>
  <si>
    <t>CBDU014592</t>
  </si>
  <si>
    <t>4 Foxwood Drive</t>
  </si>
  <si>
    <t>CBDU3890</t>
  </si>
  <si>
    <t>Elm Tree Farm Goldcliff</t>
  </si>
  <si>
    <t>NP18 2PH</t>
  </si>
  <si>
    <t>CBDU3781</t>
  </si>
  <si>
    <t>Tirionfa Hendrerwydd</t>
  </si>
  <si>
    <t>LL16 4LL</t>
  </si>
  <si>
    <t>CBDU3805</t>
  </si>
  <si>
    <t>74 Pencaerfenni Park Crofty</t>
  </si>
  <si>
    <t>SA4 3SG</t>
  </si>
  <si>
    <t>CBDU014594</t>
  </si>
  <si>
    <t>Swn-y-Afon</t>
  </si>
  <si>
    <t>Godreamon</t>
  </si>
  <si>
    <t>Cf44 6DN</t>
  </si>
  <si>
    <t>CBDU014596</t>
  </si>
  <si>
    <t>22 Medway Road</t>
  </si>
  <si>
    <t>CBDU1736</t>
  </si>
  <si>
    <t>19 Cheltenham Road</t>
  </si>
  <si>
    <t>CF36 3PT</t>
  </si>
  <si>
    <t>CBDU3468</t>
  </si>
  <si>
    <t>76 Pantbach Road</t>
  </si>
  <si>
    <t>CF14 1UD</t>
  </si>
  <si>
    <t>CBDU3580</t>
  </si>
  <si>
    <t>Magdella Broad Street Common</t>
  </si>
  <si>
    <t>Nash</t>
  </si>
  <si>
    <t>NP18 2BE</t>
  </si>
  <si>
    <t>CBDU014597</t>
  </si>
  <si>
    <t>55 Ilfracombe Crescent</t>
  </si>
  <si>
    <t>CF3 4TB</t>
  </si>
  <si>
    <t>CBDU014598</t>
  </si>
  <si>
    <t>19A Victoria Road</t>
  </si>
  <si>
    <t>SA12 6AB</t>
  </si>
  <si>
    <t>CBDU3858</t>
  </si>
  <si>
    <t>290 Townhill Road</t>
  </si>
  <si>
    <t>Mayhill</t>
  </si>
  <si>
    <t>SA1 6PE</t>
  </si>
  <si>
    <t>CBDU014599</t>
  </si>
  <si>
    <t>16 Llwyd-y-Berth</t>
  </si>
  <si>
    <t>CBDU014601</t>
  </si>
  <si>
    <t>24 Chapel Street</t>
  </si>
  <si>
    <t>CBDU014602</t>
  </si>
  <si>
    <t>9 St Helens Road</t>
  </si>
  <si>
    <t>CBDU3969</t>
  </si>
  <si>
    <t>2 Gwent Road Mardy</t>
  </si>
  <si>
    <t>NP7 6NL</t>
  </si>
  <si>
    <t>CBDU3999</t>
  </si>
  <si>
    <t>Unit 19-20 Tir Llwyd Industrial Estate</t>
  </si>
  <si>
    <t>CBDU4113</t>
  </si>
  <si>
    <t>East Bank Road Felnex Industrial Estate</t>
  </si>
  <si>
    <t>CBDU014608</t>
  </si>
  <si>
    <t>10 Willow Close</t>
  </si>
  <si>
    <t>CBDU014609</t>
  </si>
  <si>
    <t>Domestic Appliance Centre</t>
  </si>
  <si>
    <t>14 Pontmorlais</t>
  </si>
  <si>
    <t>CF47 8UB</t>
  </si>
  <si>
    <t>CBDU014610</t>
  </si>
  <si>
    <t>Mountain Cross Cottage Hayscastle Cross</t>
  </si>
  <si>
    <t>Castell-Haidd</t>
  </si>
  <si>
    <t>SA62 5PR</t>
  </si>
  <si>
    <t>CBDU3997</t>
  </si>
  <si>
    <t>Blaen Y Coed Ysbyty Ifan</t>
  </si>
  <si>
    <t>LL24 0NY</t>
  </si>
  <si>
    <t>CBDU014611</t>
  </si>
  <si>
    <t>William Hughes (Ce) Ltd</t>
  </si>
  <si>
    <t>W H Offices</t>
  </si>
  <si>
    <t>Bodffordd</t>
  </si>
  <si>
    <t>CBDU014612</t>
  </si>
  <si>
    <t>CBDU014613</t>
  </si>
  <si>
    <t>17 Eryri Estate</t>
  </si>
  <si>
    <t>Bethel</t>
  </si>
  <si>
    <t>LL55 1BX</t>
  </si>
  <si>
    <t>CBDU3879</t>
  </si>
  <si>
    <t>Tynant Service Station Ty Nant</t>
  </si>
  <si>
    <t>CBDU014614</t>
  </si>
  <si>
    <t>63 Heol Y Castell</t>
  </si>
  <si>
    <t>CF5 5LR</t>
  </si>
  <si>
    <t>CBDL014615</t>
  </si>
  <si>
    <t>25 Glan Gavenny</t>
  </si>
  <si>
    <t>NP7 6NQ</t>
  </si>
  <si>
    <t>CBDL014616</t>
  </si>
  <si>
    <t>Unit 35-36 Mochdre Industrial Estate</t>
  </si>
  <si>
    <t>CBDU3906</t>
  </si>
  <si>
    <t>21 Villiers Road Sciwen</t>
  </si>
  <si>
    <t>CBDU014617</t>
  </si>
  <si>
    <t>Llundain</t>
  </si>
  <si>
    <t>Esgardawe</t>
  </si>
  <si>
    <t>SA19 7SG</t>
  </si>
  <si>
    <t>CBDU4004</t>
  </si>
  <si>
    <t>Unit 7A Freemans Parc</t>
  </si>
  <si>
    <t>CBDU4027</t>
  </si>
  <si>
    <t>21 Eleanor Close</t>
  </si>
  <si>
    <t>CF35 6RD</t>
  </si>
  <si>
    <t>CBDU4296</t>
  </si>
  <si>
    <t>Unit 43 Village Farm Road</t>
  </si>
  <si>
    <t>CBDU014627</t>
  </si>
  <si>
    <t>51 Caroline Street</t>
  </si>
  <si>
    <t>Seaside</t>
  </si>
  <si>
    <t>SA15 2PB</t>
  </si>
  <si>
    <t>CBDU3931</t>
  </si>
  <si>
    <t>Prennau House Copse Walk</t>
  </si>
  <si>
    <t>CF23 8XH</t>
  </si>
  <si>
    <t>CBDU014628</t>
  </si>
  <si>
    <t>11 Moelwyn Avenue East</t>
  </si>
  <si>
    <t>LL18 5DE</t>
  </si>
  <si>
    <t>CBDU3960</t>
  </si>
  <si>
    <t>8 Riverside Drive Llanfoist</t>
  </si>
  <si>
    <t>NP7 9PX</t>
  </si>
  <si>
    <t>CBDL014629</t>
  </si>
  <si>
    <t>Star Inn</t>
  </si>
  <si>
    <t>CBDL014630</t>
  </si>
  <si>
    <t>Flat 2</t>
  </si>
  <si>
    <t>Above Unit 2</t>
  </si>
  <si>
    <t>Three Salmon Street</t>
  </si>
  <si>
    <t>CF47 8DS</t>
  </si>
  <si>
    <t>CBDL014631</t>
  </si>
  <si>
    <t>Doorway Windows</t>
  </si>
  <si>
    <t>Brooklands Motel</t>
  </si>
  <si>
    <t>Pill Road</t>
  </si>
  <si>
    <t>NP26 5JD</t>
  </si>
  <si>
    <t>CBDL014632</t>
  </si>
  <si>
    <t>Kaneschar Stores</t>
  </si>
  <si>
    <t>22 Alexander Place</t>
  </si>
  <si>
    <t>CBDL014633</t>
  </si>
  <si>
    <t>Flat above Bedazzled</t>
  </si>
  <si>
    <t>23A Wind Street</t>
  </si>
  <si>
    <t>CBDU014634</t>
  </si>
  <si>
    <t>959 Carmarthen Road</t>
  </si>
  <si>
    <t>SA5 4AD</t>
  </si>
  <si>
    <t>CBDU014635</t>
  </si>
  <si>
    <t>The Woodyard</t>
  </si>
  <si>
    <t>Glascoed Road</t>
  </si>
  <si>
    <t>CBDU014636</t>
  </si>
  <si>
    <t>CBDU014637</t>
  </si>
  <si>
    <t>28 Llansannor Drive</t>
  </si>
  <si>
    <t>CF10 4AW</t>
  </si>
  <si>
    <t>CBDU4176</t>
  </si>
  <si>
    <t>Tan Y Foel Garage Deiniolen</t>
  </si>
  <si>
    <t>LL55 3EE</t>
  </si>
  <si>
    <t>CBDU014638</t>
  </si>
  <si>
    <t>26 Ynys-Lee</t>
  </si>
  <si>
    <t>SA12 9AQ</t>
  </si>
  <si>
    <t>CBDU014639</t>
  </si>
  <si>
    <t>St Marys House</t>
  </si>
  <si>
    <t>47 Penarth Road</t>
  </si>
  <si>
    <t>CF10 5Dj</t>
  </si>
  <si>
    <t>CBDU014640</t>
  </si>
  <si>
    <t>20 Maes Ingli</t>
  </si>
  <si>
    <t>SA42 0TE</t>
  </si>
  <si>
    <t>CBDU4101</t>
  </si>
  <si>
    <t>Treen Box</t>
  </si>
  <si>
    <t>61 Bush Street</t>
  </si>
  <si>
    <t>SA72 6An</t>
  </si>
  <si>
    <t>CBDU014641</t>
  </si>
  <si>
    <t>Glannant</t>
  </si>
  <si>
    <t>CBDU014642</t>
  </si>
  <si>
    <t>Unit 18</t>
  </si>
  <si>
    <t>CBDU4274</t>
  </si>
  <si>
    <t>Lynwood Henfwlch Road</t>
  </si>
  <si>
    <t>SA33 6AD</t>
  </si>
  <si>
    <t>CBDU014643</t>
  </si>
  <si>
    <t>Rich Hill Farm Llansoar</t>
  </si>
  <si>
    <t>NP18 1LS</t>
  </si>
  <si>
    <t>CBDU014644</t>
  </si>
  <si>
    <t>CBDU014645</t>
  </si>
  <si>
    <t>CBDU014646</t>
  </si>
  <si>
    <t>Ddolwerdd</t>
  </si>
  <si>
    <t>Capel Seion Road</t>
  </si>
  <si>
    <t>SA15 5AS</t>
  </si>
  <si>
    <t>CBDU014647</t>
  </si>
  <si>
    <t>CBDU014659</t>
  </si>
  <si>
    <t>Unit 12 Greenhill Court</t>
  </si>
  <si>
    <t>CBDU014707</t>
  </si>
  <si>
    <t>42 Pleasant Street</t>
  </si>
  <si>
    <t>SA6 6HH</t>
  </si>
  <si>
    <t>CBDU014708</t>
  </si>
  <si>
    <t>Robert Price (Builders Merchants) Ltd</t>
  </si>
  <si>
    <t>NP7 5PF</t>
  </si>
  <si>
    <t>CBDU014709</t>
  </si>
  <si>
    <t>CBDU014718</t>
  </si>
  <si>
    <t>Dynevor Terrace</t>
  </si>
  <si>
    <t>CF46 6PD</t>
  </si>
  <si>
    <t>CBDU4320</t>
  </si>
  <si>
    <t>89 Rhiw Road Rhiwfawr</t>
  </si>
  <si>
    <t>SA9 2RE</t>
  </si>
  <si>
    <t>CBDU014721</t>
  </si>
  <si>
    <t>5 Tollstone Way</t>
  </si>
  <si>
    <t>NP7 8ER</t>
  </si>
  <si>
    <t>CBDU014723</t>
  </si>
  <si>
    <t>Glannau</t>
  </si>
  <si>
    <t>6 Llys Meirion</t>
  </si>
  <si>
    <t>Chaernarfon</t>
  </si>
  <si>
    <t>gwynedd</t>
  </si>
  <si>
    <t>ll55 1le</t>
  </si>
  <si>
    <t>CBDL014724</t>
  </si>
  <si>
    <t>9 Banwell Place</t>
  </si>
  <si>
    <t>CF3 5SH</t>
  </si>
  <si>
    <t>CBDL014726</t>
  </si>
  <si>
    <t>4 Clos Castell Coity</t>
  </si>
  <si>
    <t>CF31 5DW</t>
  </si>
  <si>
    <t>CBDU014727</t>
  </si>
  <si>
    <t>Mandalay</t>
  </si>
  <si>
    <t>CBDU014728</t>
  </si>
  <si>
    <t>Elfed House</t>
  </si>
  <si>
    <t>Oak Tree Court</t>
  </si>
  <si>
    <t>Cardiff Gate Business Park Pontprennau</t>
  </si>
  <si>
    <t>CBDU014729</t>
  </si>
  <si>
    <t>34 Cefn road</t>
  </si>
  <si>
    <t>NR Bridgen</t>
  </si>
  <si>
    <t>cf32 0ba</t>
  </si>
  <si>
    <t>CBDU4078</t>
  </si>
  <si>
    <t>33a Castle Close Hawarden Business Park</t>
  </si>
  <si>
    <t>CH5 3QX</t>
  </si>
  <si>
    <t>CBDL014766</t>
  </si>
  <si>
    <t>Belan House</t>
  </si>
  <si>
    <t>Arddleen</t>
  </si>
  <si>
    <t>CBDU4265</t>
  </si>
  <si>
    <t>Pipe House Wharf 38 Morfa Road</t>
  </si>
  <si>
    <t>SA1 2EJ</t>
  </si>
  <si>
    <t>CBDU4158</t>
  </si>
  <si>
    <t xml:space="preserve">42 Herbert Street </t>
  </si>
  <si>
    <t>CF42 6AW</t>
  </si>
  <si>
    <t>CBDU014782</t>
  </si>
  <si>
    <t>Tan Y Graig</t>
  </si>
  <si>
    <t>LL29 8UA</t>
  </si>
  <si>
    <t>CBDU014783</t>
  </si>
  <si>
    <t>33 Bryn Teg</t>
  </si>
  <si>
    <t>CBDU014784</t>
  </si>
  <si>
    <t>Bryn Y Gwynt</t>
  </si>
  <si>
    <t>LL65 3EX</t>
  </si>
  <si>
    <t>CBDU4273</t>
  </si>
  <si>
    <t>Bromfield Lane Bromfield Industrial Estate</t>
  </si>
  <si>
    <t>CH7 1HA</t>
  </si>
  <si>
    <t>CBDU014785</t>
  </si>
  <si>
    <t>34 Heol Cefni</t>
  </si>
  <si>
    <t>SA6 7EU</t>
  </si>
  <si>
    <t>CBDU014787</t>
  </si>
  <si>
    <t>Stoneleigh</t>
  </si>
  <si>
    <t>Upper Farm</t>
  </si>
  <si>
    <t>Rhoose Road</t>
  </si>
  <si>
    <t>Rhoose</t>
  </si>
  <si>
    <t>CBDU014788</t>
  </si>
  <si>
    <t>Bank Farm</t>
  </si>
  <si>
    <t>Little Green</t>
  </si>
  <si>
    <t>SY13 2JN</t>
  </si>
  <si>
    <t>CBDU4069</t>
  </si>
  <si>
    <t>Unit 4 St Catherine's Park Pengam Road</t>
  </si>
  <si>
    <t>CF24 2TY</t>
  </si>
  <si>
    <t>CBDL014789</t>
  </si>
  <si>
    <t>Lower Trewalkin</t>
  </si>
  <si>
    <t>Pengenffordd</t>
  </si>
  <si>
    <t>LD3 0HA</t>
  </si>
  <si>
    <t>CBDU014790</t>
  </si>
  <si>
    <t>Church Farm</t>
  </si>
  <si>
    <t>CBDU014803</t>
  </si>
  <si>
    <t>Cardiff Bed Centre</t>
  </si>
  <si>
    <t>47 Merthyr Road</t>
  </si>
  <si>
    <t>CBDU014815</t>
  </si>
  <si>
    <t>6 Cherwell Road</t>
  </si>
  <si>
    <t>CBDU4289</t>
  </si>
  <si>
    <t>Upper Grippath Risca</t>
  </si>
  <si>
    <t>NP11 6JB</t>
  </si>
  <si>
    <t>CBDU014820</t>
  </si>
  <si>
    <t>Pennaur Coed</t>
  </si>
  <si>
    <t>Goitre Coed Road</t>
  </si>
  <si>
    <t>CF46 5BB</t>
  </si>
  <si>
    <t>CBDU014824</t>
  </si>
  <si>
    <t>Railway Terrace</t>
  </si>
  <si>
    <t>SY20 8BJ</t>
  </si>
  <si>
    <t>CBDU014840</t>
  </si>
  <si>
    <t>49 Ysbryd-y-Coed</t>
  </si>
  <si>
    <t>CBDU4356</t>
  </si>
  <si>
    <t>1 Peniel Green Road</t>
  </si>
  <si>
    <t>SA7 9AP</t>
  </si>
  <si>
    <t>CBDU014846</t>
  </si>
  <si>
    <t>Budd Electrical</t>
  </si>
  <si>
    <t>Field Way</t>
  </si>
  <si>
    <t>CF14 4XP</t>
  </si>
  <si>
    <t>CBDU014847</t>
  </si>
  <si>
    <t xml:space="preserve">117-119 Conway Road </t>
  </si>
  <si>
    <t>LL29 7LT</t>
  </si>
  <si>
    <t>CBDU014880</t>
  </si>
  <si>
    <t>Top Flat</t>
  </si>
  <si>
    <t>13 Station Terrace</t>
  </si>
  <si>
    <t>SA48 7HH</t>
  </si>
  <si>
    <t>CBDU4733</t>
  </si>
  <si>
    <t>The Darlands Cloy Lane</t>
  </si>
  <si>
    <t>Owrtyn</t>
  </si>
  <si>
    <t>LL13 0HP</t>
  </si>
  <si>
    <t>CBDU4821</t>
  </si>
  <si>
    <t>Great Porthamel Talgarth</t>
  </si>
  <si>
    <t>LD3 0DL</t>
  </si>
  <si>
    <t>CBDU4441</t>
  </si>
  <si>
    <t>Llawr Y Glyn Abermeurig</t>
  </si>
  <si>
    <t>SA48 8PP</t>
  </si>
  <si>
    <t>CBDU014881</t>
  </si>
  <si>
    <t>QTEC Facilities Management</t>
  </si>
  <si>
    <t>Britannia House</t>
  </si>
  <si>
    <t>CBDU014882</t>
  </si>
  <si>
    <t>2 Pantyblawd Caravan Site</t>
  </si>
  <si>
    <t>SA7 9RX</t>
  </si>
  <si>
    <t>CBDU014883</t>
  </si>
  <si>
    <t>W A Humphreys International Transport Ltd</t>
  </si>
  <si>
    <t>CBDU4813</t>
  </si>
  <si>
    <t>107 Powys Avenue Townhill</t>
  </si>
  <si>
    <t>SA1 6PJ</t>
  </si>
  <si>
    <t>CBDU014889</t>
  </si>
  <si>
    <t>10 Pinewood Hill</t>
  </si>
  <si>
    <t>CF72 8JE</t>
  </si>
  <si>
    <t>CBDL014899</t>
  </si>
  <si>
    <t>11 Richmond Road</t>
  </si>
  <si>
    <t>CBDU014900</t>
  </si>
  <si>
    <t>6 Bryn Syfi Terrace</t>
  </si>
  <si>
    <t>SA1 6XN</t>
  </si>
  <si>
    <t>CBDU4747</t>
  </si>
  <si>
    <t xml:space="preserve">42 ynys y mond road </t>
  </si>
  <si>
    <t xml:space="preserve">Alltwen </t>
  </si>
  <si>
    <t xml:space="preserve">Pontardawe </t>
  </si>
  <si>
    <t xml:space="preserve">sa83ba </t>
  </si>
  <si>
    <t>CBDU4897</t>
  </si>
  <si>
    <t>Collstar Farm Malthouse Lane</t>
  </si>
  <si>
    <t>CBDU4898</t>
  </si>
  <si>
    <t>CBDL014918</t>
  </si>
  <si>
    <t>Family Shopper</t>
  </si>
  <si>
    <t>Llwydcoed Stores</t>
  </si>
  <si>
    <t>Llwydcoed Road</t>
  </si>
  <si>
    <t>CBDL014923</t>
  </si>
  <si>
    <t>97 Wern Fawr Road</t>
  </si>
  <si>
    <t>CBDL014924</t>
  </si>
  <si>
    <t>Crow Valley Gas Service &amp; Electrical installation</t>
  </si>
  <si>
    <t>4 Fairwater Square</t>
  </si>
  <si>
    <t>NP44 4TA</t>
  </si>
  <si>
    <t>CBDU4826</t>
  </si>
  <si>
    <t>George Thomas Avenue Brynmenyn Industrial Estate</t>
  </si>
  <si>
    <t>CF32 9SQ</t>
  </si>
  <si>
    <t>CBDU014926</t>
  </si>
  <si>
    <t>4 High st</t>
  </si>
  <si>
    <t>CBDL014937</t>
  </si>
  <si>
    <t>Chase Manufacturing</t>
  </si>
  <si>
    <t>Unit 21 Estuary Road</t>
  </si>
  <si>
    <t>CBDU4539</t>
  </si>
  <si>
    <t>Cwm Nant Yr Arllwys Farm</t>
  </si>
  <si>
    <t>Panthowell Ddu Road</t>
  </si>
  <si>
    <t>SA11 2TY</t>
  </si>
  <si>
    <t>CBDU4599</t>
  </si>
  <si>
    <t>5 Blackmill Road Bryncethin</t>
  </si>
  <si>
    <t>CF32 9YW</t>
  </si>
  <si>
    <t>CBDU4153</t>
  </si>
  <si>
    <t xml:space="preserve">15 Athelstan Road </t>
  </si>
  <si>
    <t>CF14 2EN</t>
  </si>
  <si>
    <t>CBDU014946</t>
  </si>
  <si>
    <t>Unit 20</t>
  </si>
  <si>
    <t>Kemys Way</t>
  </si>
  <si>
    <t>CBDU014947</t>
  </si>
  <si>
    <t>10 Elwood Road</t>
  </si>
  <si>
    <t>SA12 8TF</t>
  </si>
  <si>
    <t>CBDL014948</t>
  </si>
  <si>
    <t>5 Village Lane</t>
  </si>
  <si>
    <t>SA3 4EB</t>
  </si>
  <si>
    <t>CBDL014949</t>
  </si>
  <si>
    <t>Tal Y Bryn</t>
  </si>
  <si>
    <t>Llannefydd</t>
  </si>
  <si>
    <t>LL16 5DR</t>
  </si>
  <si>
    <t>CBDU4966</t>
  </si>
  <si>
    <t>Melin Plas Du Y Ffor</t>
  </si>
  <si>
    <t>LL53 6RF</t>
  </si>
  <si>
    <t>CBDL014950</t>
  </si>
  <si>
    <t>Wernllwydd Farm</t>
  </si>
  <si>
    <t>Newcastle</t>
  </si>
  <si>
    <t>NP25 5NF</t>
  </si>
  <si>
    <t>CBDU4668</t>
  </si>
  <si>
    <t>Meigan Wells Blaenffos</t>
  </si>
  <si>
    <t>SA37 0JE</t>
  </si>
  <si>
    <t>CBDL014951</t>
  </si>
  <si>
    <t>kitchen@no.12 ltd</t>
  </si>
  <si>
    <t>Unit 3 Freemans Parc</t>
  </si>
  <si>
    <t>CBDU4914</t>
  </si>
  <si>
    <t>CBDU014952</t>
  </si>
  <si>
    <t>GJ Teeson Groundworks</t>
  </si>
  <si>
    <t>Lon Parcwr Industrial Estate</t>
  </si>
  <si>
    <t>CBDL014953</t>
  </si>
  <si>
    <t>18 Splott Road</t>
  </si>
  <si>
    <t>CF24 2BZ</t>
  </si>
  <si>
    <t>CBDU4605</t>
  </si>
  <si>
    <t xml:space="preserve">42 Cae Nant Terrace </t>
  </si>
  <si>
    <t>CBDU4888</t>
  </si>
  <si>
    <t>Bryn Hedydd Farm Llyn Helyg Lloc</t>
  </si>
  <si>
    <t>Fliintshire</t>
  </si>
  <si>
    <t>CH8 8RZ</t>
  </si>
  <si>
    <t>CBDU014954</t>
  </si>
  <si>
    <t>Paul Baker Construction Ltd</t>
  </si>
  <si>
    <t>Booker Street</t>
  </si>
  <si>
    <t>CF24 1QN</t>
  </si>
  <si>
    <t>CBDU014955</t>
  </si>
  <si>
    <t>16 Coniston Drive</t>
  </si>
  <si>
    <t>LL19 7TY</t>
  </si>
  <si>
    <t>CBDU4989</t>
  </si>
  <si>
    <t>Factory Unit 2 Greenhill Road</t>
  </si>
  <si>
    <t>NP44 3DQ</t>
  </si>
  <si>
    <t>CBDU4690</t>
  </si>
  <si>
    <t>7 Spencer Close</t>
  </si>
  <si>
    <t>Jameston</t>
  </si>
  <si>
    <t>SA70 8QS</t>
  </si>
  <si>
    <t>CBDU014956</t>
  </si>
  <si>
    <t>Ty Capel Rhydyfagwyr</t>
  </si>
  <si>
    <t>Cnwch Coch</t>
  </si>
  <si>
    <t>SY23 4LQ</t>
  </si>
  <si>
    <t>CBDU4740</t>
  </si>
  <si>
    <t>Unit W1</t>
  </si>
  <si>
    <t>Peblig Industrial Estate</t>
  </si>
  <si>
    <t>Llanbedig Road</t>
  </si>
  <si>
    <t>CBDU4786</t>
  </si>
  <si>
    <t>9 Highlands Rumney</t>
  </si>
  <si>
    <t>CF3 3AP</t>
  </si>
  <si>
    <t>CBDU014957</t>
  </si>
  <si>
    <t>Tegfan</t>
  </si>
  <si>
    <t>Methodist Hill</t>
  </si>
  <si>
    <t>Froncysyllte</t>
  </si>
  <si>
    <t>LL20 7SN</t>
  </si>
  <si>
    <t>CBDU014958</t>
  </si>
  <si>
    <t>18 Clos Maes Yr Ysgol</t>
  </si>
  <si>
    <t>SA4 8JT</t>
  </si>
  <si>
    <t>CBDU014964</t>
  </si>
  <si>
    <t>53 College Street</t>
  </si>
  <si>
    <t>SA18 2BU</t>
  </si>
  <si>
    <t>CBDU4630</t>
  </si>
  <si>
    <t>Newmarket Works Wyndham Street</t>
  </si>
  <si>
    <t>CF32 7EU</t>
  </si>
  <si>
    <t>CBDU014965</t>
  </si>
  <si>
    <t>Jubilee Trading Estate</t>
  </si>
  <si>
    <t>CBDU014966</t>
  </si>
  <si>
    <t>Ponderosa</t>
  </si>
  <si>
    <t>SA14 6PD</t>
  </si>
  <si>
    <t>CBDU014967</t>
  </si>
  <si>
    <t>22 Osborne Street</t>
  </si>
  <si>
    <t>SA11 1NN</t>
  </si>
  <si>
    <t>CBDU014968</t>
  </si>
  <si>
    <t>7 Gwennol Y Mor</t>
  </si>
  <si>
    <t>CF62 5AH</t>
  </si>
  <si>
    <t>CBDU014969</t>
  </si>
  <si>
    <t>37 Dan-y-Bryn Avenue</t>
  </si>
  <si>
    <t>CF15 8DD</t>
  </si>
  <si>
    <t>CBDL014970</t>
  </si>
  <si>
    <t>8 Llys Aneirin</t>
  </si>
  <si>
    <t>Garden Village</t>
  </si>
  <si>
    <t>SA4 4HW</t>
  </si>
  <si>
    <t>CBDL014971</t>
  </si>
  <si>
    <t>4 Troed-Y-Bryn</t>
  </si>
  <si>
    <t>Aberarth</t>
  </si>
  <si>
    <t>SA46 0LS</t>
  </si>
  <si>
    <t>CBDU4757</t>
  </si>
  <si>
    <t>9-10 Village Farm Road Village Farm Industrial Estate</t>
  </si>
  <si>
    <t>CBDU5022</t>
  </si>
  <si>
    <t>1st Floor Station House Fron Haul</t>
  </si>
  <si>
    <t>LL17 0RT</t>
  </si>
  <si>
    <t>CBDU014972</t>
  </si>
  <si>
    <t>5 Hall Close</t>
  </si>
  <si>
    <t>CF33 4EB</t>
  </si>
  <si>
    <t>CBDU014973</t>
  </si>
  <si>
    <t>99 Wern Fawr Road</t>
  </si>
  <si>
    <t>CBDU014974</t>
  </si>
  <si>
    <t>Diverse Commercial Solutions Ltd</t>
  </si>
  <si>
    <t>Unit 11-12 Wern Trading Estate</t>
  </si>
  <si>
    <t>CBDU014978</t>
  </si>
  <si>
    <t>Overflow Warehousing UK Ltd</t>
  </si>
  <si>
    <t>Unit 23 Ynyscedwyn Industrial Estate</t>
  </si>
  <si>
    <t>Trawsffordd Road Ystradgynlais</t>
  </si>
  <si>
    <t>CBDU4926</t>
  </si>
  <si>
    <t xml:space="preserve">24 Parc Yr Irfon </t>
  </si>
  <si>
    <t>LD2 3NG</t>
  </si>
  <si>
    <t>CBDU2661</t>
  </si>
  <si>
    <t>The Old Mill Nurston</t>
  </si>
  <si>
    <t>CF62 3BH</t>
  </si>
  <si>
    <t>CBDU2676</t>
  </si>
  <si>
    <t>SAM Yard Ynyswen Road</t>
  </si>
  <si>
    <t>cf42 6eg</t>
  </si>
  <si>
    <t>CBDU2706</t>
  </si>
  <si>
    <t>Unit 6B- 6C Lodge Way</t>
  </si>
  <si>
    <t>CBDL014004</t>
  </si>
  <si>
    <t>Llandaff North Medical Centre</t>
  </si>
  <si>
    <t>99 Station Road</t>
  </si>
  <si>
    <t>CF14 2FD</t>
  </si>
  <si>
    <t>CBDL014005</t>
  </si>
  <si>
    <t>65 Ffordd Lligwy</t>
  </si>
  <si>
    <t>Moelfre</t>
  </si>
  <si>
    <t>LL72 8LT</t>
  </si>
  <si>
    <t>CBDL014006</t>
  </si>
  <si>
    <t>Colin Charvis Flooring</t>
  </si>
  <si>
    <t>Unit 11 Horizon Park</t>
  </si>
  <si>
    <t>SA6 8RG</t>
  </si>
  <si>
    <t>CBDU2790</t>
  </si>
  <si>
    <t>Gwynfryn</t>
  </si>
  <si>
    <t>LL55 1UU</t>
  </si>
  <si>
    <t>CBDU014057</t>
  </si>
  <si>
    <t>Ty Morgan</t>
  </si>
  <si>
    <t>Overton Road</t>
  </si>
  <si>
    <t>Marchwiel</t>
  </si>
  <si>
    <t>LL13 0TE</t>
  </si>
  <si>
    <t>CBDL014059</t>
  </si>
  <si>
    <t>Glynteg</t>
  </si>
  <si>
    <t>SA44 6NG</t>
  </si>
  <si>
    <t>CBDU014061</t>
  </si>
  <si>
    <t>5 Glyn Derw</t>
  </si>
  <si>
    <t>CBDU014062</t>
  </si>
  <si>
    <t>Bryn Y Wawr</t>
  </si>
  <si>
    <t>SA43 2HS</t>
  </si>
  <si>
    <t>CBDU014075</t>
  </si>
  <si>
    <t>Williams Llandeilo Civil Engineering LTD</t>
  </si>
  <si>
    <t>Beechwood Industrial Estate</t>
  </si>
  <si>
    <t>SA19 7HR</t>
  </si>
  <si>
    <t>CBDU014076</t>
  </si>
  <si>
    <t>Adeilad St Davids</t>
  </si>
  <si>
    <t>Lombard St</t>
  </si>
  <si>
    <t>CBDU014077</t>
  </si>
  <si>
    <t>Griffiths Crossing Industrial Estate Llanfair Is Gaer</t>
  </si>
  <si>
    <t>CBDU014078</t>
  </si>
  <si>
    <t>3 Bryn Hyffryd</t>
  </si>
  <si>
    <t>CF83 4GL</t>
  </si>
  <si>
    <t>CBDU014079</t>
  </si>
  <si>
    <t>71A Bryn Street</t>
  </si>
  <si>
    <t>CBDU014081</t>
  </si>
  <si>
    <t>17 Seaview Terrace</t>
  </si>
  <si>
    <t>SA1 6FE</t>
  </si>
  <si>
    <t>CBDU014084</t>
  </si>
  <si>
    <t>26 Clos-y-Waun</t>
  </si>
  <si>
    <t>CF31 2QN</t>
  </si>
  <si>
    <t>CBDU014087</t>
  </si>
  <si>
    <t>20 Mayflower Avenue</t>
  </si>
  <si>
    <t>CF14 5HQ</t>
  </si>
  <si>
    <t>CBDU014088</t>
  </si>
  <si>
    <t>Glen House</t>
  </si>
  <si>
    <t>CBDL014089</t>
  </si>
  <si>
    <t>Powys County Council</t>
  </si>
  <si>
    <t>LD1 5LG</t>
  </si>
  <si>
    <t>CBDU2778</t>
  </si>
  <si>
    <t>Garn Bica Quarry</t>
  </si>
  <si>
    <t>SA32 8BT</t>
  </si>
  <si>
    <t>CBDU2665</t>
  </si>
  <si>
    <t>Ross Hughes Flooring Ltd</t>
  </si>
  <si>
    <t>Ty Seiont House Zone 4</t>
  </si>
  <si>
    <t>CBDU2869</t>
  </si>
  <si>
    <t>22 Lewis Terrace</t>
  </si>
  <si>
    <t>CF39 9TU</t>
  </si>
  <si>
    <t>CBDU3430</t>
  </si>
  <si>
    <t>Torfaen Maintenance Services Limited</t>
  </si>
  <si>
    <t>Llanover House</t>
  </si>
  <si>
    <t>Llanover Road</t>
  </si>
  <si>
    <t>CBDU014097</t>
  </si>
  <si>
    <t>Boiler &amp; Burner Maintenance</t>
  </si>
  <si>
    <t>Unit 317 Woodside Way</t>
  </si>
  <si>
    <t>CBDU014098</t>
  </si>
  <si>
    <t>Splott Road</t>
  </si>
  <si>
    <t>CF24 1HE</t>
  </si>
  <si>
    <t>CBDU2909</t>
  </si>
  <si>
    <t>11 Market Street</t>
  </si>
  <si>
    <t>SA67 7AX</t>
  </si>
  <si>
    <t>CBDU014099</t>
  </si>
  <si>
    <t>Prospect Place</t>
  </si>
  <si>
    <t>SA1 1QP</t>
  </si>
  <si>
    <t>CBDU014101</t>
  </si>
  <si>
    <t>CBDU014105</t>
  </si>
  <si>
    <t>3 Chetwyn Court</t>
  </si>
  <si>
    <t>LL12 8EG</t>
  </si>
  <si>
    <t>CBDU2457</t>
  </si>
  <si>
    <t>Alloy Industrial Estate Pontardawe</t>
  </si>
  <si>
    <t>SA8 4EN</t>
  </si>
  <si>
    <t>CBDL014107</t>
  </si>
  <si>
    <t>Tim Forrester</t>
  </si>
  <si>
    <t>7 Murray Street</t>
  </si>
  <si>
    <t>SA15 1AQ</t>
  </si>
  <si>
    <t>CBDL014110</t>
  </si>
  <si>
    <t>Craig Y Castell</t>
  </si>
  <si>
    <t>Allt Y Graig</t>
  </si>
  <si>
    <t>CBDL014120</t>
  </si>
  <si>
    <t>3 Hannah Street</t>
  </si>
  <si>
    <t>CF39 9PU</t>
  </si>
  <si>
    <t>CBDU014121</t>
  </si>
  <si>
    <t>64 Graham Court</t>
  </si>
  <si>
    <t>CF83 1RF</t>
  </si>
  <si>
    <t>CBDU014122</t>
  </si>
  <si>
    <t>Safe Gas Cylinders Ltd</t>
  </si>
  <si>
    <t>CBDU014123</t>
  </si>
  <si>
    <t>Llys Gwaun</t>
  </si>
  <si>
    <t>Pontfaen</t>
  </si>
  <si>
    <t>SA65 9SE</t>
  </si>
  <si>
    <t>CBDU014124</t>
  </si>
  <si>
    <t>Lower Talcoed</t>
  </si>
  <si>
    <t>Gwystre</t>
  </si>
  <si>
    <t>CBDU014125</t>
  </si>
  <si>
    <t>Celtic Windows</t>
  </si>
  <si>
    <t>1 Trinity Street</t>
  </si>
  <si>
    <t>SA4 4EG</t>
  </si>
  <si>
    <t>CBDU2992</t>
  </si>
  <si>
    <t>20 Gwynedd Avenue Townhill</t>
  </si>
  <si>
    <t>CBDU2176</t>
  </si>
  <si>
    <t>Hafod Las Llanrhyddlad</t>
  </si>
  <si>
    <t>LL65 4HT</t>
  </si>
  <si>
    <t>CBDU2193</t>
  </si>
  <si>
    <t>Top Flat Sea View Cottage</t>
  </si>
  <si>
    <t>SY23 3AT</t>
  </si>
  <si>
    <t>CBDU2220</t>
  </si>
  <si>
    <t>Llanelli Workshops</t>
  </si>
  <si>
    <t>CBDU2228</t>
  </si>
  <si>
    <t>15 Waen Fawr</t>
  </si>
  <si>
    <t>Nantyglo</t>
  </si>
  <si>
    <t>NP23 4BD</t>
  </si>
  <si>
    <t>CBDU2225</t>
  </si>
  <si>
    <t>Sylvendell Bunglaow</t>
  </si>
  <si>
    <t>Pillmawr Road</t>
  </si>
  <si>
    <t>NP18 3QZ</t>
  </si>
  <si>
    <t>CBDU3054</t>
  </si>
  <si>
    <t>Spyte Farm</t>
  </si>
  <si>
    <t>Craig-Cefn-Parc</t>
  </si>
  <si>
    <t>SA6 5RT</t>
  </si>
  <si>
    <t>CBDU2926</t>
  </si>
  <si>
    <t>Pant Quarry</t>
  </si>
  <si>
    <t>CH8 8BP</t>
  </si>
  <si>
    <t>CBDU014132</t>
  </si>
  <si>
    <t>19 Heol-y-Frenhines</t>
  </si>
  <si>
    <t>CF31 4RN</t>
  </si>
  <si>
    <t>CBDL014133</t>
  </si>
  <si>
    <t>31A Heol Maes Y Cerrig</t>
  </si>
  <si>
    <t>SA4 6SW</t>
  </si>
  <si>
    <t>CBDU2659</t>
  </si>
  <si>
    <t>Williams House Coedcae Lane Industrial Estate</t>
  </si>
  <si>
    <t>CBDL014146</t>
  </si>
  <si>
    <t>57 Queensway</t>
  </si>
  <si>
    <t>SA61 2NU</t>
  </si>
  <si>
    <t>CBDL014147</t>
  </si>
  <si>
    <t>Caemorgan Mansion</t>
  </si>
  <si>
    <t>Caemorgan Road</t>
  </si>
  <si>
    <t>CBDU014148</t>
  </si>
  <si>
    <t>Cwrt Perrott Farm</t>
  </si>
  <si>
    <t>Llandegveth</t>
  </si>
  <si>
    <t>CBDU014149</t>
  </si>
  <si>
    <t>Park View</t>
  </si>
  <si>
    <t>Llanerchydol</t>
  </si>
  <si>
    <t>CBDU014150</t>
  </si>
  <si>
    <t>14 Station Road</t>
  </si>
  <si>
    <t>NP44 1NZ</t>
  </si>
  <si>
    <t>CBDU3032</t>
  </si>
  <si>
    <t>Lanyon House Mission Court</t>
  </si>
  <si>
    <t>CBDU3211</t>
  </si>
  <si>
    <t>Graig Bach</t>
  </si>
  <si>
    <t>Gadlys Lane</t>
  </si>
  <si>
    <t>CH6 6DT</t>
  </si>
  <si>
    <t>CBDU014151</t>
  </si>
  <si>
    <t>7 St. Illtyds Crescent</t>
  </si>
  <si>
    <t>St. Thomas</t>
  </si>
  <si>
    <t>SA1 8HR</t>
  </si>
  <si>
    <t>CBDU014152</t>
  </si>
  <si>
    <t>Wildfield</t>
  </si>
  <si>
    <t>CF31 5FF</t>
  </si>
  <si>
    <t>CBDU014153</t>
  </si>
  <si>
    <t>Betham House</t>
  </si>
  <si>
    <t>Llys Gwyddfid</t>
  </si>
  <si>
    <t>CH7 4NW</t>
  </si>
  <si>
    <t>CBDU014154</t>
  </si>
  <si>
    <t>29 Old Market Meadows</t>
  </si>
  <si>
    <t>Penybont</t>
  </si>
  <si>
    <t>LD1 5US</t>
  </si>
  <si>
    <t>CBDU014155</t>
  </si>
  <si>
    <t>19A</t>
  </si>
  <si>
    <t>Crofty Industrial Estate</t>
  </si>
  <si>
    <t>CBDL014162</t>
  </si>
  <si>
    <t>99 Victoria Road</t>
  </si>
  <si>
    <t>SA12 6QQ</t>
  </si>
  <si>
    <t>CBDL014165</t>
  </si>
  <si>
    <t>41 Afal Sur</t>
  </si>
  <si>
    <t>CF63 1FX</t>
  </si>
  <si>
    <t>CBDL014166</t>
  </si>
  <si>
    <t>Ahat Aberdare</t>
  </si>
  <si>
    <t>Aberaman Industrial Estate</t>
  </si>
  <si>
    <t>CBDL014171</t>
  </si>
  <si>
    <t>72 Pentyla Baglan Road</t>
  </si>
  <si>
    <t>SA12 8AD</t>
  </si>
  <si>
    <t>CBDL014200</t>
  </si>
  <si>
    <t>45 Taliesyn Road</t>
  </si>
  <si>
    <t>SA1 6NN</t>
  </si>
  <si>
    <t>CBDL014201</t>
  </si>
  <si>
    <t>CBDU3209</t>
  </si>
  <si>
    <t>Unit G1 Capital Business Park Capital Point</t>
  </si>
  <si>
    <t>CBDU014253</t>
  </si>
  <si>
    <t>2 Ynyswen</t>
  </si>
  <si>
    <t>SA9 1YS</t>
  </si>
  <si>
    <t>CBDU014255</t>
  </si>
  <si>
    <t>34 Sandringham Road</t>
  </si>
  <si>
    <t>CBDL014257</t>
  </si>
  <si>
    <t>Multi-Color Cwmbran UK Ltd</t>
  </si>
  <si>
    <t>Christopher Grey Court Lakeside</t>
  </si>
  <si>
    <t>NP44 3SE</t>
  </si>
  <si>
    <t>CBDL014258</t>
  </si>
  <si>
    <t>Roggie Rarebit</t>
  </si>
  <si>
    <t>Wern Trading Estate</t>
  </si>
  <si>
    <t>CBDL014268</t>
  </si>
  <si>
    <t>The Swan Inn</t>
  </si>
  <si>
    <t>Pontfadog</t>
  </si>
  <si>
    <t>CBDU3340</t>
  </si>
  <si>
    <t>Unit 1 Hill Street</t>
  </si>
  <si>
    <t>CBDU014279</t>
  </si>
  <si>
    <t>3 Penllwyn Avenue</t>
  </si>
  <si>
    <t>NP12 2JX</t>
  </si>
  <si>
    <t>CBDU3075</t>
  </si>
  <si>
    <t>Riverside Bungalow Brecon Road</t>
  </si>
  <si>
    <t>CBDU014280</t>
  </si>
  <si>
    <t>Towyside Sale Rooms Old Station Road</t>
  </si>
  <si>
    <t>CBDU3237</t>
  </si>
  <si>
    <t>lake road leeway industrial est</t>
  </si>
  <si>
    <t>NP19 4WN</t>
  </si>
  <si>
    <t>CBDU014281</t>
  </si>
  <si>
    <t>19 Nelson Terrace</t>
  </si>
  <si>
    <t>NP24 6HT</t>
  </si>
  <si>
    <t>CBDU014282</t>
  </si>
  <si>
    <t>Marael Villa</t>
  </si>
  <si>
    <t>SA15 5YE</t>
  </si>
  <si>
    <t>CBDU014283</t>
  </si>
  <si>
    <t>224 Pentregethin Road</t>
  </si>
  <si>
    <t>SA5 8AU</t>
  </si>
  <si>
    <t>CBDU014284</t>
  </si>
  <si>
    <t>9 Llwyn-y-Groes</t>
  </si>
  <si>
    <t>CF31 5AJ</t>
  </si>
  <si>
    <t>CBDU2946</t>
  </si>
  <si>
    <t>Dolau Llansannan</t>
  </si>
  <si>
    <t>CBDU014290</t>
  </si>
  <si>
    <t>Shire Cottage</t>
  </si>
  <si>
    <t>St. Brides Wentlooge</t>
  </si>
  <si>
    <t>CBDU3180</t>
  </si>
  <si>
    <t>CBDU3507</t>
  </si>
  <si>
    <t>JOHN PEARCE LTD WILLOWFIELDS</t>
  </si>
  <si>
    <t>CHAIN WALK</t>
  </si>
  <si>
    <t>GLYNNEATH</t>
  </si>
  <si>
    <t>SA11 5ER</t>
  </si>
  <si>
    <t>CBDU3477</t>
  </si>
  <si>
    <t>3 Tanrallt Estate</t>
  </si>
  <si>
    <t>Penysarn</t>
  </si>
  <si>
    <t>LL69 9YE</t>
  </si>
  <si>
    <t>CBDU3455</t>
  </si>
  <si>
    <t>CBDU014292</t>
  </si>
  <si>
    <t>252 Cowbridge Road East</t>
  </si>
  <si>
    <t>CF5 1GZ</t>
  </si>
  <si>
    <t>CBDU014293</t>
  </si>
  <si>
    <t>Unit A Old Mount Hotel</t>
  </si>
  <si>
    <t>Dinas</t>
  </si>
  <si>
    <t>CBDU3287</t>
  </si>
  <si>
    <t>8 Wauneos</t>
  </si>
  <si>
    <t>SA15 4EA</t>
  </si>
  <si>
    <t>CBDU3282</t>
  </si>
  <si>
    <t>Eryl Beulah</t>
  </si>
  <si>
    <t>SA38 9QF</t>
  </si>
  <si>
    <t>CBDU3104</t>
  </si>
  <si>
    <t>13 Pine Close Risca</t>
  </si>
  <si>
    <t>NP11 6HQ</t>
  </si>
  <si>
    <t>CBDU014294</t>
  </si>
  <si>
    <t>Hafod Y Coed</t>
  </si>
  <si>
    <t>Glynarthen</t>
  </si>
  <si>
    <t>SA44 6NX</t>
  </si>
  <si>
    <t>CBDU3522</t>
  </si>
  <si>
    <t>Enfield Portfield Gate</t>
  </si>
  <si>
    <t>SA62 3LL</t>
  </si>
  <si>
    <t>CBDU3277</t>
  </si>
  <si>
    <t>65 Bryn Cadno</t>
  </si>
  <si>
    <t>LL29 6DW</t>
  </si>
  <si>
    <t>CBDU3266</t>
  </si>
  <si>
    <t>Highmead House Corporation Avenue</t>
  </si>
  <si>
    <t>SA15 3SR</t>
  </si>
  <si>
    <t>CBDU3448</t>
  </si>
  <si>
    <t>Lleifior Llanpumsaint</t>
  </si>
  <si>
    <t>SA33 6BU</t>
  </si>
  <si>
    <t>CBDU3351</t>
  </si>
  <si>
    <t>Ger Y Nant Gorrig Road</t>
  </si>
  <si>
    <t>Pentrellwyn</t>
  </si>
  <si>
    <t>SA44 4LG</t>
  </si>
  <si>
    <t>CBDU014309</t>
  </si>
  <si>
    <t>8 Orchid Close</t>
  </si>
  <si>
    <t>SA12 7EN</t>
  </si>
  <si>
    <t>CBDU014310</t>
  </si>
  <si>
    <t>29 Catkin Drive</t>
  </si>
  <si>
    <t>CF64 2RD</t>
  </si>
  <si>
    <t>CBDU3450</t>
  </si>
  <si>
    <t>Albion Works Arthur Street</t>
  </si>
  <si>
    <t>CF40 1NE</t>
  </si>
  <si>
    <t>CBDU3190</t>
  </si>
  <si>
    <t>Pen Y Coed Prion</t>
  </si>
  <si>
    <t>LL16 4SH</t>
  </si>
  <si>
    <t>CBDL014361</t>
  </si>
  <si>
    <t>NP15 2FR</t>
  </si>
  <si>
    <t>CBDL014362</t>
  </si>
  <si>
    <t>9 Mill Lane</t>
  </si>
  <si>
    <t>Blackpill</t>
  </si>
  <si>
    <t>SA3 5BD</t>
  </si>
  <si>
    <t>CBDL014363</t>
  </si>
  <si>
    <t>15 Glan Yr Afon Road</t>
  </si>
  <si>
    <t>SA2 9JE</t>
  </si>
  <si>
    <t>CBDL014364</t>
  </si>
  <si>
    <t>L Houghton &amp; Co Ltd</t>
  </si>
  <si>
    <t>Catheralls Industrial Estate</t>
  </si>
  <si>
    <t>CBDL014365</t>
  </si>
  <si>
    <t>Old Mill Barn</t>
  </si>
  <si>
    <t>Rogerstone Grange</t>
  </si>
  <si>
    <t>St. Arvans</t>
  </si>
  <si>
    <t>NP16 6EU</t>
  </si>
  <si>
    <t>CBDL014366</t>
  </si>
  <si>
    <t>Hebron Hall Christian Centre</t>
  </si>
  <si>
    <t>Cross Common Road</t>
  </si>
  <si>
    <t>CF64 4YB</t>
  </si>
  <si>
    <t>CBDL014367</t>
  </si>
  <si>
    <t>CBDL014369</t>
  </si>
  <si>
    <t>Bryngranod</t>
  </si>
  <si>
    <t>Cwrtnewydd</t>
  </si>
  <si>
    <t>SA40 9YS</t>
  </si>
  <si>
    <t>CBDL014374</t>
  </si>
  <si>
    <t>24 Alstred Street</t>
  </si>
  <si>
    <t>SA17 4TN</t>
  </si>
  <si>
    <t>CBDL014375</t>
  </si>
  <si>
    <t>37 Albert Street</t>
  </si>
  <si>
    <t>SA15 2SY</t>
  </si>
  <si>
    <t>CBDL014377</t>
  </si>
  <si>
    <t>3 Langport Avenue</t>
  </si>
  <si>
    <t>CF3 5TL</t>
  </si>
  <si>
    <t>CBDL014379</t>
  </si>
  <si>
    <t>CBDL014380</t>
  </si>
  <si>
    <t>Ty Chwarel</t>
  </si>
  <si>
    <t>The Park</t>
  </si>
  <si>
    <t>CF46 5RH</t>
  </si>
  <si>
    <t>CBDL014381</t>
  </si>
  <si>
    <t>5 Stag Terrace</t>
  </si>
  <si>
    <t>Abergarwed</t>
  </si>
  <si>
    <t>SA11 4DH</t>
  </si>
  <si>
    <t>CBDL014383</t>
  </si>
  <si>
    <t>Cwmbran Stadium Sports Centre</t>
  </si>
  <si>
    <t>Henllys Way</t>
  </si>
  <si>
    <t>NP44 3YS</t>
  </si>
  <si>
    <t>CBDL014384</t>
  </si>
  <si>
    <t>41 Summer Place Llansamlet</t>
  </si>
  <si>
    <t>SA7 9SB</t>
  </si>
  <si>
    <t>CBDL014385</t>
  </si>
  <si>
    <t>Druidston Cottage</t>
  </si>
  <si>
    <t>Broad Haven</t>
  </si>
  <si>
    <t>SA62 3NE</t>
  </si>
  <si>
    <t>CBDL014386</t>
  </si>
  <si>
    <t>Pant Y Maen</t>
  </si>
  <si>
    <t>LL24 0PR</t>
  </si>
  <si>
    <t>CBDL014387</t>
  </si>
  <si>
    <t>Jasmin Stores</t>
  </si>
  <si>
    <t>2A Henwain Street South</t>
  </si>
  <si>
    <t>NP13 3DT</t>
  </si>
  <si>
    <t>CBDL014389</t>
  </si>
  <si>
    <t>14 Hollybush Avenue</t>
  </si>
  <si>
    <t>NP20 6ES</t>
  </si>
  <si>
    <t>CBDL014391</t>
  </si>
  <si>
    <t>Roofbase.Com</t>
  </si>
  <si>
    <t>Unit E16 Ashmount Business Park</t>
  </si>
  <si>
    <t>Upper Fforest Way Swansea Enterprise Park</t>
  </si>
  <si>
    <t>CBDL014393</t>
  </si>
  <si>
    <t>46A Carmarthen Road</t>
  </si>
  <si>
    <t>SA14 6SU</t>
  </si>
  <si>
    <t>CBDL014396</t>
  </si>
  <si>
    <t>21 Woodland View</t>
  </si>
  <si>
    <t>CBDL014397</t>
  </si>
  <si>
    <t>Unit 5-6 Rushacre Enterprise Park</t>
  </si>
  <si>
    <t>CBDL014398</t>
  </si>
  <si>
    <t>106 St. Lukes Avenue</t>
  </si>
  <si>
    <t>CF64 3PU</t>
  </si>
  <si>
    <t>CBDU3540</t>
  </si>
  <si>
    <t>Unit 1 Gorseinon Road</t>
  </si>
  <si>
    <t>SA4 9GE</t>
  </si>
  <si>
    <t>CBDU014418</t>
  </si>
  <si>
    <t>11 Castle Avenue</t>
  </si>
  <si>
    <t>SA3 4BA</t>
  </si>
  <si>
    <t>CBDU3567</t>
  </si>
  <si>
    <t>4 Forest Road Llanhari</t>
  </si>
  <si>
    <t>CF72 9JF</t>
  </si>
  <si>
    <t>CBDL014428</t>
  </si>
  <si>
    <t>Darren Drive</t>
  </si>
  <si>
    <t>SC079314</t>
  </si>
  <si>
    <t>CBDL014429</t>
  </si>
  <si>
    <t>Llwynhendy Road</t>
  </si>
  <si>
    <t>Llwynhendy</t>
  </si>
  <si>
    <t>SA14 9BN</t>
  </si>
  <si>
    <t>CBDL014432</t>
  </si>
  <si>
    <t>Llanilar Health Centre</t>
  </si>
  <si>
    <t>Llanilar</t>
  </si>
  <si>
    <t>SY23 4PA</t>
  </si>
  <si>
    <t>CBDL014433</t>
  </si>
  <si>
    <t>Bevan &amp; Buckland</t>
  </si>
  <si>
    <t>Unit 5 Langdon House</t>
  </si>
  <si>
    <t>CBDL014434</t>
  </si>
  <si>
    <t>21 Gellideg Heights</t>
  </si>
  <si>
    <t>CF82 7RL</t>
  </si>
  <si>
    <t>CBDL014435</t>
  </si>
  <si>
    <t>117 Glanymor Street</t>
  </si>
  <si>
    <t>Briton Ferry</t>
  </si>
  <si>
    <t>SA11 2LG</t>
  </si>
  <si>
    <t>CBDL014436</t>
  </si>
  <si>
    <t>Unit 12 Whitegate Industrial Estate</t>
  </si>
  <si>
    <t>Whitegate Road</t>
  </si>
  <si>
    <t>CBDU014441</t>
  </si>
  <si>
    <t>Man Coed V M Ltd</t>
  </si>
  <si>
    <t>CBDU3735</t>
  </si>
  <si>
    <t>13  Mill Parade</t>
  </si>
  <si>
    <t>CBDU014442</t>
  </si>
  <si>
    <t>Coed Y Canddo Farm</t>
  </si>
  <si>
    <t>Pontypool Road</t>
  </si>
  <si>
    <t>NP4 0QX</t>
  </si>
  <si>
    <t>CBDU3823</t>
  </si>
  <si>
    <t>4 Carreg Fawr</t>
  </si>
  <si>
    <t>Manor Road</t>
  </si>
  <si>
    <t>NP4 7DW</t>
  </si>
  <si>
    <t>CBDU3531</t>
  </si>
  <si>
    <t>Just Wales</t>
  </si>
  <si>
    <t>Unit 1 Llwyn-yr-Eos</t>
  </si>
  <si>
    <t>Parc Menter Cross Hands</t>
  </si>
  <si>
    <t>CBDU3472</t>
  </si>
  <si>
    <t>Beech Court Farm</t>
  </si>
  <si>
    <t>Wick Road</t>
  </si>
  <si>
    <t>Ewenny</t>
  </si>
  <si>
    <t>CF35 5AH</t>
  </si>
  <si>
    <t>CBDU3502</t>
  </si>
  <si>
    <t>Priory Farm</t>
  </si>
  <si>
    <t>Church Terrace</t>
  </si>
  <si>
    <t>SA71 4LW</t>
  </si>
  <si>
    <t>CBDU3465</t>
  </si>
  <si>
    <t>Pentre-Cwrt</t>
  </si>
  <si>
    <t>SA44 5AX</t>
  </si>
  <si>
    <t>CBDU3665</t>
  </si>
  <si>
    <t>1 Pentre Felin</t>
  </si>
  <si>
    <t>LL65 1LY</t>
  </si>
  <si>
    <t>CBDU014470</t>
  </si>
  <si>
    <t>16 All Saints Avenue</t>
  </si>
  <si>
    <t>LL31 9DZ</t>
  </si>
  <si>
    <t>CBDU014471</t>
  </si>
  <si>
    <t>Preswylfa Llwyncoed Road</t>
  </si>
  <si>
    <t>Blaenannerch</t>
  </si>
  <si>
    <t>SA43 2AN</t>
  </si>
  <si>
    <t>CBDU3820</t>
  </si>
  <si>
    <t>Pendarren Farm Cilmaengwyn</t>
  </si>
  <si>
    <t>SA8 4TX</t>
  </si>
  <si>
    <t>CBDU3554</t>
  </si>
  <si>
    <t>76 Mynydd Garnllwyd Road Morriston</t>
  </si>
  <si>
    <t>SA6 7NZ</t>
  </si>
  <si>
    <t>CBDL014482</t>
  </si>
  <si>
    <t>CBDU014484</t>
  </si>
  <si>
    <t>Lanes Garage Ltd</t>
  </si>
  <si>
    <t>Forge Garage</t>
  </si>
  <si>
    <t>Llanvetherine</t>
  </si>
  <si>
    <t>CBDL014492</t>
  </si>
  <si>
    <t>Cash Generators</t>
  </si>
  <si>
    <t>Unit A</t>
  </si>
  <si>
    <t>193 High Street</t>
  </si>
  <si>
    <t>CBDU1929</t>
  </si>
  <si>
    <t>Pinfold Workshops</t>
  </si>
  <si>
    <t>Pinfold Lane</t>
  </si>
  <si>
    <t>CBDU014511</t>
  </si>
  <si>
    <t>17 Heol Dyddwr</t>
  </si>
  <si>
    <t>CBDU014512</t>
  </si>
  <si>
    <t>J R S Mechanical Services Ltd</t>
  </si>
  <si>
    <t>Pensarn Industrial Estate</t>
  </si>
  <si>
    <t>CBDU014513</t>
  </si>
  <si>
    <t>5 Llys Y Ddraenog</t>
  </si>
  <si>
    <t>SA13 2TQ</t>
  </si>
  <si>
    <t>CBDU3831</t>
  </si>
  <si>
    <t>2 Oyster Bend</t>
  </si>
  <si>
    <t>CF64 5LW</t>
  </si>
  <si>
    <t>CBDU014515</t>
  </si>
  <si>
    <t>D G Heath (Timber Products) Ltd</t>
  </si>
  <si>
    <t>Unit 3 Tyn Y Bonau Road</t>
  </si>
  <si>
    <t>CBDU014517</t>
  </si>
  <si>
    <t>20 Darren Wen</t>
  </si>
  <si>
    <t>SA12 8YN</t>
  </si>
  <si>
    <t>CBDU014518</t>
  </si>
  <si>
    <t>Greens Recycling</t>
  </si>
  <si>
    <t>CBDU014523</t>
  </si>
  <si>
    <t>120 Treharris Street</t>
  </si>
  <si>
    <t>CF24 3HP</t>
  </si>
  <si>
    <t>CBDU014524</t>
  </si>
  <si>
    <t>26 Old School Grange</t>
  </si>
  <si>
    <t>CF82 7NY</t>
  </si>
  <si>
    <t>CBDU014525</t>
  </si>
  <si>
    <t>12 Park Avenue</t>
  </si>
  <si>
    <t>SA10 6RU</t>
  </si>
  <si>
    <t>CBDU3498</t>
  </si>
  <si>
    <t>24 Heol Pant Y Rhyn</t>
  </si>
  <si>
    <t>CF14 7DF</t>
  </si>
  <si>
    <t>CBDU3689</t>
  </si>
  <si>
    <t>25 Broughton Road</t>
  </si>
  <si>
    <t>Lodge</t>
  </si>
  <si>
    <t>LL11 5NG</t>
  </si>
  <si>
    <t>CBDU014526</t>
  </si>
  <si>
    <t>Tangnefedd</t>
  </si>
  <si>
    <t>Curwen Terrace</t>
  </si>
  <si>
    <t>CBDU014527</t>
  </si>
  <si>
    <t>1 Heather Rise</t>
  </si>
  <si>
    <t>Jersey Marine</t>
  </si>
  <si>
    <t>SA10 6LJ</t>
  </si>
  <si>
    <t>CBDU3921</t>
  </si>
  <si>
    <t>Pantgwyn</t>
  </si>
  <si>
    <t>Idole</t>
  </si>
  <si>
    <t>SA32 8DG</t>
  </si>
  <si>
    <t>CBDU014533</t>
  </si>
  <si>
    <t>Cwm Mill</t>
  </si>
  <si>
    <t>Efail Isaf</t>
  </si>
  <si>
    <t>CF38 1AT</t>
  </si>
  <si>
    <t>CBDU3957</t>
  </si>
  <si>
    <t>Sims Building Limited</t>
  </si>
  <si>
    <t>21 Gold Tops</t>
  </si>
  <si>
    <t>CBDU3480</t>
  </si>
  <si>
    <t>Glaslyn</t>
  </si>
  <si>
    <t>Ffordd Y Parc</t>
  </si>
  <si>
    <t>CBDU014534</t>
  </si>
  <si>
    <t>11 Glas Heulog</t>
  </si>
  <si>
    <t>CF14 1LD</t>
  </si>
  <si>
    <t>CBDL014535</t>
  </si>
  <si>
    <t>Upper Cefn-Carnau</t>
  </si>
  <si>
    <t>Llangybi</t>
  </si>
  <si>
    <t>NP15 1QQ</t>
  </si>
  <si>
    <t>CBDU014538</t>
  </si>
  <si>
    <t>Rose Cottage</t>
  </si>
  <si>
    <t>Rhewl</t>
  </si>
  <si>
    <t>CH8 9QF</t>
  </si>
  <si>
    <t>CBDU014539</t>
  </si>
  <si>
    <t>W2 Construction Ltd</t>
  </si>
  <si>
    <t>556 Llantrisant Road</t>
  </si>
  <si>
    <t>Penycoedcae</t>
  </si>
  <si>
    <t>CF37 1PL</t>
  </si>
  <si>
    <t>CBDU3628</t>
  </si>
  <si>
    <t>Ynysgerwyn Depot</t>
  </si>
  <si>
    <t>Aberdulais</t>
  </si>
  <si>
    <t>CBDU014540</t>
  </si>
  <si>
    <t>Minynant</t>
  </si>
  <si>
    <t>Aberbechan</t>
  </si>
  <si>
    <t>CBDU014541</t>
  </si>
  <si>
    <t>CBDU014542</t>
  </si>
  <si>
    <t>Ty Ardwyn</t>
  </si>
  <si>
    <t>CF35 6PR</t>
  </si>
  <si>
    <t>CBDL014543</t>
  </si>
  <si>
    <t>CBDL014544</t>
  </si>
  <si>
    <t>19 Denbigh Street</t>
  </si>
  <si>
    <t>LL26 0LL</t>
  </si>
  <si>
    <t>CBDL014545</t>
  </si>
  <si>
    <t>A.D.Wheeler Removals &amp; Deliveries</t>
  </si>
  <si>
    <t>28 Brook Street</t>
  </si>
  <si>
    <t>LL13 7LL</t>
  </si>
  <si>
    <t>CBDL014546</t>
  </si>
  <si>
    <t>CBDU3736</t>
  </si>
  <si>
    <t>8 Cherry Close</t>
  </si>
  <si>
    <t>CF5 3RQ</t>
  </si>
  <si>
    <t>CBDU3708</t>
  </si>
  <si>
    <t>17 Bryn Tirion Park</t>
  </si>
  <si>
    <t>LL32 8NE</t>
  </si>
  <si>
    <t>CBDU014557</t>
  </si>
  <si>
    <t>Pen y Dalar</t>
  </si>
  <si>
    <t>Llanelltyd</t>
  </si>
  <si>
    <t>DOLGELLAU</t>
  </si>
  <si>
    <t>LL40 2HB</t>
  </si>
  <si>
    <t>CBDU014558</t>
  </si>
  <si>
    <t>Flat 3</t>
  </si>
  <si>
    <t>18 Marine Terrace</t>
  </si>
  <si>
    <t>CBDU4057</t>
  </si>
  <si>
    <t>A J Building &amp; Plastering Ltd</t>
  </si>
  <si>
    <t>122 Bronwydd Road</t>
  </si>
  <si>
    <t>SA31 2AR</t>
  </si>
  <si>
    <t>CBDU014564</t>
  </si>
  <si>
    <t>39 Pwllmelin Road</t>
  </si>
  <si>
    <t>CF5 2NG</t>
  </si>
  <si>
    <t>CBDU014566</t>
  </si>
  <si>
    <t>G &amp; T Transport Ltd</t>
  </si>
  <si>
    <t>Unit 6 Llwyn Y Graig</t>
  </si>
  <si>
    <t>CBDU3790</t>
  </si>
  <si>
    <t>ASW Landscaping</t>
  </si>
  <si>
    <t>11 Ivy Close</t>
  </si>
  <si>
    <t>NP23 5SJ</t>
  </si>
  <si>
    <t>CBDU4084</t>
  </si>
  <si>
    <t>Papermill Business Park</t>
  </si>
  <si>
    <t>Papermill Road</t>
  </si>
  <si>
    <t>CBDU3826</t>
  </si>
  <si>
    <t>Cox Skip &amp; Waste Management</t>
  </si>
  <si>
    <t>CBDL014586</t>
  </si>
  <si>
    <t>CBDL014587</t>
  </si>
  <si>
    <t>Mamma's Place</t>
  </si>
  <si>
    <t>CF5 1EH</t>
  </si>
  <si>
    <t>CBDU014593</t>
  </si>
  <si>
    <t>Maes Yr Haf</t>
  </si>
  <si>
    <t>Talwrn</t>
  </si>
  <si>
    <t>LL77 7TE</t>
  </si>
  <si>
    <t>CBDU014664</t>
  </si>
  <si>
    <t>20 Cwrt Yr Ala Road</t>
  </si>
  <si>
    <t>CF5 5QS</t>
  </si>
  <si>
    <t>CBDU014665</t>
  </si>
  <si>
    <t>Burton Meadows Farm Llyndir Lane</t>
  </si>
  <si>
    <t>Burton</t>
  </si>
  <si>
    <t>LL12 0AS</t>
  </si>
  <si>
    <t>CBDU4222</t>
  </si>
  <si>
    <t>111 Tanydarren</t>
  </si>
  <si>
    <t>Ynysmeudwy</t>
  </si>
  <si>
    <t>SA8 4QR</t>
  </si>
  <si>
    <t>CBDU014667</t>
  </si>
  <si>
    <t>Romilly</t>
  </si>
  <si>
    <t>LD3 9AP</t>
  </si>
  <si>
    <t>CBDL014668</t>
  </si>
  <si>
    <t>Felin Y Llyn</t>
  </si>
  <si>
    <t>Pentre Berw</t>
  </si>
  <si>
    <t>LL60 6HU</t>
  </si>
  <si>
    <t>CBDU014669</t>
  </si>
  <si>
    <t>The Paddocks Glangrwyney</t>
  </si>
  <si>
    <t>NP8 1EE</t>
  </si>
  <si>
    <t>CBDU4364</t>
  </si>
  <si>
    <t>CBDU4361</t>
  </si>
  <si>
    <t>15 Pace Close</t>
  </si>
  <si>
    <t>CF5 2QZ</t>
  </si>
  <si>
    <t>CBDU4169</t>
  </si>
  <si>
    <t>Lindsay Concrete Depot</t>
  </si>
  <si>
    <t>SA18 3SL</t>
  </si>
  <si>
    <t>CBDU014670</t>
  </si>
  <si>
    <t>Watkins &amp; Walker Ltd</t>
  </si>
  <si>
    <t>Unit 7A Pant Industrial Estate</t>
  </si>
  <si>
    <t>CBDU4305</t>
  </si>
  <si>
    <t>Glyn Hir</t>
  </si>
  <si>
    <t>Neath Abbey Road</t>
  </si>
  <si>
    <t>CBDU014671</t>
  </si>
  <si>
    <t>Draintech Services</t>
  </si>
  <si>
    <t>Atlantic House</t>
  </si>
  <si>
    <t>Charnwood Park</t>
  </si>
  <si>
    <t>CBDU014679</t>
  </si>
  <si>
    <t>34 Garrick Drive</t>
  </si>
  <si>
    <t>CF14 9BG</t>
  </si>
  <si>
    <t>CBDU2738</t>
  </si>
  <si>
    <t>Jubilee Passage Off Jubilee Street</t>
  </si>
  <si>
    <t>LL30 2SQ</t>
  </si>
  <si>
    <t>CBDU4181</t>
  </si>
  <si>
    <t>Tynewydd Thornhill Road</t>
  </si>
  <si>
    <t>CBDL014710</t>
  </si>
  <si>
    <t>Greenacres</t>
  </si>
  <si>
    <t>Marton</t>
  </si>
  <si>
    <t>SY21 8JT</t>
  </si>
  <si>
    <t>CBDU014711</t>
  </si>
  <si>
    <t>2 Lower Hospital Villas Hospital Road</t>
  </si>
  <si>
    <t>LD3 0BT</t>
  </si>
  <si>
    <t>CBDU4264</t>
  </si>
  <si>
    <t>Unit 5 Tawe Business Village</t>
  </si>
  <si>
    <t>SA7 9LA</t>
  </si>
  <si>
    <t>CBDU4200</t>
  </si>
  <si>
    <t>25 Erw Las Llwynhendy</t>
  </si>
  <si>
    <t>SA14 9SF</t>
  </si>
  <si>
    <t>CBDU4140</t>
  </si>
  <si>
    <t>Flat F Chapel Court</t>
  </si>
  <si>
    <t>59 St. Mary Street</t>
  </si>
  <si>
    <t>NP11 6GQ</t>
  </si>
  <si>
    <t>CBDU014712</t>
  </si>
  <si>
    <t>The Old Smithy</t>
  </si>
  <si>
    <t>Waunfawr</t>
  </si>
  <si>
    <t>CBDU014713</t>
  </si>
  <si>
    <t>16 Fairfield</t>
  </si>
  <si>
    <t>CBDL014714</t>
  </si>
  <si>
    <t>Cilgwyn Manor</t>
  </si>
  <si>
    <t>SA19 9LF</t>
  </si>
  <si>
    <t>CBDL014715</t>
  </si>
  <si>
    <t>School Street</t>
  </si>
  <si>
    <t>CF72 9AA</t>
  </si>
  <si>
    <t>CBDU014716</t>
  </si>
  <si>
    <t>6 Penybryn</t>
  </si>
  <si>
    <t>LL11 6AJ</t>
  </si>
  <si>
    <t>CBDU014730</t>
  </si>
  <si>
    <t>40 Lon Maesycoed</t>
  </si>
  <si>
    <t>SY16 1QQ</t>
  </si>
  <si>
    <t>CBDU014731</t>
  </si>
  <si>
    <t>Elmhurst</t>
  </si>
  <si>
    <t>Churchstoke</t>
  </si>
  <si>
    <t>CBDL014732</t>
  </si>
  <si>
    <t>Fullmoon</t>
  </si>
  <si>
    <t>SA18 2PN</t>
  </si>
  <si>
    <t>CBDU014733</t>
  </si>
  <si>
    <t>Ty Newydd</t>
  </si>
  <si>
    <t>LL55 4PN</t>
  </si>
  <si>
    <t>CBDU014736</t>
  </si>
  <si>
    <t>80A Porthkerry Caravan Park</t>
  </si>
  <si>
    <t>Porthkerry</t>
  </si>
  <si>
    <t>CF62 3ZP</t>
  </si>
  <si>
    <t>CBDU014769</t>
  </si>
  <si>
    <t>2 Trostrey Street</t>
  </si>
  <si>
    <t>NP19 7BB</t>
  </si>
  <si>
    <t>CBDU014776</t>
  </si>
  <si>
    <t>54 Moorlands</t>
  </si>
  <si>
    <t>Dyffryn Cellwen</t>
  </si>
  <si>
    <t>SA10 9HU</t>
  </si>
  <si>
    <t>CBDU014777</t>
  </si>
  <si>
    <t>40 Ninth Avenue</t>
  </si>
  <si>
    <t>CF47 9TN</t>
  </si>
  <si>
    <t>CBDU014779</t>
  </si>
  <si>
    <t>4 Rhodfa Clwyd</t>
  </si>
  <si>
    <t>LL17 0YR</t>
  </si>
  <si>
    <t>CBDU014780</t>
  </si>
  <si>
    <t>Tylerfedwen Farm</t>
  </si>
  <si>
    <t>SA12 9YA</t>
  </si>
  <si>
    <t>CBDU014781</t>
  </si>
  <si>
    <t xml:space="preserve">20 Princess Elizabeth Avenue </t>
  </si>
  <si>
    <t>LL18 4AP</t>
  </si>
  <si>
    <t>CBDU014786</t>
  </si>
  <si>
    <t>Tan Yr Eglwys</t>
  </si>
  <si>
    <t>Llanrhychwyn</t>
  </si>
  <si>
    <t>CBDU014791</t>
  </si>
  <si>
    <t>CBDU4063</t>
  </si>
  <si>
    <t>Pill Farm Undy</t>
  </si>
  <si>
    <t>NP26 3QP</t>
  </si>
  <si>
    <t>CBDU014793</t>
  </si>
  <si>
    <t>Building 58 Castle Works</t>
  </si>
  <si>
    <t>CF24 5NN</t>
  </si>
  <si>
    <t>CBDU014794</t>
  </si>
  <si>
    <t>Higher Common Way</t>
  </si>
  <si>
    <t>CH7 3PW</t>
  </si>
  <si>
    <t>CBDU4484</t>
  </si>
  <si>
    <t xml:space="preserve">6-8 Salisbury Road </t>
  </si>
  <si>
    <t>CBDL014795</t>
  </si>
  <si>
    <t>Tiger Bay</t>
  </si>
  <si>
    <t>Chruch Street</t>
  </si>
  <si>
    <t>New Cuay</t>
  </si>
  <si>
    <t>Ceridigion</t>
  </si>
  <si>
    <t>SA45 9NZ</t>
  </si>
  <si>
    <t>CBDU014796</t>
  </si>
  <si>
    <t>57 Glynderi</t>
  </si>
  <si>
    <t>Glynmoch</t>
  </si>
  <si>
    <t>SA18 3NT</t>
  </si>
  <si>
    <t>CBDU014797</t>
  </si>
  <si>
    <t>Brackla Patio Centre</t>
  </si>
  <si>
    <t>CBDU014798</t>
  </si>
  <si>
    <t>Unit 11</t>
  </si>
  <si>
    <t>Chilgrove Business Centre</t>
  </si>
  <si>
    <t>Chilgrove</t>
  </si>
  <si>
    <t>P018 9HU</t>
  </si>
  <si>
    <t>CBDU4282</t>
  </si>
  <si>
    <t>CBDU014800</t>
  </si>
  <si>
    <t>91 Glantawe Street</t>
  </si>
  <si>
    <t>SA6 8DQ</t>
  </si>
  <si>
    <t>CBDL014801</t>
  </si>
  <si>
    <t>A C Roof Trusses Ltd</t>
  </si>
  <si>
    <t>CBDL014802</t>
  </si>
  <si>
    <t>Ap Cymru</t>
  </si>
  <si>
    <t>Tenby House Oak Tree Court Mulberry Drive</t>
  </si>
  <si>
    <t>CBDU014805</t>
  </si>
  <si>
    <t>Hanger 872</t>
  </si>
  <si>
    <t>Picketston Site</t>
  </si>
  <si>
    <t>St Athans</t>
  </si>
  <si>
    <t>CF62 4QR</t>
  </si>
  <si>
    <t>CBDU4155</t>
  </si>
  <si>
    <t>Bron Y Graig Ffordd Tan Y Bryn</t>
  </si>
  <si>
    <t>LL68 9BD</t>
  </si>
  <si>
    <t>CBDU014806</t>
  </si>
  <si>
    <t>100 Manselfield Road</t>
  </si>
  <si>
    <t>Murton</t>
  </si>
  <si>
    <t>CBDU4461</t>
  </si>
  <si>
    <t>Cae Gwyn Pentre Coch</t>
  </si>
  <si>
    <t>LL15 2YF</t>
  </si>
  <si>
    <t>CBDU014807</t>
  </si>
  <si>
    <t>1 Bishop Road</t>
  </si>
  <si>
    <t>SA18 3HA</t>
  </si>
  <si>
    <t>CBDU4161</t>
  </si>
  <si>
    <t>18 Gail Rise</t>
  </si>
  <si>
    <t>SA62 4HW</t>
  </si>
  <si>
    <t>CBDU014808</t>
  </si>
  <si>
    <t>5 Heol Yr Ysgol</t>
  </si>
  <si>
    <t>SA14 7EB</t>
  </si>
  <si>
    <t>CBDU4527</t>
  </si>
  <si>
    <t>Unit 10-11 Ffaldau Industrial Estate</t>
  </si>
  <si>
    <t>Blaengarw</t>
  </si>
  <si>
    <t>CF32 8NQ</t>
  </si>
  <si>
    <t>CBDU014809</t>
  </si>
  <si>
    <t>D J Rees Painter &amp; Decorators</t>
  </si>
  <si>
    <t>CBDL014810</t>
  </si>
  <si>
    <t>Teifi Counselling Service</t>
  </si>
  <si>
    <t>CBDL014811</t>
  </si>
  <si>
    <t>S T A Supplies Ltd</t>
  </si>
  <si>
    <t>CBDU014812</t>
  </si>
  <si>
    <t>227 Clasemont Road</t>
  </si>
  <si>
    <t>SA6 6BT</t>
  </si>
  <si>
    <t>CBDU4344</t>
  </si>
  <si>
    <t>Western House Ipswich Road</t>
  </si>
  <si>
    <t>CBDU4337</t>
  </si>
  <si>
    <t>41 Longmeadow Drive</t>
  </si>
  <si>
    <t>CF64 4TB</t>
  </si>
  <si>
    <t>CBDL014814</t>
  </si>
  <si>
    <t>Unit J</t>
  </si>
  <si>
    <t>Trecenydd Business Park</t>
  </si>
  <si>
    <t>CBDU014825</t>
  </si>
  <si>
    <t>4A New High Street</t>
  </si>
  <si>
    <t>LL14 6NL</t>
  </si>
  <si>
    <t>CBDU4366</t>
  </si>
  <si>
    <t>Tyddyn Du Gellilydan</t>
  </si>
  <si>
    <t>CBDU014828</t>
  </si>
  <si>
    <t>Castle High</t>
  </si>
  <si>
    <t>SA62 3LY</t>
  </si>
  <si>
    <t>CBDU014829</t>
  </si>
  <si>
    <t>11 Axis Court</t>
  </si>
  <si>
    <t>CBDU4542</t>
  </si>
  <si>
    <t>13 Glan Gwna Terrace Caeathro</t>
  </si>
  <si>
    <t>LL55 2SU</t>
  </si>
  <si>
    <t>CBDU4562</t>
  </si>
  <si>
    <t>Unit 10 Cardiff Business Park</t>
  </si>
  <si>
    <t>Lambourne Crescent</t>
  </si>
  <si>
    <t>CF14 5GF</t>
  </si>
  <si>
    <t>CBDU014833</t>
  </si>
  <si>
    <t>Allensmore House</t>
  </si>
  <si>
    <t>Longrove Lane</t>
  </si>
  <si>
    <t>SA3 2EB</t>
  </si>
  <si>
    <t>CBDU014835</t>
  </si>
  <si>
    <t>Wernddu Farm Wernddu Road</t>
  </si>
  <si>
    <t>SA8 3JA</t>
  </si>
  <si>
    <t>CBDU3263</t>
  </si>
  <si>
    <t xml:space="preserve">4 East View </t>
  </si>
  <si>
    <t>NP4 6HQ</t>
  </si>
  <si>
    <t>CBDU014837</t>
  </si>
  <si>
    <t>13 Holyland Drive</t>
  </si>
  <si>
    <t>SA71 4BG</t>
  </si>
  <si>
    <t>CBDU014854</t>
  </si>
  <si>
    <t>CBDU2291</t>
  </si>
  <si>
    <t>Mynydd View Gelli Rhwy Road</t>
  </si>
  <si>
    <t>Garndiffaith</t>
  </si>
  <si>
    <t>NP4 7SH</t>
  </si>
  <si>
    <t>CBDU014858</t>
  </si>
  <si>
    <t>CBDU014859</t>
  </si>
  <si>
    <t>Chelgrove Business Centre</t>
  </si>
  <si>
    <t>CBDU014860</t>
  </si>
  <si>
    <t>The Firs</t>
  </si>
  <si>
    <t>Sarn</t>
  </si>
  <si>
    <t>SY16 4EW</t>
  </si>
  <si>
    <t>CBDU014861</t>
  </si>
  <si>
    <t>16 Palleg Road</t>
  </si>
  <si>
    <t>SA9 2QE</t>
  </si>
  <si>
    <t>CBDU014862</t>
  </si>
  <si>
    <t>Britannia Lodge</t>
  </si>
  <si>
    <t>CBDU014863</t>
  </si>
  <si>
    <t>Pritcards Yard</t>
  </si>
  <si>
    <t>Gaerwen Industrial Estate</t>
  </si>
  <si>
    <t>CBDU4290</t>
  </si>
  <si>
    <t>Brynffynnon Glyndwr Road</t>
  </si>
  <si>
    <t>CH7 5LW</t>
  </si>
  <si>
    <t>CBDU4391</t>
  </si>
  <si>
    <t>Broncoed House</t>
  </si>
  <si>
    <t>Broncoed Business Park</t>
  </si>
  <si>
    <t>Wrexham Road</t>
  </si>
  <si>
    <t>CH7 1HP</t>
  </si>
  <si>
    <t>CBDU014873</t>
  </si>
  <si>
    <t>9 Maes-y-Felin</t>
  </si>
  <si>
    <t>CBDU014874</t>
  </si>
  <si>
    <t>141 Manod Road</t>
  </si>
  <si>
    <t>CBDU014875</t>
  </si>
  <si>
    <t>Bronallt</t>
  </si>
  <si>
    <t>Llandegfan</t>
  </si>
  <si>
    <t>LL59 5PW</t>
  </si>
  <si>
    <t>CBDU4415</t>
  </si>
  <si>
    <t xml:space="preserve">55 Mansel Street </t>
  </si>
  <si>
    <t>SA1 5TE</t>
  </si>
  <si>
    <t>CBDU014876</t>
  </si>
  <si>
    <t>Gweneira Gardens</t>
  </si>
  <si>
    <t>83 Pencefnarda Road</t>
  </si>
  <si>
    <t>SA4 4NA</t>
  </si>
  <si>
    <t>CBDU4763</t>
  </si>
  <si>
    <t>Unit 12 Parc Teifi Business Park</t>
  </si>
  <si>
    <t>CBDU4298</t>
  </si>
  <si>
    <t>Troedyrhiwgwynau Farm Comins Coch</t>
  </si>
  <si>
    <t>SY23 3BE</t>
  </si>
  <si>
    <t>CBDU014878</t>
  </si>
  <si>
    <t>Unit 3 Stradey Business Park</t>
  </si>
  <si>
    <t>CBDU4514</t>
  </si>
  <si>
    <t xml:space="preserve">14 Pentwyn Deintyr </t>
  </si>
  <si>
    <t>CBDU014894</t>
  </si>
  <si>
    <t>CBDU014895</t>
  </si>
  <si>
    <t>Marian Wen</t>
  </si>
  <si>
    <t>Marian Glas</t>
  </si>
  <si>
    <t>LL73 8PF</t>
  </si>
  <si>
    <t>CBDU014896</t>
  </si>
  <si>
    <t>Porthcawl Landcapes</t>
  </si>
  <si>
    <t>2 oldfield road</t>
  </si>
  <si>
    <t>Bocam Park</t>
  </si>
  <si>
    <t>CF35 5LT</t>
  </si>
  <si>
    <t>CBDU014897</t>
  </si>
  <si>
    <t>21 Rogerstone Close</t>
  </si>
  <si>
    <t>CF3 0EA</t>
  </si>
  <si>
    <t>CBDU4699</t>
  </si>
  <si>
    <t>NP20 5RR</t>
  </si>
  <si>
    <t>CBDU4875</t>
  </si>
  <si>
    <t>Cefn Coed Llandygai</t>
  </si>
  <si>
    <t>LL57 4BG</t>
  </si>
  <si>
    <t>CBDU014925</t>
  </si>
  <si>
    <t>Unit 11 The Bridgeway Centre</t>
  </si>
  <si>
    <t>Bridge Road</t>
  </si>
  <si>
    <t>LL13 9QS</t>
  </si>
  <si>
    <t>CBDU4886</t>
  </si>
  <si>
    <t>5 Bro Gynan Llanfair Dyffryn Clwyd</t>
  </si>
  <si>
    <t>LL15 2EW</t>
  </si>
  <si>
    <t>CBDU014927</t>
  </si>
  <si>
    <t>Security System Reclaim LTD</t>
  </si>
  <si>
    <t>Unit 5 Evtol Trading Estate</t>
  </si>
  <si>
    <t>Frederick Street</t>
  </si>
  <si>
    <t>NP20 2DR</t>
  </si>
  <si>
    <t>CBDU014928</t>
  </si>
  <si>
    <t>R P G Anglesey</t>
  </si>
  <si>
    <t>Ysgol Bach</t>
  </si>
  <si>
    <t>CBDU4726</t>
  </si>
  <si>
    <t>CBDU4544</t>
  </si>
  <si>
    <t>Unit 1-3</t>
  </si>
  <si>
    <t>Llwyncelyn Industrial Estate</t>
  </si>
  <si>
    <t>CF39 9SJ</t>
  </si>
  <si>
    <t>CBDU014932</t>
  </si>
  <si>
    <t>LL170JA</t>
  </si>
  <si>
    <t>CBDU4901</t>
  </si>
  <si>
    <t>6 Broddewi Ffosyffin</t>
  </si>
  <si>
    <t>SA46 0EX</t>
  </si>
  <si>
    <t>CBDU014933</t>
  </si>
  <si>
    <t>KAEFER LTD</t>
  </si>
  <si>
    <t>Somerton House South Point</t>
  </si>
  <si>
    <t>CBDU4868</t>
  </si>
  <si>
    <t xml:space="preserve">Penbwlcha Farm </t>
  </si>
  <si>
    <t>CF46 5RN</t>
  </si>
  <si>
    <t>CBDU014934</t>
  </si>
  <si>
    <t>Trapp</t>
  </si>
  <si>
    <t>SA19 6TR</t>
  </si>
  <si>
    <t>CBDU4638</t>
  </si>
  <si>
    <t>Caia Cottage</t>
  </si>
  <si>
    <t>Old Wrexham Road</t>
  </si>
  <si>
    <t>LL12 8UA</t>
  </si>
  <si>
    <t>CBDU014935</t>
  </si>
  <si>
    <t>14 Maes Llety</t>
  </si>
  <si>
    <t>Four Mile Bridge</t>
  </si>
  <si>
    <t>LL65 2HJ</t>
  </si>
  <si>
    <t>CBDU4689</t>
  </si>
  <si>
    <t>21-21 Stad Ddiwydiannol Llandygai</t>
  </si>
  <si>
    <t>LL57 0JG</t>
  </si>
  <si>
    <t>CBDU4493</t>
  </si>
  <si>
    <t>Highways Department Waterton Lane</t>
  </si>
  <si>
    <t>CF31 3YP</t>
  </si>
  <si>
    <t>CBDU014959</t>
  </si>
  <si>
    <t>Treboeth Building Ltd</t>
  </si>
  <si>
    <t>477 Llangyfelach Road</t>
  </si>
  <si>
    <t>CBDU014960</t>
  </si>
  <si>
    <t>Pantyclai</t>
  </si>
  <si>
    <t>Penybanc</t>
  </si>
  <si>
    <t>SA19 7SY</t>
  </si>
  <si>
    <t>CBDU014961</t>
  </si>
  <si>
    <t>Cefn Coed Farm</t>
  </si>
  <si>
    <t>Eagle Bush</t>
  </si>
  <si>
    <t>SA11 2HS</t>
  </si>
  <si>
    <t>CBDU014962</t>
  </si>
  <si>
    <t>3 Tirmynydd Road</t>
  </si>
  <si>
    <t>SA2 7LA</t>
  </si>
  <si>
    <t>CBDU014963</t>
  </si>
  <si>
    <t>Unit 1</t>
  </si>
  <si>
    <t>Fachell Farm</t>
  </si>
  <si>
    <t>Morfa</t>
  </si>
  <si>
    <t>LL22 9SL</t>
  </si>
  <si>
    <t>CBDU4686</t>
  </si>
  <si>
    <t>Hollyoaks Broadway</t>
  </si>
  <si>
    <t>SA33 4NU</t>
  </si>
  <si>
    <t>CBDL014985</t>
  </si>
  <si>
    <t>Seashore Grill and Cafe Bar</t>
  </si>
  <si>
    <t>Beach Road</t>
  </si>
  <si>
    <t>Swanbridge</t>
  </si>
  <si>
    <t>CF64 5UG</t>
  </si>
  <si>
    <t>CBDL014986</t>
  </si>
  <si>
    <t>19 Priory Avenue</t>
  </si>
  <si>
    <t>CBDL014987</t>
  </si>
  <si>
    <t>Gyffog</t>
  </si>
  <si>
    <t>Llanfihangel-Nant-Bran</t>
  </si>
  <si>
    <t>CBDU000021</t>
  </si>
  <si>
    <t>Woodham Road</t>
  </si>
  <si>
    <t>No 2 Dock</t>
  </si>
  <si>
    <t>CF63 4JE</t>
  </si>
  <si>
    <t>CBDU000031</t>
  </si>
  <si>
    <t>North Wales Transport Ltd</t>
  </si>
  <si>
    <t>Unit 25</t>
  </si>
  <si>
    <t>Castle Park Industrial Estate</t>
  </si>
  <si>
    <t>CH6 5XA</t>
  </si>
  <si>
    <t>CBDU2633</t>
  </si>
  <si>
    <t>CBDL014018</t>
  </si>
  <si>
    <t>Unit 3 Parc Menai</t>
  </si>
  <si>
    <t>3-4 Llys Onnen</t>
  </si>
  <si>
    <t>CBDL014020</t>
  </si>
  <si>
    <t>Groundwork North Wales Ltd</t>
  </si>
  <si>
    <t>3-4 Plas Power Road</t>
  </si>
  <si>
    <t>LL11 5SZ</t>
  </si>
  <si>
    <t>CBDL014021</t>
  </si>
  <si>
    <t>Cae Pellaf</t>
  </si>
  <si>
    <t>Penmynydd</t>
  </si>
  <si>
    <t>LL61 6PH</t>
  </si>
  <si>
    <t>CBDL014022</t>
  </si>
  <si>
    <t>Cowbridge Road West</t>
  </si>
  <si>
    <t>CBDL014023</t>
  </si>
  <si>
    <t>Cefn Don Farm</t>
  </si>
  <si>
    <t>CF44 9NA</t>
  </si>
  <si>
    <t>CBDL014024</t>
  </si>
  <si>
    <t>16 Winchfawr</t>
  </si>
  <si>
    <t>CF48 1RD</t>
  </si>
  <si>
    <t>CBDL014025</t>
  </si>
  <si>
    <t>Penrhiwceiber Medical Centre</t>
  </si>
  <si>
    <t>Penrhiwceiber Road</t>
  </si>
  <si>
    <t>CF45 3SQ</t>
  </si>
  <si>
    <t>CBDL014026</t>
  </si>
  <si>
    <t>West Street Stores</t>
  </si>
  <si>
    <t>30 West Street</t>
  </si>
  <si>
    <t>CF81 8RZ</t>
  </si>
  <si>
    <t>CBDL014027</t>
  </si>
  <si>
    <t>29 Llwyn Menlli</t>
  </si>
  <si>
    <t>CBDL014028</t>
  </si>
  <si>
    <t>Coffee@37</t>
  </si>
  <si>
    <t>37 Bedwlwyn Road</t>
  </si>
  <si>
    <t>CF82 7AA</t>
  </si>
  <si>
    <t>CBDL014029</t>
  </si>
  <si>
    <t>Cilgewydd</t>
  </si>
  <si>
    <t>Llanfihangel Brynpabuan</t>
  </si>
  <si>
    <t>LD2 3SE</t>
  </si>
  <si>
    <t>CBDU2812</t>
  </si>
  <si>
    <t>Bryndu House House Bryndu</t>
  </si>
  <si>
    <t>CF33 6RA</t>
  </si>
  <si>
    <t>CBDU1764</t>
  </si>
  <si>
    <t>April Cottage 1 Chirbury Road</t>
  </si>
  <si>
    <t>SY15 6QQ</t>
  </si>
  <si>
    <t>CBDU1832</t>
  </si>
  <si>
    <t>70 Teglan Park</t>
  </si>
  <si>
    <t>SA18 3RA</t>
  </si>
  <si>
    <t>CBDU1790</t>
  </si>
  <si>
    <t>Bryn Ogwy Llangwyllog</t>
  </si>
  <si>
    <t>LL77 7PX</t>
  </si>
  <si>
    <t>CBDU1882</t>
  </si>
  <si>
    <t>11 Khartun Terrace</t>
  </si>
  <si>
    <t>Onllwyn</t>
  </si>
  <si>
    <t>sa10 6hj</t>
  </si>
  <si>
    <t>CBDU1888</t>
  </si>
  <si>
    <t>Unit H Crown Business Park</t>
  </si>
  <si>
    <t>CBDU014045</t>
  </si>
  <si>
    <t>118 Ty Fry</t>
  </si>
  <si>
    <t>CF44 7PP</t>
  </si>
  <si>
    <t>CBDU014046</t>
  </si>
  <si>
    <t>JD Surfacing &amp; Construction LTD</t>
  </si>
  <si>
    <t>Gelli Industrial Estate</t>
  </si>
  <si>
    <t>CBDU014047</t>
  </si>
  <si>
    <t>126 Capel Newydd Avenue</t>
  </si>
  <si>
    <t>NP4 9LG</t>
  </si>
  <si>
    <t>CBDU014048</t>
  </si>
  <si>
    <t>Porth Ceri</t>
  </si>
  <si>
    <t>LL16 5YA</t>
  </si>
  <si>
    <t>CBDU014049</t>
  </si>
  <si>
    <t>Wellfield House</t>
  </si>
  <si>
    <t>New Village Farm</t>
  </si>
  <si>
    <t>NP26 3AD</t>
  </si>
  <si>
    <t>CBDU014050</t>
  </si>
  <si>
    <t>Craig Coch</t>
  </si>
  <si>
    <t>Nebo</t>
  </si>
  <si>
    <t>LL26 0SY</t>
  </si>
  <si>
    <t>CBDU014051</t>
  </si>
  <si>
    <t>Aberthaw Works Dwyrain Abberddawan</t>
  </si>
  <si>
    <t>CF62 3ZR</t>
  </si>
  <si>
    <t>CBDU014052</t>
  </si>
  <si>
    <t>12 Swallowhurst Close</t>
  </si>
  <si>
    <t>CF5 4TF</t>
  </si>
  <si>
    <t>CBDU2444</t>
  </si>
  <si>
    <t>33 Ffordd Talfan Garden Village</t>
  </si>
  <si>
    <t>CBDU2486</t>
  </si>
  <si>
    <t>83 New Road</t>
  </si>
  <si>
    <t>SA18 3EY</t>
  </si>
  <si>
    <t>CBDU2454</t>
  </si>
  <si>
    <t>Unit 15B Greenway</t>
  </si>
  <si>
    <t>CBDU2469</t>
  </si>
  <si>
    <t>14 Ger Yr Afon Gwaun Cae Gurwen</t>
  </si>
  <si>
    <t>SA18 1HN</t>
  </si>
  <si>
    <t>CBDU2502</t>
  </si>
  <si>
    <t>Unit A1 West Point Industrial Estate</t>
  </si>
  <si>
    <t>CBDU2536</t>
  </si>
  <si>
    <t>SA31 3RA</t>
  </si>
  <si>
    <t>CBDU2543</t>
  </si>
  <si>
    <t>Unit 14-15 Bettws Shopping Centre</t>
  </si>
  <si>
    <t>CBDU2322</t>
  </si>
  <si>
    <t>Unit 1 Cambrian Court</t>
  </si>
  <si>
    <t>CBDU2560</t>
  </si>
  <si>
    <t>Tyddyn Isaf Talybont</t>
  </si>
  <si>
    <t>LL57 3YE</t>
  </si>
  <si>
    <t>CBDU2572</t>
  </si>
  <si>
    <t>Unit L Lonlas Village Workshops</t>
  </si>
  <si>
    <t>Cwmdu Industrial Estate</t>
  </si>
  <si>
    <t>SA10 6RP</t>
  </si>
  <si>
    <t>CBDU2567</t>
  </si>
  <si>
    <t>98 Albert Street</t>
  </si>
  <si>
    <t>CF11 6JP</t>
  </si>
  <si>
    <t>CBDU2577</t>
  </si>
  <si>
    <t>Hillcrest Old Tram Road</t>
  </si>
  <si>
    <t>CBDU2119</t>
  </si>
  <si>
    <t>Bodringallt Bryn Road</t>
  </si>
  <si>
    <t>Llangrallo</t>
  </si>
  <si>
    <t>CF35 6AE</t>
  </si>
  <si>
    <t>CBDU1871</t>
  </si>
  <si>
    <t>CBDU014138</t>
  </si>
  <si>
    <t>9 Waungron</t>
  </si>
  <si>
    <t>SA11 5AS</t>
  </si>
  <si>
    <t>CBDU014139</t>
  </si>
  <si>
    <t>Cledan</t>
  </si>
  <si>
    <t>SY20 8ND</t>
  </si>
  <si>
    <t>CBDU014140</t>
  </si>
  <si>
    <t>Arthur Street</t>
  </si>
  <si>
    <t>NP22 4JI</t>
  </si>
  <si>
    <t>CBDU014141</t>
  </si>
  <si>
    <t>CBDU014142</t>
  </si>
  <si>
    <t>Ashford Farmhouse</t>
  </si>
  <si>
    <t>Llandetty</t>
  </si>
  <si>
    <t>LD3 7YR</t>
  </si>
  <si>
    <t>CBDU014143</t>
  </si>
  <si>
    <t>53 Llandaff Drive</t>
  </si>
  <si>
    <t>LL19 8AT</t>
  </si>
  <si>
    <t>CBDU014144</t>
  </si>
  <si>
    <t>Yew Tree Inn</t>
  </si>
  <si>
    <t>LL12 8RF</t>
  </si>
  <si>
    <t>CBDL014168</t>
  </si>
  <si>
    <t>Kaths Store</t>
  </si>
  <si>
    <t>17-19 King Street</t>
  </si>
  <si>
    <t>NP23 4JN</t>
  </si>
  <si>
    <t>CBDL014172</t>
  </si>
  <si>
    <t>Every Penny Counts</t>
  </si>
  <si>
    <t>Central Point</t>
  </si>
  <si>
    <t>Brunswick Road</t>
  </si>
  <si>
    <t>CH7 2EH</t>
  </si>
  <si>
    <t>CBDL014173</t>
  </si>
  <si>
    <t>Kontroltek Ltd</t>
  </si>
  <si>
    <t>Unit 1 Horsefair Road</t>
  </si>
  <si>
    <t>Waterton Industrial Estate</t>
  </si>
  <si>
    <t>CBDL014182</t>
  </si>
  <si>
    <t>Town Clerk</t>
  </si>
  <si>
    <t>Council Offices</t>
  </si>
  <si>
    <t>Talbot Street</t>
  </si>
  <si>
    <t>CF34 9BY</t>
  </si>
  <si>
    <t>CBDL014183</t>
  </si>
  <si>
    <t>1 Kingsley House</t>
  </si>
  <si>
    <t>Barons Road</t>
  </si>
  <si>
    <t>LL13 8HB</t>
  </si>
  <si>
    <t>CBDU014202</t>
  </si>
  <si>
    <t>33 Dan-y-Coed</t>
  </si>
  <si>
    <t>CBDU014203</t>
  </si>
  <si>
    <t>Care &amp; Repair Solutions LTD</t>
  </si>
  <si>
    <t>13C Valley Way</t>
  </si>
  <si>
    <t>CBDU014204</t>
  </si>
  <si>
    <t>25 Tavistock Road</t>
  </si>
  <si>
    <t>SA2 0SL</t>
  </si>
  <si>
    <t>CBDU014205</t>
  </si>
  <si>
    <t>144 Cimla Road</t>
  </si>
  <si>
    <t>SA11 3UD</t>
  </si>
  <si>
    <t>CBDU014206</t>
  </si>
  <si>
    <t>39 Leonard Street</t>
  </si>
  <si>
    <t>SA11 3HW</t>
  </si>
  <si>
    <t>CBDU2953</t>
  </si>
  <si>
    <t>Tir Hugh Barn Llwydcoed</t>
  </si>
  <si>
    <t>CF44 0LP</t>
  </si>
  <si>
    <t>CBDU014207</t>
  </si>
  <si>
    <t>UNIT 32 MINERS ROAD</t>
  </si>
  <si>
    <t>LLAY INDUSTRIAL ESTATE</t>
  </si>
  <si>
    <t>CBDU014208</t>
  </si>
  <si>
    <t>The White Cottage Drury Lane</t>
  </si>
  <si>
    <t>Pentrobin</t>
  </si>
  <si>
    <t>CH5 3NG</t>
  </si>
  <si>
    <t>CBDU014209</t>
  </si>
  <si>
    <t>Unit 3 Ty Coch Distribution Centre</t>
  </si>
  <si>
    <t>CBDU014210</t>
  </si>
  <si>
    <t>Sarngwm</t>
  </si>
  <si>
    <t>SA67 8HG</t>
  </si>
  <si>
    <t>CBDU014211</t>
  </si>
  <si>
    <t>11 Dan-y-Coed Close</t>
  </si>
  <si>
    <t>CF23 6NJ</t>
  </si>
  <si>
    <t>CBDU014225</t>
  </si>
  <si>
    <t>110 Crymlyn Road</t>
  </si>
  <si>
    <t>SA10 6DT</t>
  </si>
  <si>
    <t>CBDU014226</t>
  </si>
  <si>
    <t>Ddol Bach</t>
  </si>
  <si>
    <t>Cwm-y-Glo</t>
  </si>
  <si>
    <t>LL55 4EA</t>
  </si>
  <si>
    <t>CBDU2595</t>
  </si>
  <si>
    <t>Ddol Farm</t>
  </si>
  <si>
    <t>CBDU3337</t>
  </si>
  <si>
    <t>CBDU014227</t>
  </si>
  <si>
    <t>CBDU014228</t>
  </si>
  <si>
    <t>Cartref</t>
  </si>
  <si>
    <t>Bull Bay Road</t>
  </si>
  <si>
    <t>LL68 9EA</t>
  </si>
  <si>
    <t>CBDU014229</t>
  </si>
  <si>
    <t>Hafod Y Bryn</t>
  </si>
  <si>
    <t>CBDU014230</t>
  </si>
  <si>
    <t>26 Castle Quarry</t>
  </si>
  <si>
    <t>Long Mains</t>
  </si>
  <si>
    <t>SA71 4JB</t>
  </si>
  <si>
    <t>CBDU014231</t>
  </si>
  <si>
    <t>Dulas Ltd</t>
  </si>
  <si>
    <t>Dyfi Eco Parc</t>
  </si>
  <si>
    <t>CBDU014232</t>
  </si>
  <si>
    <t>Happy Valley (Porthcawl) Holiday Camp Ltd</t>
  </si>
  <si>
    <t>Happy Valley Caravan Park Wigfach</t>
  </si>
  <si>
    <t>CF32 0NG</t>
  </si>
  <si>
    <t>CBDU014233</t>
  </si>
  <si>
    <t>1173 Carmarthen Road</t>
  </si>
  <si>
    <t>SA5 4BL</t>
  </si>
  <si>
    <t>CBDU3161</t>
  </si>
  <si>
    <t>285 Cowbridge Road West MS-Group Ltd</t>
  </si>
  <si>
    <t>CF5 5TD</t>
  </si>
  <si>
    <t>CBDU014234</t>
  </si>
  <si>
    <t>Ingenium Construction Services Ltd</t>
  </si>
  <si>
    <t>Fedw Hir</t>
  </si>
  <si>
    <t>CBDL014239</t>
  </si>
  <si>
    <t>4 Ffordd Tyn-y-Coed</t>
  </si>
  <si>
    <t>SA6 5PP</t>
  </si>
  <si>
    <t>CBDL014240</t>
  </si>
  <si>
    <t>8 Mervyn Way</t>
  </si>
  <si>
    <t>CF35 6JH</t>
  </si>
  <si>
    <t>CBDL014243</t>
  </si>
  <si>
    <t>98 Rodney Street</t>
  </si>
  <si>
    <t>SA1 3UD</t>
  </si>
  <si>
    <t>CBDL014244</t>
  </si>
  <si>
    <t>Coach &amp; Horses Surgery</t>
  </si>
  <si>
    <t>Pentre Road</t>
  </si>
  <si>
    <t>CBDL014245</t>
  </si>
  <si>
    <t>South Walk</t>
  </si>
  <si>
    <t>Gladestry</t>
  </si>
  <si>
    <t>HR5 3NU</t>
  </si>
  <si>
    <t>CBDU014246</t>
  </si>
  <si>
    <t>Evabuild Ltd</t>
  </si>
  <si>
    <t>St. Davids House</t>
  </si>
  <si>
    <t>SY16 1RB</t>
  </si>
  <si>
    <t>CBDU2477</t>
  </si>
  <si>
    <t>Riverside Unit 8</t>
  </si>
  <si>
    <t>Newtown Industrial Estate</t>
  </si>
  <si>
    <t>CBDU014247</t>
  </si>
  <si>
    <t>59 Coryton Rise</t>
  </si>
  <si>
    <t>CF14 7EL</t>
  </si>
  <si>
    <t>CBDU014248</t>
  </si>
  <si>
    <t>19 Rockfield Road</t>
  </si>
  <si>
    <t>NP25 5BA</t>
  </si>
  <si>
    <t>CBDU014249</t>
  </si>
  <si>
    <t>Pen Y Felin</t>
  </si>
  <si>
    <t>LL32 8TS</t>
  </si>
  <si>
    <t>CBDU014250</t>
  </si>
  <si>
    <t xml:space="preserve">Valleys to Coast Housing </t>
  </si>
  <si>
    <t>Tremains Business Park</t>
  </si>
  <si>
    <t>Tremains Road</t>
  </si>
  <si>
    <t>CBDU3257</t>
  </si>
  <si>
    <t>13 Blacksmith Close Oakdale</t>
  </si>
  <si>
    <t>NP12 0BG</t>
  </si>
  <si>
    <t>CBDU014260</t>
  </si>
  <si>
    <t>CF10 1UA</t>
  </si>
  <si>
    <t>CBDL014272</t>
  </si>
  <si>
    <t>20 White Street</t>
  </si>
  <si>
    <t>CF83 1HB</t>
  </si>
  <si>
    <t>CBDU014273</t>
  </si>
  <si>
    <t>Plasyfelin 18 Morgan Street</t>
  </si>
  <si>
    <t>CF83 3FQ</t>
  </si>
  <si>
    <t>CBDU014274</t>
  </si>
  <si>
    <t>20 Medway Close</t>
  </si>
  <si>
    <t>NP20 7XB</t>
  </si>
  <si>
    <t>CBDU014275</t>
  </si>
  <si>
    <t>19 Craig Y Fron</t>
  </si>
  <si>
    <t>LL23 7UW</t>
  </si>
  <si>
    <t>CBDU014276</t>
  </si>
  <si>
    <t>20 Beili Glas</t>
  </si>
  <si>
    <t>SA4 6UE</t>
  </si>
  <si>
    <t>CBDU014277</t>
  </si>
  <si>
    <t>Davy Way</t>
  </si>
  <si>
    <t>CBDU3090</t>
  </si>
  <si>
    <t>Y Gerlan</t>
  </si>
  <si>
    <t>CBDU3162</t>
  </si>
  <si>
    <t>Unit 11 Penamser Industrial Estate</t>
  </si>
  <si>
    <t>LL49 9NZ</t>
  </si>
  <si>
    <t>CBDU014278</t>
  </si>
  <si>
    <t>Hawthorne Cottage</t>
  </si>
  <si>
    <t>Milton Hill</t>
  </si>
  <si>
    <t>Llanwern</t>
  </si>
  <si>
    <t>NP18 2DU</t>
  </si>
  <si>
    <t>CBDL014308</t>
  </si>
  <si>
    <t>2 Fitzwilliam Close</t>
  </si>
  <si>
    <t>CF72 8BN</t>
  </si>
  <si>
    <t>CBDU014314</t>
  </si>
  <si>
    <t>Ty Capel Salem</t>
  </si>
  <si>
    <t>Llanllyfni</t>
  </si>
  <si>
    <t>LL54 6SH</t>
  </si>
  <si>
    <t>CBDL014315</t>
  </si>
  <si>
    <t>Chapel House</t>
  </si>
  <si>
    <t>Tyngwndwn</t>
  </si>
  <si>
    <t>Felinfach</t>
  </si>
  <si>
    <t>SA48 8BE</t>
  </si>
  <si>
    <t>CBDU014336</t>
  </si>
  <si>
    <t>2 Glasbrook Place</t>
  </si>
  <si>
    <t>SA5 5JF</t>
  </si>
  <si>
    <t>CBDU3829</t>
  </si>
  <si>
    <t>12 Heol Y Neuadd</t>
  </si>
  <si>
    <t>SA14 6EL</t>
  </si>
  <si>
    <t>CBDL014337</t>
  </si>
  <si>
    <t>Mumbles Flooring Ltd</t>
  </si>
  <si>
    <t>55 Newton Road</t>
  </si>
  <si>
    <t>SA3 4BL</t>
  </si>
  <si>
    <t>CBDU014338</t>
  </si>
  <si>
    <t>Erw Deg</t>
  </si>
  <si>
    <t>Cefn Bychan Road</t>
  </si>
  <si>
    <t>CH7 5EW</t>
  </si>
  <si>
    <t>CBDU014339</t>
  </si>
  <si>
    <t>60 Mynydd Garn Lwyd Road</t>
  </si>
  <si>
    <t>CBDU014340</t>
  </si>
  <si>
    <t>Talgarth Building Supplies Ltd</t>
  </si>
  <si>
    <t>Hay Road</t>
  </si>
  <si>
    <t>LD3 0AL</t>
  </si>
  <si>
    <t>CBDU014341</t>
  </si>
  <si>
    <t>Bryngwanoff Farm</t>
  </si>
  <si>
    <t>CBDU014342</t>
  </si>
  <si>
    <t>The Waen</t>
  </si>
  <si>
    <t>CBDU014343</t>
  </si>
  <si>
    <t>Dugoed</t>
  </si>
  <si>
    <t>Lancych</t>
  </si>
  <si>
    <t>SA37 0LW</t>
  </si>
  <si>
    <t>CBDU014344</t>
  </si>
  <si>
    <t>Rhondda Developmnt Co Ltd</t>
  </si>
  <si>
    <t>235-239 High Street</t>
  </si>
  <si>
    <t>CF39 9AD</t>
  </si>
  <si>
    <t>CBDU3264</t>
  </si>
  <si>
    <t>5 Glebeland Place</t>
  </si>
  <si>
    <t>St. Athan</t>
  </si>
  <si>
    <t>CF62 4PQ</t>
  </si>
  <si>
    <t>CBDU014345</t>
  </si>
  <si>
    <t>17 Bryn Road</t>
  </si>
  <si>
    <t>CBDU014346</t>
  </si>
  <si>
    <t>84 Brynhyfryd</t>
  </si>
  <si>
    <t>SA14 8GD</t>
  </si>
  <si>
    <t>CBDU014347</t>
  </si>
  <si>
    <t>18 Queen Street</t>
  </si>
  <si>
    <t>CF48 2AE</t>
  </si>
  <si>
    <t>CBDU014348</t>
  </si>
  <si>
    <t>44 Ynysteg</t>
  </si>
  <si>
    <t>CF32 9EU</t>
  </si>
  <si>
    <t>CBDU3618</t>
  </si>
  <si>
    <t>10 Pencerrig Street</t>
  </si>
  <si>
    <t>Llanbradach</t>
  </si>
  <si>
    <t>CF83 3LR</t>
  </si>
  <si>
    <t>CBDU3616</t>
  </si>
  <si>
    <t>Taliesin Conservation</t>
  </si>
  <si>
    <t>Unit C5 Britannia Centre For Enterprise</t>
  </si>
  <si>
    <t>CBDU014349</t>
  </si>
  <si>
    <t>Tandem Transport</t>
  </si>
  <si>
    <t>Unit 7 North Road</t>
  </si>
  <si>
    <t>Penallta Industrial Estate Penallta</t>
  </si>
  <si>
    <t>CBDU014350</t>
  </si>
  <si>
    <t>88 Westward Rise</t>
  </si>
  <si>
    <t>CF62 6PQ</t>
  </si>
  <si>
    <t>CBDU3374</t>
  </si>
  <si>
    <t>AMA Properties Ltd</t>
  </si>
  <si>
    <t>Unit 1 Vaughan Thomas Business Centre</t>
  </si>
  <si>
    <t>5 Vaughan Thomas Lane</t>
  </si>
  <si>
    <t>SA1 6BY</t>
  </si>
  <si>
    <t>CBDU3440</t>
  </si>
  <si>
    <t>14 Stad Dolwar</t>
  </si>
  <si>
    <t>Y Ffor</t>
  </si>
  <si>
    <t>LL53 6UQ</t>
  </si>
  <si>
    <t>CBDU3419</t>
  </si>
  <si>
    <t>Preventapest Ltd</t>
  </si>
  <si>
    <t>Unit E1</t>
  </si>
  <si>
    <t>Capel Hendre Industrial Estate</t>
  </si>
  <si>
    <t>CBDU3661</t>
  </si>
  <si>
    <t>Gelli Gain</t>
  </si>
  <si>
    <t>CBDU3307</t>
  </si>
  <si>
    <t>O S S Electrical LTD</t>
  </si>
  <si>
    <t>4D Swanbridge Court Bedwas House Industrial Estate</t>
  </si>
  <si>
    <t>CBDU014351</t>
  </si>
  <si>
    <t>Gwenllan</t>
  </si>
  <si>
    <t>Llanfihangel-ar-Arth</t>
  </si>
  <si>
    <t>CBDL014360</t>
  </si>
  <si>
    <t>Kings Head Hotel</t>
  </si>
  <si>
    <t>18 Old Market Street</t>
  </si>
  <si>
    <t>NP15 1AL</t>
  </si>
  <si>
    <t>CBDU014368</t>
  </si>
  <si>
    <t>135 Heol Y Parc</t>
  </si>
  <si>
    <t>SA14 7DS</t>
  </si>
  <si>
    <t>CBDU014370</t>
  </si>
  <si>
    <t>Mikela</t>
  </si>
  <si>
    <t>Bishpool Lane</t>
  </si>
  <si>
    <t>CBDU014371</t>
  </si>
  <si>
    <t>7 Hebron Road</t>
  </si>
  <si>
    <t>SA6 5EJ</t>
  </si>
  <si>
    <t>CBDU3617</t>
  </si>
  <si>
    <t>Meadow View</t>
  </si>
  <si>
    <t>Llangeinor</t>
  </si>
  <si>
    <t>CF32 8PN</t>
  </si>
  <si>
    <t>CBDU014372</t>
  </si>
  <si>
    <t>Aberbran Fawr</t>
  </si>
  <si>
    <t>Aberbran</t>
  </si>
  <si>
    <t>LD3 9NG</t>
  </si>
  <si>
    <t>CBDU3633</t>
  </si>
  <si>
    <t>10 Dunraven Street</t>
  </si>
  <si>
    <t>CF32 9AS</t>
  </si>
  <si>
    <t>CBDU3508</t>
  </si>
  <si>
    <t>7 Meadow Drive</t>
  </si>
  <si>
    <t>CBDU3368</t>
  </si>
  <si>
    <t>Cae Ifor Farm</t>
  </si>
  <si>
    <t>Llanrhidian</t>
  </si>
  <si>
    <t>SA3 1ES</t>
  </si>
  <si>
    <t>CBDU014373</t>
  </si>
  <si>
    <t>Min Y Morfa Farm</t>
  </si>
  <si>
    <t>Borth Crossroads</t>
  </si>
  <si>
    <t>LL22 9SB</t>
  </si>
  <si>
    <t>CBDU3514</t>
  </si>
  <si>
    <t>CBDU014376</t>
  </si>
  <si>
    <t>6 Heol Caradog</t>
  </si>
  <si>
    <t>SA13 2UD</t>
  </si>
  <si>
    <t>CBDU014378</t>
  </si>
  <si>
    <t>Wern Isa Farm</t>
  </si>
  <si>
    <t>Wern Road</t>
  </si>
  <si>
    <t>LL20 8DU</t>
  </si>
  <si>
    <t>CBDU3143</t>
  </si>
  <si>
    <t>Tony Morris &amp; Sons (Developments) Ltd</t>
  </si>
  <si>
    <t>3 Celtic Link Industrial Park</t>
  </si>
  <si>
    <t>Dwrbach</t>
  </si>
  <si>
    <t>SA65 9RY</t>
  </si>
  <si>
    <t>CBDU014382</t>
  </si>
  <si>
    <t>Oil Facilities Ltd</t>
  </si>
  <si>
    <t>CBDU014388</t>
  </si>
  <si>
    <t>Glanfor</t>
  </si>
  <si>
    <t>LL68 9RU</t>
  </si>
  <si>
    <t>CBDU014390</t>
  </si>
  <si>
    <t>80 Margaret Street</t>
  </si>
  <si>
    <t>SA18 2NN</t>
  </si>
  <si>
    <t>CBDU014392</t>
  </si>
  <si>
    <t>Energy House Alloy Industrial Estate</t>
  </si>
  <si>
    <t>CBDU014394</t>
  </si>
  <si>
    <t>Llygad-yr-Haul</t>
  </si>
  <si>
    <t>SA15 5AR</t>
  </si>
  <si>
    <t>CBDU014395</t>
  </si>
  <si>
    <t>Tan Lan Farm</t>
  </si>
  <si>
    <t>Tanlan</t>
  </si>
  <si>
    <t>CH8 9UU</t>
  </si>
  <si>
    <t>CBDU3276</t>
  </si>
  <si>
    <t>Unit 5 Uskside Business Park</t>
  </si>
  <si>
    <t>Off Usk Way</t>
  </si>
  <si>
    <t>CBDU3755</t>
  </si>
  <si>
    <t>The Terrace Suite St Mellons Hotel</t>
  </si>
  <si>
    <t>CF3 2XR</t>
  </si>
  <si>
    <t>CBDU014399</t>
  </si>
  <si>
    <t>Cleifiog Isaf</t>
  </si>
  <si>
    <t>Llanynghenedl</t>
  </si>
  <si>
    <t>CBDU014437</t>
  </si>
  <si>
    <t>18 Mackintosh Street</t>
  </si>
  <si>
    <t>CF48 4QZ</t>
  </si>
  <si>
    <t>CBDU014438</t>
  </si>
  <si>
    <t>McGills Car &amp; Commercial Ltd</t>
  </si>
  <si>
    <t>CBDL014439</t>
  </si>
  <si>
    <t>CBDL014440</t>
  </si>
  <si>
    <t>Dogo Street</t>
  </si>
  <si>
    <t>CF11 9JJ</t>
  </si>
  <si>
    <t>CBDU014463</t>
  </si>
  <si>
    <t>CBDU014464</t>
  </si>
  <si>
    <t>Pontsteffan Bus Park</t>
  </si>
  <si>
    <t>Station Terrace</t>
  </si>
  <si>
    <t>CBDL014466</t>
  </si>
  <si>
    <t>Flat 26</t>
  </si>
  <si>
    <t>Orchard Court</t>
  </si>
  <si>
    <t>New Orchard Street</t>
  </si>
  <si>
    <t>SA1 5EN</t>
  </si>
  <si>
    <t>CBDL014467</t>
  </si>
  <si>
    <t>Brynawelon</t>
  </si>
  <si>
    <t>Nantmel</t>
  </si>
  <si>
    <t>LD1 6EH</t>
  </si>
  <si>
    <t>CBDU014468</t>
  </si>
  <si>
    <t>42 Nant-y-Mynydd Coed-y-Cwm</t>
  </si>
  <si>
    <t>CF37 3JH</t>
  </si>
  <si>
    <t>CBDU014469</t>
  </si>
  <si>
    <t>Unit 42- 42A Y Fro Parc Busnes</t>
  </si>
  <si>
    <t>CBDU014472</t>
  </si>
  <si>
    <t>Unit C1</t>
  </si>
  <si>
    <t>North Bank Road</t>
  </si>
  <si>
    <t>SA13 1RE</t>
  </si>
  <si>
    <t>CBDL014474</t>
  </si>
  <si>
    <t>Energist</t>
  </si>
  <si>
    <t>2 Park Pavilions Clos Llyn Cwm</t>
  </si>
  <si>
    <t>SA6 8QY</t>
  </si>
  <si>
    <t>CBDL014475</t>
  </si>
  <si>
    <t>Albany House Hotel</t>
  </si>
  <si>
    <t>5 Craig Y Don Parade</t>
  </si>
  <si>
    <t>CBDL014476</t>
  </si>
  <si>
    <t>Serendipity</t>
  </si>
  <si>
    <t>Allchurch</t>
  </si>
  <si>
    <t>34 High Street</t>
  </si>
  <si>
    <t>SY21 7JL</t>
  </si>
  <si>
    <t>CBDL014477</t>
  </si>
  <si>
    <t>20 Ty Gwyn Road</t>
  </si>
  <si>
    <t>Little Mill</t>
  </si>
  <si>
    <t>NP4 0HU</t>
  </si>
  <si>
    <t>CBDL014478</t>
  </si>
  <si>
    <t>The Woodlands</t>
  </si>
  <si>
    <t>Devauden</t>
  </si>
  <si>
    <t>NP16 6NX</t>
  </si>
  <si>
    <t>CBDL014479</t>
  </si>
  <si>
    <t>Box of Delights</t>
  </si>
  <si>
    <t>South John Street</t>
  </si>
  <si>
    <t>SA45 9SV</t>
  </si>
  <si>
    <t>CBDL014514</t>
  </si>
  <si>
    <t>Marle Cold Stores</t>
  </si>
  <si>
    <t>Llandudno Junction Industrial Estate</t>
  </si>
  <si>
    <t>Conway Road</t>
  </si>
  <si>
    <t>LL31 9SX</t>
  </si>
  <si>
    <t>CBDL014516</t>
  </si>
  <si>
    <t>Tower House</t>
  </si>
  <si>
    <t>CBDL014519</t>
  </si>
  <si>
    <t>Winnies Newsagents</t>
  </si>
  <si>
    <t>Manchester House</t>
  </si>
  <si>
    <t>CBDL014520</t>
  </si>
  <si>
    <t>1 Beechwood Road</t>
  </si>
  <si>
    <t>NP8 1PL</t>
  </si>
  <si>
    <t>CBDL014521</t>
  </si>
  <si>
    <t>Cardiff Business Park</t>
  </si>
  <si>
    <t>CF4 5WF</t>
  </si>
  <si>
    <t>CBDU3873</t>
  </si>
  <si>
    <t>Gibbon Equipment Hire Ltd</t>
  </si>
  <si>
    <t>NP12 1BE</t>
  </si>
  <si>
    <t>CBDL014528</t>
  </si>
  <si>
    <t>Unit 1 Vauxhall Court</t>
  </si>
  <si>
    <t>Vauxhall Industrial Estate</t>
  </si>
  <si>
    <t>CBDL014530</t>
  </si>
  <si>
    <t>25 Aldwyn Road</t>
  </si>
  <si>
    <t>SA5 5BU</t>
  </si>
  <si>
    <t>CBDU3636</t>
  </si>
  <si>
    <t>Unit 411 Ash Road North</t>
  </si>
  <si>
    <t>CBDU014649</t>
  </si>
  <si>
    <t>The Riflemans Arms</t>
  </si>
  <si>
    <t>Rifle Street</t>
  </si>
  <si>
    <t>NP4 9QS</t>
  </si>
  <si>
    <t>CBDL014650</t>
  </si>
  <si>
    <t>Fire Safety Direct Ltd</t>
  </si>
  <si>
    <t>52 Morris Street</t>
  </si>
  <si>
    <t>SA6 8DB</t>
  </si>
  <si>
    <t>CBDU014651</t>
  </si>
  <si>
    <t>18 Banwell Street</t>
  </si>
  <si>
    <t>SA6 7BN</t>
  </si>
  <si>
    <t>CBDU3659</t>
  </si>
  <si>
    <t>Unit 24 Glan Yr Afon Industrial Estate</t>
  </si>
  <si>
    <t>CBDU3939</t>
  </si>
  <si>
    <t>33 Frogmore Street</t>
  </si>
  <si>
    <t>CBDU014652</t>
  </si>
  <si>
    <t>5 Sandhills Road</t>
  </si>
  <si>
    <t>LL29 9UD</t>
  </si>
  <si>
    <t>CBDU014653</t>
  </si>
  <si>
    <t>Get Connected</t>
  </si>
  <si>
    <t>19 Nevill Street</t>
  </si>
  <si>
    <t>NP7 5AA</t>
  </si>
  <si>
    <t>CBDU014654</t>
  </si>
  <si>
    <t>6 Merllyn Tremeirchion</t>
  </si>
  <si>
    <t>LL17 0AU</t>
  </si>
  <si>
    <t>CBDU014658</t>
  </si>
  <si>
    <t>Glanmarlais</t>
  </si>
  <si>
    <t>Llansadwrn</t>
  </si>
  <si>
    <t>SA19 8HU</t>
  </si>
  <si>
    <t>CBDU4262</t>
  </si>
  <si>
    <t>58 Penybont Road Pen-Coed</t>
  </si>
  <si>
    <t>CF35 5RA</t>
  </si>
  <si>
    <t>CBDU014660</t>
  </si>
  <si>
    <t>Beaverz Ally</t>
  </si>
  <si>
    <t>Top Yard Buildings Holyhead Road</t>
  </si>
  <si>
    <t>LL20 7RA</t>
  </si>
  <si>
    <t>CBDU014661</t>
  </si>
  <si>
    <t>Bryn Menai</t>
  </si>
  <si>
    <t>21 Constantine Road</t>
  </si>
  <si>
    <t>LL55 2LF</t>
  </si>
  <si>
    <t>CBDU4005</t>
  </si>
  <si>
    <t>19 Mayflower Avenue Llanishen</t>
  </si>
  <si>
    <t>CF14 5HP</t>
  </si>
  <si>
    <t>CBDU3867</t>
  </si>
  <si>
    <t>Unit 115 Springvale Industrial Estate</t>
  </si>
  <si>
    <t>CBDU4224</t>
  </si>
  <si>
    <t>Cwmnant Luci Farm Gellyfowy Road</t>
  </si>
  <si>
    <t>SA8 4TU</t>
  </si>
  <si>
    <t>CBDL014663</t>
  </si>
  <si>
    <t>The Woodlands Tavern</t>
  </si>
  <si>
    <t>Llanvair Discoed</t>
  </si>
  <si>
    <t>CBDL014666</t>
  </si>
  <si>
    <t>The Third Floor</t>
  </si>
  <si>
    <t>CBDU014675</t>
  </si>
  <si>
    <t>22 Heol Twrch</t>
  </si>
  <si>
    <t>SA9 2TD</t>
  </si>
  <si>
    <t>CBDL014676</t>
  </si>
  <si>
    <t>CBDL014677</t>
  </si>
  <si>
    <t>Down To Earth</t>
  </si>
  <si>
    <t>Glasgow House</t>
  </si>
  <si>
    <t>Narrow Street</t>
  </si>
  <si>
    <t>CBDU3944</t>
  </si>
  <si>
    <t>Unit 3 Brenroy Road Llandow Trading Estate</t>
  </si>
  <si>
    <t>CBDU014678</t>
  </si>
  <si>
    <t>3 Market Street</t>
  </si>
  <si>
    <t>SA19 6AH</t>
  </si>
  <si>
    <t>CBDU4279</t>
  </si>
  <si>
    <t>Rbf Comms  Services Ltd Pontymister Industrial Estate</t>
  </si>
  <si>
    <t>CBDU014680</t>
  </si>
  <si>
    <t>16 Kimberley Terrace</t>
  </si>
  <si>
    <t>CBDL014681</t>
  </si>
  <si>
    <t>R H Bunner &amp; Son Ltd</t>
  </si>
  <si>
    <t>SY15 6RA</t>
  </si>
  <si>
    <t>CBDL014682</t>
  </si>
  <si>
    <t>Ava Security &amp; Communications Ltd</t>
  </si>
  <si>
    <t>Unit 322 Woodside Way</t>
  </si>
  <si>
    <t>CBDL014683</t>
  </si>
  <si>
    <t>Snap Cymru</t>
  </si>
  <si>
    <t>Unit 10 Coopers Yard</t>
  </si>
  <si>
    <t>CF10 5NB</t>
  </si>
  <si>
    <t>CBDL014684</t>
  </si>
  <si>
    <t>New Station House</t>
  </si>
  <si>
    <t>CF32 9LA</t>
  </si>
  <si>
    <t>CBDU014685</t>
  </si>
  <si>
    <t>23 Melville Avenue</t>
  </si>
  <si>
    <t>CF3 5TZ</t>
  </si>
  <si>
    <t>CBDL014686</t>
  </si>
  <si>
    <t>Scotland Hill Farm</t>
  </si>
  <si>
    <t>Llandygwydd</t>
  </si>
  <si>
    <t>SA43 2RN</t>
  </si>
  <si>
    <t>CBDU4241</t>
  </si>
  <si>
    <t>Unit 1 Enterprise House</t>
  </si>
  <si>
    <t>Aber Park</t>
  </si>
  <si>
    <t>CBDU3880</t>
  </si>
  <si>
    <t>Jones Street Phillipstown</t>
  </si>
  <si>
    <t>NP24 6BE</t>
  </si>
  <si>
    <t>CBDU3845</t>
  </si>
  <si>
    <t>29 Islwyn Road</t>
  </si>
  <si>
    <t>SA1 6SR</t>
  </si>
  <si>
    <t>CBDU014687</t>
  </si>
  <si>
    <t>33 Brynafon Road</t>
  </si>
  <si>
    <t>SA4 4YF</t>
  </si>
  <si>
    <t>CBDU014688</t>
  </si>
  <si>
    <t>1 Nant Talwg Way</t>
  </si>
  <si>
    <t>CF62 6LZ</t>
  </si>
  <si>
    <t>CBDU4007</t>
  </si>
  <si>
    <t>Middle House Brunant</t>
  </si>
  <si>
    <t>CBDU014689</t>
  </si>
  <si>
    <t>239 High Street Connah's Quay</t>
  </si>
  <si>
    <t>CH5 4DJ</t>
  </si>
  <si>
    <t>CBDU014690</t>
  </si>
  <si>
    <t>49 Rutland Street</t>
  </si>
  <si>
    <t>CF11 6TD</t>
  </si>
  <si>
    <t>CBDU3910</t>
  </si>
  <si>
    <t>Cwrt Cerrig Varteg Row</t>
  </si>
  <si>
    <t>SA13 2RF</t>
  </si>
  <si>
    <t>CBDU4030</t>
  </si>
  <si>
    <t>23 Cae Hendy Llanbedrog</t>
  </si>
  <si>
    <t>LL53 7NY</t>
  </si>
  <si>
    <t>CBDL014691</t>
  </si>
  <si>
    <t>Llandough Trading Estate</t>
  </si>
  <si>
    <t>CBDL014692</t>
  </si>
  <si>
    <t>49 St. Vincents Drive</t>
  </si>
  <si>
    <t>CBDU014693</t>
  </si>
  <si>
    <t>12 Dan Y Cwm</t>
  </si>
  <si>
    <t>SA14 8AP</t>
  </si>
  <si>
    <t>CBDU014694</t>
  </si>
  <si>
    <t>CBDU014695</t>
  </si>
  <si>
    <t>5 Lionel Terrace</t>
  </si>
  <si>
    <t>CF37 5HR</t>
  </si>
  <si>
    <t>CBDU014696</t>
  </si>
  <si>
    <t>35 Lavender Court</t>
  </si>
  <si>
    <t>CF31 2ND</t>
  </si>
  <si>
    <t>CBDU014697</t>
  </si>
  <si>
    <t>Castellmarch</t>
  </si>
  <si>
    <t>Abersoch</t>
  </si>
  <si>
    <t>LL53 7UE</t>
  </si>
  <si>
    <t>CBDU014698</t>
  </si>
  <si>
    <t>T.A. Davies Construction Limited</t>
  </si>
  <si>
    <t>10-12 Corporation Road</t>
  </si>
  <si>
    <t>NP19 0AR</t>
  </si>
  <si>
    <t>CBDU4174</t>
  </si>
  <si>
    <t>138 Carmarthen Road Cross Hands</t>
  </si>
  <si>
    <t>SA14 6TH</t>
  </si>
  <si>
    <t>CBDU014699</t>
  </si>
  <si>
    <t>The Coach House</t>
  </si>
  <si>
    <t>Rear of 26</t>
  </si>
  <si>
    <t>Coronation Road</t>
  </si>
  <si>
    <t>CBDU014700</t>
  </si>
  <si>
    <t>Brynol Chrome Ltd</t>
  </si>
  <si>
    <t>76 Village Farm Road Village Farm Industrial Estate</t>
  </si>
  <si>
    <t>CBDU014701</t>
  </si>
  <si>
    <t>The Woodlands Hollybush</t>
  </si>
  <si>
    <t>LL13 0BH</t>
  </si>
  <si>
    <t>CBDU014702</t>
  </si>
  <si>
    <t>82 Knowling Mead</t>
  </si>
  <si>
    <t>SA70 8EF</t>
  </si>
  <si>
    <t>CBDU014703</t>
  </si>
  <si>
    <t>CBDU014704</t>
  </si>
  <si>
    <t>Bethune</t>
  </si>
  <si>
    <t>CF32 0EB</t>
  </si>
  <si>
    <t>CBDU014705</t>
  </si>
  <si>
    <t>6 Ffordd Yr Afon</t>
  </si>
  <si>
    <t>CBDU014706</t>
  </si>
  <si>
    <t>The Glen</t>
  </si>
  <si>
    <t>Llanyre</t>
  </si>
  <si>
    <t>CBDU4257</t>
  </si>
  <si>
    <t>J &amp; E Woodworks</t>
  </si>
  <si>
    <t>Barley Mow</t>
  </si>
  <si>
    <t>SA48 7BY</t>
  </si>
  <si>
    <t>CBDU3961</t>
  </si>
  <si>
    <t>CF48 1HF</t>
  </si>
  <si>
    <t>CBDU4324</t>
  </si>
  <si>
    <t>16 Cricket Grove Hundleton</t>
  </si>
  <si>
    <t>SA71 5RW</t>
  </si>
  <si>
    <t>CBDU014720</t>
  </si>
  <si>
    <t>156 Cae Morfa</t>
  </si>
  <si>
    <t>SA10 6EH</t>
  </si>
  <si>
    <t>CBDU4406</t>
  </si>
  <si>
    <t>Brynamlwg Yard Elim Road</t>
  </si>
  <si>
    <t>SA31 1TX</t>
  </si>
  <si>
    <t>CBDU014722</t>
  </si>
  <si>
    <t>Advance Air Ltd</t>
  </si>
  <si>
    <t>CBDU014725</t>
  </si>
  <si>
    <t>40 Markham Crescent</t>
  </si>
  <si>
    <t>NP12 0JY</t>
  </si>
  <si>
    <t>CBDL014734</t>
  </si>
  <si>
    <t>25 station road</t>
  </si>
  <si>
    <t>LL26 0BT</t>
  </si>
  <si>
    <t>CBDL014737</t>
  </si>
  <si>
    <t>112 Commercial Street</t>
  </si>
  <si>
    <t>CF81 9EX</t>
  </si>
  <si>
    <t>CBDL014738</t>
  </si>
  <si>
    <t>CBDU014739</t>
  </si>
  <si>
    <t>Premier Asset holdings ltd</t>
  </si>
  <si>
    <t>Units 8 &amp; 9</t>
  </si>
  <si>
    <t>Wern industrial Estate</t>
  </si>
  <si>
    <t>Gwern</t>
  </si>
  <si>
    <t>CBDU014740</t>
  </si>
  <si>
    <t>30A Church Street Llansawel</t>
  </si>
  <si>
    <t>SA11 2JD</t>
  </si>
  <si>
    <t>CBDU3887</t>
  </si>
  <si>
    <t>The Lodge 3 Aber Park</t>
  </si>
  <si>
    <t>CBDU4209</t>
  </si>
  <si>
    <t>Penrala Tregarth</t>
  </si>
  <si>
    <t>LL57 4AU</t>
  </si>
  <si>
    <t>CBDU014741</t>
  </si>
  <si>
    <t>The old Paddock</t>
  </si>
  <si>
    <t>Hillside Avenue</t>
  </si>
  <si>
    <t>Nowtown</t>
  </si>
  <si>
    <t>SY16 2PS</t>
  </si>
  <si>
    <t>CBDU014742</t>
  </si>
  <si>
    <t>CBDL014743</t>
  </si>
  <si>
    <t>CBDU014744</t>
  </si>
  <si>
    <t>33 Pen Y Maes Gardens</t>
  </si>
  <si>
    <t>Pen Y Maes</t>
  </si>
  <si>
    <t>CH8 7BN</t>
  </si>
  <si>
    <t>CBDL014745</t>
  </si>
  <si>
    <t>Pentrebach Labour Hall</t>
  </si>
  <si>
    <t>Merthyr Tydfil Council</t>
  </si>
  <si>
    <t>CBDL014746</t>
  </si>
  <si>
    <t>5 Dickens Avenue</t>
  </si>
  <si>
    <t>CF3 5LX</t>
  </si>
  <si>
    <t>01/01/0001</t>
  </si>
  <si>
    <t>CBDU4400</t>
  </si>
  <si>
    <t>Llwyn Ffynnon Y Ffor</t>
  </si>
  <si>
    <t>LL53 6UY</t>
  </si>
  <si>
    <t>CBDU4234</t>
  </si>
  <si>
    <t>Dock Road Connah's Quay</t>
  </si>
  <si>
    <t>CBDU014768</t>
  </si>
  <si>
    <t>Trefasser</t>
  </si>
  <si>
    <t>sa64 0lp</t>
  </si>
  <si>
    <t>CBDU4323</t>
  </si>
  <si>
    <t>24B Ffordd Talfan Garden Village</t>
  </si>
  <si>
    <t>CBDL014770</t>
  </si>
  <si>
    <t>44 St. Benedict Crescent</t>
  </si>
  <si>
    <t>CF14 4DQ</t>
  </si>
  <si>
    <t>CBDU4330</t>
  </si>
  <si>
    <t>102 Heol Ty Ddewi Treletert</t>
  </si>
  <si>
    <t>SA62 5SJ</t>
  </si>
  <si>
    <t>CBDU4365</t>
  </si>
  <si>
    <t>3 Llys -Marni Abergele</t>
  </si>
  <si>
    <t>LL22 7LQ</t>
  </si>
  <si>
    <t>CBDL014771</t>
  </si>
  <si>
    <t>PO Box 696</t>
  </si>
  <si>
    <t>SA1 9PO</t>
  </si>
  <si>
    <t>CBDU4409</t>
  </si>
  <si>
    <t>37 Lower Aston Hall Lane Penarlag</t>
  </si>
  <si>
    <t>CBDU014772</t>
  </si>
  <si>
    <t>1 Alderbrook Court</t>
  </si>
  <si>
    <t>Blaenymaes</t>
  </si>
  <si>
    <t>SA5 5JN</t>
  </si>
  <si>
    <t>CBDU014773</t>
  </si>
  <si>
    <t>Kenfig Ind est</t>
  </si>
  <si>
    <t>CBDU014774</t>
  </si>
  <si>
    <t>CBDU014813</t>
  </si>
  <si>
    <t xml:space="preserve">Cwmfelin Road </t>
  </si>
  <si>
    <t>SA14 9LS</t>
  </si>
  <si>
    <t>CBDU4574</t>
  </si>
  <si>
    <t>CBDU014822</t>
  </si>
  <si>
    <t>8 Berriew Street</t>
  </si>
  <si>
    <t>CBDU014830</t>
  </si>
  <si>
    <t>14 Heol Madoc</t>
  </si>
  <si>
    <t>CF14 1HB</t>
  </si>
  <si>
    <t>CBDU014831</t>
  </si>
  <si>
    <t>Service House</t>
  </si>
  <si>
    <t>CBDU4371</t>
  </si>
  <si>
    <t>17 Ffordd Werdd Gorslas</t>
  </si>
  <si>
    <t>SA14 7NE</t>
  </si>
  <si>
    <t>CBDL014832</t>
  </si>
  <si>
    <t>Abbeyfield Society</t>
  </si>
  <si>
    <t>24 Gold Tops</t>
  </si>
  <si>
    <t>CBDU014834</t>
  </si>
  <si>
    <t xml:space="preserve">15 Hollybush Villas Church Village </t>
  </si>
  <si>
    <t>CF38 1PU</t>
  </si>
  <si>
    <t>CBDU4374</t>
  </si>
  <si>
    <t>7 Brynteg Avenue Hen Golwyn</t>
  </si>
  <si>
    <t>LL29 9TP</t>
  </si>
  <si>
    <t>CBDU4316</t>
  </si>
  <si>
    <t xml:space="preserve">104 Castle Lea </t>
  </si>
  <si>
    <t>NP26 4PL</t>
  </si>
  <si>
    <t>CBDU4528</t>
  </si>
  <si>
    <t>Market Hall Tremadog</t>
  </si>
  <si>
    <t>CBDU4570</t>
  </si>
  <si>
    <t>CBDL014841</t>
  </si>
  <si>
    <t xml:space="preserve">Sunnylea </t>
  </si>
  <si>
    <t>SY22 6YA</t>
  </si>
  <si>
    <t>CBDU4545</t>
  </si>
  <si>
    <t>15 Offway Coed Eva</t>
  </si>
  <si>
    <t>CBDU5311</t>
  </si>
  <si>
    <t xml:space="preserve">Cwmann </t>
  </si>
  <si>
    <t>CBDU014842</t>
  </si>
  <si>
    <t>The Shielings</t>
  </si>
  <si>
    <t>Ithon Road</t>
  </si>
  <si>
    <t>CBDU4679</t>
  </si>
  <si>
    <t>Middleton Roofing Ltd</t>
  </si>
  <si>
    <t>3 Squire Drive Brynmenyn Industrial Estate</t>
  </si>
  <si>
    <t>CF32 9TX</t>
  </si>
  <si>
    <t>CBDL014843</t>
  </si>
  <si>
    <t>17 Main Road</t>
  </si>
  <si>
    <t>SA10 8NP</t>
  </si>
  <si>
    <t>CBDL014844</t>
  </si>
  <si>
    <t>Arosfa</t>
  </si>
  <si>
    <t>Llwynderw</t>
  </si>
  <si>
    <t>SY21 8SF</t>
  </si>
  <si>
    <t>CBDL014850</t>
  </si>
  <si>
    <t>215 Trewyddfa Road</t>
  </si>
  <si>
    <t>SA6 8NX</t>
  </si>
  <si>
    <t>CBDL014851</t>
  </si>
  <si>
    <t>C C TV Services Ltd</t>
  </si>
  <si>
    <t>59 Madoc Street</t>
  </si>
  <si>
    <t>CBDU014853</t>
  </si>
  <si>
    <t>24 hill rise</t>
  </si>
  <si>
    <t>SA68 0QS</t>
  </si>
  <si>
    <t>CBDU4524</t>
  </si>
  <si>
    <t>Llwydcoed Farm Cwmynysminton Road</t>
  </si>
  <si>
    <t>CF44 0UP</t>
  </si>
  <si>
    <t>CBDU014856</t>
  </si>
  <si>
    <t>Plot 2</t>
  </si>
  <si>
    <t>LL57 2UU</t>
  </si>
  <si>
    <t>CBDU014857</t>
  </si>
  <si>
    <t>Unit 6 Woodham Road</t>
  </si>
  <si>
    <t>CBDU4440</t>
  </si>
  <si>
    <t>Unit 9 P T Williams Yard</t>
  </si>
  <si>
    <t>CBDL014877</t>
  </si>
  <si>
    <t>32 Church Close</t>
  </si>
  <si>
    <t>Begelly</t>
  </si>
  <si>
    <t>SA68 0YP</t>
  </si>
  <si>
    <t>CBDU014884</t>
  </si>
  <si>
    <t>683 Newport Road Rumney</t>
  </si>
  <si>
    <t>CF3 4DJ</t>
  </si>
  <si>
    <t>CBDL014885</t>
  </si>
  <si>
    <t>4 paradise crescent</t>
  </si>
  <si>
    <t>Paradise road</t>
  </si>
  <si>
    <t>ll34 6ar</t>
  </si>
  <si>
    <t>CBDU014886</t>
  </si>
  <si>
    <t>40 Dyffryn View</t>
  </si>
  <si>
    <t>SA10 7TU</t>
  </si>
  <si>
    <t>CBDL014887</t>
  </si>
  <si>
    <t>Alliance Inspection</t>
  </si>
  <si>
    <t>9 Old Marsh Farm Barns Welsh Road</t>
  </si>
  <si>
    <t>CH5 2LY</t>
  </si>
  <si>
    <t>CBDL014888</t>
  </si>
  <si>
    <t>Jojo Maman Bebe Ltd</t>
  </si>
  <si>
    <t>Jojo Distribution House Oxwich Road</t>
  </si>
  <si>
    <t>NP19 4PU</t>
  </si>
  <si>
    <t>CBDL014890</t>
  </si>
  <si>
    <t>Kiln Park Farm</t>
  </si>
  <si>
    <t>Kiln Park Road</t>
  </si>
  <si>
    <t>SA67 8TX</t>
  </si>
  <si>
    <t>CBDL014891</t>
  </si>
  <si>
    <t>Pen Waun Fach Cwmclyd Road</t>
  </si>
  <si>
    <t>SA8 4TQ</t>
  </si>
  <si>
    <t>CBDU4597</t>
  </si>
  <si>
    <t>Llanfair Carmel</t>
  </si>
  <si>
    <t>SA14 7UF</t>
  </si>
  <si>
    <t>CBDU4758</t>
  </si>
  <si>
    <t>38 Woodside Walk</t>
  </si>
  <si>
    <t>NP11 7NZ</t>
  </si>
  <si>
    <t>CBDU014893</t>
  </si>
  <si>
    <t>43 Bro Gwilym</t>
  </si>
  <si>
    <t>LL14 3NY</t>
  </si>
  <si>
    <t>CBDU4435</t>
  </si>
  <si>
    <t>Unit 12 Horizon Park</t>
  </si>
  <si>
    <t>CBDU4666</t>
  </si>
  <si>
    <t>The Yard</t>
  </si>
  <si>
    <t>Cwm Cothi Road</t>
  </si>
  <si>
    <t>Trelewis</t>
  </si>
  <si>
    <t>CF46 6TB</t>
  </si>
  <si>
    <t>CBDU4836</t>
  </si>
  <si>
    <t>CBDU4729</t>
  </si>
  <si>
    <t>The Old Station Yard Station Road</t>
  </si>
  <si>
    <t>LL57 3NE</t>
  </si>
  <si>
    <t>CBDU4706</t>
  </si>
  <si>
    <t>The Ffaldau Waste Recycling Centre Llandeglau</t>
  </si>
  <si>
    <t>LD1 5UD</t>
  </si>
  <si>
    <t>CBDU4701</t>
  </si>
  <si>
    <t>Millennium House Severn Link Distribution Centre</t>
  </si>
  <si>
    <t>CBDU014898</t>
  </si>
  <si>
    <t>26 Forsythia Close</t>
  </si>
  <si>
    <t>CF47 9DR</t>
  </si>
  <si>
    <t>CBDU014902</t>
  </si>
  <si>
    <t>21 West Street</t>
  </si>
  <si>
    <t>CF32 9BB</t>
  </si>
  <si>
    <t>CBDL014909</t>
  </si>
  <si>
    <t>58 Woodham Park</t>
  </si>
  <si>
    <t>CF62 8FJ</t>
  </si>
  <si>
    <t>CBDU4727</t>
  </si>
  <si>
    <t>CBDU4519</t>
  </si>
  <si>
    <t>Flat 12 Ty Windsor</t>
  </si>
  <si>
    <t>Marconi Avenue</t>
  </si>
  <si>
    <t>CF64 1ST</t>
  </si>
  <si>
    <t>CBDU4651</t>
  </si>
  <si>
    <t>8 Tennyson Avenue Llanwern</t>
  </si>
  <si>
    <t>NP18 2DY</t>
  </si>
  <si>
    <t>CBDU4741</t>
  </si>
  <si>
    <t>Unit 18 Glanydon Industrial Estate</t>
  </si>
  <si>
    <t>CBDL014910</t>
  </si>
  <si>
    <t>Bryn Stores</t>
  </si>
  <si>
    <t>Brechfa</t>
  </si>
  <si>
    <t>SA32 7QY</t>
  </si>
  <si>
    <t>CBDL014911</t>
  </si>
  <si>
    <t>67 Arlington Road</t>
  </si>
  <si>
    <t>CF64 5TR</t>
  </si>
  <si>
    <t>CBDL014912</t>
  </si>
  <si>
    <t>Cambrian Car Care Ltd</t>
  </si>
  <si>
    <t>Unit 10-11 North Point</t>
  </si>
  <si>
    <t>Western Avenue Bridgend Industrial Estate</t>
  </si>
  <si>
    <t>CF31 3RX</t>
  </si>
  <si>
    <t>CBDU4454</t>
  </si>
  <si>
    <t xml:space="preserve">Heath Park </t>
  </si>
  <si>
    <t>CF14 4XW</t>
  </si>
  <si>
    <t>CBDU4474</t>
  </si>
  <si>
    <t xml:space="preserve">F Buildings  Number 2 Dock </t>
  </si>
  <si>
    <t>CBDL014913</t>
  </si>
  <si>
    <t>CF83 4DH</t>
  </si>
  <si>
    <t>CBDU014914</t>
  </si>
  <si>
    <t>31 Pencaerfenni Lane</t>
  </si>
  <si>
    <t>SA4 3SD</t>
  </si>
  <si>
    <t>CBDU014915</t>
  </si>
  <si>
    <t>Paul Jarrold Tyres</t>
  </si>
  <si>
    <t>Cedar House</t>
  </si>
  <si>
    <t>Hazell Drive</t>
  </si>
  <si>
    <t>CBDU4743</t>
  </si>
  <si>
    <t>Unit 50D Symondscliffe Way</t>
  </si>
  <si>
    <t>CBDU014916</t>
  </si>
  <si>
    <t>12 Orchard Court Pontllanfraith</t>
  </si>
  <si>
    <t>NP12 2NG</t>
  </si>
  <si>
    <t>CBDU014917</t>
  </si>
  <si>
    <t>The Dairy Cottage</t>
  </si>
  <si>
    <t>Parc Yr Odyn</t>
  </si>
  <si>
    <t>CBDU4603</t>
  </si>
  <si>
    <t>Dan Y Graig Nantmel</t>
  </si>
  <si>
    <t>LD1 6EF</t>
  </si>
  <si>
    <t>CBDL014930</t>
  </si>
  <si>
    <t>JM Renewable Solutions Ltd</t>
  </si>
  <si>
    <t>Bodelwyddan Business Centre</t>
  </si>
  <si>
    <t>CBDU4646</t>
  </si>
  <si>
    <t xml:space="preserve">23 Heol-y-Glyn </t>
  </si>
  <si>
    <t>CF46 5RX</t>
  </si>
  <si>
    <t>CBDL014931</t>
  </si>
  <si>
    <t>Linear Plastics</t>
  </si>
  <si>
    <t>Unit Ub2 Tonteg Road</t>
  </si>
  <si>
    <t>CF37 5UA</t>
  </si>
  <si>
    <t>CBDU4946</t>
  </si>
  <si>
    <t>Ty Gwyn Banalog Terrace</t>
  </si>
  <si>
    <t>NP12 0SG</t>
  </si>
  <si>
    <t>CBDU4734</t>
  </si>
  <si>
    <t>Simons Yard Dock Road</t>
  </si>
  <si>
    <t>CBDU4840</t>
  </si>
  <si>
    <t>Ty Gwyn Lon Tyn Y Mur</t>
  </si>
  <si>
    <t>LL53 6AY</t>
  </si>
  <si>
    <t>CBDU4602</t>
  </si>
  <si>
    <t>70 Ger Y Llan Penrhyncoch</t>
  </si>
  <si>
    <t>SY23 3HQ</t>
  </si>
  <si>
    <t>CBDU014939</t>
  </si>
  <si>
    <t>2 Dew Crescent</t>
  </si>
  <si>
    <t>CF5 5PB</t>
  </si>
  <si>
    <t>CBDU4845</t>
  </si>
  <si>
    <t>CBDL014941</t>
  </si>
  <si>
    <t>AJ's Mobile Catering</t>
  </si>
  <si>
    <t>30 Church Road</t>
  </si>
  <si>
    <t>CF5 5LQ</t>
  </si>
  <si>
    <t>CBDU014942</t>
  </si>
  <si>
    <t>Pallet Recycling South Wales</t>
  </si>
  <si>
    <t>Traston House</t>
  </si>
  <si>
    <t>NP19 4RD</t>
  </si>
  <si>
    <t>CBDU014943</t>
  </si>
  <si>
    <t>598 Clydach Road</t>
  </si>
  <si>
    <t>Ynystawe</t>
  </si>
  <si>
    <t>SA6 5AY</t>
  </si>
  <si>
    <t>CBDU014944</t>
  </si>
  <si>
    <t>11 Watchet Close</t>
  </si>
  <si>
    <t>CF3 4DU</t>
  </si>
  <si>
    <t>CBDU014945</t>
  </si>
  <si>
    <t>154 Manor Way</t>
  </si>
  <si>
    <t>NP11 6AD</t>
  </si>
  <si>
    <t>CBDU014975</t>
  </si>
  <si>
    <t>22 Torrington Road</t>
  </si>
  <si>
    <t>CBDL014984</t>
  </si>
  <si>
    <t>16 The Mount</t>
  </si>
  <si>
    <t>SA4 3HA</t>
  </si>
  <si>
    <t>Registration Number / Rhif Cofrestru</t>
  </si>
  <si>
    <t>Business Trading Name / Enw'r busnes</t>
  </si>
  <si>
    <t>Address / Cyfeiriad</t>
  </si>
  <si>
    <t>City / Dinas</t>
  </si>
  <si>
    <t>County / Sir</t>
  </si>
  <si>
    <r>
      <t>Postal Code / C</t>
    </r>
    <r>
      <rPr>
        <b/>
        <sz val="11"/>
        <color theme="1"/>
        <rFont val="Calibri"/>
        <family val="2"/>
      </rPr>
      <t>ôd post</t>
    </r>
  </si>
  <si>
    <t>Business Type / Fath o busnes</t>
  </si>
  <si>
    <t>Registration Tier / Haen y cofrestriad</t>
  </si>
  <si>
    <t>Operator Type / Fath y gweithredwr</t>
  </si>
  <si>
    <t>Company Registration Number / Rhif cofrestru Cwmni</t>
  </si>
  <si>
    <t>Registration Date / Dyddiad Cofrestru</t>
  </si>
  <si>
    <t>Registration Status / Statws y cofrestriad</t>
  </si>
  <si>
    <t>Expiry Date / Dyddiad Terfyn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</si>
</sst>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63377788628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95"/>
  <sheetViews>
    <sheetView tabSelected="1" workbookViewId="0">
      <pane ySplit="1" topLeftCell="A2" activePane="bottomLeft" state="frozen"/>
      <selection pane="bottomLeft" activeCell="E8" sqref="E8"/>
    </sheetView>
  </sheetViews>
  <sheetFormatPr defaultColWidth="10.6640625" defaultRowHeight="14.4" x14ac:dyDescent="0.3"/>
  <cols>
    <col min="1" max="15" width="20.33203125" style="1" customWidth="1"/>
    <col min="16" max="16384" width="10.6640625" style="1"/>
  </cols>
  <sheetData>
    <row r="1" spans="1:15" ht="43.8" thickBot="1" x14ac:dyDescent="0.35">
      <c r="A1" s="3" t="s">
        <v>33375</v>
      </c>
      <c r="B1" s="3" t="s">
        <v>33376</v>
      </c>
      <c r="C1" s="3" t="s">
        <v>33377</v>
      </c>
      <c r="D1" s="3" t="s">
        <v>33377</v>
      </c>
      <c r="E1" s="3" t="s">
        <v>33377</v>
      </c>
      <c r="F1" s="3" t="s">
        <v>33378</v>
      </c>
      <c r="G1" s="3" t="s">
        <v>33379</v>
      </c>
      <c r="H1" s="3" t="s">
        <v>33380</v>
      </c>
      <c r="I1" s="3" t="s">
        <v>33381</v>
      </c>
      <c r="J1" s="3" t="s">
        <v>33382</v>
      </c>
      <c r="K1" s="3" t="s">
        <v>33383</v>
      </c>
      <c r="L1" s="3" t="s">
        <v>33384</v>
      </c>
      <c r="M1" s="3" t="s">
        <v>33385</v>
      </c>
      <c r="N1" s="3" t="s">
        <v>33386</v>
      </c>
      <c r="O1" s="3" t="s">
        <v>33387</v>
      </c>
    </row>
    <row r="2" spans="1:15" ht="28.8" x14ac:dyDescent="0.3">
      <c r="A2" s="1" t="s">
        <v>330</v>
      </c>
      <c r="B2" s="1" t="str">
        <f>"TW Group (South Wales) Ltd"</f>
        <v>TW Group (South Wales) Ltd</v>
      </c>
      <c r="C2" s="1" t="s">
        <v>331</v>
      </c>
      <c r="D2" s="1" t="s">
        <v>332</v>
      </c>
      <c r="E2" s="1" t="s">
        <v>333</v>
      </c>
      <c r="F2" s="1" t="s">
        <v>32</v>
      </c>
      <c r="G2" s="1" t="s">
        <v>109</v>
      </c>
      <c r="H2" s="1" t="s">
        <v>334</v>
      </c>
      <c r="I2" s="1" t="s">
        <v>19</v>
      </c>
      <c r="J2" s="1" t="s">
        <v>6</v>
      </c>
      <c r="K2" s="1" t="s">
        <v>14</v>
      </c>
      <c r="L2" s="1">
        <v>11110057</v>
      </c>
      <c r="M2" s="2">
        <v>43550</v>
      </c>
      <c r="N2" s="1" t="s">
        <v>8</v>
      </c>
      <c r="O2" s="2">
        <v>44645</v>
      </c>
    </row>
    <row r="3" spans="1:15" ht="28.8" x14ac:dyDescent="0.3">
      <c r="A3" s="1" t="s">
        <v>335</v>
      </c>
      <c r="B3" s="1" t="str">
        <f>"Kevin Davenport WarmCare Heating"</f>
        <v>Kevin Davenport WarmCare Heating</v>
      </c>
      <c r="C3" s="1" t="s">
        <v>336</v>
      </c>
      <c r="F3" s="1" t="s">
        <v>156</v>
      </c>
      <c r="G3" s="1" t="s">
        <v>156</v>
      </c>
      <c r="H3" s="1" t="s">
        <v>337</v>
      </c>
      <c r="I3" s="1" t="s">
        <v>5</v>
      </c>
      <c r="J3" s="1" t="s">
        <v>6</v>
      </c>
      <c r="K3" s="1" t="s">
        <v>14</v>
      </c>
      <c r="M3" s="2">
        <v>43550</v>
      </c>
      <c r="N3" s="1" t="s">
        <v>8</v>
      </c>
      <c r="O3" s="2">
        <v>44645</v>
      </c>
    </row>
    <row r="4" spans="1:15" ht="28.8" x14ac:dyDescent="0.3">
      <c r="A4" s="1" t="s">
        <v>342</v>
      </c>
      <c r="B4" s="1" t="str">
        <f>"Dusters Cleaning Services Ltd"</f>
        <v>Dusters Cleaning Services Ltd</v>
      </c>
      <c r="C4" s="1" t="s">
        <v>343</v>
      </c>
      <c r="D4" s="1" t="s">
        <v>344</v>
      </c>
      <c r="F4" s="1" t="s">
        <v>345</v>
      </c>
      <c r="G4" s="1" t="s">
        <v>162</v>
      </c>
      <c r="H4" s="1" t="s">
        <v>346</v>
      </c>
      <c r="I4" s="1" t="s">
        <v>19</v>
      </c>
      <c r="J4" s="1" t="s">
        <v>6</v>
      </c>
      <c r="K4" s="1" t="s">
        <v>24</v>
      </c>
      <c r="L4" s="1">
        <v>11336245</v>
      </c>
      <c r="M4" s="2">
        <v>43550</v>
      </c>
      <c r="N4" s="1" t="s">
        <v>8</v>
      </c>
      <c r="O4" s="2">
        <v>44645</v>
      </c>
    </row>
    <row r="5" spans="1:15" x14ac:dyDescent="0.3">
      <c r="A5" s="1" t="s">
        <v>1353</v>
      </c>
      <c r="B5" s="1" t="str">
        <f>"Adam Price"</f>
        <v>Adam Price</v>
      </c>
      <c r="C5" s="1" t="s">
        <v>1354</v>
      </c>
      <c r="F5" s="1" t="s">
        <v>42</v>
      </c>
      <c r="G5" s="1" t="s">
        <v>51</v>
      </c>
      <c r="H5" s="1" t="s">
        <v>1355</v>
      </c>
      <c r="I5" s="1" t="s">
        <v>5</v>
      </c>
      <c r="J5" s="1" t="s">
        <v>6</v>
      </c>
      <c r="K5" s="1" t="s">
        <v>14</v>
      </c>
      <c r="M5" s="2">
        <v>43550</v>
      </c>
      <c r="N5" s="1" t="s">
        <v>8</v>
      </c>
      <c r="O5" s="2">
        <v>44645</v>
      </c>
    </row>
    <row r="6" spans="1:15" ht="43.2" x14ac:dyDescent="0.3">
      <c r="A6" s="1" t="s">
        <v>1356</v>
      </c>
      <c r="B6" s="1" t="str">
        <f>"Bradshaws plumbing and heating"</f>
        <v>Bradshaws plumbing and heating</v>
      </c>
      <c r="C6" s="1" t="s">
        <v>1357</v>
      </c>
      <c r="D6" s="1" t="s">
        <v>1358</v>
      </c>
      <c r="F6" s="1" t="s">
        <v>585</v>
      </c>
      <c r="H6" s="1" t="s">
        <v>1359</v>
      </c>
      <c r="I6" s="1" t="s">
        <v>19</v>
      </c>
      <c r="J6" s="1" t="s">
        <v>67</v>
      </c>
      <c r="K6" s="1" t="s">
        <v>14</v>
      </c>
      <c r="M6" s="2">
        <v>43550</v>
      </c>
      <c r="N6" s="1" t="s">
        <v>8</v>
      </c>
      <c r="O6" s="1" t="s">
        <v>68</v>
      </c>
    </row>
    <row r="7" spans="1:15" ht="28.8" x14ac:dyDescent="0.3">
      <c r="A7" s="1" t="s">
        <v>1360</v>
      </c>
      <c r="B7" s="1" t="str">
        <f>"Ubee Furniture Trade LTD"</f>
        <v>Ubee Furniture Trade LTD</v>
      </c>
      <c r="C7" s="1" t="s">
        <v>1361</v>
      </c>
      <c r="D7" s="1" t="s">
        <v>1362</v>
      </c>
      <c r="E7" s="1" t="s">
        <v>123</v>
      </c>
      <c r="H7" s="1" t="s">
        <v>1363</v>
      </c>
      <c r="I7" s="1" t="s">
        <v>19</v>
      </c>
      <c r="J7" s="1" t="s">
        <v>6</v>
      </c>
      <c r="K7" s="1" t="s">
        <v>14</v>
      </c>
      <c r="M7" s="2">
        <v>43550</v>
      </c>
      <c r="N7" s="1" t="s">
        <v>8</v>
      </c>
      <c r="O7" s="2">
        <v>44645</v>
      </c>
    </row>
    <row r="8" spans="1:15" ht="43.2" x14ac:dyDescent="0.3">
      <c r="A8" s="1" t="s">
        <v>525</v>
      </c>
      <c r="B8" s="1" t="str">
        <f>"Mark Anderson Grosvenor Garden Services"</f>
        <v>Mark Anderson Grosvenor Garden Services</v>
      </c>
      <c r="C8" s="1" t="s">
        <v>526</v>
      </c>
      <c r="F8" s="1" t="s">
        <v>27</v>
      </c>
      <c r="H8" s="1" t="s">
        <v>527</v>
      </c>
      <c r="I8" s="1" t="s">
        <v>5</v>
      </c>
      <c r="J8" s="1" t="s">
        <v>6</v>
      </c>
      <c r="K8" s="1" t="s">
        <v>14</v>
      </c>
      <c r="M8" s="2">
        <v>43549</v>
      </c>
      <c r="N8" s="1" t="s">
        <v>8</v>
      </c>
      <c r="O8" s="2">
        <v>44644</v>
      </c>
    </row>
    <row r="9" spans="1:15" ht="28.8" x14ac:dyDescent="0.3">
      <c r="A9" s="1" t="s">
        <v>528</v>
      </c>
      <c r="B9" s="1" t="str">
        <f>"Wrought Iron Design Wrexham LTD"</f>
        <v>Wrought Iron Design Wrexham LTD</v>
      </c>
      <c r="C9" s="1" t="s">
        <v>529</v>
      </c>
      <c r="D9" s="1" t="s">
        <v>530</v>
      </c>
      <c r="E9" s="1" t="s">
        <v>531</v>
      </c>
      <c r="F9" s="1" t="s">
        <v>532</v>
      </c>
      <c r="G9" s="1" t="s">
        <v>198</v>
      </c>
      <c r="H9" s="1" t="s">
        <v>533</v>
      </c>
      <c r="I9" s="1" t="s">
        <v>19</v>
      </c>
      <c r="J9" s="1" t="s">
        <v>6</v>
      </c>
      <c r="K9" s="1" t="s">
        <v>14</v>
      </c>
      <c r="M9" s="2">
        <v>43549</v>
      </c>
      <c r="N9" s="1" t="s">
        <v>8</v>
      </c>
      <c r="O9" s="2">
        <v>44644</v>
      </c>
    </row>
    <row r="10" spans="1:15" x14ac:dyDescent="0.3">
      <c r="A10" s="1" t="s">
        <v>534</v>
      </c>
      <c r="B10" s="1" t="str">
        <f>"Robert Cunnington"</f>
        <v>Robert Cunnington</v>
      </c>
      <c r="C10" s="1" t="s">
        <v>535</v>
      </c>
      <c r="D10" s="1" t="s">
        <v>536</v>
      </c>
      <c r="F10" s="1" t="s">
        <v>370</v>
      </c>
      <c r="G10" s="1" t="s">
        <v>3</v>
      </c>
      <c r="H10" s="1" t="s">
        <v>537</v>
      </c>
      <c r="I10" s="1" t="s">
        <v>5</v>
      </c>
      <c r="J10" s="1" t="s">
        <v>6</v>
      </c>
      <c r="K10" s="1" t="s">
        <v>14</v>
      </c>
      <c r="M10" s="2">
        <v>43549</v>
      </c>
      <c r="N10" s="1" t="s">
        <v>8</v>
      </c>
      <c r="O10" s="2">
        <v>44644</v>
      </c>
    </row>
    <row r="11" spans="1:15" ht="28.8" x14ac:dyDescent="0.3">
      <c r="A11" s="1" t="s">
        <v>890</v>
      </c>
      <c r="B11" s="1" t="str">
        <f>"Interlec Systems (Newport) limited"</f>
        <v>Interlec Systems (Newport) limited</v>
      </c>
      <c r="C11" s="1" t="s">
        <v>891</v>
      </c>
      <c r="F11" s="1" t="s">
        <v>156</v>
      </c>
      <c r="H11" s="1" t="s">
        <v>892</v>
      </c>
      <c r="I11" s="1" t="s">
        <v>19</v>
      </c>
      <c r="J11" s="1" t="s">
        <v>6</v>
      </c>
      <c r="K11" s="1" t="s">
        <v>14</v>
      </c>
      <c r="M11" s="2">
        <v>43549</v>
      </c>
      <c r="N11" s="1" t="s">
        <v>8</v>
      </c>
      <c r="O11" s="2">
        <v>44644</v>
      </c>
    </row>
    <row r="12" spans="1:15" x14ac:dyDescent="0.3">
      <c r="A12" s="1" t="s">
        <v>893</v>
      </c>
      <c r="B12" s="1" t="str">
        <f>"RTB Tyres Ltd"</f>
        <v>RTB Tyres Ltd</v>
      </c>
      <c r="C12" s="1" t="s">
        <v>894</v>
      </c>
      <c r="D12" s="1" t="s">
        <v>895</v>
      </c>
      <c r="E12" s="1" t="s">
        <v>896</v>
      </c>
      <c r="F12" s="1" t="s">
        <v>897</v>
      </c>
      <c r="G12" s="1" t="s">
        <v>73</v>
      </c>
      <c r="H12" s="1" t="s">
        <v>898</v>
      </c>
      <c r="I12" s="1" t="s">
        <v>19</v>
      </c>
      <c r="J12" s="1" t="s">
        <v>6</v>
      </c>
      <c r="K12" s="1" t="s">
        <v>14</v>
      </c>
      <c r="M12" s="2">
        <v>43549</v>
      </c>
      <c r="N12" s="1" t="s">
        <v>8</v>
      </c>
      <c r="O12" s="2">
        <v>44644</v>
      </c>
    </row>
    <row r="13" spans="1:15" ht="28.8" x14ac:dyDescent="0.3">
      <c r="A13" s="1" t="s">
        <v>899</v>
      </c>
      <c r="B13" s="1" t="str">
        <f>"Ryan Roberts Roberts and Son"</f>
        <v>Ryan Roberts Roberts and Son</v>
      </c>
      <c r="C13" s="1" t="s">
        <v>900</v>
      </c>
      <c r="F13" s="1" t="s">
        <v>42</v>
      </c>
      <c r="H13" s="1" t="s">
        <v>901</v>
      </c>
      <c r="I13" s="1" t="s">
        <v>5</v>
      </c>
      <c r="J13" s="1" t="s">
        <v>6</v>
      </c>
      <c r="K13" s="1" t="s">
        <v>14</v>
      </c>
      <c r="M13" s="2">
        <v>43549</v>
      </c>
      <c r="N13" s="1" t="s">
        <v>8</v>
      </c>
      <c r="O13" s="2">
        <v>44644</v>
      </c>
    </row>
    <row r="14" spans="1:15" ht="28.8" x14ac:dyDescent="0.3">
      <c r="A14" s="1" t="s">
        <v>902</v>
      </c>
      <c r="B14" s="1" t="str">
        <f>"Advance Energy solutions"</f>
        <v>Advance Energy solutions</v>
      </c>
      <c r="C14" s="1" t="s">
        <v>903</v>
      </c>
      <c r="D14" s="1" t="s">
        <v>904</v>
      </c>
      <c r="E14" s="1" t="s">
        <v>32</v>
      </c>
      <c r="H14" s="1" t="s">
        <v>905</v>
      </c>
      <c r="I14" s="1" t="s">
        <v>19</v>
      </c>
      <c r="J14" s="1" t="s">
        <v>6</v>
      </c>
      <c r="K14" s="1" t="s">
        <v>14</v>
      </c>
      <c r="M14" s="2">
        <v>43549</v>
      </c>
      <c r="N14" s="1" t="s">
        <v>8</v>
      </c>
      <c r="O14" s="2">
        <v>44644</v>
      </c>
    </row>
    <row r="15" spans="1:15" ht="28.8" x14ac:dyDescent="0.3">
      <c r="A15" s="1" t="s">
        <v>521</v>
      </c>
      <c r="B15" s="1" t="str">
        <f>"Pro Heat Commercial LTD"</f>
        <v>Pro Heat Commercial LTD</v>
      </c>
      <c r="C15" s="1" t="s">
        <v>522</v>
      </c>
      <c r="D15" s="1" t="s">
        <v>523</v>
      </c>
      <c r="F15" s="1" t="s">
        <v>364</v>
      </c>
      <c r="G15" s="1" t="s">
        <v>103</v>
      </c>
      <c r="H15" s="1" t="s">
        <v>524</v>
      </c>
      <c r="I15" s="1" t="s">
        <v>19</v>
      </c>
      <c r="J15" s="1" t="s">
        <v>6</v>
      </c>
      <c r="K15" s="1" t="s">
        <v>14</v>
      </c>
      <c r="L15" s="1">
        <v>10181347</v>
      </c>
      <c r="M15" s="2">
        <v>43545</v>
      </c>
      <c r="N15" s="1" t="s">
        <v>8</v>
      </c>
      <c r="O15" s="2">
        <v>44640</v>
      </c>
    </row>
    <row r="16" spans="1:15" ht="43.2" x14ac:dyDescent="0.3">
      <c r="A16" s="1" t="s">
        <v>1330</v>
      </c>
      <c r="B16" s="1" t="str">
        <f>"John Macey JM Countryside &amp; Gardening Services"</f>
        <v>John Macey JM Countryside &amp; Gardening Services</v>
      </c>
      <c r="C16" s="1" t="s">
        <v>1331</v>
      </c>
      <c r="F16" s="1" t="s">
        <v>782</v>
      </c>
      <c r="G16" s="1" t="s">
        <v>211</v>
      </c>
      <c r="H16" s="1" t="s">
        <v>1332</v>
      </c>
      <c r="I16" s="1" t="s">
        <v>5</v>
      </c>
      <c r="J16" s="1" t="s">
        <v>67</v>
      </c>
      <c r="K16" s="1" t="s">
        <v>14</v>
      </c>
      <c r="M16" s="2">
        <v>43545</v>
      </c>
      <c r="N16" s="1" t="s">
        <v>8</v>
      </c>
      <c r="O16" s="1" t="s">
        <v>68</v>
      </c>
    </row>
    <row r="17" spans="1:15" ht="28.8" x14ac:dyDescent="0.3">
      <c r="A17" s="1" t="s">
        <v>1333</v>
      </c>
      <c r="B17" s="1" t="str">
        <f>"Rec4u Ltd"</f>
        <v>Rec4u Ltd</v>
      </c>
      <c r="C17" s="1" t="s">
        <v>1334</v>
      </c>
      <c r="D17" s="1" t="s">
        <v>1335</v>
      </c>
      <c r="E17" s="1" t="s">
        <v>1336</v>
      </c>
      <c r="F17" s="1" t="s">
        <v>3</v>
      </c>
      <c r="H17" s="1" t="s">
        <v>1337</v>
      </c>
      <c r="I17" s="1" t="s">
        <v>19</v>
      </c>
      <c r="J17" s="1" t="s">
        <v>6</v>
      </c>
      <c r="K17" s="1" t="s">
        <v>34</v>
      </c>
      <c r="L17" s="1">
        <v>11771174</v>
      </c>
      <c r="M17" s="2">
        <v>43545</v>
      </c>
      <c r="N17" s="1" t="s">
        <v>8</v>
      </c>
      <c r="O17" s="2">
        <v>44640</v>
      </c>
    </row>
    <row r="18" spans="1:15" ht="28.8" x14ac:dyDescent="0.3">
      <c r="A18" s="1" t="s">
        <v>1338</v>
      </c>
      <c r="B18" s="1" t="str">
        <f>"Craig Thomas"</f>
        <v>Craig Thomas</v>
      </c>
      <c r="C18" s="1" t="s">
        <v>1339</v>
      </c>
      <c r="D18" s="1" t="s">
        <v>1340</v>
      </c>
      <c r="F18" s="1" t="s">
        <v>1341</v>
      </c>
      <c r="G18" s="1" t="s">
        <v>103</v>
      </c>
      <c r="H18" s="1" t="s">
        <v>1342</v>
      </c>
      <c r="I18" s="1" t="s">
        <v>5</v>
      </c>
      <c r="J18" s="1" t="s">
        <v>6</v>
      </c>
      <c r="K18" s="1" t="s">
        <v>34</v>
      </c>
      <c r="M18" s="2">
        <v>43545</v>
      </c>
      <c r="N18" s="1" t="s">
        <v>8</v>
      </c>
      <c r="O18" s="2">
        <v>44640</v>
      </c>
    </row>
    <row r="19" spans="1:15" ht="28.8" x14ac:dyDescent="0.3">
      <c r="A19" s="1" t="s">
        <v>1623</v>
      </c>
      <c r="B19" s="1" t="str">
        <f>"L J Home Solutions Limited"</f>
        <v>L J Home Solutions Limited</v>
      </c>
      <c r="C19" s="1" t="s">
        <v>1624</v>
      </c>
      <c r="D19" s="1" t="s">
        <v>1625</v>
      </c>
      <c r="E19" s="1" t="s">
        <v>424</v>
      </c>
      <c r="F19" s="1" t="s">
        <v>64</v>
      </c>
      <c r="G19" s="1" t="s">
        <v>65</v>
      </c>
      <c r="H19" s="1" t="s">
        <v>1626</v>
      </c>
      <c r="I19" s="1" t="s">
        <v>19</v>
      </c>
      <c r="J19" s="1" t="s">
        <v>6</v>
      </c>
      <c r="K19" s="1" t="s">
        <v>14</v>
      </c>
      <c r="L19" s="1">
        <v>9290084</v>
      </c>
      <c r="M19" s="2">
        <v>43545</v>
      </c>
      <c r="N19" s="1" t="s">
        <v>8</v>
      </c>
      <c r="O19" s="2">
        <v>44640</v>
      </c>
    </row>
    <row r="20" spans="1:15" ht="28.8" x14ac:dyDescent="0.3">
      <c r="A20" s="1" t="s">
        <v>314</v>
      </c>
      <c r="B20" s="1" t="str">
        <f>"Merthyr Borough Recycling Center"</f>
        <v>Merthyr Borough Recycling Center</v>
      </c>
      <c r="C20" s="1" t="s">
        <v>315</v>
      </c>
      <c r="D20" s="1" t="s">
        <v>316</v>
      </c>
      <c r="F20" s="1" t="s">
        <v>317</v>
      </c>
      <c r="H20" s="1" t="s">
        <v>318</v>
      </c>
      <c r="I20" s="1" t="s">
        <v>19</v>
      </c>
      <c r="J20" s="1" t="s">
        <v>6</v>
      </c>
      <c r="K20" s="1" t="s">
        <v>34</v>
      </c>
      <c r="M20" s="2">
        <v>43544</v>
      </c>
      <c r="N20" s="1" t="s">
        <v>8</v>
      </c>
      <c r="O20" s="2">
        <v>44639</v>
      </c>
    </row>
    <row r="21" spans="1:15" ht="28.8" x14ac:dyDescent="0.3">
      <c r="A21" s="1" t="s">
        <v>319</v>
      </c>
      <c r="B21" s="1" t="str">
        <f>"Richard Woodcock"</f>
        <v>Richard Woodcock</v>
      </c>
      <c r="C21" s="1" t="s">
        <v>320</v>
      </c>
      <c r="D21" s="1" t="s">
        <v>321</v>
      </c>
      <c r="E21" s="1" t="s">
        <v>322</v>
      </c>
      <c r="F21" s="1" t="s">
        <v>323</v>
      </c>
      <c r="G21" s="1" t="s">
        <v>324</v>
      </c>
      <c r="H21" s="1" t="s">
        <v>325</v>
      </c>
      <c r="I21" s="1" t="s">
        <v>5</v>
      </c>
      <c r="J21" s="1" t="s">
        <v>6</v>
      </c>
      <c r="K21" s="1" t="s">
        <v>14</v>
      </c>
      <c r="M21" s="2">
        <v>43544</v>
      </c>
      <c r="N21" s="1" t="s">
        <v>8</v>
      </c>
      <c r="O21" s="2">
        <v>44639</v>
      </c>
    </row>
    <row r="22" spans="1:15" ht="28.8" x14ac:dyDescent="0.3">
      <c r="A22" s="1" t="s">
        <v>1977</v>
      </c>
      <c r="B22" s="1" t="str">
        <f>"Halo Electrical Installations LTD"</f>
        <v>Halo Electrical Installations LTD</v>
      </c>
      <c r="C22" s="1" t="s">
        <v>1978</v>
      </c>
      <c r="D22" s="1" t="s">
        <v>1979</v>
      </c>
      <c r="F22" s="1" t="s">
        <v>102</v>
      </c>
      <c r="G22" s="1" t="s">
        <v>642</v>
      </c>
      <c r="H22" s="1" t="s">
        <v>1980</v>
      </c>
      <c r="I22" s="1" t="s">
        <v>19</v>
      </c>
      <c r="J22" s="1" t="s">
        <v>6</v>
      </c>
      <c r="K22" s="1" t="s">
        <v>14</v>
      </c>
      <c r="L22" s="1">
        <v>9255914</v>
      </c>
      <c r="M22" s="2">
        <v>43544</v>
      </c>
      <c r="N22" s="1" t="s">
        <v>8</v>
      </c>
      <c r="O22" s="2">
        <v>44639</v>
      </c>
    </row>
    <row r="23" spans="1:15" x14ac:dyDescent="0.3">
      <c r="A23" s="1" t="s">
        <v>249</v>
      </c>
      <c r="B23" s="1" t="str">
        <f>"Keith Needs"</f>
        <v>Keith Needs</v>
      </c>
      <c r="C23" s="1" t="s">
        <v>250</v>
      </c>
      <c r="F23" s="1" t="s">
        <v>140</v>
      </c>
      <c r="G23" s="1" t="s">
        <v>141</v>
      </c>
      <c r="H23" s="1" t="s">
        <v>251</v>
      </c>
      <c r="I23" s="1" t="s">
        <v>5</v>
      </c>
      <c r="J23" s="1" t="s">
        <v>6</v>
      </c>
      <c r="K23" s="1" t="s">
        <v>24</v>
      </c>
      <c r="M23" s="2">
        <v>43543</v>
      </c>
      <c r="N23" s="1" t="s">
        <v>8</v>
      </c>
      <c r="O23" s="2">
        <v>44638</v>
      </c>
    </row>
    <row r="24" spans="1:15" ht="28.8" x14ac:dyDescent="0.3">
      <c r="A24" s="1" t="s">
        <v>255</v>
      </c>
      <c r="B24" s="1" t="str">
        <f>"Ivor Thomas Rentals Ltd"</f>
        <v>Ivor Thomas Rentals Ltd</v>
      </c>
      <c r="C24" s="1" t="s">
        <v>256</v>
      </c>
      <c r="D24" s="1" t="s">
        <v>257</v>
      </c>
      <c r="E24" s="1" t="s">
        <v>258</v>
      </c>
      <c r="F24" s="1" t="s">
        <v>64</v>
      </c>
      <c r="G24" s="1" t="s">
        <v>65</v>
      </c>
      <c r="H24" s="1" t="s">
        <v>259</v>
      </c>
      <c r="I24" s="1" t="s">
        <v>19</v>
      </c>
      <c r="J24" s="1" t="s">
        <v>6</v>
      </c>
      <c r="K24" s="1" t="s">
        <v>14</v>
      </c>
      <c r="M24" s="2">
        <v>43543</v>
      </c>
      <c r="N24" s="1" t="s">
        <v>8</v>
      </c>
      <c r="O24" s="2">
        <v>44638</v>
      </c>
    </row>
    <row r="25" spans="1:15" ht="28.8" x14ac:dyDescent="0.3">
      <c r="A25" s="1" t="s">
        <v>263</v>
      </c>
      <c r="B25" s="1" t="str">
        <f>"A&amp;S Plant Construction and Land Draingage"</f>
        <v>A&amp;S Plant Construction and Land Draingage</v>
      </c>
      <c r="C25" s="1" t="s">
        <v>264</v>
      </c>
      <c r="D25" s="1" t="s">
        <v>265</v>
      </c>
      <c r="F25" s="1" t="s">
        <v>56</v>
      </c>
      <c r="G25" s="1" t="s">
        <v>51</v>
      </c>
      <c r="H25" s="1" t="s">
        <v>266</v>
      </c>
      <c r="I25" s="1" t="s">
        <v>19</v>
      </c>
      <c r="J25" s="1" t="s">
        <v>6</v>
      </c>
      <c r="K25" s="1" t="s">
        <v>14</v>
      </c>
      <c r="L25" s="1" t="s">
        <v>267</v>
      </c>
      <c r="M25" s="2">
        <v>43543</v>
      </c>
      <c r="N25" s="1" t="s">
        <v>8</v>
      </c>
      <c r="O25" s="2">
        <v>44638</v>
      </c>
    </row>
    <row r="26" spans="1:15" x14ac:dyDescent="0.3">
      <c r="A26" s="1" t="s">
        <v>268</v>
      </c>
      <c r="B26" s="1" t="str">
        <f>"David glyn Jones"</f>
        <v>David glyn Jones</v>
      </c>
      <c r="C26" s="1" t="s">
        <v>269</v>
      </c>
      <c r="D26" s="1" t="s">
        <v>270</v>
      </c>
      <c r="F26" s="1" t="s">
        <v>271</v>
      </c>
      <c r="H26" s="1" t="s">
        <v>272</v>
      </c>
      <c r="I26" s="1" t="s">
        <v>5</v>
      </c>
      <c r="J26" s="1" t="s">
        <v>6</v>
      </c>
      <c r="K26" s="1" t="s">
        <v>14</v>
      </c>
      <c r="M26" s="2">
        <v>43543</v>
      </c>
      <c r="N26" s="1" t="s">
        <v>8</v>
      </c>
      <c r="O26" s="2">
        <v>44638</v>
      </c>
    </row>
    <row r="27" spans="1:15" ht="43.2" x14ac:dyDescent="0.3">
      <c r="A27" s="1" t="s">
        <v>273</v>
      </c>
      <c r="B27" s="1" t="str">
        <f>"Taff Vale Practice"</f>
        <v>Taff Vale Practice</v>
      </c>
      <c r="C27" s="1" t="s">
        <v>274</v>
      </c>
      <c r="D27" s="1" t="s">
        <v>275</v>
      </c>
      <c r="E27" s="1" t="s">
        <v>276</v>
      </c>
      <c r="F27" s="1" t="s">
        <v>277</v>
      </c>
      <c r="G27" s="1" t="s">
        <v>141</v>
      </c>
      <c r="H27" s="1" t="s">
        <v>278</v>
      </c>
      <c r="I27" s="1" t="s">
        <v>188</v>
      </c>
      <c r="J27" s="1" t="s">
        <v>67</v>
      </c>
      <c r="K27" s="1" t="s">
        <v>14</v>
      </c>
      <c r="M27" s="2">
        <v>43543</v>
      </c>
      <c r="N27" s="1" t="s">
        <v>8</v>
      </c>
      <c r="O27" s="1" t="s">
        <v>68</v>
      </c>
    </row>
    <row r="28" spans="1:15" ht="43.2" x14ac:dyDescent="0.3">
      <c r="A28" s="1" t="s">
        <v>303</v>
      </c>
      <c r="B28" s="1" t="str">
        <f>"Neil  Thomas"</f>
        <v>Neil  Thomas</v>
      </c>
      <c r="C28" s="1" t="s">
        <v>304</v>
      </c>
      <c r="E28" s="1" t="s">
        <v>305</v>
      </c>
      <c r="F28" s="1" t="s">
        <v>306</v>
      </c>
      <c r="G28" s="1" t="s">
        <v>307</v>
      </c>
      <c r="H28" s="1" t="s">
        <v>308</v>
      </c>
      <c r="I28" s="1" t="s">
        <v>5</v>
      </c>
      <c r="J28" s="1" t="s">
        <v>67</v>
      </c>
      <c r="K28" s="1" t="s">
        <v>14</v>
      </c>
      <c r="M28" s="2">
        <v>43543</v>
      </c>
      <c r="N28" s="1" t="s">
        <v>8</v>
      </c>
      <c r="O28" s="1" t="s">
        <v>68</v>
      </c>
    </row>
    <row r="29" spans="1:15" ht="28.8" x14ac:dyDescent="0.3">
      <c r="A29" s="1" t="s">
        <v>309</v>
      </c>
      <c r="B29" s="1" t="str">
        <f>"Sol regem Ltd"</f>
        <v>Sol regem Ltd</v>
      </c>
      <c r="C29" s="1" t="s">
        <v>310</v>
      </c>
      <c r="D29" s="1" t="s">
        <v>311</v>
      </c>
      <c r="E29" s="1" t="s">
        <v>312</v>
      </c>
      <c r="F29" s="1" t="s">
        <v>179</v>
      </c>
      <c r="H29" s="1" t="s">
        <v>313</v>
      </c>
      <c r="I29" s="1" t="s">
        <v>19</v>
      </c>
      <c r="J29" s="1" t="s">
        <v>6</v>
      </c>
      <c r="K29" s="1" t="s">
        <v>34</v>
      </c>
      <c r="L29" s="1">
        <v>10802017</v>
      </c>
      <c r="M29" s="2">
        <v>43543</v>
      </c>
      <c r="N29" s="1" t="s">
        <v>8</v>
      </c>
      <c r="O29" s="2">
        <v>44638</v>
      </c>
    </row>
    <row r="30" spans="1:15" ht="28.8" x14ac:dyDescent="0.3">
      <c r="A30" s="1" t="s">
        <v>823</v>
      </c>
      <c r="B30" s="1" t="str">
        <f>"Nathan Thomas"</f>
        <v>Nathan Thomas</v>
      </c>
      <c r="C30" s="1" t="s">
        <v>824</v>
      </c>
      <c r="F30" s="1" t="s">
        <v>825</v>
      </c>
      <c r="G30" s="1" t="s">
        <v>180</v>
      </c>
      <c r="H30" s="1" t="s">
        <v>826</v>
      </c>
      <c r="I30" s="1" t="s">
        <v>5</v>
      </c>
      <c r="J30" s="1" t="s">
        <v>6</v>
      </c>
      <c r="K30" s="1" t="s">
        <v>34</v>
      </c>
      <c r="M30" s="2">
        <v>43543</v>
      </c>
      <c r="N30" s="1" t="s">
        <v>8</v>
      </c>
      <c r="O30" s="2">
        <v>44638</v>
      </c>
    </row>
    <row r="31" spans="1:15" x14ac:dyDescent="0.3">
      <c r="A31" s="1" t="s">
        <v>841</v>
      </c>
      <c r="B31" s="1" t="str">
        <f>"Algar groundworks LTD"</f>
        <v>Algar groundworks LTD</v>
      </c>
      <c r="C31" s="1" t="s">
        <v>842</v>
      </c>
      <c r="D31" s="1" t="s">
        <v>596</v>
      </c>
      <c r="F31" s="1" t="s">
        <v>64</v>
      </c>
      <c r="G31" s="1" t="s">
        <v>65</v>
      </c>
      <c r="H31" s="1" t="s">
        <v>843</v>
      </c>
      <c r="I31" s="1" t="s">
        <v>19</v>
      </c>
      <c r="J31" s="1" t="s">
        <v>6</v>
      </c>
      <c r="K31" s="1" t="s">
        <v>7</v>
      </c>
      <c r="L31" s="1">
        <v>9800904</v>
      </c>
      <c r="M31" s="2">
        <v>43543</v>
      </c>
      <c r="N31" s="1" t="s">
        <v>8</v>
      </c>
      <c r="O31" s="2">
        <v>44638</v>
      </c>
    </row>
    <row r="32" spans="1:15" ht="28.8" x14ac:dyDescent="0.3">
      <c r="A32" s="1" t="s">
        <v>836</v>
      </c>
      <c r="B32" s="1" t="str">
        <f>"M&amp;L Limited"</f>
        <v>M&amp;L Limited</v>
      </c>
      <c r="C32" s="1" t="s">
        <v>837</v>
      </c>
      <c r="D32" s="1" t="s">
        <v>838</v>
      </c>
      <c r="F32" s="1" t="s">
        <v>839</v>
      </c>
      <c r="G32" s="1" t="s">
        <v>115</v>
      </c>
      <c r="H32" s="1" t="s">
        <v>840</v>
      </c>
      <c r="I32" s="1" t="s">
        <v>19</v>
      </c>
      <c r="J32" s="1" t="s">
        <v>6</v>
      </c>
      <c r="K32" s="1" t="s">
        <v>34</v>
      </c>
      <c r="M32" s="2">
        <v>43542</v>
      </c>
      <c r="N32" s="1" t="s">
        <v>8</v>
      </c>
      <c r="O32" s="2">
        <v>44637</v>
      </c>
    </row>
    <row r="33" spans="1:15" ht="28.8" x14ac:dyDescent="0.3">
      <c r="A33" s="1" t="s">
        <v>850</v>
      </c>
      <c r="B33" s="1" t="str">
        <f>"Adam Hopkins Ecotek Gardening"</f>
        <v>Adam Hopkins Ecotek Gardening</v>
      </c>
      <c r="C33" s="1" t="s">
        <v>851</v>
      </c>
      <c r="D33" s="1" t="s">
        <v>852</v>
      </c>
      <c r="F33" s="1" t="s">
        <v>64</v>
      </c>
      <c r="G33" s="1" t="s">
        <v>65</v>
      </c>
      <c r="H33" s="1" t="s">
        <v>853</v>
      </c>
      <c r="I33" s="1" t="s">
        <v>5</v>
      </c>
      <c r="J33" s="1" t="s">
        <v>6</v>
      </c>
      <c r="K33" s="1" t="s">
        <v>34</v>
      </c>
      <c r="M33" s="2">
        <v>43542</v>
      </c>
      <c r="N33" s="1" t="s">
        <v>8</v>
      </c>
      <c r="O33" s="2">
        <v>44637</v>
      </c>
    </row>
    <row r="34" spans="1:15" x14ac:dyDescent="0.3">
      <c r="A34" s="1" t="s">
        <v>858</v>
      </c>
      <c r="B34" s="1" t="str">
        <f>"D &amp; S Builders LTD"</f>
        <v>D &amp; S Builders LTD</v>
      </c>
      <c r="C34" s="1" t="s">
        <v>859</v>
      </c>
      <c r="D34" s="1" t="s">
        <v>860</v>
      </c>
      <c r="E34" s="1" t="s">
        <v>861</v>
      </c>
      <c r="F34" s="1" t="s">
        <v>710</v>
      </c>
      <c r="G34" s="1" t="s">
        <v>3</v>
      </c>
      <c r="H34" s="1" t="s">
        <v>862</v>
      </c>
      <c r="I34" s="1" t="s">
        <v>19</v>
      </c>
      <c r="J34" s="1" t="s">
        <v>6</v>
      </c>
      <c r="K34" s="1" t="s">
        <v>14</v>
      </c>
      <c r="M34" s="2">
        <v>43542</v>
      </c>
      <c r="N34" s="1" t="s">
        <v>8</v>
      </c>
      <c r="O34" s="2">
        <v>44637</v>
      </c>
    </row>
    <row r="35" spans="1:15" ht="28.8" x14ac:dyDescent="0.3">
      <c r="A35" s="1" t="s">
        <v>875</v>
      </c>
      <c r="B35" s="1" t="str">
        <f>"Aled Morgan"</f>
        <v>Aled Morgan</v>
      </c>
      <c r="C35" s="1" t="s">
        <v>876</v>
      </c>
      <c r="D35" s="1" t="s">
        <v>877</v>
      </c>
      <c r="E35" s="1" t="s">
        <v>878</v>
      </c>
      <c r="F35" s="1" t="s">
        <v>37</v>
      </c>
      <c r="G35" s="1" t="s">
        <v>654</v>
      </c>
      <c r="H35" s="1" t="s">
        <v>879</v>
      </c>
      <c r="I35" s="1" t="s">
        <v>5</v>
      </c>
      <c r="J35" s="1" t="s">
        <v>6</v>
      </c>
      <c r="K35" s="1" t="s">
        <v>34</v>
      </c>
      <c r="M35" s="2">
        <v>43542</v>
      </c>
      <c r="N35" s="1" t="s">
        <v>8</v>
      </c>
      <c r="O35" s="2">
        <v>44637</v>
      </c>
    </row>
    <row r="36" spans="1:15" x14ac:dyDescent="0.3">
      <c r="A36" s="1" t="s">
        <v>1586</v>
      </c>
      <c r="B36" s="1" t="str">
        <f>"Airfield Metals Ltd"</f>
        <v>Airfield Metals Ltd</v>
      </c>
      <c r="C36" s="1" t="s">
        <v>1587</v>
      </c>
      <c r="D36" s="1" t="s">
        <v>1588</v>
      </c>
      <c r="E36" s="1" t="s">
        <v>1589</v>
      </c>
      <c r="F36" s="1" t="s">
        <v>1063</v>
      </c>
      <c r="G36" s="1" t="s">
        <v>115</v>
      </c>
      <c r="H36" s="1" t="s">
        <v>1590</v>
      </c>
      <c r="I36" s="1" t="s">
        <v>19</v>
      </c>
      <c r="J36" s="1" t="s">
        <v>6</v>
      </c>
      <c r="K36" s="1" t="s">
        <v>14</v>
      </c>
      <c r="M36" s="2">
        <v>43542</v>
      </c>
      <c r="N36" s="1" t="s">
        <v>8</v>
      </c>
      <c r="O36" s="2">
        <v>44637</v>
      </c>
    </row>
    <row r="37" spans="1:15" ht="43.2" x14ac:dyDescent="0.3">
      <c r="A37" s="1" t="s">
        <v>1591</v>
      </c>
      <c r="B37" s="1" t="str">
        <f>"Williams Heating (North West) Limited"</f>
        <v>Williams Heating (North West) Limited</v>
      </c>
      <c r="C37" s="1" t="s">
        <v>1592</v>
      </c>
      <c r="D37" s="1" t="s">
        <v>1593</v>
      </c>
      <c r="E37" s="1" t="s">
        <v>1594</v>
      </c>
      <c r="F37" s="1" t="s">
        <v>532</v>
      </c>
      <c r="G37" s="1" t="s">
        <v>1595</v>
      </c>
      <c r="H37" s="1" t="s">
        <v>1596</v>
      </c>
      <c r="I37" s="1" t="s">
        <v>19</v>
      </c>
      <c r="J37" s="1" t="s">
        <v>67</v>
      </c>
      <c r="K37" s="1" t="s">
        <v>14</v>
      </c>
      <c r="L37" s="1">
        <v>11372783</v>
      </c>
      <c r="M37" s="2">
        <v>43542</v>
      </c>
      <c r="N37" s="1" t="s">
        <v>8</v>
      </c>
      <c r="O37" s="1" t="s">
        <v>68</v>
      </c>
    </row>
    <row r="38" spans="1:15" ht="28.8" x14ac:dyDescent="0.3">
      <c r="A38" s="1" t="s">
        <v>1602</v>
      </c>
      <c r="B38" s="1" t="str">
        <f>"Paul Fisher"</f>
        <v>Paul Fisher</v>
      </c>
      <c r="C38" s="1" t="s">
        <v>1603</v>
      </c>
      <c r="D38" s="1" t="s">
        <v>1604</v>
      </c>
      <c r="F38" s="1" t="s">
        <v>64</v>
      </c>
      <c r="G38" s="1" t="s">
        <v>65</v>
      </c>
      <c r="H38" s="1" t="s">
        <v>1605</v>
      </c>
      <c r="I38" s="1" t="s">
        <v>5</v>
      </c>
      <c r="J38" s="1" t="s">
        <v>6</v>
      </c>
      <c r="K38" s="1" t="s">
        <v>34</v>
      </c>
      <c r="M38" s="2">
        <v>43542</v>
      </c>
      <c r="N38" s="1" t="s">
        <v>8</v>
      </c>
      <c r="O38" s="2">
        <v>44637</v>
      </c>
    </row>
    <row r="39" spans="1:15" ht="28.8" x14ac:dyDescent="0.3">
      <c r="A39" s="1" t="s">
        <v>1612</v>
      </c>
      <c r="B39" s="1" t="str">
        <f>"FORWARD TRAINING SERVICES LTD"</f>
        <v>FORWARD TRAINING SERVICES LTD</v>
      </c>
      <c r="C39" s="1" t="s">
        <v>1613</v>
      </c>
      <c r="F39" s="1" t="s">
        <v>96</v>
      </c>
      <c r="H39" s="1" t="s">
        <v>1614</v>
      </c>
      <c r="I39" s="1" t="s">
        <v>19</v>
      </c>
      <c r="J39" s="1" t="s">
        <v>6</v>
      </c>
      <c r="K39" s="1" t="s">
        <v>34</v>
      </c>
      <c r="L39" s="1">
        <v>5788127</v>
      </c>
      <c r="M39" s="2">
        <v>43542</v>
      </c>
      <c r="N39" s="1" t="s">
        <v>8</v>
      </c>
      <c r="O39" s="2">
        <v>44637</v>
      </c>
    </row>
    <row r="40" spans="1:15" ht="28.8" x14ac:dyDescent="0.3">
      <c r="A40" s="1" t="s">
        <v>1615</v>
      </c>
      <c r="B40" s="1" t="str">
        <f>"John Bridgett AJ's Property Services"</f>
        <v>John Bridgett AJ's Property Services</v>
      </c>
      <c r="C40" s="1" t="s">
        <v>1616</v>
      </c>
      <c r="D40" s="1" t="s">
        <v>1617</v>
      </c>
      <c r="F40" s="1" t="s">
        <v>374</v>
      </c>
      <c r="H40" s="1" t="s">
        <v>1618</v>
      </c>
      <c r="I40" s="1" t="s">
        <v>5</v>
      </c>
      <c r="J40" s="1" t="s">
        <v>6</v>
      </c>
      <c r="K40" s="1" t="s">
        <v>14</v>
      </c>
      <c r="M40" s="2">
        <v>43542</v>
      </c>
      <c r="N40" s="1" t="s">
        <v>8</v>
      </c>
      <c r="O40" s="2">
        <v>44637</v>
      </c>
    </row>
    <row r="41" spans="1:15" ht="43.2" x14ac:dyDescent="0.3">
      <c r="A41" s="1" t="s">
        <v>1619</v>
      </c>
      <c r="B41" s="1" t="str">
        <f>"Floods Properties &amp; Development Company Limited"</f>
        <v>Floods Properties &amp; Development Company Limited</v>
      </c>
      <c r="C41" s="1" t="s">
        <v>1620</v>
      </c>
      <c r="D41" s="1" t="s">
        <v>1621</v>
      </c>
      <c r="E41" s="1" t="s">
        <v>1622</v>
      </c>
      <c r="F41" s="1" t="s">
        <v>323</v>
      </c>
      <c r="G41" s="1" t="s">
        <v>324</v>
      </c>
      <c r="H41" s="1" t="s">
        <v>1347</v>
      </c>
      <c r="I41" s="1" t="s">
        <v>19</v>
      </c>
      <c r="J41" s="1" t="s">
        <v>6</v>
      </c>
      <c r="K41" s="1" t="s">
        <v>14</v>
      </c>
      <c r="L41" s="1">
        <v>1005705</v>
      </c>
      <c r="M41" s="2">
        <v>43542</v>
      </c>
      <c r="N41" s="1" t="s">
        <v>8</v>
      </c>
      <c r="O41" s="2">
        <v>44637</v>
      </c>
    </row>
    <row r="42" spans="1:15" ht="28.8" x14ac:dyDescent="0.3">
      <c r="A42" s="1" t="s">
        <v>1956</v>
      </c>
      <c r="B42" s="1" t="str">
        <f>"Philip Horrocks"</f>
        <v>Philip Horrocks</v>
      </c>
      <c r="C42" s="1" t="s">
        <v>1957</v>
      </c>
      <c r="D42" s="1" t="s">
        <v>1958</v>
      </c>
      <c r="F42" s="1" t="s">
        <v>513</v>
      </c>
      <c r="G42" s="1" t="s">
        <v>115</v>
      </c>
      <c r="H42" s="1" t="s">
        <v>1959</v>
      </c>
      <c r="I42" s="1" t="s">
        <v>5</v>
      </c>
      <c r="J42" s="1" t="s">
        <v>6</v>
      </c>
      <c r="K42" s="1" t="s">
        <v>34</v>
      </c>
      <c r="M42" s="2">
        <v>43542</v>
      </c>
      <c r="N42" s="1" t="s">
        <v>8</v>
      </c>
      <c r="O42" s="2">
        <v>44637</v>
      </c>
    </row>
    <row r="43" spans="1:15" ht="43.2" x14ac:dyDescent="0.3">
      <c r="A43" s="1" t="s">
        <v>1960</v>
      </c>
      <c r="B43" s="1" t="str">
        <f>"trevor cotterill"</f>
        <v>trevor cotterill</v>
      </c>
      <c r="C43" s="1" t="s">
        <v>1961</v>
      </c>
      <c r="F43" s="1" t="s">
        <v>214</v>
      </c>
      <c r="G43" s="1" t="s">
        <v>73</v>
      </c>
      <c r="H43" s="1" t="s">
        <v>1962</v>
      </c>
      <c r="I43" s="1" t="s">
        <v>5</v>
      </c>
      <c r="J43" s="1" t="s">
        <v>67</v>
      </c>
      <c r="K43" s="1" t="s">
        <v>14</v>
      </c>
      <c r="M43" s="2">
        <v>43542</v>
      </c>
      <c r="N43" s="1" t="s">
        <v>8</v>
      </c>
      <c r="O43" s="1" t="s">
        <v>68</v>
      </c>
    </row>
    <row r="44" spans="1:15" ht="28.8" x14ac:dyDescent="0.3">
      <c r="A44" s="1" t="s">
        <v>1963</v>
      </c>
      <c r="B44" s="1" t="str">
        <f>"Rheidol Developments Ltd"</f>
        <v>Rheidol Developments Ltd</v>
      </c>
      <c r="C44" s="1" t="s">
        <v>1964</v>
      </c>
      <c r="E44" s="1" t="s">
        <v>1965</v>
      </c>
      <c r="F44" s="1" t="s">
        <v>37</v>
      </c>
      <c r="H44" s="1" t="s">
        <v>1966</v>
      </c>
      <c r="I44" s="1" t="s">
        <v>19</v>
      </c>
      <c r="J44" s="1" t="s">
        <v>6</v>
      </c>
      <c r="K44" s="1" t="s">
        <v>24</v>
      </c>
      <c r="L44" s="1">
        <v>3688935</v>
      </c>
      <c r="M44" s="2">
        <v>43542</v>
      </c>
      <c r="N44" s="1" t="s">
        <v>8</v>
      </c>
      <c r="O44" s="2">
        <v>44637</v>
      </c>
    </row>
    <row r="45" spans="1:15" x14ac:dyDescent="0.3">
      <c r="A45" s="1" t="s">
        <v>1967</v>
      </c>
      <c r="B45" s="1" t="str">
        <f>"Huw Gronow"</f>
        <v>Huw Gronow</v>
      </c>
      <c r="C45" s="1" t="s">
        <v>1968</v>
      </c>
      <c r="F45" s="1" t="s">
        <v>179</v>
      </c>
      <c r="G45" s="1" t="s">
        <v>180</v>
      </c>
      <c r="H45" s="1" t="s">
        <v>1969</v>
      </c>
      <c r="I45" s="1" t="s">
        <v>5</v>
      </c>
      <c r="J45" s="1" t="s">
        <v>6</v>
      </c>
      <c r="K45" s="1" t="s">
        <v>14</v>
      </c>
      <c r="M45" s="2">
        <v>43542</v>
      </c>
      <c r="N45" s="1" t="s">
        <v>8</v>
      </c>
      <c r="O45" s="2">
        <v>44637</v>
      </c>
    </row>
    <row r="46" spans="1:15" ht="28.8" x14ac:dyDescent="0.3">
      <c r="A46" s="1" t="s">
        <v>854</v>
      </c>
      <c r="B46" s="1" t="str">
        <f>"Thomas Glass Limited"</f>
        <v>Thomas Glass Limited</v>
      </c>
      <c r="C46" s="1" t="s">
        <v>855</v>
      </c>
      <c r="D46" s="1" t="s">
        <v>856</v>
      </c>
      <c r="F46" s="1" t="s">
        <v>42</v>
      </c>
      <c r="G46" s="1" t="s">
        <v>51</v>
      </c>
      <c r="H46" s="1" t="s">
        <v>857</v>
      </c>
      <c r="I46" s="1" t="s">
        <v>19</v>
      </c>
      <c r="J46" s="1" t="s">
        <v>6</v>
      </c>
      <c r="K46" s="1" t="s">
        <v>34</v>
      </c>
      <c r="M46" s="2">
        <v>43540</v>
      </c>
      <c r="N46" s="1" t="s">
        <v>8</v>
      </c>
      <c r="O46" s="2">
        <v>44635</v>
      </c>
    </row>
    <row r="47" spans="1:15" ht="43.2" x14ac:dyDescent="0.3">
      <c r="A47" s="1" t="s">
        <v>827</v>
      </c>
      <c r="B47" s="1" t="str">
        <f>"Gawain Sherwood Shelberi Heating Services"</f>
        <v>Gawain Sherwood Shelberi Heating Services</v>
      </c>
      <c r="C47" s="1" t="s">
        <v>828</v>
      </c>
      <c r="D47" s="1" t="s">
        <v>424</v>
      </c>
      <c r="F47" s="1" t="s">
        <v>64</v>
      </c>
      <c r="G47" s="1" t="s">
        <v>65</v>
      </c>
      <c r="H47" s="1" t="s">
        <v>829</v>
      </c>
      <c r="I47" s="1" t="s">
        <v>5</v>
      </c>
      <c r="J47" s="1" t="s">
        <v>6</v>
      </c>
      <c r="K47" s="1" t="s">
        <v>34</v>
      </c>
      <c r="M47" s="2">
        <v>43539</v>
      </c>
      <c r="N47" s="1" t="s">
        <v>8</v>
      </c>
      <c r="O47" s="2">
        <v>44634</v>
      </c>
    </row>
    <row r="48" spans="1:15" ht="28.8" x14ac:dyDescent="0.3">
      <c r="A48" s="1" t="s">
        <v>833</v>
      </c>
      <c r="B48" s="1" t="str">
        <f>"Tommy Jones TJ Metals"</f>
        <v>Tommy Jones TJ Metals</v>
      </c>
      <c r="C48" s="1" t="s">
        <v>834</v>
      </c>
      <c r="F48" s="1" t="s">
        <v>42</v>
      </c>
      <c r="G48" s="1" t="s">
        <v>51</v>
      </c>
      <c r="H48" s="1" t="s">
        <v>835</v>
      </c>
      <c r="I48" s="1" t="s">
        <v>5</v>
      </c>
      <c r="J48" s="1" t="s">
        <v>6</v>
      </c>
      <c r="K48" s="1" t="s">
        <v>34</v>
      </c>
      <c r="M48" s="2">
        <v>43539</v>
      </c>
      <c r="N48" s="1" t="s">
        <v>8</v>
      </c>
      <c r="O48" s="2">
        <v>44634</v>
      </c>
    </row>
    <row r="49" spans="1:15" ht="28.8" x14ac:dyDescent="0.3">
      <c r="A49" s="1" t="s">
        <v>1924</v>
      </c>
      <c r="B49" s="1" t="str">
        <f>"Cheryl Nicholas"</f>
        <v>Cheryl Nicholas</v>
      </c>
      <c r="C49" s="1" t="s">
        <v>1925</v>
      </c>
      <c r="D49" s="1" t="s">
        <v>1926</v>
      </c>
      <c r="E49" s="1" t="s">
        <v>1927</v>
      </c>
      <c r="F49" s="1" t="s">
        <v>1928</v>
      </c>
      <c r="G49" s="1" t="s">
        <v>1929</v>
      </c>
      <c r="H49" s="1" t="s">
        <v>1930</v>
      </c>
      <c r="I49" s="1" t="s">
        <v>5</v>
      </c>
      <c r="J49" s="1" t="s">
        <v>6</v>
      </c>
      <c r="K49" s="1" t="s">
        <v>34</v>
      </c>
      <c r="M49" s="2">
        <v>43537</v>
      </c>
      <c r="N49" s="1" t="s">
        <v>8</v>
      </c>
      <c r="O49" s="2">
        <v>44632</v>
      </c>
    </row>
    <row r="50" spans="1:15" x14ac:dyDescent="0.3">
      <c r="A50" s="1" t="s">
        <v>1931</v>
      </c>
      <c r="B50" s="1" t="str">
        <f>"Raymond Eagle"</f>
        <v>Raymond Eagle</v>
      </c>
      <c r="C50" s="1" t="s">
        <v>1932</v>
      </c>
      <c r="D50" s="1" t="s">
        <v>1933</v>
      </c>
      <c r="F50" s="1" t="s">
        <v>64</v>
      </c>
      <c r="G50" s="1" t="s">
        <v>65</v>
      </c>
      <c r="H50" s="1" t="s">
        <v>1934</v>
      </c>
      <c r="I50" s="1" t="s">
        <v>5</v>
      </c>
      <c r="J50" s="1" t="s">
        <v>6</v>
      </c>
      <c r="K50" s="1" t="s">
        <v>14</v>
      </c>
      <c r="M50" s="2">
        <v>43537</v>
      </c>
      <c r="N50" s="1" t="s">
        <v>8</v>
      </c>
      <c r="O50" s="2">
        <v>44632</v>
      </c>
    </row>
    <row r="51" spans="1:15" x14ac:dyDescent="0.3">
      <c r="A51" s="1" t="s">
        <v>1935</v>
      </c>
      <c r="B51" s="1" t="str">
        <f>"Jamie Garland"</f>
        <v>Jamie Garland</v>
      </c>
      <c r="C51" s="1" t="s">
        <v>1936</v>
      </c>
      <c r="D51" s="1" t="s">
        <v>1937</v>
      </c>
      <c r="F51" s="1" t="s">
        <v>156</v>
      </c>
      <c r="G51" s="1" t="s">
        <v>103</v>
      </c>
      <c r="H51" s="1" t="s">
        <v>1938</v>
      </c>
      <c r="I51" s="1" t="s">
        <v>5</v>
      </c>
      <c r="J51" s="1" t="s">
        <v>6</v>
      </c>
      <c r="K51" s="1" t="s">
        <v>14</v>
      </c>
      <c r="M51" s="2">
        <v>43537</v>
      </c>
      <c r="N51" s="1" t="s">
        <v>8</v>
      </c>
      <c r="O51" s="2">
        <v>44632</v>
      </c>
    </row>
    <row r="52" spans="1:15" ht="43.2" x14ac:dyDescent="0.3">
      <c r="A52" s="1" t="s">
        <v>1291</v>
      </c>
      <c r="B52" s="1" t="str">
        <f>"Andrew Sinclair"</f>
        <v>Andrew Sinclair</v>
      </c>
      <c r="C52" s="1" t="s">
        <v>1292</v>
      </c>
      <c r="D52" s="1" t="s">
        <v>1293</v>
      </c>
      <c r="E52" s="1" t="s">
        <v>1294</v>
      </c>
      <c r="F52" s="1" t="s">
        <v>214</v>
      </c>
      <c r="G52" s="1" t="s">
        <v>324</v>
      </c>
      <c r="H52" s="1" t="s">
        <v>1295</v>
      </c>
      <c r="I52" s="1" t="s">
        <v>5</v>
      </c>
      <c r="J52" s="1" t="s">
        <v>67</v>
      </c>
      <c r="K52" s="1" t="s">
        <v>14</v>
      </c>
      <c r="M52" s="2">
        <v>43536</v>
      </c>
      <c r="N52" s="1" t="s">
        <v>8</v>
      </c>
      <c r="O52" s="1" t="s">
        <v>68</v>
      </c>
    </row>
    <row r="53" spans="1:15" ht="43.2" x14ac:dyDescent="0.3">
      <c r="A53" s="1" t="s">
        <v>1299</v>
      </c>
      <c r="B53" s="1" t="str">
        <f>"THW Construction LTD"</f>
        <v>THW Construction LTD</v>
      </c>
      <c r="C53" s="1" t="s">
        <v>1300</v>
      </c>
      <c r="D53" s="1" t="s">
        <v>536</v>
      </c>
      <c r="F53" s="1" t="s">
        <v>370</v>
      </c>
      <c r="G53" s="1" t="s">
        <v>3</v>
      </c>
      <c r="H53" s="1" t="s">
        <v>1301</v>
      </c>
      <c r="I53" s="1" t="s">
        <v>19</v>
      </c>
      <c r="J53" s="1" t="s">
        <v>67</v>
      </c>
      <c r="K53" s="1" t="s">
        <v>14</v>
      </c>
      <c r="M53" s="2">
        <v>43536</v>
      </c>
      <c r="N53" s="1" t="s">
        <v>8</v>
      </c>
      <c r="O53" s="1" t="s">
        <v>68</v>
      </c>
    </row>
    <row r="54" spans="1:15" ht="43.2" x14ac:dyDescent="0.3">
      <c r="A54" s="1" t="s">
        <v>1308</v>
      </c>
      <c r="B54" s="1" t="str">
        <f>"Andrew Sullivan"</f>
        <v>Andrew Sullivan</v>
      </c>
      <c r="C54" s="1" t="s">
        <v>1309</v>
      </c>
      <c r="F54" s="1" t="s">
        <v>230</v>
      </c>
      <c r="G54" s="1" t="s">
        <v>231</v>
      </c>
      <c r="H54" s="1" t="s">
        <v>1310</v>
      </c>
      <c r="I54" s="1" t="s">
        <v>5</v>
      </c>
      <c r="J54" s="1" t="s">
        <v>67</v>
      </c>
      <c r="K54" s="1" t="s">
        <v>14</v>
      </c>
      <c r="M54" s="2">
        <v>43536</v>
      </c>
      <c r="N54" s="1" t="s">
        <v>8</v>
      </c>
      <c r="O54" s="1" t="s">
        <v>68</v>
      </c>
    </row>
    <row r="55" spans="1:15" ht="28.8" x14ac:dyDescent="0.3">
      <c r="A55" s="1" t="s">
        <v>1311</v>
      </c>
      <c r="B55" s="1" t="str">
        <f>"Neville Gyphion Energy Heating &amp; Plumbing"</f>
        <v>Neville Gyphion Energy Heating &amp; Plumbing</v>
      </c>
      <c r="C55" s="1" t="s">
        <v>1312</v>
      </c>
      <c r="F55" s="1" t="s">
        <v>123</v>
      </c>
      <c r="H55" s="1" t="s">
        <v>1313</v>
      </c>
      <c r="I55" s="1" t="s">
        <v>5</v>
      </c>
      <c r="J55" s="1" t="s">
        <v>6</v>
      </c>
      <c r="K55" s="1" t="s">
        <v>14</v>
      </c>
      <c r="M55" s="2">
        <v>43536</v>
      </c>
      <c r="N55" s="1" t="s">
        <v>8</v>
      </c>
      <c r="O55" s="2">
        <v>44631</v>
      </c>
    </row>
    <row r="56" spans="1:15" ht="28.8" x14ac:dyDescent="0.3">
      <c r="A56" s="1" t="s">
        <v>1314</v>
      </c>
      <c r="B56" s="1" t="str">
        <f>"ATL Heating Ltd"</f>
        <v>ATL Heating Ltd</v>
      </c>
      <c r="C56" s="1" t="s">
        <v>1315</v>
      </c>
      <c r="F56" s="1" t="s">
        <v>1316</v>
      </c>
      <c r="H56" s="1" t="s">
        <v>1317</v>
      </c>
      <c r="I56" s="1" t="s">
        <v>19</v>
      </c>
      <c r="J56" s="1" t="s">
        <v>6</v>
      </c>
      <c r="K56" s="1" t="s">
        <v>34</v>
      </c>
      <c r="L56" s="1">
        <v>7961192</v>
      </c>
      <c r="M56" s="2">
        <v>43536</v>
      </c>
      <c r="N56" s="1" t="s">
        <v>8</v>
      </c>
      <c r="O56" s="2">
        <v>44631</v>
      </c>
    </row>
    <row r="57" spans="1:15" ht="28.8" x14ac:dyDescent="0.3">
      <c r="A57" s="1" t="s">
        <v>1318</v>
      </c>
      <c r="B57" s="1" t="str">
        <f>"Griffith alun Williams"</f>
        <v>Griffith alun Williams</v>
      </c>
      <c r="C57" s="1" t="s">
        <v>1319</v>
      </c>
      <c r="D57" s="1" t="s">
        <v>1320</v>
      </c>
      <c r="F57" s="1" t="s">
        <v>1321</v>
      </c>
      <c r="G57" s="1" t="s">
        <v>3</v>
      </c>
      <c r="H57" s="1" t="s">
        <v>1322</v>
      </c>
      <c r="I57" s="1" t="s">
        <v>5</v>
      </c>
      <c r="J57" s="1" t="s">
        <v>6</v>
      </c>
      <c r="K57" s="1" t="s">
        <v>34</v>
      </c>
      <c r="M57" s="2">
        <v>43536</v>
      </c>
      <c r="N57" s="1" t="s">
        <v>8</v>
      </c>
      <c r="O57" s="2">
        <v>44631</v>
      </c>
    </row>
    <row r="58" spans="1:15" ht="28.8" x14ac:dyDescent="0.3">
      <c r="A58" s="1" t="s">
        <v>1894</v>
      </c>
      <c r="B58" s="1" t="str">
        <f>"DRP Glass and Glazing LTD"</f>
        <v>DRP Glass and Glazing LTD</v>
      </c>
      <c r="C58" s="1" t="s">
        <v>1895</v>
      </c>
      <c r="D58" s="1" t="s">
        <v>1896</v>
      </c>
      <c r="E58" s="1" t="s">
        <v>1897</v>
      </c>
      <c r="F58" s="1" t="s">
        <v>317</v>
      </c>
      <c r="G58" s="1" t="s">
        <v>103</v>
      </c>
      <c r="H58" s="1" t="s">
        <v>1898</v>
      </c>
      <c r="I58" s="1" t="s">
        <v>19</v>
      </c>
      <c r="J58" s="1" t="s">
        <v>6</v>
      </c>
      <c r="K58" s="1" t="s">
        <v>14</v>
      </c>
      <c r="L58" s="1">
        <v>8991854</v>
      </c>
      <c r="M58" s="2">
        <v>43536</v>
      </c>
      <c r="N58" s="1" t="s">
        <v>8</v>
      </c>
      <c r="O58" s="2">
        <v>44631</v>
      </c>
    </row>
    <row r="59" spans="1:15" ht="43.2" x14ac:dyDescent="0.3">
      <c r="A59" s="1" t="s">
        <v>1899</v>
      </c>
      <c r="B59" s="1" t="str">
        <f>"Roger Dawson"</f>
        <v>Roger Dawson</v>
      </c>
      <c r="C59" s="1" t="s">
        <v>1900</v>
      </c>
      <c r="D59" s="1" t="s">
        <v>1901</v>
      </c>
      <c r="E59" s="1" t="s">
        <v>1902</v>
      </c>
      <c r="F59" s="1" t="s">
        <v>1058</v>
      </c>
      <c r="G59" s="1" t="s">
        <v>231</v>
      </c>
      <c r="H59" s="1" t="s">
        <v>1903</v>
      </c>
      <c r="I59" s="1" t="s">
        <v>5</v>
      </c>
      <c r="J59" s="1" t="s">
        <v>67</v>
      </c>
      <c r="K59" s="1" t="s">
        <v>14</v>
      </c>
      <c r="M59" s="2">
        <v>43536</v>
      </c>
      <c r="N59" s="1" t="s">
        <v>8</v>
      </c>
      <c r="O59" s="1" t="s">
        <v>68</v>
      </c>
    </row>
    <row r="60" spans="1:15" ht="43.2" x14ac:dyDescent="0.3">
      <c r="A60" s="1" t="s">
        <v>1904</v>
      </c>
      <c r="B60" s="1" t="str">
        <f>"Lawnpride Ltd"</f>
        <v>Lawnpride Ltd</v>
      </c>
      <c r="C60" s="1" t="s">
        <v>1905</v>
      </c>
      <c r="D60" s="1" t="s">
        <v>1906</v>
      </c>
      <c r="E60" s="1" t="s">
        <v>1907</v>
      </c>
      <c r="F60" s="1" t="s">
        <v>123</v>
      </c>
      <c r="G60" s="1" t="s">
        <v>27</v>
      </c>
      <c r="H60" s="1" t="s">
        <v>1908</v>
      </c>
      <c r="I60" s="1" t="s">
        <v>19</v>
      </c>
      <c r="J60" s="1" t="s">
        <v>67</v>
      </c>
      <c r="K60" s="1" t="s">
        <v>14</v>
      </c>
      <c r="M60" s="2">
        <v>43536</v>
      </c>
      <c r="N60" s="1" t="s">
        <v>8</v>
      </c>
      <c r="O60" s="1" t="s">
        <v>68</v>
      </c>
    </row>
    <row r="61" spans="1:15" ht="43.2" x14ac:dyDescent="0.3">
      <c r="A61" s="1" t="s">
        <v>1911</v>
      </c>
      <c r="B61" s="1" t="str">
        <f>"Gurdev Singh &amp; Gurnwab Singh"</f>
        <v>Gurdev Singh &amp; Gurnwab Singh</v>
      </c>
      <c r="C61" s="1" t="s">
        <v>1912</v>
      </c>
      <c r="D61" s="1" t="s">
        <v>1913</v>
      </c>
      <c r="F61" s="1" t="s">
        <v>123</v>
      </c>
      <c r="G61" s="1" t="s">
        <v>27</v>
      </c>
      <c r="H61" s="1" t="s">
        <v>1914</v>
      </c>
      <c r="I61" s="1" t="s">
        <v>125</v>
      </c>
      <c r="J61" s="1" t="s">
        <v>67</v>
      </c>
      <c r="K61" s="1" t="s">
        <v>14</v>
      </c>
      <c r="M61" s="2">
        <v>43536</v>
      </c>
      <c r="N61" s="1" t="s">
        <v>8</v>
      </c>
      <c r="O61" s="1" t="s">
        <v>68</v>
      </c>
    </row>
    <row r="62" spans="1:15" ht="28.8" x14ac:dyDescent="0.3">
      <c r="A62" s="1" t="s">
        <v>778</v>
      </c>
      <c r="B62" s="1" t="str">
        <f>"Llandow Metals LTD"</f>
        <v>Llandow Metals LTD</v>
      </c>
      <c r="C62" s="1" t="s">
        <v>779</v>
      </c>
      <c r="D62" s="1" t="s">
        <v>780</v>
      </c>
      <c r="E62" s="1" t="s">
        <v>781</v>
      </c>
      <c r="F62" s="1" t="s">
        <v>782</v>
      </c>
      <c r="G62" s="1" t="s">
        <v>211</v>
      </c>
      <c r="H62" s="1" t="s">
        <v>783</v>
      </c>
      <c r="I62" s="1" t="s">
        <v>19</v>
      </c>
      <c r="J62" s="1" t="s">
        <v>6</v>
      </c>
      <c r="K62" s="1" t="s">
        <v>34</v>
      </c>
      <c r="M62" s="2">
        <v>43535</v>
      </c>
      <c r="N62" s="1" t="s">
        <v>8</v>
      </c>
      <c r="O62" s="2">
        <v>44630</v>
      </c>
    </row>
    <row r="63" spans="1:15" ht="28.8" x14ac:dyDescent="0.3">
      <c r="A63" s="1" t="s">
        <v>795</v>
      </c>
      <c r="B63" s="1" t="str">
        <f>"Powys Gas plumbing Heating Electrical LTD"</f>
        <v>Powys Gas plumbing Heating Electrical LTD</v>
      </c>
      <c r="C63" s="1" t="s">
        <v>796</v>
      </c>
      <c r="D63" s="1" t="s">
        <v>797</v>
      </c>
      <c r="E63" s="1" t="s">
        <v>798</v>
      </c>
      <c r="H63" s="1" t="s">
        <v>799</v>
      </c>
      <c r="I63" s="1" t="s">
        <v>19</v>
      </c>
      <c r="J63" s="1" t="s">
        <v>6</v>
      </c>
      <c r="K63" s="1" t="s">
        <v>14</v>
      </c>
      <c r="L63" s="1">
        <v>10522342</v>
      </c>
      <c r="M63" s="2">
        <v>43535</v>
      </c>
      <c r="N63" s="1" t="s">
        <v>8</v>
      </c>
      <c r="O63" s="2">
        <v>44630</v>
      </c>
    </row>
    <row r="64" spans="1:15" x14ac:dyDescent="0.3">
      <c r="A64" s="1" t="s">
        <v>808</v>
      </c>
      <c r="B64" s="1" t="str">
        <f>"DJ Contracts LTD"</f>
        <v>DJ Contracts LTD</v>
      </c>
      <c r="C64" s="1" t="s">
        <v>809</v>
      </c>
      <c r="F64" s="1" t="s">
        <v>476</v>
      </c>
      <c r="G64" s="1" t="s">
        <v>73</v>
      </c>
      <c r="H64" s="1" t="s">
        <v>810</v>
      </c>
      <c r="I64" s="1" t="s">
        <v>19</v>
      </c>
      <c r="J64" s="1" t="s">
        <v>6</v>
      </c>
      <c r="K64" s="1" t="s">
        <v>14</v>
      </c>
      <c r="L64" s="1">
        <v>9484752</v>
      </c>
      <c r="M64" s="2">
        <v>43535</v>
      </c>
      <c r="N64" s="1" t="s">
        <v>8</v>
      </c>
      <c r="O64" s="2">
        <v>44630</v>
      </c>
    </row>
    <row r="65" spans="1:15" ht="28.8" x14ac:dyDescent="0.3">
      <c r="A65" s="1" t="s">
        <v>1280</v>
      </c>
      <c r="B65" s="1" t="str">
        <f>"Mark Hughes Mark Hughes Transport"</f>
        <v>Mark Hughes Mark Hughes Transport</v>
      </c>
      <c r="C65" s="1" t="s">
        <v>1281</v>
      </c>
      <c r="D65" s="1" t="s">
        <v>1282</v>
      </c>
      <c r="E65" s="1" t="s">
        <v>1283</v>
      </c>
      <c r="F65" s="1" t="s">
        <v>532</v>
      </c>
      <c r="H65" s="1" t="s">
        <v>533</v>
      </c>
      <c r="I65" s="1" t="s">
        <v>5</v>
      </c>
      <c r="J65" s="1" t="s">
        <v>6</v>
      </c>
      <c r="K65" s="1" t="s">
        <v>14</v>
      </c>
      <c r="M65" s="2">
        <v>43535</v>
      </c>
      <c r="N65" s="1" t="s">
        <v>8</v>
      </c>
      <c r="O65" s="2">
        <v>44630</v>
      </c>
    </row>
    <row r="66" spans="1:15" x14ac:dyDescent="0.3">
      <c r="A66" s="1" t="s">
        <v>1284</v>
      </c>
      <c r="B66" s="1" t="str">
        <f>"Bethany Home Ltd"</f>
        <v>Bethany Home Ltd</v>
      </c>
      <c r="C66" s="1" t="s">
        <v>1285</v>
      </c>
      <c r="D66" s="1" t="s">
        <v>1286</v>
      </c>
      <c r="F66" s="1" t="s">
        <v>401</v>
      </c>
      <c r="G66" s="1" t="s">
        <v>231</v>
      </c>
      <c r="H66" s="1" t="s">
        <v>1287</v>
      </c>
      <c r="I66" s="1" t="s">
        <v>19</v>
      </c>
      <c r="J66" s="1" t="s">
        <v>6</v>
      </c>
      <c r="K66" s="1" t="s">
        <v>14</v>
      </c>
      <c r="L66" s="1">
        <v>9972817</v>
      </c>
      <c r="M66" s="2">
        <v>43535</v>
      </c>
      <c r="N66" s="1" t="s">
        <v>8</v>
      </c>
      <c r="O66" s="2">
        <v>44630</v>
      </c>
    </row>
    <row r="67" spans="1:15" x14ac:dyDescent="0.3">
      <c r="A67" s="1" t="s">
        <v>1882</v>
      </c>
      <c r="B67" s="1" t="str">
        <f>"Michael Peacey"</f>
        <v>Michael Peacey</v>
      </c>
      <c r="C67" s="1" t="s">
        <v>1883</v>
      </c>
      <c r="D67" s="1" t="s">
        <v>1884</v>
      </c>
      <c r="F67" s="1" t="s">
        <v>243</v>
      </c>
      <c r="G67" s="1" t="s">
        <v>244</v>
      </c>
      <c r="H67" s="1" t="s">
        <v>1885</v>
      </c>
      <c r="I67" s="1" t="s">
        <v>5</v>
      </c>
      <c r="J67" s="1" t="s">
        <v>6</v>
      </c>
      <c r="K67" s="1" t="s">
        <v>14</v>
      </c>
      <c r="M67" s="2">
        <v>43535</v>
      </c>
      <c r="N67" s="1" t="s">
        <v>8</v>
      </c>
      <c r="O67" s="2">
        <v>44630</v>
      </c>
    </row>
    <row r="68" spans="1:15" ht="43.2" x14ac:dyDescent="0.3">
      <c r="A68" s="1" t="s">
        <v>1890</v>
      </c>
      <c r="B68" s="1" t="str">
        <f>"OAKTREE CONSTRUCTION (WALES) LTD"</f>
        <v>OAKTREE CONSTRUCTION (WALES) LTD</v>
      </c>
      <c r="C68" s="1" t="s">
        <v>1891</v>
      </c>
      <c r="D68" s="1" t="s">
        <v>108</v>
      </c>
      <c r="F68" s="1" t="s">
        <v>65</v>
      </c>
      <c r="H68" s="1" t="s">
        <v>1892</v>
      </c>
      <c r="I68" s="1" t="s">
        <v>19</v>
      </c>
      <c r="J68" s="1" t="s">
        <v>67</v>
      </c>
      <c r="K68" s="1" t="s">
        <v>14</v>
      </c>
      <c r="L68" s="1">
        <v>6559193</v>
      </c>
      <c r="M68" s="2">
        <v>43535</v>
      </c>
      <c r="N68" s="1" t="s">
        <v>8</v>
      </c>
      <c r="O68" s="1" t="s">
        <v>68</v>
      </c>
    </row>
    <row r="69" spans="1:15" x14ac:dyDescent="0.3">
      <c r="A69" s="1" t="s">
        <v>1893</v>
      </c>
      <c r="B69" s="1" t="str">
        <f>"KCE haulage Limited"</f>
        <v>KCE haulage Limited</v>
      </c>
      <c r="C69" s="1" t="s">
        <v>1103</v>
      </c>
      <c r="D69" s="1" t="s">
        <v>1104</v>
      </c>
      <c r="F69" s="1" t="s">
        <v>790</v>
      </c>
      <c r="H69" s="1" t="s">
        <v>1105</v>
      </c>
      <c r="I69" s="1" t="s">
        <v>19</v>
      </c>
      <c r="J69" s="1" t="s">
        <v>6</v>
      </c>
      <c r="K69" s="1" t="s">
        <v>14</v>
      </c>
      <c r="M69" s="2">
        <v>43535</v>
      </c>
      <c r="N69" s="1" t="s">
        <v>8</v>
      </c>
      <c r="O69" s="2">
        <v>44630</v>
      </c>
    </row>
    <row r="70" spans="1:15" ht="28.8" x14ac:dyDescent="0.3">
      <c r="A70" s="1" t="s">
        <v>1558</v>
      </c>
      <c r="B70" s="1" t="str">
        <f>"TM Wiberg LTD"</f>
        <v>TM Wiberg LTD</v>
      </c>
      <c r="C70" s="1" t="s">
        <v>1559</v>
      </c>
      <c r="D70" s="1" t="s">
        <v>1560</v>
      </c>
      <c r="E70" s="1" t="s">
        <v>1561</v>
      </c>
      <c r="F70" s="1" t="s">
        <v>64</v>
      </c>
      <c r="G70" s="1" t="s">
        <v>65</v>
      </c>
      <c r="H70" s="1" t="s">
        <v>1562</v>
      </c>
      <c r="I70" s="1" t="s">
        <v>19</v>
      </c>
      <c r="J70" s="1" t="s">
        <v>6</v>
      </c>
      <c r="K70" s="1" t="s">
        <v>34</v>
      </c>
      <c r="L70" s="1">
        <v>44500007</v>
      </c>
      <c r="M70" s="2">
        <v>43532</v>
      </c>
      <c r="N70" s="1" t="s">
        <v>8</v>
      </c>
      <c r="O70" s="2">
        <v>44627</v>
      </c>
    </row>
    <row r="71" spans="1:15" ht="28.8" x14ac:dyDescent="0.3">
      <c r="A71" s="1" t="s">
        <v>1569</v>
      </c>
      <c r="B71" s="1" t="str">
        <f>"T J Services (Wales) Ltd"</f>
        <v>T J Services (Wales) Ltd</v>
      </c>
      <c r="C71" s="1" t="s">
        <v>1570</v>
      </c>
      <c r="D71" s="1" t="s">
        <v>1571</v>
      </c>
      <c r="F71" s="1" t="s">
        <v>179</v>
      </c>
      <c r="G71" s="1" t="s">
        <v>180</v>
      </c>
      <c r="H71" s="1" t="s">
        <v>1572</v>
      </c>
      <c r="I71" s="1" t="s">
        <v>19</v>
      </c>
      <c r="J71" s="1" t="s">
        <v>6</v>
      </c>
      <c r="K71" s="1" t="s">
        <v>34</v>
      </c>
      <c r="L71" s="1">
        <v>5039844</v>
      </c>
      <c r="M71" s="2">
        <v>43532</v>
      </c>
      <c r="N71" s="1" t="s">
        <v>8</v>
      </c>
      <c r="O71" s="2">
        <v>44627</v>
      </c>
    </row>
    <row r="72" spans="1:15" ht="43.2" x14ac:dyDescent="0.3">
      <c r="A72" s="1" t="s">
        <v>1573</v>
      </c>
      <c r="B72" s="1" t="str">
        <f>"Enfys Crafts"</f>
        <v>Enfys Crafts</v>
      </c>
      <c r="C72" s="1" t="s">
        <v>1574</v>
      </c>
      <c r="D72" s="1" t="s">
        <v>1575</v>
      </c>
      <c r="E72" s="1" t="s">
        <v>1576</v>
      </c>
      <c r="F72" s="1" t="s">
        <v>706</v>
      </c>
      <c r="G72" s="1" t="s">
        <v>211</v>
      </c>
      <c r="H72" s="1" t="s">
        <v>1577</v>
      </c>
      <c r="I72" s="1" t="s">
        <v>19</v>
      </c>
      <c r="J72" s="1" t="s">
        <v>67</v>
      </c>
      <c r="K72" s="1" t="s">
        <v>14</v>
      </c>
      <c r="L72" s="1">
        <v>8736835</v>
      </c>
      <c r="M72" s="2">
        <v>43532</v>
      </c>
      <c r="N72" s="1" t="s">
        <v>8</v>
      </c>
      <c r="O72" s="1" t="s">
        <v>68</v>
      </c>
    </row>
    <row r="73" spans="1:15" x14ac:dyDescent="0.3">
      <c r="A73" s="1" t="s">
        <v>225</v>
      </c>
      <c r="B73" s="1" t="str">
        <f>"TX Protective Coatings"</f>
        <v>TX Protective Coatings</v>
      </c>
      <c r="C73" s="1" t="s">
        <v>226</v>
      </c>
      <c r="F73" s="1" t="s">
        <v>42</v>
      </c>
      <c r="G73" s="1" t="s">
        <v>51</v>
      </c>
      <c r="H73" s="1" t="s">
        <v>227</v>
      </c>
      <c r="I73" s="1" t="s">
        <v>19</v>
      </c>
      <c r="J73" s="1" t="s">
        <v>6</v>
      </c>
      <c r="K73" s="1" t="s">
        <v>14</v>
      </c>
      <c r="M73" s="2">
        <v>43531</v>
      </c>
      <c r="N73" s="1" t="s">
        <v>8</v>
      </c>
      <c r="O73" s="2">
        <v>44626</v>
      </c>
    </row>
    <row r="74" spans="1:15" x14ac:dyDescent="0.3">
      <c r="A74" s="1" t="s">
        <v>228</v>
      </c>
      <c r="B74" s="1" t="str">
        <f>"Robert Beet"</f>
        <v>Robert Beet</v>
      </c>
      <c r="C74" s="1" t="s">
        <v>229</v>
      </c>
      <c r="F74" s="1" t="s">
        <v>230</v>
      </c>
      <c r="G74" s="1" t="s">
        <v>231</v>
      </c>
      <c r="H74" s="1" t="s">
        <v>232</v>
      </c>
      <c r="I74" s="1" t="s">
        <v>5</v>
      </c>
      <c r="J74" s="1" t="s">
        <v>6</v>
      </c>
      <c r="K74" s="1" t="s">
        <v>14</v>
      </c>
      <c r="M74" s="2">
        <v>43531</v>
      </c>
      <c r="N74" s="1" t="s">
        <v>8</v>
      </c>
      <c r="O74" s="2">
        <v>44626</v>
      </c>
    </row>
    <row r="75" spans="1:15" ht="43.2" x14ac:dyDescent="0.3">
      <c r="A75" s="1" t="s">
        <v>240</v>
      </c>
      <c r="B75" s="1" t="str">
        <f>"Benjamin Williams"</f>
        <v>Benjamin Williams</v>
      </c>
      <c r="C75" s="1" t="s">
        <v>241</v>
      </c>
      <c r="D75" s="1" t="s">
        <v>242</v>
      </c>
      <c r="F75" s="1" t="s">
        <v>243</v>
      </c>
      <c r="G75" s="1" t="s">
        <v>244</v>
      </c>
      <c r="H75" s="1" t="s">
        <v>245</v>
      </c>
      <c r="I75" s="1" t="s">
        <v>5</v>
      </c>
      <c r="J75" s="1" t="s">
        <v>67</v>
      </c>
      <c r="K75" s="1" t="s">
        <v>14</v>
      </c>
      <c r="M75" s="2">
        <v>43531</v>
      </c>
      <c r="N75" s="1" t="s">
        <v>8</v>
      </c>
      <c r="O75" s="1" t="s">
        <v>68</v>
      </c>
    </row>
    <row r="76" spans="1:15" ht="43.2" x14ac:dyDescent="0.3">
      <c r="A76" s="1" t="s">
        <v>246</v>
      </c>
      <c r="B76" s="1" t="str">
        <f>"Andrew Tarr"</f>
        <v>Andrew Tarr</v>
      </c>
      <c r="C76" s="1" t="s">
        <v>247</v>
      </c>
      <c r="F76" s="1" t="s">
        <v>123</v>
      </c>
      <c r="G76" s="1" t="s">
        <v>27</v>
      </c>
      <c r="H76" s="1" t="s">
        <v>248</v>
      </c>
      <c r="I76" s="1" t="s">
        <v>5</v>
      </c>
      <c r="J76" s="1" t="s">
        <v>67</v>
      </c>
      <c r="K76" s="1" t="s">
        <v>14</v>
      </c>
      <c r="M76" s="2">
        <v>43531</v>
      </c>
      <c r="N76" s="1" t="s">
        <v>8</v>
      </c>
      <c r="O76" s="1" t="s">
        <v>68</v>
      </c>
    </row>
    <row r="77" spans="1:15" ht="43.2" x14ac:dyDescent="0.3">
      <c r="A77" s="1" t="s">
        <v>1847</v>
      </c>
      <c r="B77" s="1" t="str">
        <f>"PHH Environmental UK Ltd"</f>
        <v>PHH Environmental UK Ltd</v>
      </c>
      <c r="C77" s="1" t="s">
        <v>1848</v>
      </c>
      <c r="D77" s="1" t="s">
        <v>1849</v>
      </c>
      <c r="E77" s="1" t="s">
        <v>1850</v>
      </c>
      <c r="F77" s="1" t="s">
        <v>123</v>
      </c>
      <c r="G77" s="1" t="s">
        <v>27</v>
      </c>
      <c r="H77" s="1" t="s">
        <v>1851</v>
      </c>
      <c r="I77" s="1" t="s">
        <v>19</v>
      </c>
      <c r="J77" s="1" t="s">
        <v>6</v>
      </c>
      <c r="K77" s="1" t="s">
        <v>14</v>
      </c>
      <c r="L77" s="1">
        <v>5146856</v>
      </c>
      <c r="M77" s="2">
        <v>43531</v>
      </c>
      <c r="N77" s="1" t="s">
        <v>8</v>
      </c>
      <c r="O77" s="2">
        <v>44626</v>
      </c>
    </row>
    <row r="78" spans="1:15" x14ac:dyDescent="0.3">
      <c r="A78" s="1" t="s">
        <v>1852</v>
      </c>
      <c r="B78" s="1" t="str">
        <f>"Abbie Carperts"</f>
        <v>Abbie Carperts</v>
      </c>
      <c r="C78" s="1" t="s">
        <v>1853</v>
      </c>
      <c r="D78" s="1" t="s">
        <v>1854</v>
      </c>
      <c r="F78" s="1" t="s">
        <v>1239</v>
      </c>
      <c r="G78" s="1" t="s">
        <v>231</v>
      </c>
      <c r="H78" s="1" t="s">
        <v>1855</v>
      </c>
      <c r="I78" s="1" t="s">
        <v>125</v>
      </c>
      <c r="J78" s="1" t="s">
        <v>6</v>
      </c>
      <c r="K78" s="1" t="s">
        <v>14</v>
      </c>
      <c r="M78" s="2">
        <v>43531</v>
      </c>
      <c r="N78" s="1" t="s">
        <v>8</v>
      </c>
      <c r="O78" s="2">
        <v>44626</v>
      </c>
    </row>
    <row r="79" spans="1:15" x14ac:dyDescent="0.3">
      <c r="A79" s="1" t="s">
        <v>1863</v>
      </c>
      <c r="B79" s="1" t="str">
        <f>"Jenjo Ltd"</f>
        <v>Jenjo Ltd</v>
      </c>
      <c r="C79" s="1" t="s">
        <v>1864</v>
      </c>
      <c r="D79" s="1" t="s">
        <v>1865</v>
      </c>
      <c r="E79" s="1" t="s">
        <v>1866</v>
      </c>
      <c r="F79" s="1" t="s">
        <v>1867</v>
      </c>
      <c r="G79" s="1" t="s">
        <v>642</v>
      </c>
      <c r="H79" s="1" t="s">
        <v>1868</v>
      </c>
      <c r="I79" s="1" t="s">
        <v>19</v>
      </c>
      <c r="J79" s="1" t="s">
        <v>6</v>
      </c>
      <c r="K79" s="1" t="s">
        <v>14</v>
      </c>
      <c r="L79" s="1">
        <v>11437707</v>
      </c>
      <c r="M79" s="2">
        <v>43531</v>
      </c>
      <c r="N79" s="1" t="s">
        <v>8</v>
      </c>
      <c r="O79" s="2">
        <v>44626</v>
      </c>
    </row>
    <row r="80" spans="1:15" ht="43.2" x14ac:dyDescent="0.3">
      <c r="A80" s="1" t="s">
        <v>1869</v>
      </c>
      <c r="B80" s="1" t="str">
        <f>"Choose2Reuse Cic"</f>
        <v>Choose2Reuse Cic</v>
      </c>
      <c r="C80" s="1" t="s">
        <v>1870</v>
      </c>
      <c r="D80" s="1" t="s">
        <v>1871</v>
      </c>
      <c r="F80" s="1" t="s">
        <v>42</v>
      </c>
      <c r="G80" s="1" t="s">
        <v>51</v>
      </c>
      <c r="H80" s="1" t="s">
        <v>43</v>
      </c>
      <c r="I80" s="1" t="s">
        <v>1872</v>
      </c>
      <c r="J80" s="1" t="s">
        <v>67</v>
      </c>
      <c r="K80" s="1" t="s">
        <v>14</v>
      </c>
      <c r="M80" s="2">
        <v>43531</v>
      </c>
      <c r="N80" s="1" t="s">
        <v>8</v>
      </c>
      <c r="O80" s="1" t="s">
        <v>68</v>
      </c>
    </row>
    <row r="81" spans="1:15" x14ac:dyDescent="0.3">
      <c r="A81" s="1" t="s">
        <v>1873</v>
      </c>
      <c r="B81" s="1" t="str">
        <f>"Richard Boardwell"</f>
        <v>Richard Boardwell</v>
      </c>
      <c r="C81" s="1" t="s">
        <v>1874</v>
      </c>
      <c r="D81" s="1" t="s">
        <v>1875</v>
      </c>
      <c r="F81" s="1" t="s">
        <v>532</v>
      </c>
      <c r="G81" s="1" t="s">
        <v>198</v>
      </c>
      <c r="H81" s="1" t="s">
        <v>1876</v>
      </c>
      <c r="I81" s="1" t="s">
        <v>5</v>
      </c>
      <c r="J81" s="1" t="s">
        <v>6</v>
      </c>
      <c r="K81" s="1" t="s">
        <v>14</v>
      </c>
      <c r="M81" s="2">
        <v>43531</v>
      </c>
      <c r="N81" s="1" t="s">
        <v>8</v>
      </c>
      <c r="O81" s="2">
        <v>44626</v>
      </c>
    </row>
    <row r="82" spans="1:15" ht="28.8" x14ac:dyDescent="0.3">
      <c r="A82" s="1" t="s">
        <v>1245</v>
      </c>
      <c r="B82" s="1" t="str">
        <f>"Buildsafe Trading LLP"</f>
        <v>Buildsafe Trading LLP</v>
      </c>
      <c r="C82" s="1" t="s">
        <v>1246</v>
      </c>
      <c r="D82" s="1" t="s">
        <v>1247</v>
      </c>
      <c r="E82" s="1" t="s">
        <v>400</v>
      </c>
      <c r="F82" s="1" t="s">
        <v>401</v>
      </c>
      <c r="G82" s="1" t="s">
        <v>231</v>
      </c>
      <c r="H82" s="1" t="s">
        <v>1248</v>
      </c>
      <c r="I82" s="1" t="s">
        <v>125</v>
      </c>
      <c r="J82" s="1" t="s">
        <v>6</v>
      </c>
      <c r="K82" s="1" t="s">
        <v>14</v>
      </c>
      <c r="M82" s="2">
        <v>43530</v>
      </c>
      <c r="N82" s="1" t="s">
        <v>8</v>
      </c>
      <c r="O82" s="2">
        <v>44625</v>
      </c>
    </row>
    <row r="83" spans="1:15" ht="43.2" x14ac:dyDescent="0.3">
      <c r="A83" s="1" t="s">
        <v>1252</v>
      </c>
      <c r="B83" s="1" t="str">
        <f>"MICHAEL WILLIAM CLATWORTHY"</f>
        <v>MICHAEL WILLIAM CLATWORTHY</v>
      </c>
      <c r="C83" s="1" t="s">
        <v>1253</v>
      </c>
      <c r="D83" s="1" t="s">
        <v>1254</v>
      </c>
      <c r="E83" s="1" t="s">
        <v>1255</v>
      </c>
      <c r="F83" s="1" t="s">
        <v>865</v>
      </c>
      <c r="G83" s="1" t="s">
        <v>1256</v>
      </c>
      <c r="H83" s="1" t="s">
        <v>1257</v>
      </c>
      <c r="I83" s="1" t="s">
        <v>5</v>
      </c>
      <c r="J83" s="1" t="s">
        <v>67</v>
      </c>
      <c r="K83" s="1" t="s">
        <v>14</v>
      </c>
      <c r="M83" s="2">
        <v>43530</v>
      </c>
      <c r="N83" s="1" t="s">
        <v>8</v>
      </c>
      <c r="O83" s="1" t="s">
        <v>68</v>
      </c>
    </row>
    <row r="84" spans="1:15" ht="28.8" x14ac:dyDescent="0.3">
      <c r="A84" s="1" t="s">
        <v>1258</v>
      </c>
      <c r="B84" s="1" t="str">
        <f>"Mel Owen Electrical limited"</f>
        <v>Mel Owen Electrical limited</v>
      </c>
      <c r="C84" s="1" t="s">
        <v>1259</v>
      </c>
      <c r="F84" s="1" t="s">
        <v>1260</v>
      </c>
      <c r="H84" s="1" t="s">
        <v>1261</v>
      </c>
      <c r="I84" s="1" t="s">
        <v>19</v>
      </c>
      <c r="J84" s="1" t="s">
        <v>6</v>
      </c>
      <c r="K84" s="1" t="s">
        <v>14</v>
      </c>
      <c r="L84" s="1">
        <v>6555927</v>
      </c>
      <c r="M84" s="2">
        <v>43530</v>
      </c>
      <c r="N84" s="1" t="s">
        <v>8</v>
      </c>
      <c r="O84" s="2">
        <v>44625</v>
      </c>
    </row>
    <row r="85" spans="1:15" x14ac:dyDescent="0.3">
      <c r="A85" s="1" t="s">
        <v>1265</v>
      </c>
      <c r="B85" s="1" t="str">
        <f>"derek nicholas"</f>
        <v>derek nicholas</v>
      </c>
      <c r="C85" s="1" t="s">
        <v>1266</v>
      </c>
      <c r="F85" s="1" t="s">
        <v>513</v>
      </c>
      <c r="G85" s="1" t="s">
        <v>115</v>
      </c>
      <c r="H85" s="1" t="s">
        <v>1267</v>
      </c>
      <c r="I85" s="1" t="s">
        <v>5</v>
      </c>
      <c r="J85" s="1" t="s">
        <v>6</v>
      </c>
      <c r="K85" s="1" t="s">
        <v>14</v>
      </c>
      <c r="M85" s="2">
        <v>43530</v>
      </c>
      <c r="N85" s="1" t="s">
        <v>8</v>
      </c>
      <c r="O85" s="2">
        <v>44625</v>
      </c>
    </row>
    <row r="86" spans="1:15" ht="28.8" x14ac:dyDescent="0.3">
      <c r="A86" s="1" t="s">
        <v>164</v>
      </c>
      <c r="B86" s="1" t="str">
        <f>"Home Fix Plumbing &amp; Heating"</f>
        <v>Home Fix Plumbing &amp; Heating</v>
      </c>
      <c r="C86" s="1" t="s">
        <v>165</v>
      </c>
      <c r="F86" s="1" t="s">
        <v>166</v>
      </c>
      <c r="G86" s="1" t="s">
        <v>162</v>
      </c>
      <c r="H86" s="1" t="s">
        <v>167</v>
      </c>
      <c r="I86" s="1" t="s">
        <v>19</v>
      </c>
      <c r="J86" s="1" t="s">
        <v>6</v>
      </c>
      <c r="K86" s="1" t="s">
        <v>34</v>
      </c>
      <c r="M86" s="2">
        <v>43529</v>
      </c>
      <c r="N86" s="1" t="s">
        <v>8</v>
      </c>
      <c r="O86" s="2">
        <v>44624</v>
      </c>
    </row>
    <row r="87" spans="1:15" ht="28.8" x14ac:dyDescent="0.3">
      <c r="A87" s="1" t="s">
        <v>168</v>
      </c>
      <c r="B87" s="1" t="str">
        <f>"Centronica LTD"</f>
        <v>Centronica LTD</v>
      </c>
      <c r="C87" s="1" t="s">
        <v>169</v>
      </c>
      <c r="F87" s="1" t="s">
        <v>170</v>
      </c>
      <c r="H87" s="1" t="s">
        <v>171</v>
      </c>
      <c r="I87" s="1" t="s">
        <v>19</v>
      </c>
      <c r="J87" s="1" t="s">
        <v>6</v>
      </c>
      <c r="K87" s="1" t="s">
        <v>34</v>
      </c>
      <c r="L87" s="1">
        <v>11597135</v>
      </c>
      <c r="M87" s="2">
        <v>43529</v>
      </c>
      <c r="N87" s="1" t="s">
        <v>8</v>
      </c>
      <c r="O87" s="2">
        <v>44624</v>
      </c>
    </row>
    <row r="88" spans="1:15" ht="43.2" x14ac:dyDescent="0.3">
      <c r="A88" s="1" t="s">
        <v>176</v>
      </c>
      <c r="B88" s="1" t="str">
        <f>"Lewis Mcloughlin"</f>
        <v>Lewis Mcloughlin</v>
      </c>
      <c r="C88" s="1" t="s">
        <v>177</v>
      </c>
      <c r="D88" s="1" t="s">
        <v>178</v>
      </c>
      <c r="F88" s="1" t="s">
        <v>179</v>
      </c>
      <c r="G88" s="1" t="s">
        <v>180</v>
      </c>
      <c r="H88" s="1" t="s">
        <v>181</v>
      </c>
      <c r="I88" s="1" t="s">
        <v>5</v>
      </c>
      <c r="J88" s="1" t="s">
        <v>67</v>
      </c>
      <c r="K88" s="1" t="s">
        <v>14</v>
      </c>
      <c r="M88" s="2">
        <v>43529</v>
      </c>
      <c r="N88" s="1" t="s">
        <v>8</v>
      </c>
      <c r="O88" s="1" t="s">
        <v>68</v>
      </c>
    </row>
    <row r="89" spans="1:15" ht="28.8" x14ac:dyDescent="0.3">
      <c r="A89" s="1" t="s">
        <v>182</v>
      </c>
      <c r="B89" s="1" t="str">
        <f>"PEMBROKESHIRE COUNTY COUNCIL"</f>
        <v>PEMBROKESHIRE COUNTY COUNCIL</v>
      </c>
      <c r="C89" s="1" t="s">
        <v>183</v>
      </c>
      <c r="D89" s="1" t="s">
        <v>184</v>
      </c>
      <c r="E89" s="1" t="s">
        <v>185</v>
      </c>
      <c r="F89" s="1" t="s">
        <v>186</v>
      </c>
      <c r="H89" s="1" t="s">
        <v>187</v>
      </c>
      <c r="I89" s="1" t="s">
        <v>188</v>
      </c>
      <c r="J89" s="1" t="s">
        <v>6</v>
      </c>
      <c r="K89" s="1" t="s">
        <v>14</v>
      </c>
      <c r="M89" s="2">
        <v>43529</v>
      </c>
      <c r="N89" s="1" t="s">
        <v>8</v>
      </c>
      <c r="O89" s="2">
        <v>44624</v>
      </c>
    </row>
    <row r="90" spans="1:15" ht="43.2" x14ac:dyDescent="0.3">
      <c r="A90" s="1" t="s">
        <v>189</v>
      </c>
      <c r="B90" s="1" t="str">
        <f>"YHA England and Wales"</f>
        <v>YHA England and Wales</v>
      </c>
      <c r="C90" s="1" t="s">
        <v>190</v>
      </c>
      <c r="D90" s="1" t="s">
        <v>191</v>
      </c>
      <c r="F90" s="1" t="s">
        <v>192</v>
      </c>
      <c r="G90" s="1" t="s">
        <v>193</v>
      </c>
      <c r="H90" s="1" t="s">
        <v>194</v>
      </c>
      <c r="I90" s="1" t="s">
        <v>125</v>
      </c>
      <c r="J90" s="1" t="s">
        <v>67</v>
      </c>
      <c r="K90" s="1" t="s">
        <v>14</v>
      </c>
      <c r="M90" s="2">
        <v>43529</v>
      </c>
      <c r="N90" s="1" t="s">
        <v>8</v>
      </c>
      <c r="O90" s="1" t="s">
        <v>68</v>
      </c>
    </row>
    <row r="91" spans="1:15" ht="43.2" x14ac:dyDescent="0.3">
      <c r="A91" s="1" t="s">
        <v>200</v>
      </c>
      <c r="B91" s="1" t="str">
        <f>"JMG Lifts LTD"</f>
        <v>JMG Lifts LTD</v>
      </c>
      <c r="C91" s="1" t="s">
        <v>201</v>
      </c>
      <c r="F91" s="1" t="s">
        <v>123</v>
      </c>
      <c r="G91" s="1" t="s">
        <v>27</v>
      </c>
      <c r="H91" s="1" t="s">
        <v>202</v>
      </c>
      <c r="I91" s="1" t="s">
        <v>19</v>
      </c>
      <c r="J91" s="1" t="s">
        <v>67</v>
      </c>
      <c r="K91" s="1" t="s">
        <v>14</v>
      </c>
      <c r="L91" s="1">
        <v>9233366</v>
      </c>
      <c r="M91" s="2">
        <v>43529</v>
      </c>
      <c r="N91" s="1" t="s">
        <v>8</v>
      </c>
      <c r="O91" s="1" t="s">
        <v>68</v>
      </c>
    </row>
    <row r="92" spans="1:15" ht="28.8" x14ac:dyDescent="0.3">
      <c r="A92" s="1" t="s">
        <v>207</v>
      </c>
      <c r="B92" s="1" t="str">
        <f>"Whitchurch Windows LTD"</f>
        <v>Whitchurch Windows LTD</v>
      </c>
      <c r="C92" s="1" t="s">
        <v>208</v>
      </c>
      <c r="D92" s="1" t="s">
        <v>209</v>
      </c>
      <c r="E92" s="1" t="s">
        <v>210</v>
      </c>
      <c r="F92" s="1" t="s">
        <v>123</v>
      </c>
      <c r="G92" s="1" t="s">
        <v>211</v>
      </c>
      <c r="I92" s="1" t="s">
        <v>19</v>
      </c>
      <c r="J92" s="1" t="s">
        <v>6</v>
      </c>
      <c r="K92" s="1" t="s">
        <v>14</v>
      </c>
      <c r="M92" s="2">
        <v>43529</v>
      </c>
      <c r="N92" s="1" t="s">
        <v>8</v>
      </c>
      <c r="O92" s="2">
        <v>44624</v>
      </c>
    </row>
    <row r="93" spans="1:15" ht="28.8" x14ac:dyDescent="0.3">
      <c r="A93" s="1" t="s">
        <v>1221</v>
      </c>
      <c r="B93" s="1" t="str">
        <f>"Timothy Lawrie"</f>
        <v>Timothy Lawrie</v>
      </c>
      <c r="C93" s="1" t="s">
        <v>1222</v>
      </c>
      <c r="F93" s="1" t="s">
        <v>32</v>
      </c>
      <c r="G93" s="1" t="s">
        <v>109</v>
      </c>
      <c r="H93" s="1" t="s">
        <v>1223</v>
      </c>
      <c r="I93" s="1" t="s">
        <v>5</v>
      </c>
      <c r="J93" s="1" t="s">
        <v>6</v>
      </c>
      <c r="K93" s="1" t="s">
        <v>14</v>
      </c>
      <c r="M93" s="2">
        <v>43529</v>
      </c>
      <c r="N93" s="1" t="s">
        <v>8</v>
      </c>
      <c r="O93" s="2">
        <v>44624</v>
      </c>
    </row>
    <row r="94" spans="1:15" ht="28.8" x14ac:dyDescent="0.3">
      <c r="A94" s="1" t="s">
        <v>1224</v>
      </c>
      <c r="B94" s="1" t="str">
        <f>"Ben Griffiths Ben Griffiths Plant Hire"</f>
        <v>Ben Griffiths Ben Griffiths Plant Hire</v>
      </c>
      <c r="C94" s="1" t="s">
        <v>1225</v>
      </c>
      <c r="F94" s="1" t="s">
        <v>1226</v>
      </c>
      <c r="G94" s="1" t="s">
        <v>51</v>
      </c>
      <c r="H94" s="1" t="s">
        <v>1227</v>
      </c>
      <c r="I94" s="1" t="s">
        <v>5</v>
      </c>
      <c r="J94" s="1" t="s">
        <v>6</v>
      </c>
      <c r="K94" s="1" t="s">
        <v>366</v>
      </c>
      <c r="M94" s="2">
        <v>43529</v>
      </c>
      <c r="N94" s="1" t="s">
        <v>8</v>
      </c>
      <c r="O94" s="2">
        <v>44624</v>
      </c>
    </row>
    <row r="95" spans="1:15" ht="28.8" x14ac:dyDescent="0.3">
      <c r="A95" s="1" t="s">
        <v>1228</v>
      </c>
      <c r="B95" s="1" t="str">
        <f>"Mp Paver Hire &amp; Surfacing Ltd"</f>
        <v>Mp Paver Hire &amp; Surfacing Ltd</v>
      </c>
      <c r="C95" s="1" t="s">
        <v>1229</v>
      </c>
      <c r="D95" s="1" t="s">
        <v>496</v>
      </c>
      <c r="F95" s="1" t="s">
        <v>1230</v>
      </c>
      <c r="G95" s="1" t="s">
        <v>162</v>
      </c>
      <c r="H95" s="1" t="s">
        <v>1231</v>
      </c>
      <c r="I95" s="1" t="s">
        <v>19</v>
      </c>
      <c r="J95" s="1" t="s">
        <v>6</v>
      </c>
      <c r="K95" s="1" t="s">
        <v>366</v>
      </c>
      <c r="M95" s="2">
        <v>43529</v>
      </c>
      <c r="N95" s="1" t="s">
        <v>8</v>
      </c>
      <c r="O95" s="2">
        <v>44624</v>
      </c>
    </row>
    <row r="96" spans="1:15" ht="28.8" x14ac:dyDescent="0.3">
      <c r="A96" s="1" t="s">
        <v>1232</v>
      </c>
      <c r="B96" s="1" t="str">
        <f>"Leyton Williams Haulage"</f>
        <v>Leyton Williams Haulage</v>
      </c>
      <c r="C96" s="1" t="s">
        <v>1233</v>
      </c>
      <c r="D96" s="1" t="s">
        <v>1234</v>
      </c>
      <c r="E96" s="1" t="s">
        <v>1235</v>
      </c>
      <c r="F96" s="1" t="s">
        <v>641</v>
      </c>
      <c r="G96" s="1" t="s">
        <v>642</v>
      </c>
      <c r="H96" s="1" t="s">
        <v>1236</v>
      </c>
      <c r="I96" s="1" t="s">
        <v>19</v>
      </c>
      <c r="J96" s="1" t="s">
        <v>6</v>
      </c>
      <c r="K96" s="1" t="s">
        <v>14</v>
      </c>
      <c r="L96" s="1">
        <v>4728083</v>
      </c>
      <c r="M96" s="2">
        <v>43529</v>
      </c>
      <c r="N96" s="1" t="s">
        <v>8</v>
      </c>
      <c r="O96" s="2">
        <v>44624</v>
      </c>
    </row>
    <row r="97" spans="1:15" ht="28.8" x14ac:dyDescent="0.3">
      <c r="A97" s="1" t="s">
        <v>1242</v>
      </c>
      <c r="B97" s="1" t="str">
        <f>"Trevor Gwalchmai Trevor Gwalchmai"</f>
        <v>Trevor Gwalchmai Trevor Gwalchmai</v>
      </c>
      <c r="C97" s="1" t="s">
        <v>1243</v>
      </c>
      <c r="F97" s="1" t="s">
        <v>161</v>
      </c>
      <c r="G97" s="1" t="s">
        <v>162</v>
      </c>
      <c r="H97" s="1" t="s">
        <v>1244</v>
      </c>
      <c r="I97" s="1" t="s">
        <v>5</v>
      </c>
      <c r="J97" s="1" t="s">
        <v>6</v>
      </c>
      <c r="K97" s="1" t="s">
        <v>14</v>
      </c>
      <c r="M97" s="2">
        <v>43529</v>
      </c>
      <c r="N97" s="1" t="s">
        <v>8</v>
      </c>
      <c r="O97" s="2">
        <v>44624</v>
      </c>
    </row>
    <row r="98" spans="1:15" ht="28.8" x14ac:dyDescent="0.3">
      <c r="A98" s="1" t="s">
        <v>1522</v>
      </c>
      <c r="B98" s="1" t="str">
        <f>"abertawe metal recycling ltd"</f>
        <v>abertawe metal recycling ltd</v>
      </c>
      <c r="C98" s="1" t="s">
        <v>1523</v>
      </c>
      <c r="D98" s="1" t="s">
        <v>1524</v>
      </c>
      <c r="F98" s="1" t="s">
        <v>1525</v>
      </c>
      <c r="H98" s="1" t="s">
        <v>1526</v>
      </c>
      <c r="I98" s="1" t="s">
        <v>19</v>
      </c>
      <c r="J98" s="1" t="s">
        <v>6</v>
      </c>
      <c r="K98" s="1" t="s">
        <v>34</v>
      </c>
      <c r="M98" s="2">
        <v>43529</v>
      </c>
      <c r="N98" s="1" t="s">
        <v>8</v>
      </c>
      <c r="O98" s="2">
        <v>44624</v>
      </c>
    </row>
    <row r="99" spans="1:15" x14ac:dyDescent="0.3">
      <c r="A99" s="1" t="s">
        <v>1527</v>
      </c>
      <c r="B99" s="1" t="str">
        <f>"Stephen Watkins"</f>
        <v>Stephen Watkins</v>
      </c>
      <c r="C99" s="1" t="s">
        <v>1528</v>
      </c>
      <c r="D99" s="1" t="s">
        <v>1529</v>
      </c>
      <c r="F99" s="1" t="s">
        <v>1058</v>
      </c>
      <c r="G99" s="1" t="s">
        <v>381</v>
      </c>
      <c r="H99" s="1" t="s">
        <v>1530</v>
      </c>
      <c r="I99" s="1" t="s">
        <v>5</v>
      </c>
      <c r="J99" s="1" t="s">
        <v>6</v>
      </c>
      <c r="K99" s="1" t="s">
        <v>14</v>
      </c>
      <c r="M99" s="2">
        <v>43529</v>
      </c>
      <c r="N99" s="1" t="s">
        <v>8</v>
      </c>
      <c r="O99" s="2">
        <v>44624</v>
      </c>
    </row>
    <row r="100" spans="1:15" ht="28.8" x14ac:dyDescent="0.3">
      <c r="A100" s="1" t="s">
        <v>1531</v>
      </c>
      <c r="B100" s="1" t="str">
        <f>"Vaughan Construction Ltd"</f>
        <v>Vaughan Construction Ltd</v>
      </c>
      <c r="C100" s="1" t="s">
        <v>1532</v>
      </c>
      <c r="D100" s="1" t="s">
        <v>1533</v>
      </c>
      <c r="E100" s="1" t="s">
        <v>1534</v>
      </c>
      <c r="F100" s="1" t="s">
        <v>42</v>
      </c>
      <c r="G100" s="1" t="s">
        <v>710</v>
      </c>
      <c r="H100" s="1" t="s">
        <v>1535</v>
      </c>
      <c r="I100" s="1" t="s">
        <v>19</v>
      </c>
      <c r="J100" s="1" t="s">
        <v>6</v>
      </c>
      <c r="K100" s="1" t="s">
        <v>14</v>
      </c>
      <c r="M100" s="2">
        <v>43529</v>
      </c>
      <c r="N100" s="1" t="s">
        <v>8</v>
      </c>
      <c r="O100" s="2">
        <v>44624</v>
      </c>
    </row>
    <row r="101" spans="1:15" ht="43.2" x14ac:dyDescent="0.3">
      <c r="A101" s="1" t="s">
        <v>1536</v>
      </c>
      <c r="B101" s="1" t="str">
        <f>"Stephen Scott"</f>
        <v>Stephen Scott</v>
      </c>
      <c r="C101" s="1" t="s">
        <v>1537</v>
      </c>
      <c r="D101" s="1" t="s">
        <v>1538</v>
      </c>
      <c r="G101" s="1" t="s">
        <v>3</v>
      </c>
      <c r="H101" s="1" t="s">
        <v>1539</v>
      </c>
      <c r="I101" s="1" t="s">
        <v>5</v>
      </c>
      <c r="J101" s="1" t="s">
        <v>67</v>
      </c>
      <c r="K101" s="1" t="s">
        <v>14</v>
      </c>
      <c r="M101" s="2">
        <v>43529</v>
      </c>
      <c r="N101" s="1" t="s">
        <v>8</v>
      </c>
      <c r="O101" s="1" t="s">
        <v>68</v>
      </c>
    </row>
    <row r="102" spans="1:15" x14ac:dyDescent="0.3">
      <c r="A102" s="1" t="s">
        <v>1540</v>
      </c>
      <c r="B102" s="1" t="str">
        <f>"David Wyn Williams"</f>
        <v>David Wyn Williams</v>
      </c>
      <c r="C102" s="1" t="s">
        <v>1541</v>
      </c>
      <c r="D102" s="1" t="s">
        <v>1542</v>
      </c>
      <c r="F102" s="1" t="s">
        <v>790</v>
      </c>
      <c r="G102" s="1" t="s">
        <v>3</v>
      </c>
      <c r="H102" s="1" t="s">
        <v>1543</v>
      </c>
      <c r="I102" s="1" t="s">
        <v>5</v>
      </c>
      <c r="J102" s="1" t="s">
        <v>6</v>
      </c>
      <c r="K102" s="1" t="s">
        <v>14</v>
      </c>
      <c r="M102" s="2">
        <v>43529</v>
      </c>
      <c r="N102" s="1" t="s">
        <v>8</v>
      </c>
      <c r="O102" s="2">
        <v>44624</v>
      </c>
    </row>
    <row r="103" spans="1:15" ht="43.2" x14ac:dyDescent="0.3">
      <c r="A103" s="1" t="s">
        <v>759</v>
      </c>
      <c r="B103" s="1" t="str">
        <f>"Peter Rees"</f>
        <v>Peter Rees</v>
      </c>
      <c r="C103" s="1" t="s">
        <v>760</v>
      </c>
      <c r="D103" s="1" t="s">
        <v>761</v>
      </c>
      <c r="F103" s="1" t="s">
        <v>64</v>
      </c>
      <c r="G103" s="1" t="s">
        <v>65</v>
      </c>
      <c r="H103" s="1" t="s">
        <v>762</v>
      </c>
      <c r="I103" s="1" t="s">
        <v>5</v>
      </c>
      <c r="J103" s="1" t="s">
        <v>67</v>
      </c>
      <c r="K103" s="1" t="s">
        <v>14</v>
      </c>
      <c r="M103" s="2">
        <v>43528</v>
      </c>
      <c r="N103" s="1" t="s">
        <v>8</v>
      </c>
      <c r="O103" s="1" t="s">
        <v>68</v>
      </c>
    </row>
    <row r="104" spans="1:15" ht="43.2" x14ac:dyDescent="0.3">
      <c r="A104" s="1" t="s">
        <v>1193</v>
      </c>
      <c r="B104" s="1" t="str">
        <f>"Edward Aston"</f>
        <v>Edward Aston</v>
      </c>
      <c r="C104" s="1" t="s">
        <v>1194</v>
      </c>
      <c r="D104" s="1" t="s">
        <v>1195</v>
      </c>
      <c r="E104" s="1" t="s">
        <v>1196</v>
      </c>
      <c r="F104" s="1" t="s">
        <v>930</v>
      </c>
      <c r="G104" s="1" t="s">
        <v>211</v>
      </c>
      <c r="H104" s="1" t="s">
        <v>1197</v>
      </c>
      <c r="I104" s="1" t="s">
        <v>5</v>
      </c>
      <c r="J104" s="1" t="s">
        <v>67</v>
      </c>
      <c r="K104" s="1" t="s">
        <v>14</v>
      </c>
      <c r="M104" s="2">
        <v>43528</v>
      </c>
      <c r="N104" s="1" t="s">
        <v>8</v>
      </c>
      <c r="O104" s="1" t="s">
        <v>68</v>
      </c>
    </row>
    <row r="105" spans="1:15" ht="43.2" x14ac:dyDescent="0.3">
      <c r="A105" s="1" t="s">
        <v>1198</v>
      </c>
      <c r="B105" s="1" t="str">
        <f>"Absolute associates LTD"</f>
        <v>Absolute associates LTD</v>
      </c>
      <c r="C105" s="1" t="s">
        <v>1199</v>
      </c>
      <c r="D105" s="1" t="s">
        <v>1200</v>
      </c>
      <c r="E105" s="1" t="s">
        <v>1201</v>
      </c>
      <c r="F105" s="1" t="s">
        <v>1093</v>
      </c>
      <c r="G105" s="1" t="s">
        <v>103</v>
      </c>
      <c r="H105" s="1" t="s">
        <v>1202</v>
      </c>
      <c r="I105" s="1" t="s">
        <v>19</v>
      </c>
      <c r="J105" s="1" t="s">
        <v>67</v>
      </c>
      <c r="K105" s="1" t="s">
        <v>14</v>
      </c>
      <c r="L105" s="1">
        <v>4440480</v>
      </c>
      <c r="M105" s="2">
        <v>43528</v>
      </c>
      <c r="N105" s="1" t="s">
        <v>8</v>
      </c>
      <c r="O105" s="1" t="s">
        <v>68</v>
      </c>
    </row>
    <row r="106" spans="1:15" ht="43.2" x14ac:dyDescent="0.3">
      <c r="A106" s="1" t="s">
        <v>1203</v>
      </c>
      <c r="B106" s="1" t="str">
        <f>"Beacon Plant LTD"</f>
        <v>Beacon Plant LTD</v>
      </c>
      <c r="C106" s="1" t="s">
        <v>1204</v>
      </c>
      <c r="D106" s="1" t="s">
        <v>1205</v>
      </c>
      <c r="F106" s="1" t="s">
        <v>1206</v>
      </c>
      <c r="G106" s="1" t="s">
        <v>162</v>
      </c>
      <c r="H106" s="1" t="s">
        <v>1207</v>
      </c>
      <c r="I106" s="1" t="s">
        <v>19</v>
      </c>
      <c r="J106" s="1" t="s">
        <v>67</v>
      </c>
      <c r="K106" s="1" t="s">
        <v>14</v>
      </c>
      <c r="L106" s="1">
        <v>6924491</v>
      </c>
      <c r="M106" s="2">
        <v>43528</v>
      </c>
      <c r="N106" s="1" t="s">
        <v>8</v>
      </c>
      <c r="O106" s="1" t="s">
        <v>68</v>
      </c>
    </row>
    <row r="107" spans="1:15" ht="28.8" x14ac:dyDescent="0.3">
      <c r="A107" s="1" t="s">
        <v>1211</v>
      </c>
      <c r="B107" s="1" t="str">
        <f>"CDL Building and Carpentry"</f>
        <v>CDL Building and Carpentry</v>
      </c>
      <c r="C107" s="1" t="s">
        <v>1212</v>
      </c>
      <c r="D107" s="1" t="s">
        <v>1213</v>
      </c>
      <c r="E107" s="1" t="s">
        <v>1214</v>
      </c>
      <c r="F107" s="1" t="s">
        <v>64</v>
      </c>
      <c r="G107" s="1" t="s">
        <v>65</v>
      </c>
      <c r="H107" s="1" t="s">
        <v>1215</v>
      </c>
      <c r="I107" s="1" t="s">
        <v>19</v>
      </c>
      <c r="J107" s="1" t="s">
        <v>6</v>
      </c>
      <c r="K107" s="1" t="s">
        <v>7</v>
      </c>
      <c r="L107" s="1">
        <v>8483054</v>
      </c>
      <c r="M107" s="2">
        <v>43528</v>
      </c>
      <c r="N107" s="1" t="s">
        <v>8</v>
      </c>
      <c r="O107" s="2">
        <v>44623</v>
      </c>
    </row>
    <row r="108" spans="1:15" ht="43.2" x14ac:dyDescent="0.3">
      <c r="A108" s="1" t="s">
        <v>1216</v>
      </c>
      <c r="B108" s="1" t="str">
        <f>"Peter Lightfoot"</f>
        <v>Peter Lightfoot</v>
      </c>
      <c r="I108" s="1" t="s">
        <v>5</v>
      </c>
      <c r="J108" s="1" t="s">
        <v>67</v>
      </c>
      <c r="K108" s="1" t="s">
        <v>14</v>
      </c>
      <c r="M108" s="2">
        <v>43528</v>
      </c>
      <c r="N108" s="1" t="s">
        <v>8</v>
      </c>
      <c r="O108" s="1" t="s">
        <v>68</v>
      </c>
    </row>
    <row r="109" spans="1:15" ht="28.8" x14ac:dyDescent="0.3">
      <c r="A109" s="1" t="s">
        <v>1498</v>
      </c>
      <c r="B109" s="1" t="str">
        <f>"Relay man and Van services"</f>
        <v>Relay man and Van services</v>
      </c>
      <c r="C109" s="1">
        <v>3</v>
      </c>
      <c r="D109" s="1" t="s">
        <v>1499</v>
      </c>
      <c r="E109" s="1" t="s">
        <v>1479</v>
      </c>
      <c r="G109" s="1" t="s">
        <v>324</v>
      </c>
      <c r="H109" s="1" t="s">
        <v>1500</v>
      </c>
      <c r="I109" s="1" t="s">
        <v>125</v>
      </c>
      <c r="J109" s="1" t="s">
        <v>6</v>
      </c>
      <c r="K109" s="1" t="s">
        <v>14</v>
      </c>
      <c r="M109" s="2">
        <v>43528</v>
      </c>
      <c r="N109" s="1" t="s">
        <v>8</v>
      </c>
      <c r="O109" s="2">
        <v>44623</v>
      </c>
    </row>
    <row r="110" spans="1:15" ht="28.8" x14ac:dyDescent="0.3">
      <c r="A110" s="1" t="s">
        <v>1505</v>
      </c>
      <c r="B110" s="1" t="str">
        <f>"A E Energy Solutions Ltd"</f>
        <v>A E Energy Solutions Ltd</v>
      </c>
      <c r="C110" s="1" t="s">
        <v>1506</v>
      </c>
      <c r="D110" s="1" t="s">
        <v>1507</v>
      </c>
      <c r="G110" s="1" t="s">
        <v>123</v>
      </c>
      <c r="H110" s="1" t="s">
        <v>1508</v>
      </c>
      <c r="I110" s="1" t="s">
        <v>19</v>
      </c>
      <c r="J110" s="1" t="s">
        <v>6</v>
      </c>
      <c r="K110" s="1" t="s">
        <v>14</v>
      </c>
      <c r="M110" s="2">
        <v>43528</v>
      </c>
      <c r="N110" s="1" t="s">
        <v>8</v>
      </c>
      <c r="O110" s="2">
        <v>44623</v>
      </c>
    </row>
    <row r="111" spans="1:15" ht="43.2" x14ac:dyDescent="0.3">
      <c r="A111" s="1" t="s">
        <v>1513</v>
      </c>
      <c r="B111" s="1" t="str">
        <f>"J &amp; S Partnership"</f>
        <v>J &amp; S Partnership</v>
      </c>
      <c r="C111" s="1" t="s">
        <v>1514</v>
      </c>
      <c r="F111" s="1" t="s">
        <v>123</v>
      </c>
      <c r="G111" s="1" t="s">
        <v>27</v>
      </c>
      <c r="H111" s="1" t="s">
        <v>1515</v>
      </c>
      <c r="I111" s="1" t="s">
        <v>125</v>
      </c>
      <c r="J111" s="1" t="s">
        <v>67</v>
      </c>
      <c r="K111" s="1" t="s">
        <v>14</v>
      </c>
      <c r="M111" s="2">
        <v>43528</v>
      </c>
      <c r="N111" s="1" t="s">
        <v>8</v>
      </c>
      <c r="O111" s="1" t="s">
        <v>68</v>
      </c>
    </row>
    <row r="112" spans="1:15" ht="28.8" x14ac:dyDescent="0.3">
      <c r="A112" s="1" t="s">
        <v>148</v>
      </c>
      <c r="B112" s="1" t="str">
        <f>"geraint jones G J Roofing"</f>
        <v>geraint jones G J Roofing</v>
      </c>
      <c r="C112" s="1" t="s">
        <v>149</v>
      </c>
      <c r="D112" s="1" t="s">
        <v>150</v>
      </c>
      <c r="F112" s="1" t="s">
        <v>151</v>
      </c>
      <c r="H112" s="1" t="s">
        <v>152</v>
      </c>
      <c r="I112" s="1" t="s">
        <v>5</v>
      </c>
      <c r="J112" s="1" t="s">
        <v>6</v>
      </c>
      <c r="K112" s="1" t="s">
        <v>34</v>
      </c>
      <c r="M112" s="2">
        <v>43525</v>
      </c>
      <c r="N112" s="1" t="s">
        <v>8</v>
      </c>
      <c r="O112" s="2">
        <v>44620</v>
      </c>
    </row>
    <row r="113" spans="1:15" ht="28.8" x14ac:dyDescent="0.3">
      <c r="A113" s="1" t="s">
        <v>153</v>
      </c>
      <c r="B113" s="1" t="str">
        <f>"S G Commercial Cleaning LTD"</f>
        <v>S G Commercial Cleaning LTD</v>
      </c>
      <c r="C113" s="1" t="s">
        <v>154</v>
      </c>
      <c r="D113" s="1" t="s">
        <v>155</v>
      </c>
      <c r="F113" s="1" t="s">
        <v>156</v>
      </c>
      <c r="G113" s="1" t="s">
        <v>103</v>
      </c>
      <c r="H113" s="1" t="s">
        <v>157</v>
      </c>
      <c r="I113" s="1" t="s">
        <v>19</v>
      </c>
      <c r="J113" s="1" t="s">
        <v>6</v>
      </c>
      <c r="K113" s="1" t="s">
        <v>14</v>
      </c>
      <c r="L113" s="1">
        <v>9399808</v>
      </c>
      <c r="M113" s="2">
        <v>43525</v>
      </c>
      <c r="N113" s="1" t="s">
        <v>8</v>
      </c>
      <c r="O113" s="2">
        <v>44620</v>
      </c>
    </row>
    <row r="114" spans="1:15" ht="43.2" x14ac:dyDescent="0.3">
      <c r="A114" s="1" t="s">
        <v>158</v>
      </c>
      <c r="B114" s="1" t="str">
        <f>"Barry Thomas"</f>
        <v>Barry Thomas</v>
      </c>
      <c r="C114" s="1" t="s">
        <v>159</v>
      </c>
      <c r="D114" s="1" t="s">
        <v>160</v>
      </c>
      <c r="F114" s="1" t="s">
        <v>161</v>
      </c>
      <c r="G114" s="1" t="s">
        <v>162</v>
      </c>
      <c r="H114" s="1" t="s">
        <v>163</v>
      </c>
      <c r="I114" s="1" t="s">
        <v>5</v>
      </c>
      <c r="J114" s="1" t="s">
        <v>67</v>
      </c>
      <c r="K114" s="1" t="s">
        <v>14</v>
      </c>
      <c r="M114" s="2">
        <v>43525</v>
      </c>
      <c r="N114" s="1" t="s">
        <v>8</v>
      </c>
      <c r="O114" s="1" t="s">
        <v>68</v>
      </c>
    </row>
    <row r="115" spans="1:15" ht="28.8" x14ac:dyDescent="0.3">
      <c r="A115" s="1" t="s">
        <v>510</v>
      </c>
      <c r="B115" s="1" t="str">
        <f>"Patrick Busby Busby Property Maintenance"</f>
        <v>Patrick Busby Busby Property Maintenance</v>
      </c>
      <c r="C115" s="1" t="s">
        <v>511</v>
      </c>
      <c r="D115" s="1" t="s">
        <v>512</v>
      </c>
      <c r="F115" s="1" t="s">
        <v>513</v>
      </c>
      <c r="G115" s="1" t="s">
        <v>115</v>
      </c>
      <c r="H115" s="1" t="s">
        <v>514</v>
      </c>
      <c r="I115" s="1" t="s">
        <v>5</v>
      </c>
      <c r="J115" s="1" t="s">
        <v>6</v>
      </c>
      <c r="K115" s="1" t="s">
        <v>14</v>
      </c>
      <c r="M115" s="2">
        <v>43525</v>
      </c>
      <c r="N115" s="1" t="s">
        <v>8</v>
      </c>
      <c r="O115" s="2">
        <v>44620</v>
      </c>
    </row>
    <row r="116" spans="1:15" x14ac:dyDescent="0.3">
      <c r="A116" s="1" t="s">
        <v>755</v>
      </c>
      <c r="B116" s="1" t="str">
        <f>"Phillip John"</f>
        <v>Phillip John</v>
      </c>
      <c r="C116" s="1" t="s">
        <v>756</v>
      </c>
      <c r="D116" s="1" t="s">
        <v>757</v>
      </c>
      <c r="F116" s="1" t="s">
        <v>156</v>
      </c>
      <c r="G116" s="1" t="s">
        <v>156</v>
      </c>
      <c r="H116" s="1" t="s">
        <v>758</v>
      </c>
      <c r="I116" s="1" t="s">
        <v>5</v>
      </c>
      <c r="J116" s="1" t="s">
        <v>6</v>
      </c>
      <c r="K116" s="1" t="s">
        <v>14</v>
      </c>
      <c r="M116" s="2">
        <v>43525</v>
      </c>
      <c r="N116" s="1" t="s">
        <v>8</v>
      </c>
      <c r="O116" s="2">
        <v>44620</v>
      </c>
    </row>
    <row r="117" spans="1:15" ht="43.2" x14ac:dyDescent="0.3">
      <c r="A117" s="1" t="s">
        <v>1102</v>
      </c>
      <c r="B117" s="1" t="str">
        <f>"KCE haulage Limited"</f>
        <v>KCE haulage Limited</v>
      </c>
      <c r="C117" s="1" t="s">
        <v>1103</v>
      </c>
      <c r="D117" s="1" t="s">
        <v>1104</v>
      </c>
      <c r="F117" s="1" t="s">
        <v>790</v>
      </c>
      <c r="H117" s="1" t="s">
        <v>1105</v>
      </c>
      <c r="I117" s="1" t="s">
        <v>19</v>
      </c>
      <c r="J117" s="1" t="s">
        <v>67</v>
      </c>
      <c r="K117" s="1" t="s">
        <v>14</v>
      </c>
      <c r="M117" s="2">
        <v>43525</v>
      </c>
      <c r="N117" s="1" t="s">
        <v>8</v>
      </c>
      <c r="O117" s="1" t="s">
        <v>68</v>
      </c>
    </row>
    <row r="118" spans="1:15" ht="43.2" x14ac:dyDescent="0.3">
      <c r="A118" s="1" t="s">
        <v>1106</v>
      </c>
      <c r="B118" s="1" t="str">
        <f>"Ashley Beck"</f>
        <v>Ashley Beck</v>
      </c>
      <c r="C118" s="1" t="s">
        <v>1107</v>
      </c>
      <c r="F118" s="1" t="s">
        <v>1108</v>
      </c>
      <c r="G118" s="1" t="s">
        <v>679</v>
      </c>
      <c r="H118" s="1" t="s">
        <v>1109</v>
      </c>
      <c r="I118" s="1" t="s">
        <v>5</v>
      </c>
      <c r="J118" s="1" t="s">
        <v>67</v>
      </c>
      <c r="K118" s="1" t="s">
        <v>14</v>
      </c>
      <c r="M118" s="2">
        <v>43525</v>
      </c>
      <c r="N118" s="1" t="s">
        <v>8</v>
      </c>
      <c r="O118" s="1" t="s">
        <v>68</v>
      </c>
    </row>
    <row r="119" spans="1:15" ht="43.2" x14ac:dyDescent="0.3">
      <c r="A119" s="1" t="s">
        <v>1110</v>
      </c>
      <c r="B119" s="1" t="str">
        <f>"Jaswinder Singh"</f>
        <v>Jaswinder Singh</v>
      </c>
      <c r="C119" s="1" t="s">
        <v>1111</v>
      </c>
      <c r="F119" s="1" t="s">
        <v>123</v>
      </c>
      <c r="G119" s="1" t="s">
        <v>27</v>
      </c>
      <c r="H119" s="1" t="s">
        <v>1112</v>
      </c>
      <c r="I119" s="1" t="s">
        <v>5</v>
      </c>
      <c r="J119" s="1" t="s">
        <v>67</v>
      </c>
      <c r="K119" s="1" t="s">
        <v>14</v>
      </c>
      <c r="M119" s="2">
        <v>43525</v>
      </c>
      <c r="N119" s="1" t="s">
        <v>8</v>
      </c>
      <c r="O119" s="1" t="s">
        <v>68</v>
      </c>
    </row>
    <row r="120" spans="1:15" ht="28.8" x14ac:dyDescent="0.3">
      <c r="A120" s="1" t="s">
        <v>1148</v>
      </c>
      <c r="B120" s="1" t="str">
        <f>"Emyr Thomas Environmental Services"</f>
        <v>Emyr Thomas Environmental Services</v>
      </c>
      <c r="C120" s="1" t="s">
        <v>1149</v>
      </c>
      <c r="F120" s="1" t="s">
        <v>119</v>
      </c>
      <c r="G120" s="1" t="s">
        <v>679</v>
      </c>
      <c r="H120" s="1" t="s">
        <v>1150</v>
      </c>
      <c r="I120" s="1" t="s">
        <v>19</v>
      </c>
      <c r="J120" s="1" t="s">
        <v>6</v>
      </c>
      <c r="K120" s="1" t="s">
        <v>24</v>
      </c>
      <c r="M120" s="2">
        <v>43525</v>
      </c>
      <c r="N120" s="1" t="s">
        <v>8</v>
      </c>
      <c r="O120" s="2">
        <v>44620</v>
      </c>
    </row>
    <row r="121" spans="1:15" ht="43.2" x14ac:dyDescent="0.3">
      <c r="A121" s="1" t="s">
        <v>1152</v>
      </c>
      <c r="B121" s="1" t="str">
        <f>"Gavin Evans"</f>
        <v>Gavin Evans</v>
      </c>
      <c r="C121" s="1" t="s">
        <v>1153</v>
      </c>
      <c r="F121" s="1" t="s">
        <v>42</v>
      </c>
      <c r="G121" s="1" t="s">
        <v>51</v>
      </c>
      <c r="H121" s="1" t="s">
        <v>1154</v>
      </c>
      <c r="I121" s="1" t="s">
        <v>5</v>
      </c>
      <c r="J121" s="1" t="s">
        <v>67</v>
      </c>
      <c r="K121" s="1" t="s">
        <v>14</v>
      </c>
      <c r="M121" s="2">
        <v>43525</v>
      </c>
      <c r="N121" s="1" t="s">
        <v>8</v>
      </c>
      <c r="O121" s="1" t="s">
        <v>68</v>
      </c>
    </row>
    <row r="122" spans="1:15" ht="43.2" x14ac:dyDescent="0.3">
      <c r="A122" s="1" t="s">
        <v>1155</v>
      </c>
      <c r="B122" s="1" t="str">
        <f>"Mervyn Newell"</f>
        <v>Mervyn Newell</v>
      </c>
      <c r="C122" s="1" t="s">
        <v>1156</v>
      </c>
      <c r="D122" s="1" t="s">
        <v>1157</v>
      </c>
      <c r="F122" s="1" t="s">
        <v>541</v>
      </c>
      <c r="G122" s="1" t="s">
        <v>51</v>
      </c>
      <c r="H122" s="1" t="s">
        <v>1158</v>
      </c>
      <c r="I122" s="1" t="s">
        <v>5</v>
      </c>
      <c r="J122" s="1" t="s">
        <v>67</v>
      </c>
      <c r="K122" s="1" t="s">
        <v>14</v>
      </c>
      <c r="M122" s="2">
        <v>43525</v>
      </c>
      <c r="N122" s="1" t="s">
        <v>8</v>
      </c>
      <c r="O122" s="1" t="s">
        <v>68</v>
      </c>
    </row>
    <row r="123" spans="1:15" ht="28.8" x14ac:dyDescent="0.3">
      <c r="A123" s="1" t="s">
        <v>1167</v>
      </c>
      <c r="B123" s="1" t="str">
        <f>"Darren  Rothwell  D K Haulage "</f>
        <v xml:space="preserve">Darren  Rothwell  D K Haulage </v>
      </c>
      <c r="C123" s="1" t="s">
        <v>1168</v>
      </c>
      <c r="F123" s="1" t="s">
        <v>1169</v>
      </c>
      <c r="H123" s="1" t="s">
        <v>1170</v>
      </c>
      <c r="I123" s="1" t="s">
        <v>5</v>
      </c>
      <c r="J123" s="1" t="s">
        <v>6</v>
      </c>
      <c r="K123" s="1" t="s">
        <v>14</v>
      </c>
      <c r="M123" s="2">
        <v>43525</v>
      </c>
      <c r="N123" s="1" t="s">
        <v>8</v>
      </c>
      <c r="O123" s="2">
        <v>44620</v>
      </c>
    </row>
    <row r="124" spans="1:15" ht="43.2" x14ac:dyDescent="0.3">
      <c r="A124" s="1" t="s">
        <v>1814</v>
      </c>
      <c r="B124" s="1" t="str">
        <f>"Forestry Services Ltd"</f>
        <v>Forestry Services Ltd</v>
      </c>
      <c r="C124" s="1" t="s">
        <v>1815</v>
      </c>
      <c r="D124" s="1" t="s">
        <v>1816</v>
      </c>
      <c r="E124" s="1" t="s">
        <v>1817</v>
      </c>
      <c r="F124" s="1" t="s">
        <v>1818</v>
      </c>
      <c r="G124" s="1" t="s">
        <v>162</v>
      </c>
      <c r="H124" s="1" t="s">
        <v>1819</v>
      </c>
      <c r="I124" s="1" t="s">
        <v>19</v>
      </c>
      <c r="J124" s="1" t="s">
        <v>67</v>
      </c>
      <c r="K124" s="1" t="s">
        <v>14</v>
      </c>
      <c r="M124" s="2">
        <v>43525</v>
      </c>
      <c r="N124" s="1" t="s">
        <v>8</v>
      </c>
      <c r="O124" s="1" t="s">
        <v>68</v>
      </c>
    </row>
    <row r="125" spans="1:15" ht="43.2" x14ac:dyDescent="0.3">
      <c r="A125" s="1" t="s">
        <v>1820</v>
      </c>
      <c r="B125" s="1" t="str">
        <f>"A D Wheeler Removals &amp; Deliveries"</f>
        <v>A D Wheeler Removals &amp; Deliveries</v>
      </c>
      <c r="C125" s="1" t="s">
        <v>1821</v>
      </c>
      <c r="F125" s="1" t="s">
        <v>198</v>
      </c>
      <c r="H125" s="1" t="s">
        <v>1822</v>
      </c>
      <c r="I125" s="1" t="s">
        <v>19</v>
      </c>
      <c r="J125" s="1" t="s">
        <v>67</v>
      </c>
      <c r="K125" s="1" t="s">
        <v>14</v>
      </c>
      <c r="L125" s="1">
        <v>8527318</v>
      </c>
      <c r="M125" s="2">
        <v>43525</v>
      </c>
      <c r="N125" s="1" t="s">
        <v>8</v>
      </c>
      <c r="O125" s="1" t="s">
        <v>68</v>
      </c>
    </row>
    <row r="126" spans="1:15" ht="43.2" x14ac:dyDescent="0.3">
      <c r="A126" s="1" t="s">
        <v>1823</v>
      </c>
      <c r="B126" s="1" t="str">
        <f>"Gian singh Cheema"</f>
        <v>Gian singh Cheema</v>
      </c>
      <c r="C126" s="1" t="s">
        <v>1824</v>
      </c>
      <c r="D126" s="1" t="s">
        <v>1825</v>
      </c>
      <c r="F126" s="1" t="s">
        <v>825</v>
      </c>
      <c r="G126" s="1" t="s">
        <v>1486</v>
      </c>
      <c r="H126" s="1" t="s">
        <v>1826</v>
      </c>
      <c r="I126" s="1" t="s">
        <v>5</v>
      </c>
      <c r="J126" s="1" t="s">
        <v>67</v>
      </c>
      <c r="K126" s="1" t="s">
        <v>14</v>
      </c>
      <c r="M126" s="2">
        <v>43525</v>
      </c>
      <c r="N126" s="1" t="s">
        <v>8</v>
      </c>
      <c r="O126" s="1" t="s">
        <v>68</v>
      </c>
    </row>
    <row r="127" spans="1:15" ht="28.8" x14ac:dyDescent="0.3">
      <c r="A127" s="1" t="s">
        <v>1827</v>
      </c>
      <c r="B127" s="1" t="str">
        <f>"RTC Building Contractors Limited"</f>
        <v>RTC Building Contractors Limited</v>
      </c>
      <c r="C127" s="1" t="s">
        <v>1828</v>
      </c>
      <c r="D127" s="1" t="s">
        <v>1829</v>
      </c>
      <c r="E127" s="1" t="s">
        <v>354</v>
      </c>
      <c r="H127" s="1" t="s">
        <v>1830</v>
      </c>
      <c r="I127" s="1" t="s">
        <v>19</v>
      </c>
      <c r="J127" s="1" t="s">
        <v>6</v>
      </c>
      <c r="K127" s="1" t="s">
        <v>14</v>
      </c>
      <c r="L127" s="1">
        <v>9193221</v>
      </c>
      <c r="M127" s="2">
        <v>43525</v>
      </c>
      <c r="N127" s="1" t="s">
        <v>8</v>
      </c>
      <c r="O127" s="2">
        <v>44620</v>
      </c>
    </row>
    <row r="128" spans="1:15" ht="43.2" x14ac:dyDescent="0.3">
      <c r="A128" s="1" t="s">
        <v>1778</v>
      </c>
      <c r="B128" s="1" t="str">
        <f>"On George's"</f>
        <v>On George's</v>
      </c>
      <c r="C128" s="1" t="s">
        <v>1779</v>
      </c>
      <c r="D128" s="1" t="s">
        <v>1780</v>
      </c>
      <c r="E128" s="1" t="s">
        <v>1781</v>
      </c>
      <c r="F128" s="1" t="s">
        <v>1063</v>
      </c>
      <c r="G128" s="1" t="s">
        <v>115</v>
      </c>
      <c r="H128" s="1" t="s">
        <v>1782</v>
      </c>
      <c r="I128" s="1" t="s">
        <v>19</v>
      </c>
      <c r="J128" s="1" t="s">
        <v>67</v>
      </c>
      <c r="K128" s="1" t="s">
        <v>14</v>
      </c>
      <c r="L128" s="1">
        <v>11547721</v>
      </c>
      <c r="M128" s="2">
        <v>43524</v>
      </c>
      <c r="N128" s="1" t="s">
        <v>8</v>
      </c>
      <c r="O128" s="1" t="s">
        <v>68</v>
      </c>
    </row>
    <row r="129" spans="1:15" ht="28.8" x14ac:dyDescent="0.3">
      <c r="A129" s="1" t="s">
        <v>1795</v>
      </c>
      <c r="B129" s="1" t="str">
        <f>"Gerald robert piper Piper"</f>
        <v>Gerald robert piper Piper</v>
      </c>
      <c r="C129" s="1" t="s">
        <v>1796</v>
      </c>
      <c r="F129" s="1" t="s">
        <v>156</v>
      </c>
      <c r="G129" s="1" t="s">
        <v>156</v>
      </c>
      <c r="H129" s="1" t="s">
        <v>1797</v>
      </c>
      <c r="I129" s="1" t="s">
        <v>5</v>
      </c>
      <c r="J129" s="1" t="s">
        <v>6</v>
      </c>
      <c r="K129" s="1" t="s">
        <v>14</v>
      </c>
      <c r="M129" s="2">
        <v>43524</v>
      </c>
      <c r="N129" s="1" t="s">
        <v>8</v>
      </c>
      <c r="O129" s="2">
        <v>44619</v>
      </c>
    </row>
    <row r="130" spans="1:15" ht="43.2" x14ac:dyDescent="0.3">
      <c r="A130" s="1" t="s">
        <v>1798</v>
      </c>
      <c r="B130" s="1" t="str">
        <f>"Coed Camddwr Ltd"</f>
        <v>Coed Camddwr Ltd</v>
      </c>
      <c r="C130" s="1" t="s">
        <v>1799</v>
      </c>
      <c r="D130" s="1" t="s">
        <v>1800</v>
      </c>
      <c r="F130" s="1" t="s">
        <v>653</v>
      </c>
      <c r="H130" s="1" t="s">
        <v>1801</v>
      </c>
      <c r="I130" s="1" t="s">
        <v>19</v>
      </c>
      <c r="J130" s="1" t="s">
        <v>67</v>
      </c>
      <c r="K130" s="1" t="s">
        <v>14</v>
      </c>
      <c r="M130" s="2">
        <v>43524</v>
      </c>
      <c r="N130" s="1" t="s">
        <v>8</v>
      </c>
      <c r="O130" s="1" t="s">
        <v>68</v>
      </c>
    </row>
    <row r="131" spans="1:15" ht="28.8" x14ac:dyDescent="0.3">
      <c r="A131" s="1" t="s">
        <v>1802</v>
      </c>
      <c r="B131" s="1" t="str">
        <f>"Jordan Webster"</f>
        <v>Jordan Webster</v>
      </c>
      <c r="C131" s="1" t="s">
        <v>1803</v>
      </c>
      <c r="F131" s="1" t="s">
        <v>123</v>
      </c>
      <c r="G131" s="1" t="s">
        <v>27</v>
      </c>
      <c r="H131" s="1" t="s">
        <v>1804</v>
      </c>
      <c r="I131" s="1" t="s">
        <v>5</v>
      </c>
      <c r="J131" s="1" t="s">
        <v>6</v>
      </c>
      <c r="K131" s="1" t="s">
        <v>34</v>
      </c>
      <c r="M131" s="2">
        <v>43524</v>
      </c>
      <c r="N131" s="1" t="s">
        <v>8</v>
      </c>
      <c r="O131" s="2">
        <v>44619</v>
      </c>
    </row>
    <row r="132" spans="1:15" ht="28.8" x14ac:dyDescent="0.3">
      <c r="A132" s="1" t="s">
        <v>1805</v>
      </c>
      <c r="B132" s="1" t="str">
        <f>"Alan  Thomas  MAT Services "</f>
        <v xml:space="preserve">Alan  Thomas  MAT Services </v>
      </c>
      <c r="C132" s="1" t="s">
        <v>1806</v>
      </c>
      <c r="F132" s="1" t="s">
        <v>328</v>
      </c>
      <c r="H132" s="1" t="s">
        <v>1807</v>
      </c>
      <c r="I132" s="1" t="s">
        <v>5</v>
      </c>
      <c r="J132" s="1" t="s">
        <v>6</v>
      </c>
      <c r="K132" s="1" t="s">
        <v>14</v>
      </c>
      <c r="M132" s="2">
        <v>43524</v>
      </c>
      <c r="N132" s="1" t="s">
        <v>8</v>
      </c>
      <c r="O132" s="2">
        <v>44619</v>
      </c>
    </row>
    <row r="133" spans="1:15" ht="28.8" x14ac:dyDescent="0.3">
      <c r="A133" s="1" t="s">
        <v>105</v>
      </c>
      <c r="B133" s="1" t="str">
        <f>"K Phillips Windows LTD"</f>
        <v>K Phillips Windows LTD</v>
      </c>
      <c r="C133" s="1" t="s">
        <v>106</v>
      </c>
      <c r="D133" s="1" t="s">
        <v>107</v>
      </c>
      <c r="E133" s="1" t="s">
        <v>108</v>
      </c>
      <c r="F133" s="1" t="s">
        <v>64</v>
      </c>
      <c r="G133" s="1" t="s">
        <v>109</v>
      </c>
      <c r="H133" s="1" t="s">
        <v>110</v>
      </c>
      <c r="I133" s="1" t="s">
        <v>19</v>
      </c>
      <c r="J133" s="1" t="s">
        <v>6</v>
      </c>
      <c r="K133" s="1" t="s">
        <v>14</v>
      </c>
      <c r="L133" s="1">
        <v>10448474</v>
      </c>
      <c r="M133" s="2">
        <v>43523</v>
      </c>
      <c r="N133" s="1" t="s">
        <v>8</v>
      </c>
      <c r="O133" s="2">
        <v>44618</v>
      </c>
    </row>
    <row r="134" spans="1:15" ht="43.2" x14ac:dyDescent="0.3">
      <c r="A134" s="1" t="s">
        <v>111</v>
      </c>
      <c r="B134" s="1" t="str">
        <f>"Parc Gwynfryn Recycling Centre Limited"</f>
        <v>Parc Gwynfryn Recycling Centre Limited</v>
      </c>
      <c r="C134" s="1" t="s">
        <v>112</v>
      </c>
      <c r="D134" s="1" t="s">
        <v>113</v>
      </c>
      <c r="F134" s="1" t="s">
        <v>114</v>
      </c>
      <c r="G134" s="1" t="s">
        <v>115</v>
      </c>
      <c r="H134" s="1" t="s">
        <v>116</v>
      </c>
      <c r="I134" s="1" t="s">
        <v>19</v>
      </c>
      <c r="J134" s="1" t="s">
        <v>6</v>
      </c>
      <c r="K134" s="1" t="s">
        <v>14</v>
      </c>
      <c r="L134" s="1">
        <v>9088581</v>
      </c>
      <c r="M134" s="2">
        <v>43523</v>
      </c>
      <c r="N134" s="1" t="s">
        <v>8</v>
      </c>
      <c r="O134" s="2">
        <v>44618</v>
      </c>
    </row>
    <row r="135" spans="1:15" x14ac:dyDescent="0.3">
      <c r="A135" s="1" t="s">
        <v>121</v>
      </c>
      <c r="B135" s="1" t="str">
        <f>"C &amp; N Powell"</f>
        <v>C &amp; N Powell</v>
      </c>
      <c r="C135" s="1" t="s">
        <v>122</v>
      </c>
      <c r="F135" s="1" t="s">
        <v>123</v>
      </c>
      <c r="G135" s="1" t="s">
        <v>27</v>
      </c>
      <c r="H135" s="1" t="s">
        <v>124</v>
      </c>
      <c r="I135" s="1" t="s">
        <v>125</v>
      </c>
      <c r="J135" s="1" t="s">
        <v>6</v>
      </c>
      <c r="K135" s="1" t="s">
        <v>14</v>
      </c>
      <c r="M135" s="2">
        <v>43523</v>
      </c>
      <c r="N135" s="1" t="s">
        <v>8</v>
      </c>
      <c r="O135" s="2">
        <v>44618</v>
      </c>
    </row>
    <row r="136" spans="1:15" ht="28.8" x14ac:dyDescent="0.3">
      <c r="A136" s="1" t="s">
        <v>129</v>
      </c>
      <c r="B136" s="1" t="str">
        <f>"Rhys Bowen Halfway Antiques"</f>
        <v>Rhys Bowen Halfway Antiques</v>
      </c>
      <c r="C136" s="1" t="s">
        <v>130</v>
      </c>
      <c r="F136" s="1" t="s">
        <v>42</v>
      </c>
      <c r="G136" s="1" t="s">
        <v>51</v>
      </c>
      <c r="H136" s="1" t="s">
        <v>131</v>
      </c>
      <c r="I136" s="1" t="s">
        <v>5</v>
      </c>
      <c r="J136" s="1" t="s">
        <v>6</v>
      </c>
      <c r="K136" s="1" t="s">
        <v>24</v>
      </c>
      <c r="M136" s="2">
        <v>43523</v>
      </c>
      <c r="N136" s="1" t="s">
        <v>8</v>
      </c>
      <c r="O136" s="2">
        <v>44618</v>
      </c>
    </row>
    <row r="137" spans="1:15" ht="43.2" x14ac:dyDescent="0.3">
      <c r="A137" s="1" t="s">
        <v>136</v>
      </c>
      <c r="B137" s="1" t="str">
        <f>"BUSH HEALTHCARE LTD"</f>
        <v>BUSH HEALTHCARE LTD</v>
      </c>
      <c r="C137" s="1" t="s">
        <v>137</v>
      </c>
      <c r="D137" s="1" t="s">
        <v>138</v>
      </c>
      <c r="E137" s="1" t="s">
        <v>139</v>
      </c>
      <c r="F137" s="1" t="s">
        <v>140</v>
      </c>
      <c r="G137" s="1" t="s">
        <v>141</v>
      </c>
      <c r="H137" s="1" t="s">
        <v>142</v>
      </c>
      <c r="I137" s="1" t="s">
        <v>19</v>
      </c>
      <c r="J137" s="1" t="s">
        <v>6</v>
      </c>
      <c r="K137" s="1" t="s">
        <v>14</v>
      </c>
      <c r="L137" s="1">
        <v>3765727</v>
      </c>
      <c r="M137" s="2">
        <v>43523</v>
      </c>
      <c r="N137" s="1" t="s">
        <v>8</v>
      </c>
      <c r="O137" s="2">
        <v>44618</v>
      </c>
    </row>
    <row r="138" spans="1:15" ht="28.8" x14ac:dyDescent="0.3">
      <c r="A138" s="1" t="s">
        <v>728</v>
      </c>
      <c r="B138" s="1" t="str">
        <f>"Gwyndaf Pritchard Roofing Ltd"</f>
        <v>Gwyndaf Pritchard Roofing Ltd</v>
      </c>
      <c r="C138" s="1" t="s">
        <v>729</v>
      </c>
      <c r="F138" s="1" t="s">
        <v>151</v>
      </c>
      <c r="H138" s="1" t="s">
        <v>730</v>
      </c>
      <c r="I138" s="1" t="s">
        <v>19</v>
      </c>
      <c r="J138" s="1" t="s">
        <v>6</v>
      </c>
      <c r="K138" s="1" t="s">
        <v>34</v>
      </c>
      <c r="L138" s="1">
        <v>6056300</v>
      </c>
      <c r="M138" s="2">
        <v>43523</v>
      </c>
      <c r="N138" s="1" t="s">
        <v>8</v>
      </c>
      <c r="O138" s="2">
        <v>44618</v>
      </c>
    </row>
    <row r="139" spans="1:15" ht="43.2" x14ac:dyDescent="0.3">
      <c r="A139" s="1" t="s">
        <v>1466</v>
      </c>
      <c r="B139" s="1" t="str">
        <f>"I &amp; JM &amp; Sons Ltd"</f>
        <v>I &amp; JM &amp; Sons Ltd</v>
      </c>
      <c r="C139" s="1" t="s">
        <v>1467</v>
      </c>
      <c r="D139" s="1" t="s">
        <v>1468</v>
      </c>
      <c r="F139" s="1" t="s">
        <v>37</v>
      </c>
      <c r="G139" s="1" t="s">
        <v>654</v>
      </c>
      <c r="H139" s="1" t="s">
        <v>1469</v>
      </c>
      <c r="I139" s="1" t="s">
        <v>19</v>
      </c>
      <c r="J139" s="1" t="s">
        <v>67</v>
      </c>
      <c r="K139" s="1" t="s">
        <v>14</v>
      </c>
      <c r="M139" s="2">
        <v>43523</v>
      </c>
      <c r="N139" s="1" t="s">
        <v>8</v>
      </c>
      <c r="O139" s="1" t="s">
        <v>68</v>
      </c>
    </row>
    <row r="140" spans="1:15" x14ac:dyDescent="0.3">
      <c r="A140" s="1" t="s">
        <v>1477</v>
      </c>
      <c r="B140" s="1" t="str">
        <f>"David Moore"</f>
        <v>David Moore</v>
      </c>
      <c r="C140" s="1" t="s">
        <v>1478</v>
      </c>
      <c r="E140" s="1" t="s">
        <v>1479</v>
      </c>
      <c r="F140" s="1" t="s">
        <v>324</v>
      </c>
      <c r="H140" s="1" t="s">
        <v>1480</v>
      </c>
      <c r="I140" s="1" t="s">
        <v>5</v>
      </c>
      <c r="J140" s="1" t="s">
        <v>6</v>
      </c>
      <c r="K140" s="1" t="s">
        <v>14</v>
      </c>
      <c r="M140" s="2">
        <v>43523</v>
      </c>
      <c r="N140" s="1" t="s">
        <v>8</v>
      </c>
      <c r="O140" s="2">
        <v>44618</v>
      </c>
    </row>
    <row r="141" spans="1:15" ht="28.8" x14ac:dyDescent="0.3">
      <c r="A141" s="1" t="s">
        <v>695</v>
      </c>
      <c r="B141" s="1" t="str">
        <f>"Allan Morgan"</f>
        <v>Allan Morgan</v>
      </c>
      <c r="C141" s="1" t="s">
        <v>696</v>
      </c>
      <c r="D141" s="1" t="s">
        <v>697</v>
      </c>
      <c r="F141" s="1" t="s">
        <v>438</v>
      </c>
      <c r="H141" s="1" t="s">
        <v>698</v>
      </c>
      <c r="I141" s="1" t="s">
        <v>5</v>
      </c>
      <c r="J141" s="1" t="s">
        <v>6</v>
      </c>
      <c r="K141" s="1" t="s">
        <v>14</v>
      </c>
      <c r="M141" s="2">
        <v>43521</v>
      </c>
      <c r="N141" s="1" t="s">
        <v>8</v>
      </c>
      <c r="O141" s="2">
        <v>44616</v>
      </c>
    </row>
    <row r="142" spans="1:15" ht="43.2" x14ac:dyDescent="0.3">
      <c r="A142" s="1" t="s">
        <v>699</v>
      </c>
      <c r="B142" s="1" t="str">
        <f>"Motorcycle Supplies Limited"</f>
        <v>Motorcycle Supplies Limited</v>
      </c>
      <c r="C142" s="1" t="s">
        <v>700</v>
      </c>
      <c r="D142" s="1" t="s">
        <v>701</v>
      </c>
      <c r="E142" s="1" t="s">
        <v>702</v>
      </c>
      <c r="F142" s="1" t="s">
        <v>64</v>
      </c>
      <c r="G142" s="1" t="s">
        <v>65</v>
      </c>
      <c r="H142" s="1" t="s">
        <v>703</v>
      </c>
      <c r="I142" s="1" t="s">
        <v>19</v>
      </c>
      <c r="J142" s="1" t="s">
        <v>67</v>
      </c>
      <c r="K142" s="1" t="s">
        <v>14</v>
      </c>
      <c r="L142" s="1">
        <v>11511750</v>
      </c>
      <c r="M142" s="2">
        <v>43521</v>
      </c>
      <c r="N142" s="1" t="s">
        <v>8</v>
      </c>
      <c r="O142" s="1" t="s">
        <v>68</v>
      </c>
    </row>
    <row r="143" spans="1:15" ht="43.2" x14ac:dyDescent="0.3">
      <c r="A143" s="1" t="s">
        <v>716</v>
      </c>
      <c r="B143" s="1" t="str">
        <f>"Timothy  Hayes"</f>
        <v>Timothy  Hayes</v>
      </c>
      <c r="C143" s="1" t="s">
        <v>717</v>
      </c>
      <c r="D143" s="1" t="s">
        <v>718</v>
      </c>
      <c r="E143" s="1" t="s">
        <v>719</v>
      </c>
      <c r="F143" s="1" t="s">
        <v>720</v>
      </c>
      <c r="G143" s="1" t="s">
        <v>721</v>
      </c>
      <c r="H143" s="1" t="s">
        <v>722</v>
      </c>
      <c r="I143" s="1" t="s">
        <v>5</v>
      </c>
      <c r="J143" s="1" t="s">
        <v>67</v>
      </c>
      <c r="K143" s="1" t="s">
        <v>14</v>
      </c>
      <c r="M143" s="2">
        <v>43521</v>
      </c>
      <c r="N143" s="1" t="s">
        <v>8</v>
      </c>
      <c r="O143" s="1" t="s">
        <v>68</v>
      </c>
    </row>
    <row r="144" spans="1:15" ht="28.8" x14ac:dyDescent="0.3">
      <c r="A144" s="1" t="s">
        <v>1326</v>
      </c>
      <c r="B144" s="1" t="str">
        <f>"Ace Site Services UK Ltd"</f>
        <v>Ace Site Services UK Ltd</v>
      </c>
      <c r="C144" s="1" t="s">
        <v>1327</v>
      </c>
      <c r="D144" s="1" t="s">
        <v>1328</v>
      </c>
      <c r="E144" s="1" t="s">
        <v>1329</v>
      </c>
      <c r="F144" s="1" t="s">
        <v>706</v>
      </c>
      <c r="G144" s="1" t="s">
        <v>211</v>
      </c>
      <c r="H144" s="1" t="s">
        <v>966</v>
      </c>
      <c r="I144" s="1" t="s">
        <v>19</v>
      </c>
      <c r="J144" s="1" t="s">
        <v>6</v>
      </c>
      <c r="K144" s="1" t="s">
        <v>7</v>
      </c>
      <c r="L144" s="1">
        <v>6817637</v>
      </c>
      <c r="M144" s="2">
        <v>43521</v>
      </c>
      <c r="N144" s="1" t="s">
        <v>8</v>
      </c>
      <c r="O144" s="2">
        <v>44616</v>
      </c>
    </row>
    <row r="145" spans="1:15" x14ac:dyDescent="0.3">
      <c r="A145" s="1" t="s">
        <v>1774</v>
      </c>
      <c r="B145" s="1" t="str">
        <f>"Brent John Brent John"</f>
        <v>Brent John Brent John</v>
      </c>
      <c r="C145" s="1" t="s">
        <v>1775</v>
      </c>
      <c r="F145" s="1" t="s">
        <v>1776</v>
      </c>
      <c r="G145" s="1" t="s">
        <v>115</v>
      </c>
      <c r="H145" s="1" t="s">
        <v>1777</v>
      </c>
      <c r="I145" s="1" t="s">
        <v>5</v>
      </c>
      <c r="J145" s="1" t="s">
        <v>6</v>
      </c>
      <c r="K145" s="1" t="s">
        <v>14</v>
      </c>
      <c r="M145" s="2">
        <v>43521</v>
      </c>
      <c r="N145" s="1" t="s">
        <v>8</v>
      </c>
      <c r="O145" s="2">
        <v>44616</v>
      </c>
    </row>
    <row r="146" spans="1:15" ht="28.8" x14ac:dyDescent="0.3">
      <c r="A146" s="1" t="s">
        <v>1759</v>
      </c>
      <c r="B146" s="1" t="str">
        <f>"PMW Specialist Services LTD"</f>
        <v>PMW Specialist Services LTD</v>
      </c>
      <c r="C146" s="1" t="s">
        <v>1760</v>
      </c>
      <c r="D146" s="1" t="s">
        <v>1761</v>
      </c>
      <c r="F146" s="1" t="s">
        <v>277</v>
      </c>
      <c r="G146" s="1" t="s">
        <v>141</v>
      </c>
      <c r="H146" s="1" t="s">
        <v>1762</v>
      </c>
      <c r="I146" s="1" t="s">
        <v>19</v>
      </c>
      <c r="J146" s="1" t="s">
        <v>6</v>
      </c>
      <c r="K146" s="1" t="s">
        <v>14</v>
      </c>
      <c r="L146" s="1">
        <v>10715608</v>
      </c>
      <c r="M146" s="2">
        <v>43518</v>
      </c>
      <c r="N146" s="1" t="s">
        <v>8</v>
      </c>
      <c r="O146" s="2">
        <v>44613</v>
      </c>
    </row>
    <row r="147" spans="1:15" ht="28.8" x14ac:dyDescent="0.3">
      <c r="A147" s="1" t="s">
        <v>1702</v>
      </c>
      <c r="B147" s="1" t="str">
        <f>"Gforce Telecomms"</f>
        <v>Gforce Telecomms</v>
      </c>
      <c r="C147" s="1" t="s">
        <v>1703</v>
      </c>
      <c r="D147" s="1" t="s">
        <v>1704</v>
      </c>
      <c r="E147" s="1" t="s">
        <v>1705</v>
      </c>
      <c r="F147" s="1" t="s">
        <v>556</v>
      </c>
      <c r="G147" s="1" t="s">
        <v>556</v>
      </c>
      <c r="H147" s="1" t="s">
        <v>1706</v>
      </c>
      <c r="I147" s="1" t="s">
        <v>19</v>
      </c>
      <c r="J147" s="1" t="s">
        <v>6</v>
      </c>
      <c r="K147" s="1" t="s">
        <v>34</v>
      </c>
      <c r="L147" s="1">
        <v>9583218</v>
      </c>
      <c r="M147" s="2">
        <v>43517</v>
      </c>
      <c r="N147" s="1" t="s">
        <v>8</v>
      </c>
      <c r="O147" s="2">
        <v>44612</v>
      </c>
    </row>
    <row r="148" spans="1:15" ht="43.2" x14ac:dyDescent="0.3">
      <c r="A148" s="1" t="s">
        <v>1722</v>
      </c>
      <c r="B148" s="1" t="str">
        <f>"John Peters"</f>
        <v>John Peters</v>
      </c>
      <c r="C148" s="1" t="s">
        <v>1723</v>
      </c>
      <c r="D148" s="1" t="s">
        <v>1724</v>
      </c>
      <c r="F148" s="1" t="s">
        <v>1239</v>
      </c>
      <c r="G148" s="1" t="s">
        <v>231</v>
      </c>
      <c r="H148" s="1" t="s">
        <v>1725</v>
      </c>
      <c r="I148" s="1" t="s">
        <v>5</v>
      </c>
      <c r="J148" s="1" t="s">
        <v>67</v>
      </c>
      <c r="K148" s="1" t="s">
        <v>14</v>
      </c>
      <c r="M148" s="2">
        <v>43517</v>
      </c>
      <c r="N148" s="1" t="s">
        <v>8</v>
      </c>
      <c r="O148" s="1" t="s">
        <v>68</v>
      </c>
    </row>
    <row r="149" spans="1:15" ht="43.2" x14ac:dyDescent="0.3">
      <c r="A149" s="1" t="s">
        <v>1726</v>
      </c>
      <c r="B149" s="1" t="str">
        <f>"Haemaflow LTD"</f>
        <v>Haemaflow LTD</v>
      </c>
      <c r="C149" s="1" t="s">
        <v>1727</v>
      </c>
      <c r="D149" s="1" t="s">
        <v>1728</v>
      </c>
      <c r="F149" s="1" t="s">
        <v>64</v>
      </c>
      <c r="G149" s="1" t="s">
        <v>65</v>
      </c>
      <c r="H149" s="1" t="s">
        <v>1729</v>
      </c>
      <c r="I149" s="1" t="s">
        <v>19</v>
      </c>
      <c r="J149" s="1" t="s">
        <v>67</v>
      </c>
      <c r="K149" s="1" t="s">
        <v>14</v>
      </c>
      <c r="L149" s="1">
        <v>6608123</v>
      </c>
      <c r="M149" s="2">
        <v>43517</v>
      </c>
      <c r="N149" s="1" t="s">
        <v>8</v>
      </c>
      <c r="O149" s="1" t="s">
        <v>68</v>
      </c>
    </row>
    <row r="150" spans="1:15" ht="28.8" x14ac:dyDescent="0.3">
      <c r="A150" s="1" t="s">
        <v>1730</v>
      </c>
      <c r="B150" s="1" t="str">
        <f>"Pro Steel Engineering LTD"</f>
        <v>Pro Steel Engineering LTD</v>
      </c>
      <c r="C150" s="1" t="s">
        <v>1731</v>
      </c>
      <c r="D150" s="1" t="s">
        <v>1247</v>
      </c>
      <c r="E150" s="1" t="s">
        <v>400</v>
      </c>
      <c r="F150" s="1" t="s">
        <v>401</v>
      </c>
      <c r="G150" s="1" t="s">
        <v>231</v>
      </c>
      <c r="H150" s="1" t="s">
        <v>1732</v>
      </c>
      <c r="I150" s="1" t="s">
        <v>19</v>
      </c>
      <c r="J150" s="1" t="s">
        <v>6</v>
      </c>
      <c r="K150" s="1" t="s">
        <v>34</v>
      </c>
      <c r="L150" s="1">
        <v>8096981</v>
      </c>
      <c r="M150" s="2">
        <v>43517</v>
      </c>
      <c r="N150" s="1" t="s">
        <v>8</v>
      </c>
      <c r="O150" s="2">
        <v>44612</v>
      </c>
    </row>
    <row r="151" spans="1:15" ht="43.2" x14ac:dyDescent="0.3">
      <c r="A151" s="1" t="s">
        <v>1733</v>
      </c>
      <c r="B151" s="1" t="str">
        <f>"Robert Smith"</f>
        <v>Robert Smith</v>
      </c>
      <c r="C151" s="1" t="s">
        <v>1734</v>
      </c>
      <c r="F151" s="1" t="s">
        <v>123</v>
      </c>
      <c r="G151" s="1" t="s">
        <v>27</v>
      </c>
      <c r="H151" s="1" t="s">
        <v>1735</v>
      </c>
      <c r="I151" s="1" t="s">
        <v>5</v>
      </c>
      <c r="J151" s="1" t="s">
        <v>67</v>
      </c>
      <c r="K151" s="1" t="s">
        <v>14</v>
      </c>
      <c r="M151" s="2">
        <v>43517</v>
      </c>
      <c r="N151" s="1" t="s">
        <v>8</v>
      </c>
      <c r="O151" s="1" t="s">
        <v>68</v>
      </c>
    </row>
    <row r="152" spans="1:15" ht="43.2" x14ac:dyDescent="0.3">
      <c r="A152" s="1" t="s">
        <v>1736</v>
      </c>
      <c r="B152" s="1" t="str">
        <f>"Wright Landscaping LTD"</f>
        <v>Wright Landscaping LTD</v>
      </c>
      <c r="C152" s="1" t="s">
        <v>1737</v>
      </c>
      <c r="D152" s="1" t="s">
        <v>1738</v>
      </c>
      <c r="E152" s="1" t="s">
        <v>1739</v>
      </c>
      <c r="F152" s="1" t="s">
        <v>720</v>
      </c>
      <c r="G152" s="1" t="s">
        <v>324</v>
      </c>
      <c r="H152" s="1" t="s">
        <v>1740</v>
      </c>
      <c r="I152" s="1" t="s">
        <v>19</v>
      </c>
      <c r="J152" s="1" t="s">
        <v>67</v>
      </c>
      <c r="K152" s="1" t="s">
        <v>14</v>
      </c>
      <c r="L152" s="1">
        <v>4611247</v>
      </c>
      <c r="M152" s="2">
        <v>43517</v>
      </c>
      <c r="N152" s="1" t="s">
        <v>8</v>
      </c>
      <c r="O152" s="1" t="s">
        <v>68</v>
      </c>
    </row>
    <row r="153" spans="1:15" ht="28.8" x14ac:dyDescent="0.3">
      <c r="A153" s="1" t="s">
        <v>1741</v>
      </c>
      <c r="B153" s="1" t="str">
        <f>"BWC Groundworks Ltd"</f>
        <v>BWC Groundworks Ltd</v>
      </c>
      <c r="C153" s="1" t="s">
        <v>1742</v>
      </c>
      <c r="D153" s="1" t="s">
        <v>1743</v>
      </c>
      <c r="E153" s="1" t="s">
        <v>1744</v>
      </c>
      <c r="F153" s="1" t="s">
        <v>1239</v>
      </c>
      <c r="G153" s="1" t="s">
        <v>231</v>
      </c>
      <c r="H153" s="1" t="s">
        <v>1745</v>
      </c>
      <c r="I153" s="1" t="s">
        <v>19</v>
      </c>
      <c r="J153" s="1" t="s">
        <v>6</v>
      </c>
      <c r="K153" s="1" t="s">
        <v>34</v>
      </c>
      <c r="L153" s="1">
        <v>10307657</v>
      </c>
      <c r="M153" s="2">
        <v>43517</v>
      </c>
      <c r="N153" s="1" t="s">
        <v>8</v>
      </c>
      <c r="O153" s="2">
        <v>44612</v>
      </c>
    </row>
    <row r="154" spans="1:15" ht="43.2" x14ac:dyDescent="0.3">
      <c r="A154" s="1" t="s">
        <v>1749</v>
      </c>
      <c r="B154" s="1" t="str">
        <f>"Ian Randall"</f>
        <v>Ian Randall</v>
      </c>
      <c r="C154" s="1" t="s">
        <v>1750</v>
      </c>
      <c r="D154" s="1" t="s">
        <v>1751</v>
      </c>
      <c r="E154" s="1" t="s">
        <v>1752</v>
      </c>
      <c r="F154" s="1" t="s">
        <v>277</v>
      </c>
      <c r="G154" s="1" t="s">
        <v>141</v>
      </c>
      <c r="H154" s="1" t="s">
        <v>1753</v>
      </c>
      <c r="I154" s="1" t="s">
        <v>5</v>
      </c>
      <c r="J154" s="1" t="s">
        <v>67</v>
      </c>
      <c r="K154" s="1" t="s">
        <v>14</v>
      </c>
      <c r="M154" s="2">
        <v>43517</v>
      </c>
      <c r="N154" s="1" t="s">
        <v>8</v>
      </c>
      <c r="O154" s="1" t="s">
        <v>68</v>
      </c>
    </row>
    <row r="155" spans="1:15" ht="43.2" x14ac:dyDescent="0.3">
      <c r="A155" s="1" t="s">
        <v>1754</v>
      </c>
      <c r="B155" s="1" t="str">
        <f>"SET Electrical Contractors LTD"</f>
        <v>SET Electrical Contractors LTD</v>
      </c>
      <c r="C155" s="1" t="s">
        <v>1755</v>
      </c>
      <c r="D155" s="1" t="s">
        <v>1756</v>
      </c>
      <c r="E155" s="1" t="s">
        <v>1757</v>
      </c>
      <c r="F155" s="1" t="s">
        <v>1341</v>
      </c>
      <c r="G155" s="1" t="s">
        <v>103</v>
      </c>
      <c r="H155" s="1" t="s">
        <v>1758</v>
      </c>
      <c r="I155" s="1" t="s">
        <v>19</v>
      </c>
      <c r="J155" s="1" t="s">
        <v>67</v>
      </c>
      <c r="K155" s="1" t="s">
        <v>14</v>
      </c>
      <c r="L155" s="1">
        <v>5683638</v>
      </c>
      <c r="M155" s="2">
        <v>43517</v>
      </c>
      <c r="N155" s="1" t="s">
        <v>8</v>
      </c>
      <c r="O155" s="1" t="s">
        <v>68</v>
      </c>
    </row>
    <row r="156" spans="1:15" ht="28.8" x14ac:dyDescent="0.3">
      <c r="A156" s="1" t="s">
        <v>690</v>
      </c>
      <c r="B156" s="1" t="str">
        <f>"UK Salvage Car Parts Ltd"</f>
        <v>UK Salvage Car Parts Ltd</v>
      </c>
      <c r="C156" s="1" t="s">
        <v>691</v>
      </c>
      <c r="D156" s="1" t="s">
        <v>692</v>
      </c>
      <c r="E156" s="1" t="s">
        <v>693</v>
      </c>
      <c r="F156" s="1" t="s">
        <v>457</v>
      </c>
      <c r="G156" s="1" t="s">
        <v>141</v>
      </c>
      <c r="H156" s="1" t="s">
        <v>694</v>
      </c>
      <c r="I156" s="1" t="s">
        <v>19</v>
      </c>
      <c r="J156" s="1" t="s">
        <v>6</v>
      </c>
      <c r="K156" s="1" t="s">
        <v>14</v>
      </c>
      <c r="L156" s="1">
        <v>10526401</v>
      </c>
      <c r="M156" s="2">
        <v>43516</v>
      </c>
      <c r="N156" s="1" t="s">
        <v>8</v>
      </c>
      <c r="O156" s="2">
        <v>44611</v>
      </c>
    </row>
    <row r="157" spans="1:15" ht="43.2" x14ac:dyDescent="0.3">
      <c r="A157" s="1" t="s">
        <v>1413</v>
      </c>
      <c r="B157" s="1" t="str">
        <f>"Robert Jervis"</f>
        <v>Robert Jervis</v>
      </c>
      <c r="C157" s="1" t="s">
        <v>1414</v>
      </c>
      <c r="D157" s="1" t="s">
        <v>1415</v>
      </c>
      <c r="F157" s="1" t="s">
        <v>56</v>
      </c>
      <c r="G157" s="1" t="s">
        <v>51</v>
      </c>
      <c r="H157" s="1" t="s">
        <v>1416</v>
      </c>
      <c r="I157" s="1" t="s">
        <v>5</v>
      </c>
      <c r="J157" s="1" t="s">
        <v>67</v>
      </c>
      <c r="K157" s="1" t="s">
        <v>14</v>
      </c>
      <c r="M157" s="2">
        <v>43516</v>
      </c>
      <c r="N157" s="1" t="s">
        <v>8</v>
      </c>
      <c r="O157" s="1" t="s">
        <v>68</v>
      </c>
    </row>
    <row r="158" spans="1:15" ht="28.8" x14ac:dyDescent="0.3">
      <c r="A158" s="1" t="s">
        <v>1434</v>
      </c>
      <c r="B158" s="1" t="str">
        <f>"John Richards"</f>
        <v>John Richards</v>
      </c>
      <c r="D158" s="1" t="s">
        <v>1435</v>
      </c>
      <c r="F158" s="1" t="s">
        <v>123</v>
      </c>
      <c r="G158" s="1" t="s">
        <v>27</v>
      </c>
      <c r="H158" s="1" t="s">
        <v>1436</v>
      </c>
      <c r="I158" s="1" t="s">
        <v>5</v>
      </c>
      <c r="J158" s="1" t="s">
        <v>6</v>
      </c>
      <c r="K158" s="1" t="s">
        <v>34</v>
      </c>
      <c r="M158" s="2">
        <v>43516</v>
      </c>
      <c r="N158" s="1" t="s">
        <v>8</v>
      </c>
      <c r="O158" s="2">
        <v>44611</v>
      </c>
    </row>
    <row r="159" spans="1:15" ht="43.2" x14ac:dyDescent="0.3">
      <c r="A159" s="1" t="s">
        <v>1440</v>
      </c>
      <c r="B159" s="1" t="str">
        <f>"Vale Of Glamorgan Council"</f>
        <v>Vale Of Glamorgan Council</v>
      </c>
      <c r="C159" s="1" t="s">
        <v>1441</v>
      </c>
      <c r="D159" s="1" t="s">
        <v>1442</v>
      </c>
      <c r="E159" s="1" t="s">
        <v>1443</v>
      </c>
      <c r="F159" s="1" t="s">
        <v>706</v>
      </c>
      <c r="G159" s="1" t="s">
        <v>1444</v>
      </c>
      <c r="H159" s="1" t="s">
        <v>1445</v>
      </c>
      <c r="I159" s="1" t="s">
        <v>188</v>
      </c>
      <c r="J159" s="1" t="s">
        <v>67</v>
      </c>
      <c r="K159" s="1" t="s">
        <v>14</v>
      </c>
      <c r="M159" s="2">
        <v>43516</v>
      </c>
      <c r="N159" s="1" t="s">
        <v>8</v>
      </c>
      <c r="O159" s="1" t="s">
        <v>68</v>
      </c>
    </row>
    <row r="160" spans="1:15" ht="43.2" x14ac:dyDescent="0.3">
      <c r="A160" s="1" t="s">
        <v>1446</v>
      </c>
      <c r="B160" s="1" t="str">
        <f>"Baljinder singh Sandhu"</f>
        <v>Baljinder singh Sandhu</v>
      </c>
      <c r="C160" s="1" t="s">
        <v>1447</v>
      </c>
      <c r="D160" s="1" t="s">
        <v>1448</v>
      </c>
      <c r="F160" s="1" t="s">
        <v>140</v>
      </c>
      <c r="G160" s="1" t="s">
        <v>141</v>
      </c>
      <c r="H160" s="1" t="s">
        <v>1449</v>
      </c>
      <c r="I160" s="1" t="s">
        <v>5</v>
      </c>
      <c r="J160" s="1" t="s">
        <v>67</v>
      </c>
      <c r="K160" s="1" t="s">
        <v>14</v>
      </c>
      <c r="M160" s="2">
        <v>43516</v>
      </c>
      <c r="N160" s="1" t="s">
        <v>8</v>
      </c>
      <c r="O160" s="1" t="s">
        <v>68</v>
      </c>
    </row>
    <row r="161" spans="1:15" ht="43.2" x14ac:dyDescent="0.3">
      <c r="A161" s="1" t="s">
        <v>1450</v>
      </c>
      <c r="B161" s="1" t="str">
        <f>"Abaca LTD"</f>
        <v>Abaca LTD</v>
      </c>
      <c r="C161" s="1" t="s">
        <v>1451</v>
      </c>
      <c r="D161" s="1" t="s">
        <v>1452</v>
      </c>
      <c r="E161" s="1" t="s">
        <v>1453</v>
      </c>
      <c r="F161" s="1" t="s">
        <v>665</v>
      </c>
      <c r="G161" s="1" t="s">
        <v>51</v>
      </c>
      <c r="H161" s="1" t="s">
        <v>1454</v>
      </c>
      <c r="I161" s="1" t="s">
        <v>19</v>
      </c>
      <c r="J161" s="1" t="s">
        <v>67</v>
      </c>
      <c r="K161" s="1" t="s">
        <v>14</v>
      </c>
      <c r="M161" s="2">
        <v>43516</v>
      </c>
      <c r="N161" s="1" t="s">
        <v>8</v>
      </c>
      <c r="O161" s="1" t="s">
        <v>68</v>
      </c>
    </row>
    <row r="162" spans="1:15" ht="43.2" x14ac:dyDescent="0.3">
      <c r="A162" s="1" t="s">
        <v>1459</v>
      </c>
      <c r="B162" s="1" t="str">
        <f>"Philip Triebel"</f>
        <v>Philip Triebel</v>
      </c>
      <c r="C162" s="1" t="s">
        <v>1460</v>
      </c>
      <c r="D162" s="1" t="s">
        <v>1461</v>
      </c>
      <c r="F162" s="1" t="s">
        <v>513</v>
      </c>
      <c r="G162" s="1" t="s">
        <v>115</v>
      </c>
      <c r="H162" s="1" t="s">
        <v>1462</v>
      </c>
      <c r="I162" s="1" t="s">
        <v>5</v>
      </c>
      <c r="J162" s="1" t="s">
        <v>67</v>
      </c>
      <c r="K162" s="1" t="s">
        <v>14</v>
      </c>
      <c r="M162" s="2">
        <v>43516</v>
      </c>
      <c r="N162" s="1" t="s">
        <v>8</v>
      </c>
      <c r="O162" s="1" t="s">
        <v>68</v>
      </c>
    </row>
    <row r="163" spans="1:15" ht="43.2" x14ac:dyDescent="0.3">
      <c r="A163" s="1" t="s">
        <v>470</v>
      </c>
      <c r="B163" s="1" t="str">
        <f>"Richard Williams R W Garden &amp; Property Services"</f>
        <v>Richard Williams R W Garden &amp; Property Services</v>
      </c>
      <c r="C163" s="1" t="s">
        <v>471</v>
      </c>
      <c r="F163" s="1" t="s">
        <v>32</v>
      </c>
      <c r="G163" s="1" t="s">
        <v>109</v>
      </c>
      <c r="H163" s="1" t="s">
        <v>472</v>
      </c>
      <c r="I163" s="1" t="s">
        <v>5</v>
      </c>
      <c r="J163" s="1" t="s">
        <v>6</v>
      </c>
      <c r="K163" s="1" t="s">
        <v>34</v>
      </c>
      <c r="M163" s="2">
        <v>43515</v>
      </c>
      <c r="N163" s="1" t="s">
        <v>8</v>
      </c>
      <c r="O163" s="2">
        <v>44610</v>
      </c>
    </row>
    <row r="164" spans="1:15" x14ac:dyDescent="0.3">
      <c r="A164" s="1" t="s">
        <v>473</v>
      </c>
      <c r="B164" s="1" t="str">
        <f>"T Lloyd T Lloyd"</f>
        <v>T Lloyd T Lloyd</v>
      </c>
      <c r="C164" s="1" t="s">
        <v>474</v>
      </c>
      <c r="D164" s="1" t="s">
        <v>475</v>
      </c>
      <c r="F164" s="1" t="s">
        <v>476</v>
      </c>
      <c r="G164" s="1" t="s">
        <v>73</v>
      </c>
      <c r="H164" s="1" t="s">
        <v>477</v>
      </c>
      <c r="I164" s="1" t="s">
        <v>5</v>
      </c>
      <c r="J164" s="1" t="s">
        <v>6</v>
      </c>
      <c r="K164" s="1" t="s">
        <v>14</v>
      </c>
      <c r="M164" s="2">
        <v>43515</v>
      </c>
      <c r="N164" s="1" t="s">
        <v>8</v>
      </c>
      <c r="O164" s="2">
        <v>44610</v>
      </c>
    </row>
    <row r="165" spans="1:15" ht="28.8" x14ac:dyDescent="0.3">
      <c r="A165" s="1" t="s">
        <v>485</v>
      </c>
      <c r="B165" s="1" t="str">
        <f>"Marc Boyes"</f>
        <v>Marc Boyes</v>
      </c>
      <c r="C165" s="1" t="s">
        <v>486</v>
      </c>
      <c r="F165" s="1" t="s">
        <v>487</v>
      </c>
      <c r="G165" s="1" t="s">
        <v>141</v>
      </c>
      <c r="H165" s="1" t="s">
        <v>488</v>
      </c>
      <c r="I165" s="1" t="s">
        <v>5</v>
      </c>
      <c r="J165" s="1" t="s">
        <v>6</v>
      </c>
      <c r="K165" s="1" t="s">
        <v>34</v>
      </c>
      <c r="M165" s="2">
        <v>43515</v>
      </c>
      <c r="N165" s="1" t="s">
        <v>8</v>
      </c>
      <c r="O165" s="2">
        <v>44610</v>
      </c>
    </row>
    <row r="166" spans="1:15" ht="43.2" x14ac:dyDescent="0.3">
      <c r="A166" s="1" t="s">
        <v>1056</v>
      </c>
      <c r="B166" s="1" t="str">
        <f>"Nathaniel Walker"</f>
        <v>Nathaniel Walker</v>
      </c>
      <c r="C166" s="1" t="s">
        <v>1057</v>
      </c>
      <c r="F166" s="1" t="s">
        <v>1058</v>
      </c>
      <c r="G166" s="1" t="s">
        <v>381</v>
      </c>
      <c r="H166" s="1" t="s">
        <v>1059</v>
      </c>
      <c r="I166" s="1" t="s">
        <v>5</v>
      </c>
      <c r="J166" s="1" t="s">
        <v>67</v>
      </c>
      <c r="K166" s="1" t="s">
        <v>14</v>
      </c>
      <c r="M166" s="2">
        <v>43515</v>
      </c>
      <c r="N166" s="1" t="s">
        <v>8</v>
      </c>
      <c r="O166" s="1" t="s">
        <v>68</v>
      </c>
    </row>
    <row r="167" spans="1:15" ht="43.2" x14ac:dyDescent="0.3">
      <c r="A167" s="1" t="s">
        <v>1060</v>
      </c>
      <c r="B167" s="1" t="str">
        <f>"Coastbuild LTD"</f>
        <v>Coastbuild LTD</v>
      </c>
      <c r="C167" s="1" t="s">
        <v>1061</v>
      </c>
      <c r="D167" s="1" t="s">
        <v>1062</v>
      </c>
      <c r="F167" s="1" t="s">
        <v>1063</v>
      </c>
      <c r="G167" s="1" t="s">
        <v>115</v>
      </c>
      <c r="H167" s="1" t="s">
        <v>1064</v>
      </c>
      <c r="I167" s="1" t="s">
        <v>19</v>
      </c>
      <c r="J167" s="1" t="s">
        <v>67</v>
      </c>
      <c r="K167" s="1" t="s">
        <v>14</v>
      </c>
      <c r="L167" s="1">
        <v>11099569</v>
      </c>
      <c r="M167" s="2">
        <v>43515</v>
      </c>
      <c r="N167" s="1" t="s">
        <v>8</v>
      </c>
      <c r="O167" s="1" t="s">
        <v>68</v>
      </c>
    </row>
    <row r="168" spans="1:15" ht="28.8" x14ac:dyDescent="0.3">
      <c r="A168" s="1" t="s">
        <v>1065</v>
      </c>
      <c r="B168" s="1" t="str">
        <f>"Philip Luff"</f>
        <v>Philip Luff</v>
      </c>
      <c r="C168" s="1" t="s">
        <v>1066</v>
      </c>
      <c r="D168" s="1" t="s">
        <v>1067</v>
      </c>
      <c r="F168" s="1" t="s">
        <v>179</v>
      </c>
      <c r="G168" s="1" t="s">
        <v>180</v>
      </c>
      <c r="H168" s="1" t="s">
        <v>1068</v>
      </c>
      <c r="I168" s="1" t="s">
        <v>5</v>
      </c>
      <c r="J168" s="1" t="s">
        <v>6</v>
      </c>
      <c r="K168" s="1" t="s">
        <v>34</v>
      </c>
      <c r="M168" s="2">
        <v>43515</v>
      </c>
      <c r="N168" s="1" t="s">
        <v>8</v>
      </c>
      <c r="O168" s="2">
        <v>44610</v>
      </c>
    </row>
    <row r="169" spans="1:15" ht="43.2" x14ac:dyDescent="0.3">
      <c r="A169" s="1" t="s">
        <v>1076</v>
      </c>
      <c r="B169" s="1" t="str">
        <f>"RNW &amp; Co LTD"</f>
        <v>RNW &amp; Co LTD</v>
      </c>
      <c r="C169" s="1" t="s">
        <v>1077</v>
      </c>
      <c r="D169" s="1" t="s">
        <v>1078</v>
      </c>
      <c r="E169" s="1" t="s">
        <v>1079</v>
      </c>
      <c r="F169" s="1" t="s">
        <v>359</v>
      </c>
      <c r="G169" s="1" t="s">
        <v>359</v>
      </c>
      <c r="H169" s="1" t="s">
        <v>1080</v>
      </c>
      <c r="I169" s="1" t="s">
        <v>19</v>
      </c>
      <c r="J169" s="1" t="s">
        <v>67</v>
      </c>
      <c r="K169" s="1" t="s">
        <v>14</v>
      </c>
      <c r="L169" s="1">
        <v>8418450</v>
      </c>
      <c r="M169" s="2">
        <v>43515</v>
      </c>
      <c r="N169" s="1" t="s">
        <v>8</v>
      </c>
      <c r="O169" s="1" t="s">
        <v>68</v>
      </c>
    </row>
    <row r="170" spans="1:15" ht="28.8" x14ac:dyDescent="0.3">
      <c r="A170" s="1" t="s">
        <v>1081</v>
      </c>
      <c r="B170" s="1" t="str">
        <f>"Povey Construction LTD"</f>
        <v>Povey Construction LTD</v>
      </c>
      <c r="C170" s="1" t="s">
        <v>1082</v>
      </c>
      <c r="F170" s="1" t="s">
        <v>123</v>
      </c>
      <c r="G170" s="1" t="s">
        <v>27</v>
      </c>
      <c r="H170" s="1" t="s">
        <v>1083</v>
      </c>
      <c r="I170" s="1" t="s">
        <v>19</v>
      </c>
      <c r="J170" s="1" t="s">
        <v>6</v>
      </c>
      <c r="K170" s="1" t="s">
        <v>34</v>
      </c>
      <c r="L170" s="1">
        <v>8870926</v>
      </c>
      <c r="M170" s="2">
        <v>43515</v>
      </c>
      <c r="N170" s="1" t="s">
        <v>8</v>
      </c>
      <c r="O170" s="2">
        <v>44610</v>
      </c>
    </row>
    <row r="171" spans="1:15" ht="43.2" x14ac:dyDescent="0.3">
      <c r="A171" s="1" t="s">
        <v>1087</v>
      </c>
      <c r="B171" s="1" t="str">
        <f>"CHATTELS LTD"</f>
        <v>CHATTELS LTD</v>
      </c>
      <c r="C171" s="1" t="s">
        <v>1088</v>
      </c>
      <c r="D171" s="1" t="s">
        <v>1089</v>
      </c>
      <c r="F171" s="1" t="s">
        <v>306</v>
      </c>
      <c r="H171" s="1" t="s">
        <v>1090</v>
      </c>
      <c r="I171" s="1" t="s">
        <v>19</v>
      </c>
      <c r="J171" s="1" t="s">
        <v>6</v>
      </c>
      <c r="K171" s="1" t="s">
        <v>34</v>
      </c>
      <c r="L171" s="1">
        <v>4880418</v>
      </c>
      <c r="M171" s="2">
        <v>43515</v>
      </c>
      <c r="N171" s="1" t="s">
        <v>8</v>
      </c>
      <c r="O171" s="2">
        <v>44610</v>
      </c>
    </row>
    <row r="172" spans="1:15" ht="28.8" x14ac:dyDescent="0.3">
      <c r="A172" s="1" t="s">
        <v>1091</v>
      </c>
      <c r="B172" s="1" t="str">
        <f>"MI Fibre LTD"</f>
        <v>MI Fibre LTD</v>
      </c>
      <c r="C172" s="1" t="s">
        <v>1092</v>
      </c>
      <c r="F172" s="1" t="s">
        <v>1093</v>
      </c>
      <c r="G172" s="1" t="s">
        <v>103</v>
      </c>
      <c r="H172" s="1" t="s">
        <v>1094</v>
      </c>
      <c r="I172" s="1" t="s">
        <v>19</v>
      </c>
      <c r="J172" s="1" t="s">
        <v>6</v>
      </c>
      <c r="K172" s="1" t="s">
        <v>34</v>
      </c>
      <c r="L172" s="1">
        <v>11112374</v>
      </c>
      <c r="M172" s="2">
        <v>43515</v>
      </c>
      <c r="N172" s="1" t="s">
        <v>8</v>
      </c>
      <c r="O172" s="2">
        <v>44610</v>
      </c>
    </row>
    <row r="173" spans="1:15" ht="43.2" x14ac:dyDescent="0.3">
      <c r="A173" s="1" t="s">
        <v>1095</v>
      </c>
      <c r="B173" s="1" t="str">
        <f>"Bespoke access &amp; Rescue LTD"</f>
        <v>Bespoke access &amp; Rescue LTD</v>
      </c>
      <c r="C173" s="1" t="s">
        <v>1096</v>
      </c>
      <c r="F173" s="1" t="s">
        <v>1097</v>
      </c>
      <c r="G173" s="1" t="s">
        <v>141</v>
      </c>
      <c r="H173" s="1" t="s">
        <v>1098</v>
      </c>
      <c r="I173" s="1" t="s">
        <v>19</v>
      </c>
      <c r="J173" s="1" t="s">
        <v>67</v>
      </c>
      <c r="K173" s="1" t="s">
        <v>14</v>
      </c>
      <c r="L173" s="1">
        <v>6518658</v>
      </c>
      <c r="M173" s="2">
        <v>43515</v>
      </c>
      <c r="N173" s="1" t="s">
        <v>8</v>
      </c>
      <c r="O173" s="1" t="s">
        <v>68</v>
      </c>
    </row>
    <row r="174" spans="1:15" x14ac:dyDescent="0.3">
      <c r="A174" s="1" t="s">
        <v>1397</v>
      </c>
      <c r="B174" s="1" t="str">
        <f>"Thomas Seals"</f>
        <v>Thomas Seals</v>
      </c>
      <c r="C174" s="1" t="s">
        <v>1398</v>
      </c>
      <c r="D174" s="1" t="s">
        <v>1399</v>
      </c>
      <c r="F174" s="1" t="s">
        <v>1400</v>
      </c>
      <c r="G174" s="1" t="s">
        <v>3</v>
      </c>
      <c r="H174" s="1" t="s">
        <v>1401</v>
      </c>
      <c r="I174" s="1" t="s">
        <v>5</v>
      </c>
      <c r="J174" s="1" t="s">
        <v>6</v>
      </c>
      <c r="K174" s="1" t="s">
        <v>14</v>
      </c>
      <c r="M174" s="2">
        <v>43515</v>
      </c>
      <c r="N174" s="1" t="s">
        <v>8</v>
      </c>
      <c r="O174" s="2">
        <v>44610</v>
      </c>
    </row>
    <row r="175" spans="1:15" ht="28.8" x14ac:dyDescent="0.3">
      <c r="A175" s="1" t="s">
        <v>1402</v>
      </c>
      <c r="B175" s="1" t="str">
        <f>"Austin Richards Homes LTD"</f>
        <v>Austin Richards Homes LTD</v>
      </c>
      <c r="C175" s="1" t="s">
        <v>1403</v>
      </c>
      <c r="D175" s="1" t="s">
        <v>1404</v>
      </c>
      <c r="F175" s="1" t="s">
        <v>665</v>
      </c>
      <c r="G175" s="1" t="s">
        <v>51</v>
      </c>
      <c r="H175" s="1" t="s">
        <v>1405</v>
      </c>
      <c r="I175" s="1" t="s">
        <v>19</v>
      </c>
      <c r="J175" s="1" t="s">
        <v>6</v>
      </c>
      <c r="K175" s="1" t="s">
        <v>14</v>
      </c>
      <c r="L175" s="1">
        <v>10823140</v>
      </c>
      <c r="M175" s="2">
        <v>43515</v>
      </c>
      <c r="N175" s="1" t="s">
        <v>8</v>
      </c>
      <c r="O175" s="2">
        <v>44610</v>
      </c>
    </row>
    <row r="176" spans="1:15" x14ac:dyDescent="0.3">
      <c r="A176" s="1" t="s">
        <v>1665</v>
      </c>
      <c r="B176" s="1" t="str">
        <f>"Robert Clarke"</f>
        <v>Robert Clarke</v>
      </c>
      <c r="C176" s="1" t="s">
        <v>1666</v>
      </c>
      <c r="D176" s="1" t="s">
        <v>1667</v>
      </c>
      <c r="F176" s="1" t="s">
        <v>64</v>
      </c>
      <c r="G176" s="1" t="s">
        <v>65</v>
      </c>
      <c r="H176" s="1" t="s">
        <v>1668</v>
      </c>
      <c r="I176" s="1" t="s">
        <v>5</v>
      </c>
      <c r="J176" s="1" t="s">
        <v>6</v>
      </c>
      <c r="K176" s="1" t="s">
        <v>14</v>
      </c>
      <c r="M176" s="2">
        <v>43514</v>
      </c>
      <c r="N176" s="1" t="s">
        <v>8</v>
      </c>
      <c r="O176" s="2">
        <v>44609</v>
      </c>
    </row>
    <row r="177" spans="1:15" x14ac:dyDescent="0.3">
      <c r="A177" s="1" t="s">
        <v>1669</v>
      </c>
      <c r="B177" s="1" t="str">
        <f>"Dream Builders Wales"</f>
        <v>Dream Builders Wales</v>
      </c>
      <c r="C177" s="1" t="s">
        <v>1670</v>
      </c>
      <c r="D177" s="1" t="s">
        <v>1671</v>
      </c>
      <c r="E177" s="1" t="s">
        <v>1672</v>
      </c>
      <c r="F177" s="1" t="s">
        <v>64</v>
      </c>
      <c r="G177" s="1" t="s">
        <v>65</v>
      </c>
      <c r="H177" s="1" t="s">
        <v>1673</v>
      </c>
      <c r="I177" s="1" t="s">
        <v>125</v>
      </c>
      <c r="J177" s="1" t="s">
        <v>6</v>
      </c>
      <c r="K177" s="1" t="s">
        <v>14</v>
      </c>
      <c r="M177" s="2">
        <v>43514</v>
      </c>
      <c r="N177" s="1" t="s">
        <v>8</v>
      </c>
      <c r="O177" s="2">
        <v>44609</v>
      </c>
    </row>
    <row r="178" spans="1:15" ht="28.8" x14ac:dyDescent="0.3">
      <c r="A178" s="1" t="s">
        <v>1680</v>
      </c>
      <c r="B178" s="1" t="str">
        <f>"Valero Energy Ltd "</f>
        <v xml:space="preserve">Valero Energy Ltd </v>
      </c>
      <c r="C178" s="1" t="s">
        <v>1681</v>
      </c>
      <c r="F178" s="1" t="s">
        <v>1682</v>
      </c>
      <c r="G178" s="1" t="s">
        <v>307</v>
      </c>
      <c r="H178" s="1" t="s">
        <v>1683</v>
      </c>
      <c r="I178" s="1" t="s">
        <v>19</v>
      </c>
      <c r="J178" s="1" t="s">
        <v>6</v>
      </c>
      <c r="K178" s="1" t="s">
        <v>34</v>
      </c>
      <c r="L178" s="1">
        <v>145197</v>
      </c>
      <c r="M178" s="2">
        <v>43514</v>
      </c>
      <c r="N178" s="1" t="s">
        <v>8</v>
      </c>
      <c r="O178" s="2">
        <v>44609</v>
      </c>
    </row>
    <row r="179" spans="1:15" x14ac:dyDescent="0.3">
      <c r="A179" s="1" t="s">
        <v>685</v>
      </c>
      <c r="B179" s="1" t="str">
        <f>"Delyth Griffiths"</f>
        <v>Delyth Griffiths</v>
      </c>
      <c r="C179" s="1" t="s">
        <v>686</v>
      </c>
      <c r="D179" s="1" t="s">
        <v>687</v>
      </c>
      <c r="F179" s="1" t="s">
        <v>688</v>
      </c>
      <c r="G179" s="1" t="s">
        <v>3</v>
      </c>
      <c r="H179" s="1" t="s">
        <v>689</v>
      </c>
      <c r="I179" s="1" t="s">
        <v>5</v>
      </c>
      <c r="J179" s="1" t="s">
        <v>6</v>
      </c>
      <c r="K179" s="1" t="s">
        <v>14</v>
      </c>
      <c r="M179" s="2">
        <v>43510</v>
      </c>
      <c r="N179" s="1" t="s">
        <v>8</v>
      </c>
      <c r="O179" s="2">
        <v>44605</v>
      </c>
    </row>
    <row r="180" spans="1:15" ht="28.8" x14ac:dyDescent="0.3">
      <c r="A180" s="1" t="s">
        <v>1044</v>
      </c>
      <c r="B180" s="1" t="str">
        <f>"Damien Brooks Windoor-Solutions"</f>
        <v>Damien Brooks Windoor-Solutions</v>
      </c>
      <c r="C180" s="1" t="s">
        <v>1045</v>
      </c>
      <c r="D180" s="1" t="s">
        <v>1046</v>
      </c>
      <c r="F180" s="1" t="s">
        <v>277</v>
      </c>
      <c r="G180" s="1" t="s">
        <v>141</v>
      </c>
      <c r="H180" s="1" t="s">
        <v>1047</v>
      </c>
      <c r="I180" s="1" t="s">
        <v>5</v>
      </c>
      <c r="J180" s="1" t="s">
        <v>6</v>
      </c>
      <c r="K180" s="1" t="s">
        <v>366</v>
      </c>
      <c r="M180" s="2">
        <v>43510</v>
      </c>
      <c r="N180" s="1" t="s">
        <v>8</v>
      </c>
      <c r="O180" s="2">
        <v>44605</v>
      </c>
    </row>
    <row r="181" spans="1:15" ht="28.8" x14ac:dyDescent="0.3">
      <c r="A181" s="1" t="s">
        <v>1048</v>
      </c>
      <c r="B181" s="1" t="str">
        <f>"Wayne Jones Building Contractors Ltd"</f>
        <v>Wayne Jones Building Contractors Ltd</v>
      </c>
      <c r="C181" s="1" t="s">
        <v>1049</v>
      </c>
      <c r="D181" s="1" t="s">
        <v>1050</v>
      </c>
      <c r="F181" s="1" t="s">
        <v>1051</v>
      </c>
      <c r="G181" s="1" t="s">
        <v>359</v>
      </c>
      <c r="H181" s="1" t="s">
        <v>1052</v>
      </c>
      <c r="I181" s="1" t="s">
        <v>19</v>
      </c>
      <c r="J181" s="1" t="s">
        <v>6</v>
      </c>
      <c r="K181" s="1" t="s">
        <v>14</v>
      </c>
      <c r="L181" s="1">
        <v>6649623</v>
      </c>
      <c r="M181" s="2">
        <v>43510</v>
      </c>
      <c r="N181" s="1" t="s">
        <v>8</v>
      </c>
      <c r="O181" s="2">
        <v>44605</v>
      </c>
    </row>
    <row r="182" spans="1:15" ht="28.8" x14ac:dyDescent="0.3">
      <c r="A182" s="1" t="s">
        <v>1053</v>
      </c>
      <c r="B182" s="1" t="str">
        <f>"Mark Harris"</f>
        <v>Mark Harris</v>
      </c>
      <c r="C182" s="1" t="s">
        <v>1054</v>
      </c>
      <c r="F182" s="1" t="s">
        <v>277</v>
      </c>
      <c r="G182" s="1" t="s">
        <v>141</v>
      </c>
      <c r="H182" s="1" t="s">
        <v>1055</v>
      </c>
      <c r="I182" s="1" t="s">
        <v>5</v>
      </c>
      <c r="J182" s="1" t="s">
        <v>6</v>
      </c>
      <c r="K182" s="1" t="s">
        <v>34</v>
      </c>
      <c r="M182" s="2">
        <v>43510</v>
      </c>
      <c r="N182" s="1" t="s">
        <v>8</v>
      </c>
      <c r="O182" s="2">
        <v>44605</v>
      </c>
    </row>
    <row r="183" spans="1:15" ht="28.8" x14ac:dyDescent="0.3">
      <c r="A183" s="1" t="s">
        <v>454</v>
      </c>
      <c r="B183" s="1" t="str">
        <f>"Andrew Edwards A Edwards Services"</f>
        <v>Andrew Edwards A Edwards Services</v>
      </c>
      <c r="C183" s="1" t="s">
        <v>455</v>
      </c>
      <c r="D183" s="1" t="s">
        <v>456</v>
      </c>
      <c r="F183" s="1" t="s">
        <v>457</v>
      </c>
      <c r="G183" s="1" t="s">
        <v>141</v>
      </c>
      <c r="H183" s="1" t="s">
        <v>458</v>
      </c>
      <c r="I183" s="1" t="s">
        <v>5</v>
      </c>
      <c r="J183" s="1" t="s">
        <v>6</v>
      </c>
      <c r="K183" s="1" t="s">
        <v>14</v>
      </c>
      <c r="M183" s="2">
        <v>43509</v>
      </c>
      <c r="N183" s="1" t="s">
        <v>8</v>
      </c>
      <c r="O183" s="2">
        <v>44604</v>
      </c>
    </row>
    <row r="184" spans="1:15" ht="28.8" x14ac:dyDescent="0.3">
      <c r="A184" s="1" t="s">
        <v>462</v>
      </c>
      <c r="B184" s="1" t="str">
        <f>"JJ Builders"</f>
        <v>JJ Builders</v>
      </c>
      <c r="C184" s="1" t="s">
        <v>463</v>
      </c>
      <c r="D184" s="1" t="s">
        <v>464</v>
      </c>
      <c r="E184" s="1" t="s">
        <v>465</v>
      </c>
      <c r="F184" s="1" t="s">
        <v>123</v>
      </c>
      <c r="G184" s="1" t="s">
        <v>156</v>
      </c>
      <c r="H184" s="1" t="s">
        <v>466</v>
      </c>
      <c r="I184" s="1" t="s">
        <v>19</v>
      </c>
      <c r="J184" s="1" t="s">
        <v>6</v>
      </c>
      <c r="K184" s="1" t="s">
        <v>34</v>
      </c>
      <c r="M184" s="2">
        <v>43509</v>
      </c>
      <c r="N184" s="1" t="s">
        <v>8</v>
      </c>
      <c r="O184" s="2">
        <v>44604</v>
      </c>
    </row>
    <row r="185" spans="1:15" x14ac:dyDescent="0.3">
      <c r="A185" s="1" t="s">
        <v>467</v>
      </c>
      <c r="B185" s="1" t="str">
        <f>"Stephen Sherratt"</f>
        <v>Stephen Sherratt</v>
      </c>
      <c r="C185" s="1" t="s">
        <v>468</v>
      </c>
      <c r="F185" s="1" t="s">
        <v>374</v>
      </c>
      <c r="G185" s="1" t="s">
        <v>359</v>
      </c>
      <c r="H185" s="1" t="s">
        <v>469</v>
      </c>
      <c r="I185" s="1" t="s">
        <v>5</v>
      </c>
      <c r="J185" s="1" t="s">
        <v>6</v>
      </c>
      <c r="K185" s="1" t="s">
        <v>7</v>
      </c>
      <c r="M185" s="2">
        <v>43509</v>
      </c>
      <c r="N185" s="1" t="s">
        <v>8</v>
      </c>
      <c r="O185" s="2">
        <v>44604</v>
      </c>
    </row>
    <row r="186" spans="1:15" ht="28.8" x14ac:dyDescent="0.3">
      <c r="A186" s="1" t="s">
        <v>998</v>
      </c>
      <c r="B186" s="1" t="str">
        <f>"Value Food &amp; Wine Ltd"</f>
        <v>Value Food &amp; Wine Ltd</v>
      </c>
      <c r="C186" s="1" t="s">
        <v>999</v>
      </c>
      <c r="D186" s="1" t="s">
        <v>1000</v>
      </c>
      <c r="F186" s="1" t="s">
        <v>156</v>
      </c>
      <c r="G186" s="1" t="s">
        <v>1001</v>
      </c>
      <c r="I186" s="1" t="s">
        <v>19</v>
      </c>
      <c r="J186" s="1" t="s">
        <v>6</v>
      </c>
      <c r="K186" s="1" t="s">
        <v>34</v>
      </c>
      <c r="M186" s="2">
        <v>43509</v>
      </c>
      <c r="N186" s="1" t="s">
        <v>8</v>
      </c>
      <c r="O186" s="2">
        <v>44604</v>
      </c>
    </row>
    <row r="187" spans="1:15" ht="28.8" x14ac:dyDescent="0.3">
      <c r="A187" s="1" t="s">
        <v>1002</v>
      </c>
      <c r="B187" s="1" t="str">
        <f>"Sparkles Property Solutions"</f>
        <v>Sparkles Property Solutions</v>
      </c>
      <c r="C187" s="1" t="s">
        <v>1003</v>
      </c>
      <c r="D187" s="1" t="s">
        <v>1004</v>
      </c>
      <c r="E187" s="1" t="s">
        <v>1005</v>
      </c>
      <c r="F187" s="1" t="s">
        <v>32</v>
      </c>
      <c r="H187" s="1" t="s">
        <v>1006</v>
      </c>
      <c r="I187" s="1" t="s">
        <v>19</v>
      </c>
      <c r="J187" s="1" t="s">
        <v>6</v>
      </c>
      <c r="K187" s="1" t="s">
        <v>14</v>
      </c>
      <c r="L187" s="1">
        <v>11807253</v>
      </c>
      <c r="M187" s="2">
        <v>43509</v>
      </c>
      <c r="N187" s="1" t="s">
        <v>8</v>
      </c>
      <c r="O187" s="2">
        <v>44604</v>
      </c>
    </row>
    <row r="188" spans="1:15" ht="43.2" x14ac:dyDescent="0.3">
      <c r="A188" s="1" t="s">
        <v>1007</v>
      </c>
      <c r="B188" s="1" t="str">
        <f>"Cwmaman Town Council"</f>
        <v>Cwmaman Town Council</v>
      </c>
      <c r="C188" s="1" t="s">
        <v>1008</v>
      </c>
      <c r="D188" s="1" t="s">
        <v>1009</v>
      </c>
      <c r="E188" s="1" t="s">
        <v>1010</v>
      </c>
      <c r="F188" s="1" t="s">
        <v>1011</v>
      </c>
      <c r="H188" s="1" t="s">
        <v>1012</v>
      </c>
      <c r="I188" s="1" t="s">
        <v>188</v>
      </c>
      <c r="J188" s="1" t="s">
        <v>67</v>
      </c>
      <c r="K188" s="1" t="s">
        <v>14</v>
      </c>
      <c r="M188" s="2">
        <v>43509</v>
      </c>
      <c r="N188" s="1" t="s">
        <v>8</v>
      </c>
      <c r="O188" s="1" t="s">
        <v>68</v>
      </c>
    </row>
    <row r="189" spans="1:15" ht="43.2" x14ac:dyDescent="0.3">
      <c r="A189" s="1" t="s">
        <v>1013</v>
      </c>
      <c r="B189" s="1" t="str">
        <f>"Llannon Community Council"</f>
        <v>Llannon Community Council</v>
      </c>
      <c r="C189" s="1" t="s">
        <v>1014</v>
      </c>
      <c r="D189" s="1" t="s">
        <v>1015</v>
      </c>
      <c r="E189" s="1" t="s">
        <v>1016</v>
      </c>
      <c r="F189" s="1" t="s">
        <v>1017</v>
      </c>
      <c r="H189" s="1" t="s">
        <v>1018</v>
      </c>
      <c r="I189" s="1" t="s">
        <v>188</v>
      </c>
      <c r="J189" s="1" t="s">
        <v>67</v>
      </c>
      <c r="K189" s="1" t="s">
        <v>14</v>
      </c>
      <c r="M189" s="2">
        <v>43509</v>
      </c>
      <c r="N189" s="1" t="s">
        <v>8</v>
      </c>
      <c r="O189" s="1" t="s">
        <v>68</v>
      </c>
    </row>
    <row r="190" spans="1:15" ht="43.2" x14ac:dyDescent="0.3">
      <c r="A190" s="1" t="s">
        <v>1027</v>
      </c>
      <c r="B190" s="1" t="str">
        <f>"Channel Electrical Systems Ltd"</f>
        <v>Channel Electrical Systems Ltd</v>
      </c>
      <c r="C190" s="1" t="s">
        <v>1028</v>
      </c>
      <c r="D190" s="1" t="s">
        <v>1029</v>
      </c>
      <c r="F190" s="1" t="s">
        <v>706</v>
      </c>
      <c r="H190" s="1" t="s">
        <v>1030</v>
      </c>
      <c r="I190" s="1" t="s">
        <v>19</v>
      </c>
      <c r="J190" s="1" t="s">
        <v>67</v>
      </c>
      <c r="K190" s="1" t="s">
        <v>14</v>
      </c>
      <c r="L190" s="1">
        <v>10699469</v>
      </c>
      <c r="M190" s="2">
        <v>43509</v>
      </c>
      <c r="N190" s="1" t="s">
        <v>8</v>
      </c>
      <c r="O190" s="1" t="s">
        <v>68</v>
      </c>
    </row>
    <row r="191" spans="1:15" ht="28.8" x14ac:dyDescent="0.3">
      <c r="A191" s="1" t="s">
        <v>1031</v>
      </c>
      <c r="B191" s="1" t="str">
        <f>"R. Lewis and Co. (UK) Ltd"</f>
        <v>R. Lewis and Co. (UK) Ltd</v>
      </c>
      <c r="C191" s="1" t="s">
        <v>1032</v>
      </c>
      <c r="D191" s="1" t="s">
        <v>1033</v>
      </c>
      <c r="E191" s="1" t="s">
        <v>1034</v>
      </c>
      <c r="F191" s="1" t="s">
        <v>123</v>
      </c>
      <c r="G191" s="1" t="s">
        <v>27</v>
      </c>
      <c r="H191" s="1" t="s">
        <v>1035</v>
      </c>
      <c r="I191" s="1" t="s">
        <v>19</v>
      </c>
      <c r="J191" s="1" t="s">
        <v>6</v>
      </c>
      <c r="K191" s="1" t="s">
        <v>14</v>
      </c>
      <c r="L191" s="1">
        <v>6088437</v>
      </c>
      <c r="M191" s="2">
        <v>43509</v>
      </c>
      <c r="N191" s="1" t="s">
        <v>8</v>
      </c>
      <c r="O191" s="2">
        <v>44604</v>
      </c>
    </row>
    <row r="192" spans="1:15" x14ac:dyDescent="0.3">
      <c r="A192" s="1" t="s">
        <v>1036</v>
      </c>
      <c r="B192" s="1" t="str">
        <f>"Darryl Taylor"</f>
        <v>Darryl Taylor</v>
      </c>
      <c r="C192" s="1" t="s">
        <v>1037</v>
      </c>
      <c r="D192" s="1" t="s">
        <v>1038</v>
      </c>
      <c r="F192" s="1" t="s">
        <v>64</v>
      </c>
      <c r="G192" s="1" t="s">
        <v>65</v>
      </c>
      <c r="H192" s="1" t="s">
        <v>1039</v>
      </c>
      <c r="I192" s="1" t="s">
        <v>5</v>
      </c>
      <c r="J192" s="1" t="s">
        <v>6</v>
      </c>
      <c r="K192" s="1" t="s">
        <v>14</v>
      </c>
      <c r="M192" s="2">
        <v>43509</v>
      </c>
      <c r="N192" s="1" t="s">
        <v>8</v>
      </c>
      <c r="O192" s="2">
        <v>44604</v>
      </c>
    </row>
    <row r="193" spans="1:15" ht="43.2" x14ac:dyDescent="0.3">
      <c r="A193" s="1" t="s">
        <v>1040</v>
      </c>
      <c r="B193" s="1" t="str">
        <f>"Gavin Reardon"</f>
        <v>Gavin Reardon</v>
      </c>
      <c r="C193" s="1" t="s">
        <v>1041</v>
      </c>
      <c r="D193" s="1" t="s">
        <v>1042</v>
      </c>
      <c r="F193" s="1" t="s">
        <v>123</v>
      </c>
      <c r="G193" s="1" t="s">
        <v>27</v>
      </c>
      <c r="H193" s="1" t="s">
        <v>1043</v>
      </c>
      <c r="I193" s="1" t="s">
        <v>5</v>
      </c>
      <c r="J193" s="1" t="s">
        <v>67</v>
      </c>
      <c r="K193" s="1" t="s">
        <v>14</v>
      </c>
      <c r="M193" s="2">
        <v>43509</v>
      </c>
      <c r="N193" s="1" t="s">
        <v>8</v>
      </c>
      <c r="O193" s="1" t="s">
        <v>68</v>
      </c>
    </row>
    <row r="194" spans="1:15" ht="28.8" x14ac:dyDescent="0.3">
      <c r="A194" s="1" t="s">
        <v>674</v>
      </c>
      <c r="B194" s="1" t="str">
        <f>"C1phertech Limited"</f>
        <v>C1phertech Limited</v>
      </c>
      <c r="C194" s="1" t="s">
        <v>675</v>
      </c>
      <c r="D194" s="1" t="s">
        <v>676</v>
      </c>
      <c r="E194" s="1" t="s">
        <v>677</v>
      </c>
      <c r="F194" s="1" t="s">
        <v>678</v>
      </c>
      <c r="G194" s="1" t="s">
        <v>679</v>
      </c>
      <c r="H194" s="1" t="s">
        <v>680</v>
      </c>
      <c r="I194" s="1" t="s">
        <v>19</v>
      </c>
      <c r="J194" s="1" t="s">
        <v>6</v>
      </c>
      <c r="K194" s="1" t="s">
        <v>34</v>
      </c>
      <c r="M194" s="2">
        <v>43508</v>
      </c>
      <c r="N194" s="1" t="s">
        <v>8</v>
      </c>
      <c r="O194" s="2">
        <v>44603</v>
      </c>
    </row>
    <row r="195" spans="1:15" ht="28.8" x14ac:dyDescent="0.3">
      <c r="A195" s="1" t="s">
        <v>681</v>
      </c>
      <c r="B195" s="1" t="str">
        <f>"Alfresco Landscape &amp; Garden Ltd"</f>
        <v>Alfresco Landscape &amp; Garden Ltd</v>
      </c>
      <c r="C195" s="1" t="s">
        <v>682</v>
      </c>
      <c r="D195" s="1" t="s">
        <v>683</v>
      </c>
      <c r="F195" s="1" t="s">
        <v>123</v>
      </c>
      <c r="G195" s="1" t="s">
        <v>27</v>
      </c>
      <c r="H195" s="1" t="s">
        <v>684</v>
      </c>
      <c r="I195" s="1" t="s">
        <v>19</v>
      </c>
      <c r="J195" s="1" t="s">
        <v>6</v>
      </c>
      <c r="K195" s="1" t="s">
        <v>14</v>
      </c>
      <c r="L195" s="1">
        <v>8009320</v>
      </c>
      <c r="M195" s="2">
        <v>43508</v>
      </c>
      <c r="N195" s="1" t="s">
        <v>8</v>
      </c>
      <c r="O195" s="2">
        <v>44603</v>
      </c>
    </row>
    <row r="196" spans="1:15" ht="28.8" x14ac:dyDescent="0.3">
      <c r="A196" s="1" t="s">
        <v>1394</v>
      </c>
      <c r="B196" s="1" t="str">
        <f>"Walter Lovell Walter Lovell and sons"</f>
        <v>Walter Lovell Walter Lovell and sons</v>
      </c>
      <c r="C196" s="1" t="s">
        <v>1395</v>
      </c>
      <c r="F196" s="1" t="s">
        <v>96</v>
      </c>
      <c r="H196" s="1" t="s">
        <v>1396</v>
      </c>
      <c r="I196" s="1" t="s">
        <v>5</v>
      </c>
      <c r="J196" s="1" t="s">
        <v>6</v>
      </c>
      <c r="K196" s="1" t="s">
        <v>14</v>
      </c>
      <c r="M196" s="2">
        <v>43508</v>
      </c>
      <c r="N196" s="1" t="s">
        <v>8</v>
      </c>
      <c r="O196" s="2">
        <v>44603</v>
      </c>
    </row>
    <row r="197" spans="1:15" ht="28.8" x14ac:dyDescent="0.3">
      <c r="A197" s="1" t="s">
        <v>53</v>
      </c>
      <c r="B197" s="1" t="str">
        <f>"Lyn Moses"</f>
        <v>Lyn Moses</v>
      </c>
      <c r="C197" s="1" t="s">
        <v>54</v>
      </c>
      <c r="D197" s="1" t="s">
        <v>55</v>
      </c>
      <c r="F197" s="1" t="s">
        <v>56</v>
      </c>
      <c r="G197" s="1" t="s">
        <v>51</v>
      </c>
      <c r="H197" s="1" t="s">
        <v>57</v>
      </c>
      <c r="I197" s="1" t="s">
        <v>5</v>
      </c>
      <c r="J197" s="1" t="s">
        <v>6</v>
      </c>
      <c r="K197" s="1" t="s">
        <v>34</v>
      </c>
      <c r="M197" s="2">
        <v>43507</v>
      </c>
      <c r="N197" s="1" t="s">
        <v>8</v>
      </c>
      <c r="O197" s="2">
        <v>44602</v>
      </c>
    </row>
    <row r="198" spans="1:15" ht="28.8" x14ac:dyDescent="0.3">
      <c r="A198" s="1" t="s">
        <v>58</v>
      </c>
      <c r="B198" s="1" t="str">
        <f>"Eagle Maintainence Services LTD"</f>
        <v>Eagle Maintainence Services LTD</v>
      </c>
      <c r="C198" s="1" t="s">
        <v>59</v>
      </c>
      <c r="F198" s="1" t="s">
        <v>42</v>
      </c>
      <c r="G198" s="1" t="s">
        <v>51</v>
      </c>
      <c r="H198" s="1" t="s">
        <v>60</v>
      </c>
      <c r="I198" s="1" t="s">
        <v>19</v>
      </c>
      <c r="J198" s="1" t="s">
        <v>6</v>
      </c>
      <c r="K198" s="1" t="s">
        <v>14</v>
      </c>
      <c r="M198" s="2">
        <v>43507</v>
      </c>
      <c r="N198" s="1" t="s">
        <v>8</v>
      </c>
      <c r="O198" s="2">
        <v>44602</v>
      </c>
    </row>
    <row r="199" spans="1:15" ht="43.2" x14ac:dyDescent="0.3">
      <c r="A199" s="1" t="s">
        <v>61</v>
      </c>
      <c r="B199" s="1" t="str">
        <f>"KSB Projects LTD"</f>
        <v>KSB Projects LTD</v>
      </c>
      <c r="C199" s="1" t="s">
        <v>62</v>
      </c>
      <c r="D199" s="1" t="s">
        <v>63</v>
      </c>
      <c r="F199" s="1" t="s">
        <v>64</v>
      </c>
      <c r="G199" s="1" t="s">
        <v>65</v>
      </c>
      <c r="H199" s="1" t="s">
        <v>66</v>
      </c>
      <c r="I199" s="1" t="s">
        <v>19</v>
      </c>
      <c r="J199" s="1" t="s">
        <v>67</v>
      </c>
      <c r="K199" s="1" t="s">
        <v>14</v>
      </c>
      <c r="L199" s="1">
        <v>10493910</v>
      </c>
      <c r="M199" s="2">
        <v>43507</v>
      </c>
      <c r="N199" s="1" t="s">
        <v>8</v>
      </c>
      <c r="O199" s="1" t="s">
        <v>68</v>
      </c>
    </row>
    <row r="200" spans="1:15" ht="43.2" x14ac:dyDescent="0.3">
      <c r="A200" s="1" t="s">
        <v>69</v>
      </c>
      <c r="B200" s="1" t="str">
        <f>"T W &amp; G W Evans Ltd"</f>
        <v>T W &amp; G W Evans Ltd</v>
      </c>
      <c r="C200" s="1" t="s">
        <v>70</v>
      </c>
      <c r="D200" s="1" t="s">
        <v>71</v>
      </c>
      <c r="F200" s="1" t="s">
        <v>72</v>
      </c>
      <c r="G200" s="1" t="s">
        <v>73</v>
      </c>
      <c r="H200" s="1" t="s">
        <v>74</v>
      </c>
      <c r="I200" s="1" t="s">
        <v>19</v>
      </c>
      <c r="J200" s="1" t="s">
        <v>67</v>
      </c>
      <c r="K200" s="1" t="s">
        <v>14</v>
      </c>
      <c r="M200" s="2">
        <v>43507</v>
      </c>
      <c r="N200" s="1" t="s">
        <v>8</v>
      </c>
      <c r="O200" s="1" t="s">
        <v>68</v>
      </c>
    </row>
    <row r="201" spans="1:15" ht="43.2" x14ac:dyDescent="0.3">
      <c r="A201" s="1" t="s">
        <v>977</v>
      </c>
      <c r="B201" s="1" t="str">
        <f>"JARVIS PRESSURE POINTING &amp; GROUTING"</f>
        <v>JARVIS PRESSURE POINTING &amp; GROUTING</v>
      </c>
      <c r="C201" s="1" t="s">
        <v>978</v>
      </c>
      <c r="F201" s="1" t="s">
        <v>710</v>
      </c>
      <c r="H201" s="1" t="s">
        <v>979</v>
      </c>
      <c r="I201" s="1" t="s">
        <v>19</v>
      </c>
      <c r="J201" s="1" t="s">
        <v>6</v>
      </c>
      <c r="K201" s="1" t="s">
        <v>14</v>
      </c>
      <c r="L201" s="1">
        <v>4468345</v>
      </c>
      <c r="M201" s="2">
        <v>43507</v>
      </c>
      <c r="N201" s="1" t="s">
        <v>8</v>
      </c>
      <c r="O201" s="2">
        <v>44602</v>
      </c>
    </row>
    <row r="202" spans="1:15" ht="28.8" x14ac:dyDescent="0.3">
      <c r="A202" s="1" t="s">
        <v>980</v>
      </c>
      <c r="B202" s="1" t="str">
        <f>"Big Blue Van With a Lot to Do"</f>
        <v>Big Blue Van With a Lot to Do</v>
      </c>
      <c r="C202" s="1" t="s">
        <v>981</v>
      </c>
      <c r="F202" s="1" t="s">
        <v>72</v>
      </c>
      <c r="G202" s="1" t="s">
        <v>73</v>
      </c>
      <c r="H202" s="1" t="s">
        <v>982</v>
      </c>
      <c r="I202" s="1" t="s">
        <v>125</v>
      </c>
      <c r="J202" s="1" t="s">
        <v>6</v>
      </c>
      <c r="K202" s="1" t="s">
        <v>14</v>
      </c>
      <c r="M202" s="2">
        <v>43507</v>
      </c>
      <c r="N202" s="1" t="s">
        <v>8</v>
      </c>
      <c r="O202" s="2">
        <v>44602</v>
      </c>
    </row>
    <row r="203" spans="1:15" ht="28.8" x14ac:dyDescent="0.3">
      <c r="A203" s="1" t="s">
        <v>983</v>
      </c>
      <c r="B203" s="1" t="str">
        <f>"Rynik Carpentry Building Services "</f>
        <v xml:space="preserve">Rynik Carpentry Building Services </v>
      </c>
      <c r="C203" s="1" t="s">
        <v>984</v>
      </c>
      <c r="D203" s="1" t="s">
        <v>985</v>
      </c>
      <c r="F203" s="1" t="s">
        <v>986</v>
      </c>
      <c r="H203" s="1" t="s">
        <v>987</v>
      </c>
      <c r="I203" s="1" t="s">
        <v>19</v>
      </c>
      <c r="J203" s="1" t="s">
        <v>6</v>
      </c>
      <c r="K203" s="1" t="s">
        <v>14</v>
      </c>
      <c r="L203" s="1">
        <v>7482420</v>
      </c>
      <c r="M203" s="2">
        <v>43507</v>
      </c>
      <c r="N203" s="1" t="s">
        <v>8</v>
      </c>
      <c r="O203" s="2">
        <v>44602</v>
      </c>
    </row>
    <row r="204" spans="1:15" x14ac:dyDescent="0.3">
      <c r="A204" s="1" t="s">
        <v>988</v>
      </c>
      <c r="B204" s="1" t="str">
        <f>"Wayne Davies"</f>
        <v>Wayne Davies</v>
      </c>
      <c r="C204" s="1" t="s">
        <v>989</v>
      </c>
      <c r="F204" s="1" t="s">
        <v>140</v>
      </c>
      <c r="G204" s="1" t="s">
        <v>141</v>
      </c>
      <c r="H204" s="1" t="s">
        <v>990</v>
      </c>
      <c r="I204" s="1" t="s">
        <v>5</v>
      </c>
      <c r="J204" s="1" t="s">
        <v>6</v>
      </c>
      <c r="K204" s="1" t="s">
        <v>14</v>
      </c>
      <c r="M204" s="2">
        <v>43507</v>
      </c>
      <c r="N204" s="1" t="s">
        <v>8</v>
      </c>
      <c r="O204" s="2">
        <v>44602</v>
      </c>
    </row>
    <row r="205" spans="1:15" ht="28.8" x14ac:dyDescent="0.3">
      <c r="A205" s="1" t="s">
        <v>1381</v>
      </c>
      <c r="B205" s="1" t="str">
        <f>"J &amp; P Windows LTD"</f>
        <v>J &amp; P Windows LTD</v>
      </c>
      <c r="C205" s="1" t="s">
        <v>1382</v>
      </c>
      <c r="D205" s="1" t="s">
        <v>1383</v>
      </c>
      <c r="E205" s="1" t="s">
        <v>1384</v>
      </c>
      <c r="F205" s="1" t="s">
        <v>1385</v>
      </c>
      <c r="G205" s="1" t="s">
        <v>654</v>
      </c>
      <c r="H205" s="1" t="s">
        <v>1386</v>
      </c>
      <c r="I205" s="1" t="s">
        <v>19</v>
      </c>
      <c r="J205" s="1" t="s">
        <v>6</v>
      </c>
      <c r="K205" s="1" t="s">
        <v>14</v>
      </c>
      <c r="L205" s="1">
        <v>5353644</v>
      </c>
      <c r="M205" s="2">
        <v>43504</v>
      </c>
      <c r="N205" s="1" t="s">
        <v>8</v>
      </c>
      <c r="O205" s="2">
        <v>44599</v>
      </c>
    </row>
    <row r="206" spans="1:15" x14ac:dyDescent="0.3">
      <c r="A206" s="1" t="s">
        <v>422</v>
      </c>
      <c r="B206" s="1" t="str">
        <f>"Jamie Norman"</f>
        <v>Jamie Norman</v>
      </c>
      <c r="C206" s="1" t="s">
        <v>423</v>
      </c>
      <c r="D206" s="1" t="s">
        <v>424</v>
      </c>
      <c r="F206" s="1" t="s">
        <v>64</v>
      </c>
      <c r="G206" s="1" t="s">
        <v>65</v>
      </c>
      <c r="H206" s="1" t="s">
        <v>425</v>
      </c>
      <c r="I206" s="1" t="s">
        <v>5</v>
      </c>
      <c r="J206" s="1" t="s">
        <v>6</v>
      </c>
      <c r="K206" s="1" t="s">
        <v>14</v>
      </c>
      <c r="M206" s="2">
        <v>43503</v>
      </c>
      <c r="N206" s="1" t="s">
        <v>8</v>
      </c>
      <c r="O206" s="2">
        <v>44598</v>
      </c>
    </row>
    <row r="207" spans="1:15" ht="43.2" x14ac:dyDescent="0.3">
      <c r="A207" s="1" t="s">
        <v>426</v>
      </c>
      <c r="B207" s="1" t="str">
        <f>"DJL Amusements LTD"</f>
        <v>DJL Amusements LTD</v>
      </c>
      <c r="C207" s="1" t="s">
        <v>427</v>
      </c>
      <c r="F207" s="1" t="s">
        <v>428</v>
      </c>
      <c r="G207" s="1" t="s">
        <v>3</v>
      </c>
      <c r="H207" s="1" t="s">
        <v>429</v>
      </c>
      <c r="I207" s="1" t="s">
        <v>19</v>
      </c>
      <c r="J207" s="1" t="s">
        <v>67</v>
      </c>
      <c r="K207" s="1" t="s">
        <v>14</v>
      </c>
      <c r="L207" s="1">
        <v>3042008</v>
      </c>
      <c r="M207" s="2">
        <v>43503</v>
      </c>
      <c r="N207" s="1" t="s">
        <v>8</v>
      </c>
      <c r="O207" s="1" t="s">
        <v>68</v>
      </c>
    </row>
    <row r="208" spans="1:15" ht="43.2" x14ac:dyDescent="0.3">
      <c r="A208" s="1" t="s">
        <v>430</v>
      </c>
      <c r="B208" s="1" t="str">
        <f>"Coolflow Aircon LTD"</f>
        <v>Coolflow Aircon LTD</v>
      </c>
      <c r="C208" s="1" t="s">
        <v>431</v>
      </c>
      <c r="D208" s="1" t="s">
        <v>432</v>
      </c>
      <c r="E208" s="1" t="s">
        <v>433</v>
      </c>
      <c r="F208" s="1" t="s">
        <v>380</v>
      </c>
      <c r="G208" s="1" t="s">
        <v>381</v>
      </c>
      <c r="H208" s="1" t="s">
        <v>434</v>
      </c>
      <c r="I208" s="1" t="s">
        <v>19</v>
      </c>
      <c r="J208" s="1" t="s">
        <v>67</v>
      </c>
      <c r="K208" s="1" t="s">
        <v>14</v>
      </c>
      <c r="L208" s="1">
        <v>11312127</v>
      </c>
      <c r="M208" s="2">
        <v>43503</v>
      </c>
      <c r="N208" s="1" t="s">
        <v>8</v>
      </c>
      <c r="O208" s="1" t="s">
        <v>68</v>
      </c>
    </row>
    <row r="209" spans="1:15" x14ac:dyDescent="0.3">
      <c r="A209" s="1" t="s">
        <v>440</v>
      </c>
      <c r="B209" s="1" t="str">
        <f>"Neath Care"</f>
        <v>Neath Care</v>
      </c>
      <c r="C209" s="1" t="s">
        <v>441</v>
      </c>
      <c r="F209" s="1" t="s">
        <v>32</v>
      </c>
      <c r="H209" s="1" t="s">
        <v>442</v>
      </c>
      <c r="I209" s="1" t="s">
        <v>19</v>
      </c>
      <c r="J209" s="1" t="s">
        <v>6</v>
      </c>
      <c r="K209" s="1" t="s">
        <v>14</v>
      </c>
      <c r="M209" s="2">
        <v>43503</v>
      </c>
      <c r="N209" s="1" t="s">
        <v>8</v>
      </c>
      <c r="O209" s="2">
        <v>44598</v>
      </c>
    </row>
    <row r="210" spans="1:15" ht="28.8" x14ac:dyDescent="0.3">
      <c r="A210" s="1" t="s">
        <v>952</v>
      </c>
      <c r="B210" s="1" t="str">
        <f>"Doorman LTD T/A Bartons"</f>
        <v>Doorman LTD T/A Bartons</v>
      </c>
      <c r="C210" s="1" t="s">
        <v>953</v>
      </c>
      <c r="D210" s="1" t="s">
        <v>954</v>
      </c>
      <c r="E210" s="1" t="s">
        <v>955</v>
      </c>
      <c r="F210" s="1" t="s">
        <v>358</v>
      </c>
      <c r="G210" s="1" t="s">
        <v>359</v>
      </c>
      <c r="H210" s="1" t="s">
        <v>956</v>
      </c>
      <c r="I210" s="1" t="s">
        <v>19</v>
      </c>
      <c r="J210" s="1" t="s">
        <v>6</v>
      </c>
      <c r="K210" s="1" t="s">
        <v>14</v>
      </c>
      <c r="L210" s="1">
        <v>11032018</v>
      </c>
      <c r="M210" s="2">
        <v>43503</v>
      </c>
      <c r="N210" s="1" t="s">
        <v>8</v>
      </c>
      <c r="O210" s="2">
        <v>44598</v>
      </c>
    </row>
    <row r="211" spans="1:15" ht="28.8" x14ac:dyDescent="0.3">
      <c r="A211" s="1" t="s">
        <v>957</v>
      </c>
      <c r="B211" s="1" t="str">
        <f>"Endurmeta ltd"</f>
        <v>Endurmeta ltd</v>
      </c>
      <c r="C211" s="1" t="s">
        <v>958</v>
      </c>
      <c r="D211" s="1" t="s">
        <v>959</v>
      </c>
      <c r="E211" s="1" t="s">
        <v>746</v>
      </c>
      <c r="F211" s="1" t="s">
        <v>323</v>
      </c>
      <c r="G211" s="1" t="s">
        <v>324</v>
      </c>
      <c r="H211" s="1" t="s">
        <v>960</v>
      </c>
      <c r="I211" s="1" t="s">
        <v>19</v>
      </c>
      <c r="J211" s="1" t="s">
        <v>6</v>
      </c>
      <c r="K211" s="1" t="s">
        <v>34</v>
      </c>
      <c r="L211" s="1">
        <v>981009229</v>
      </c>
      <c r="M211" s="2">
        <v>43503</v>
      </c>
      <c r="N211" s="1" t="s">
        <v>8</v>
      </c>
      <c r="O211" s="2">
        <v>44598</v>
      </c>
    </row>
    <row r="212" spans="1:15" ht="28.8" x14ac:dyDescent="0.3">
      <c r="A212" s="1" t="s">
        <v>961</v>
      </c>
      <c r="B212" s="1" t="str">
        <f>"ADVANCED FIRE PROTECTION LTD"</f>
        <v>ADVANCED FIRE PROTECTION LTD</v>
      </c>
      <c r="C212" s="1" t="s">
        <v>962</v>
      </c>
      <c r="F212" s="1" t="s">
        <v>277</v>
      </c>
      <c r="H212" s="1" t="s">
        <v>963</v>
      </c>
      <c r="I212" s="1" t="s">
        <v>19</v>
      </c>
      <c r="J212" s="1" t="s">
        <v>6</v>
      </c>
      <c r="K212" s="1" t="s">
        <v>34</v>
      </c>
      <c r="L212" s="1">
        <v>3932260</v>
      </c>
      <c r="M212" s="2">
        <v>43503</v>
      </c>
      <c r="N212" s="1" t="s">
        <v>8</v>
      </c>
      <c r="O212" s="2">
        <v>44598</v>
      </c>
    </row>
    <row r="213" spans="1:15" ht="43.2" x14ac:dyDescent="0.3">
      <c r="A213" s="1" t="s">
        <v>970</v>
      </c>
      <c r="B213" s="1" t="str">
        <f>"Anthony john Morgan"</f>
        <v>Anthony john Morgan</v>
      </c>
      <c r="C213" s="1" t="s">
        <v>971</v>
      </c>
      <c r="D213" s="1" t="s">
        <v>972</v>
      </c>
      <c r="F213" s="1" t="s">
        <v>179</v>
      </c>
      <c r="G213" s="1" t="s">
        <v>180</v>
      </c>
      <c r="H213" s="1" t="s">
        <v>973</v>
      </c>
      <c r="I213" s="1" t="s">
        <v>5</v>
      </c>
      <c r="J213" s="1" t="s">
        <v>67</v>
      </c>
      <c r="K213" s="1" t="s">
        <v>14</v>
      </c>
      <c r="M213" s="2">
        <v>43503</v>
      </c>
      <c r="N213" s="1" t="s">
        <v>8</v>
      </c>
      <c r="O213" s="1" t="s">
        <v>68</v>
      </c>
    </row>
    <row r="214" spans="1:15" ht="43.2" x14ac:dyDescent="0.3">
      <c r="A214" s="1" t="s">
        <v>974</v>
      </c>
      <c r="B214" s="1" t="str">
        <f>"Gibson Cleaning services"</f>
        <v>Gibson Cleaning services</v>
      </c>
      <c r="C214" s="1" t="s">
        <v>975</v>
      </c>
      <c r="D214" s="1" t="s">
        <v>465</v>
      </c>
      <c r="F214" s="1" t="s">
        <v>123</v>
      </c>
      <c r="G214" s="1" t="s">
        <v>156</v>
      </c>
      <c r="H214" s="1" t="s">
        <v>976</v>
      </c>
      <c r="I214" s="1" t="s">
        <v>19</v>
      </c>
      <c r="J214" s="1" t="s">
        <v>67</v>
      </c>
      <c r="K214" s="1" t="s">
        <v>14</v>
      </c>
      <c r="L214" s="1">
        <v>5833519</v>
      </c>
      <c r="M214" s="2">
        <v>43503</v>
      </c>
      <c r="N214" s="1" t="s">
        <v>8</v>
      </c>
      <c r="O214" s="1" t="s">
        <v>68</v>
      </c>
    </row>
    <row r="215" spans="1:15" x14ac:dyDescent="0.3">
      <c r="A215" s="1" t="s">
        <v>1368</v>
      </c>
      <c r="B215" s="1" t="str">
        <f>"Temtec Services Ltd "</f>
        <v xml:space="preserve">Temtec Services Ltd </v>
      </c>
      <c r="C215" s="1" t="s">
        <v>1369</v>
      </c>
      <c r="D215" s="1" t="s">
        <v>1370</v>
      </c>
      <c r="F215" s="1" t="s">
        <v>65</v>
      </c>
      <c r="H215" s="1" t="s">
        <v>1371</v>
      </c>
      <c r="I215" s="1" t="s">
        <v>19</v>
      </c>
      <c r="J215" s="1" t="s">
        <v>6</v>
      </c>
      <c r="K215" s="1" t="s">
        <v>14</v>
      </c>
      <c r="M215" s="2">
        <v>43503</v>
      </c>
      <c r="N215" s="1" t="s">
        <v>8</v>
      </c>
      <c r="O215" s="2">
        <v>44598</v>
      </c>
    </row>
    <row r="216" spans="1:15" ht="28.8" x14ac:dyDescent="0.3">
      <c r="A216" s="1" t="s">
        <v>15</v>
      </c>
      <c r="B216" s="1" t="str">
        <f>"Welsh Heritage Construction Ltd."</f>
        <v>Welsh Heritage Construction Ltd.</v>
      </c>
      <c r="C216" s="1" t="s">
        <v>16</v>
      </c>
      <c r="F216" s="1" t="s">
        <v>17</v>
      </c>
      <c r="H216" s="1" t="s">
        <v>18</v>
      </c>
      <c r="I216" s="1" t="s">
        <v>19</v>
      </c>
      <c r="J216" s="1" t="s">
        <v>6</v>
      </c>
      <c r="K216" s="1" t="s">
        <v>14</v>
      </c>
      <c r="L216" s="1">
        <v>4661490</v>
      </c>
      <c r="M216" s="2">
        <v>43502</v>
      </c>
      <c r="N216" s="1" t="s">
        <v>8</v>
      </c>
      <c r="O216" s="2">
        <v>44597</v>
      </c>
    </row>
    <row r="217" spans="1:15" ht="28.8" x14ac:dyDescent="0.3">
      <c r="A217" s="1" t="s">
        <v>29</v>
      </c>
      <c r="B217" s="1" t="str">
        <f>"EUROTECH ROOFING LTD"</f>
        <v>EUROTECH ROOFING LTD</v>
      </c>
      <c r="C217" s="1" t="s">
        <v>30</v>
      </c>
      <c r="D217" s="1" t="s">
        <v>31</v>
      </c>
      <c r="F217" s="1" t="s">
        <v>32</v>
      </c>
      <c r="H217" s="1" t="s">
        <v>33</v>
      </c>
      <c r="I217" s="1" t="s">
        <v>19</v>
      </c>
      <c r="J217" s="1" t="s">
        <v>6</v>
      </c>
      <c r="K217" s="1" t="s">
        <v>34</v>
      </c>
      <c r="L217" s="1">
        <v>7487661</v>
      </c>
      <c r="M217" s="2">
        <v>43502</v>
      </c>
      <c r="N217" s="1" t="s">
        <v>8</v>
      </c>
      <c r="O217" s="2">
        <v>44597</v>
      </c>
    </row>
    <row r="218" spans="1:15" ht="28.8" x14ac:dyDescent="0.3">
      <c r="A218" s="1" t="s">
        <v>40</v>
      </c>
      <c r="B218" s="1" t="str">
        <f>"Trostre Tyres Ltd"</f>
        <v>Trostre Tyres Ltd</v>
      </c>
      <c r="C218" s="1" t="s">
        <v>41</v>
      </c>
      <c r="F218" s="1" t="s">
        <v>42</v>
      </c>
      <c r="H218" s="1" t="s">
        <v>43</v>
      </c>
      <c r="I218" s="1" t="s">
        <v>19</v>
      </c>
      <c r="J218" s="1" t="s">
        <v>6</v>
      </c>
      <c r="K218" s="1" t="s">
        <v>14</v>
      </c>
      <c r="L218" s="1">
        <v>9114834</v>
      </c>
      <c r="M218" s="2">
        <v>43502</v>
      </c>
      <c r="N218" s="1" t="s">
        <v>8</v>
      </c>
      <c r="O218" s="2">
        <v>44597</v>
      </c>
    </row>
    <row r="219" spans="1:15" ht="28.8" x14ac:dyDescent="0.3">
      <c r="A219" s="1" t="s">
        <v>44</v>
      </c>
      <c r="B219" s="1" t="str">
        <f>"RDH Contractors Ltd"</f>
        <v>RDH Contractors Ltd</v>
      </c>
      <c r="C219" s="1" t="s">
        <v>45</v>
      </c>
      <c r="D219" s="1" t="s">
        <v>11</v>
      </c>
      <c r="F219" s="1" t="s">
        <v>12</v>
      </c>
      <c r="H219" s="1" t="s">
        <v>46</v>
      </c>
      <c r="I219" s="1" t="s">
        <v>19</v>
      </c>
      <c r="J219" s="1" t="s">
        <v>6</v>
      </c>
      <c r="K219" s="1" t="s">
        <v>14</v>
      </c>
      <c r="L219" s="1">
        <v>7462923</v>
      </c>
      <c r="M219" s="2">
        <v>43502</v>
      </c>
      <c r="N219" s="1" t="s">
        <v>8</v>
      </c>
      <c r="O219" s="2">
        <v>44597</v>
      </c>
    </row>
    <row r="220" spans="1:15" ht="28.8" x14ac:dyDescent="0.3">
      <c r="A220" s="1" t="s">
        <v>47</v>
      </c>
      <c r="B220" s="1" t="str">
        <f>"Jessie Lovell"</f>
        <v>Jessie Lovell</v>
      </c>
      <c r="C220" s="1" t="s">
        <v>48</v>
      </c>
      <c r="D220" s="1" t="s">
        <v>49</v>
      </c>
      <c r="F220" s="1" t="s">
        <v>50</v>
      </c>
      <c r="G220" s="1" t="s">
        <v>51</v>
      </c>
      <c r="H220" s="1" t="s">
        <v>52</v>
      </c>
      <c r="I220" s="1" t="s">
        <v>5</v>
      </c>
      <c r="J220" s="1" t="s">
        <v>6</v>
      </c>
      <c r="K220" s="1" t="s">
        <v>34</v>
      </c>
      <c r="M220" s="2">
        <v>43502</v>
      </c>
      <c r="N220" s="1" t="s">
        <v>8</v>
      </c>
      <c r="O220" s="2">
        <v>44597</v>
      </c>
    </row>
    <row r="221" spans="1:15" ht="43.2" x14ac:dyDescent="0.3">
      <c r="A221" s="1" t="s">
        <v>394</v>
      </c>
      <c r="B221" s="1" t="str">
        <f>"South Wales Police HQ"</f>
        <v>South Wales Police HQ</v>
      </c>
      <c r="C221" s="1" t="s">
        <v>395</v>
      </c>
      <c r="D221" s="1" t="s">
        <v>396</v>
      </c>
      <c r="F221" s="1" t="s">
        <v>179</v>
      </c>
      <c r="G221" s="1" t="s">
        <v>179</v>
      </c>
      <c r="H221" s="1" t="s">
        <v>397</v>
      </c>
      <c r="I221" s="1" t="s">
        <v>188</v>
      </c>
      <c r="J221" s="1" t="s">
        <v>67</v>
      </c>
      <c r="K221" s="1" t="s">
        <v>14</v>
      </c>
      <c r="M221" s="2">
        <v>43502</v>
      </c>
      <c r="N221" s="1" t="s">
        <v>8</v>
      </c>
      <c r="O221" s="1" t="s">
        <v>68</v>
      </c>
    </row>
    <row r="222" spans="1:15" ht="43.2" x14ac:dyDescent="0.3">
      <c r="A222" s="1" t="s">
        <v>398</v>
      </c>
      <c r="B222" s="1" t="str">
        <f>"Gary Turner"</f>
        <v>Gary Turner</v>
      </c>
      <c r="C222" s="1" t="s">
        <v>399</v>
      </c>
      <c r="D222" s="1" t="s">
        <v>400</v>
      </c>
      <c r="F222" s="1" t="s">
        <v>401</v>
      </c>
      <c r="G222" s="1" t="s">
        <v>231</v>
      </c>
      <c r="H222" s="1" t="s">
        <v>402</v>
      </c>
      <c r="I222" s="1" t="s">
        <v>5</v>
      </c>
      <c r="J222" s="1" t="s">
        <v>67</v>
      </c>
      <c r="K222" s="1" t="s">
        <v>14</v>
      </c>
      <c r="M222" s="2">
        <v>43502</v>
      </c>
      <c r="N222" s="1" t="s">
        <v>8</v>
      </c>
      <c r="O222" s="1" t="s">
        <v>68</v>
      </c>
    </row>
    <row r="223" spans="1:15" ht="28.8" x14ac:dyDescent="0.3">
      <c r="A223" s="1" t="s">
        <v>403</v>
      </c>
      <c r="B223" s="1" t="str">
        <f>"Castleton Turf &amp; Soil Suppliers Ltd"</f>
        <v>Castleton Turf &amp; Soil Suppliers Ltd</v>
      </c>
      <c r="C223" s="1" t="s">
        <v>404</v>
      </c>
      <c r="D223" s="1" t="s">
        <v>405</v>
      </c>
      <c r="F223" s="1" t="s">
        <v>156</v>
      </c>
      <c r="H223" s="1" t="s">
        <v>406</v>
      </c>
      <c r="I223" s="1" t="s">
        <v>19</v>
      </c>
      <c r="J223" s="1" t="s">
        <v>6</v>
      </c>
      <c r="K223" s="1" t="s">
        <v>14</v>
      </c>
      <c r="M223" s="2">
        <v>43502</v>
      </c>
      <c r="N223" s="1" t="s">
        <v>8</v>
      </c>
      <c r="O223" s="2">
        <v>44597</v>
      </c>
    </row>
    <row r="224" spans="1:15" ht="43.2" x14ac:dyDescent="0.3">
      <c r="A224" s="1" t="s">
        <v>411</v>
      </c>
      <c r="B224" s="1" t="str">
        <f>"David James Dai James Gardening and Landscaping"</f>
        <v>David James Dai James Gardening and Landscaping</v>
      </c>
      <c r="C224" s="1" t="s">
        <v>412</v>
      </c>
      <c r="F224" s="1" t="s">
        <v>27</v>
      </c>
      <c r="H224" s="1" t="s">
        <v>413</v>
      </c>
      <c r="I224" s="1" t="s">
        <v>5</v>
      </c>
      <c r="J224" s="1" t="s">
        <v>6</v>
      </c>
      <c r="K224" s="1" t="s">
        <v>14</v>
      </c>
      <c r="M224" s="2">
        <v>43502</v>
      </c>
      <c r="N224" s="1" t="s">
        <v>8</v>
      </c>
      <c r="O224" s="2">
        <v>44597</v>
      </c>
    </row>
    <row r="225" spans="1:15" ht="28.8" x14ac:dyDescent="0.3">
      <c r="A225" s="1" t="s">
        <v>414</v>
      </c>
      <c r="B225" s="1" t="str">
        <f>"G F POTTER"</f>
        <v>G F POTTER</v>
      </c>
      <c r="C225" s="1" t="s">
        <v>415</v>
      </c>
      <c r="F225" s="1" t="s">
        <v>416</v>
      </c>
      <c r="H225" s="1" t="s">
        <v>417</v>
      </c>
      <c r="I225" s="1" t="s">
        <v>125</v>
      </c>
      <c r="J225" s="1" t="s">
        <v>6</v>
      </c>
      <c r="K225" s="1" t="s">
        <v>7</v>
      </c>
      <c r="M225" s="2">
        <v>43502</v>
      </c>
      <c r="N225" s="1" t="s">
        <v>8</v>
      </c>
      <c r="O225" s="2">
        <v>44597</v>
      </c>
    </row>
    <row r="226" spans="1:15" ht="43.2" x14ac:dyDescent="0.3">
      <c r="A226" s="1" t="s">
        <v>632</v>
      </c>
      <c r="B226" s="1" t="str">
        <f>"Bulbs Landscaping &amp; Trees Services"</f>
        <v>Bulbs Landscaping &amp; Trees Services</v>
      </c>
      <c r="C226" s="1" t="s">
        <v>633</v>
      </c>
      <c r="D226" s="1" t="s">
        <v>276</v>
      </c>
      <c r="F226" s="1" t="s">
        <v>277</v>
      </c>
      <c r="G226" s="1" t="s">
        <v>141</v>
      </c>
      <c r="H226" s="1" t="s">
        <v>634</v>
      </c>
      <c r="I226" s="1" t="s">
        <v>19</v>
      </c>
      <c r="J226" s="1" t="s">
        <v>67</v>
      </c>
      <c r="K226" s="1" t="s">
        <v>14</v>
      </c>
      <c r="L226" s="1">
        <v>8451327</v>
      </c>
      <c r="M226" s="2">
        <v>43501</v>
      </c>
      <c r="N226" s="1" t="s">
        <v>8</v>
      </c>
      <c r="O226" s="1" t="s">
        <v>68</v>
      </c>
    </row>
    <row r="227" spans="1:15" x14ac:dyDescent="0.3">
      <c r="A227" s="1" t="s">
        <v>638</v>
      </c>
      <c r="B227" s="1" t="str">
        <f>"Mark Finn"</f>
        <v>Mark Finn</v>
      </c>
      <c r="C227" s="1" t="s">
        <v>639</v>
      </c>
      <c r="D227" s="1" t="s">
        <v>640</v>
      </c>
      <c r="F227" s="1" t="s">
        <v>641</v>
      </c>
      <c r="G227" s="1" t="s">
        <v>642</v>
      </c>
      <c r="H227" s="1" t="s">
        <v>643</v>
      </c>
      <c r="I227" s="1" t="s">
        <v>5</v>
      </c>
      <c r="J227" s="1" t="s">
        <v>6</v>
      </c>
      <c r="K227" s="1" t="s">
        <v>14</v>
      </c>
      <c r="M227" s="2">
        <v>43501</v>
      </c>
      <c r="N227" s="1" t="s">
        <v>8</v>
      </c>
      <c r="O227" s="2">
        <v>44596</v>
      </c>
    </row>
    <row r="228" spans="1:15" ht="43.2" x14ac:dyDescent="0.3">
      <c r="A228" s="1" t="s">
        <v>936</v>
      </c>
      <c r="B228" s="1" t="str">
        <f>"Gerald Barrett"</f>
        <v>Gerald Barrett</v>
      </c>
      <c r="C228" s="1" t="s">
        <v>937</v>
      </c>
      <c r="D228" s="1" t="s">
        <v>938</v>
      </c>
      <c r="F228" s="1" t="s">
        <v>64</v>
      </c>
      <c r="G228" s="1" t="s">
        <v>65</v>
      </c>
      <c r="H228" s="1" t="s">
        <v>939</v>
      </c>
      <c r="I228" s="1" t="s">
        <v>5</v>
      </c>
      <c r="J228" s="1" t="s">
        <v>67</v>
      </c>
      <c r="K228" s="1" t="s">
        <v>14</v>
      </c>
      <c r="M228" s="2">
        <v>43501</v>
      </c>
      <c r="N228" s="1" t="s">
        <v>8</v>
      </c>
      <c r="O228" s="1" t="s">
        <v>68</v>
      </c>
    </row>
    <row r="229" spans="1:15" ht="43.2" x14ac:dyDescent="0.3">
      <c r="A229" s="1" t="s">
        <v>944</v>
      </c>
      <c r="B229" s="1" t="str">
        <f>"Peter Reynolds"</f>
        <v>Peter Reynolds</v>
      </c>
      <c r="C229" s="1" t="s">
        <v>945</v>
      </c>
      <c r="D229" s="1" t="s">
        <v>946</v>
      </c>
      <c r="F229" s="1" t="s">
        <v>32</v>
      </c>
      <c r="G229" s="1" t="s">
        <v>109</v>
      </c>
      <c r="H229" s="1" t="s">
        <v>947</v>
      </c>
      <c r="I229" s="1" t="s">
        <v>5</v>
      </c>
      <c r="J229" s="1" t="s">
        <v>67</v>
      </c>
      <c r="K229" s="1" t="s">
        <v>14</v>
      </c>
      <c r="M229" s="2">
        <v>43501</v>
      </c>
      <c r="N229" s="1" t="s">
        <v>8</v>
      </c>
      <c r="O229" s="1" t="s">
        <v>68</v>
      </c>
    </row>
    <row r="230" spans="1:15" x14ac:dyDescent="0.3">
      <c r="A230" s="1" t="s">
        <v>1657</v>
      </c>
      <c r="B230" s="1" t="str">
        <f>"WSP"</f>
        <v>WSP</v>
      </c>
      <c r="C230" s="1" t="s">
        <v>1658</v>
      </c>
      <c r="D230" s="1" t="s">
        <v>1659</v>
      </c>
      <c r="E230" s="1" t="s">
        <v>1660</v>
      </c>
      <c r="F230" s="1" t="s">
        <v>123</v>
      </c>
      <c r="H230" s="1" t="s">
        <v>1661</v>
      </c>
      <c r="I230" s="1" t="s">
        <v>19</v>
      </c>
      <c r="J230" s="1" t="s">
        <v>6</v>
      </c>
      <c r="K230" s="1" t="s">
        <v>24</v>
      </c>
      <c r="M230" s="2">
        <v>43501</v>
      </c>
      <c r="N230" s="1" t="s">
        <v>8</v>
      </c>
      <c r="O230" s="2">
        <v>44596</v>
      </c>
    </row>
    <row r="231" spans="1:15" x14ac:dyDescent="0.3">
      <c r="A231" s="1" t="s">
        <v>580</v>
      </c>
      <c r="B231" s="1" t="str">
        <f>"Hutchinson Services Ltd"</f>
        <v>Hutchinson Services Ltd</v>
      </c>
      <c r="C231" s="1" t="s">
        <v>581</v>
      </c>
      <c r="D231" s="1" t="s">
        <v>582</v>
      </c>
      <c r="E231" s="1" t="s">
        <v>583</v>
      </c>
      <c r="F231" s="1" t="s">
        <v>584</v>
      </c>
      <c r="G231" s="1" t="s">
        <v>585</v>
      </c>
      <c r="H231" s="1" t="s">
        <v>586</v>
      </c>
      <c r="I231" s="1" t="s">
        <v>19</v>
      </c>
      <c r="J231" s="1" t="s">
        <v>6</v>
      </c>
      <c r="K231" s="1" t="s">
        <v>7</v>
      </c>
      <c r="M231" s="2">
        <v>43500</v>
      </c>
      <c r="N231" s="1" t="s">
        <v>8</v>
      </c>
      <c r="O231" s="2">
        <v>44595</v>
      </c>
    </row>
    <row r="232" spans="1:15" ht="28.8" x14ac:dyDescent="0.3">
      <c r="A232" s="1" t="s">
        <v>587</v>
      </c>
      <c r="B232" s="1" t="str">
        <f>"Ambient Air Control Ltd"</f>
        <v>Ambient Air Control Ltd</v>
      </c>
      <c r="C232" s="1" t="s">
        <v>588</v>
      </c>
      <c r="F232" s="1" t="s">
        <v>123</v>
      </c>
      <c r="G232" s="1" t="s">
        <v>27</v>
      </c>
      <c r="H232" s="1" t="s">
        <v>589</v>
      </c>
      <c r="I232" s="1" t="s">
        <v>19</v>
      </c>
      <c r="J232" s="1" t="s">
        <v>6</v>
      </c>
      <c r="K232" s="1" t="s">
        <v>34</v>
      </c>
      <c r="L232" s="1">
        <v>3577752</v>
      </c>
      <c r="M232" s="2">
        <v>43500</v>
      </c>
      <c r="N232" s="1" t="s">
        <v>8</v>
      </c>
      <c r="O232" s="2">
        <v>44595</v>
      </c>
    </row>
    <row r="233" spans="1:15" ht="43.2" x14ac:dyDescent="0.3">
      <c r="A233" s="1" t="s">
        <v>593</v>
      </c>
      <c r="B233" s="1" t="str">
        <f>"Matthew Langley"</f>
        <v>Matthew Langley</v>
      </c>
      <c r="C233" s="1" t="s">
        <v>594</v>
      </c>
      <c r="D233" s="1" t="s">
        <v>595</v>
      </c>
      <c r="E233" s="1" t="s">
        <v>596</v>
      </c>
      <c r="F233" s="1" t="s">
        <v>64</v>
      </c>
      <c r="G233" s="1" t="s">
        <v>51</v>
      </c>
      <c r="H233" s="1" t="s">
        <v>597</v>
      </c>
      <c r="I233" s="1" t="s">
        <v>5</v>
      </c>
      <c r="J233" s="1" t="s">
        <v>67</v>
      </c>
      <c r="K233" s="1" t="s">
        <v>14</v>
      </c>
      <c r="M233" s="2">
        <v>43500</v>
      </c>
      <c r="N233" s="1" t="s">
        <v>8</v>
      </c>
      <c r="O233" s="1" t="s">
        <v>68</v>
      </c>
    </row>
    <row r="234" spans="1:15" ht="43.2" x14ac:dyDescent="0.3">
      <c r="A234" s="1" t="s">
        <v>598</v>
      </c>
      <c r="B234" s="1" t="str">
        <f>"David Jones"</f>
        <v>David Jones</v>
      </c>
      <c r="C234" s="1" t="s">
        <v>599</v>
      </c>
      <c r="F234" s="1" t="s">
        <v>179</v>
      </c>
      <c r="G234" s="1" t="s">
        <v>180</v>
      </c>
      <c r="H234" s="1" t="s">
        <v>600</v>
      </c>
      <c r="I234" s="1" t="s">
        <v>5</v>
      </c>
      <c r="J234" s="1" t="s">
        <v>67</v>
      </c>
      <c r="K234" s="1" t="s">
        <v>14</v>
      </c>
      <c r="M234" s="2">
        <v>43500</v>
      </c>
      <c r="N234" s="1" t="s">
        <v>8</v>
      </c>
      <c r="O234" s="1" t="s">
        <v>68</v>
      </c>
    </row>
    <row r="235" spans="1:15" x14ac:dyDescent="0.3">
      <c r="A235" s="1" t="s">
        <v>601</v>
      </c>
      <c r="B235" s="1" t="str">
        <f>"Rhys Bexton"</f>
        <v>Rhys Bexton</v>
      </c>
      <c r="C235" s="1" t="s">
        <v>602</v>
      </c>
      <c r="D235" s="1" t="s">
        <v>560</v>
      </c>
      <c r="F235" s="1" t="s">
        <v>123</v>
      </c>
      <c r="G235" s="1" t="s">
        <v>27</v>
      </c>
      <c r="H235" s="1" t="s">
        <v>603</v>
      </c>
      <c r="I235" s="1" t="s">
        <v>5</v>
      </c>
      <c r="J235" s="1" t="s">
        <v>6</v>
      </c>
      <c r="K235" s="1" t="s">
        <v>14</v>
      </c>
      <c r="M235" s="2">
        <v>43500</v>
      </c>
      <c r="N235" s="1" t="s">
        <v>8</v>
      </c>
      <c r="O235" s="2">
        <v>44595</v>
      </c>
    </row>
    <row r="236" spans="1:15" ht="28.8" x14ac:dyDescent="0.3">
      <c r="A236" s="1" t="s">
        <v>609</v>
      </c>
      <c r="B236" s="1" t="str">
        <f>"Julian James Cladding Ltd"</f>
        <v>Julian James Cladding Ltd</v>
      </c>
      <c r="C236" s="1" t="s">
        <v>610</v>
      </c>
      <c r="D236" s="1" t="s">
        <v>611</v>
      </c>
      <c r="F236" s="1" t="s">
        <v>64</v>
      </c>
      <c r="G236" s="1" t="s">
        <v>65</v>
      </c>
      <c r="H236" s="1" t="s">
        <v>612</v>
      </c>
      <c r="I236" s="1" t="s">
        <v>19</v>
      </c>
      <c r="J236" s="1" t="s">
        <v>6</v>
      </c>
      <c r="K236" s="1" t="s">
        <v>14</v>
      </c>
      <c r="L236" s="1">
        <v>2828428</v>
      </c>
      <c r="M236" s="2">
        <v>43500</v>
      </c>
      <c r="N236" s="1" t="s">
        <v>8</v>
      </c>
      <c r="O236" s="2">
        <v>44595</v>
      </c>
    </row>
    <row r="237" spans="1:15" ht="28.8" x14ac:dyDescent="0.3">
      <c r="A237" s="1" t="s">
        <v>562</v>
      </c>
      <c r="B237" s="1" t="str">
        <f>"Kelly Edwards"</f>
        <v>Kelly Edwards</v>
      </c>
      <c r="C237" s="1" t="s">
        <v>563</v>
      </c>
      <c r="D237" s="1" t="s">
        <v>564</v>
      </c>
      <c r="F237" s="1" t="s">
        <v>179</v>
      </c>
      <c r="G237" s="1" t="s">
        <v>109</v>
      </c>
      <c r="H237" s="1" t="s">
        <v>565</v>
      </c>
      <c r="I237" s="1" t="s">
        <v>5</v>
      </c>
      <c r="J237" s="1" t="s">
        <v>6</v>
      </c>
      <c r="K237" s="1" t="s">
        <v>14</v>
      </c>
      <c r="M237" s="2">
        <v>43497</v>
      </c>
      <c r="N237" s="1" t="s">
        <v>8</v>
      </c>
      <c r="O237" s="2">
        <v>44592</v>
      </c>
    </row>
    <row r="238" spans="1:15" x14ac:dyDescent="0.3">
      <c r="A238" s="1" t="s">
        <v>569</v>
      </c>
      <c r="B238" s="1" t="str">
        <f>"S &amp; R Whistance Ltd"</f>
        <v>S &amp; R Whistance Ltd</v>
      </c>
      <c r="C238" s="1" t="s">
        <v>570</v>
      </c>
      <c r="D238" s="1" t="s">
        <v>571</v>
      </c>
      <c r="F238" s="1" t="s">
        <v>243</v>
      </c>
      <c r="G238" s="1" t="s">
        <v>231</v>
      </c>
      <c r="H238" s="1" t="s">
        <v>572</v>
      </c>
      <c r="I238" s="1" t="s">
        <v>19</v>
      </c>
      <c r="J238" s="1" t="s">
        <v>6</v>
      </c>
      <c r="K238" s="1" t="s">
        <v>14</v>
      </c>
      <c r="L238" s="1">
        <v>9289116</v>
      </c>
      <c r="M238" s="2">
        <v>43497</v>
      </c>
      <c r="N238" s="1" t="s">
        <v>8</v>
      </c>
      <c r="O238" s="2">
        <v>44592</v>
      </c>
    </row>
    <row r="239" spans="1:15" ht="43.2" x14ac:dyDescent="0.3">
      <c r="A239" s="1" t="s">
        <v>576</v>
      </c>
      <c r="B239" s="1" t="str">
        <f>"Gareth Williams GSW &amp; SON Building and Heating"</f>
        <v>Gareth Williams GSW &amp; SON Building and Heating</v>
      </c>
      <c r="C239" s="1" t="s">
        <v>577</v>
      </c>
      <c r="D239" s="1" t="s">
        <v>578</v>
      </c>
      <c r="F239" s="1" t="s">
        <v>64</v>
      </c>
      <c r="G239" s="1" t="s">
        <v>65</v>
      </c>
      <c r="H239" s="1" t="s">
        <v>579</v>
      </c>
      <c r="I239" s="1" t="s">
        <v>5</v>
      </c>
      <c r="J239" s="1" t="s">
        <v>6</v>
      </c>
      <c r="K239" s="1" t="s">
        <v>14</v>
      </c>
      <c r="M239" s="2">
        <v>43497</v>
      </c>
      <c r="N239" s="1" t="s">
        <v>8</v>
      </c>
      <c r="O239" s="2">
        <v>44592</v>
      </c>
    </row>
    <row r="240" spans="1:15" ht="28.8" x14ac:dyDescent="0.3">
      <c r="A240" s="1" t="s">
        <v>918</v>
      </c>
      <c r="B240" s="1" t="str">
        <f>"Next Rentals Ltd"</f>
        <v>Next Rentals Ltd</v>
      </c>
      <c r="C240" s="1" t="s">
        <v>919</v>
      </c>
      <c r="D240" s="1" t="s">
        <v>920</v>
      </c>
      <c r="E240" s="1" t="s">
        <v>921</v>
      </c>
      <c r="F240" s="1" t="s">
        <v>922</v>
      </c>
      <c r="G240" s="1" t="s">
        <v>73</v>
      </c>
      <c r="H240" s="1" t="s">
        <v>923</v>
      </c>
      <c r="I240" s="1" t="s">
        <v>19</v>
      </c>
      <c r="J240" s="1" t="s">
        <v>6</v>
      </c>
      <c r="K240" s="1" t="s">
        <v>7</v>
      </c>
      <c r="L240" s="1">
        <v>11442298</v>
      </c>
      <c r="M240" s="2">
        <v>43497</v>
      </c>
      <c r="N240" s="1" t="s">
        <v>8</v>
      </c>
      <c r="O240" s="2">
        <v>44592</v>
      </c>
    </row>
    <row r="241" spans="1:15" ht="43.2" x14ac:dyDescent="0.3">
      <c r="A241" s="1" t="s">
        <v>553</v>
      </c>
      <c r="B241" s="1" t="str">
        <f>"Usha Beghal Quick Stop"</f>
        <v>Usha Beghal Quick Stop</v>
      </c>
      <c r="C241" s="1" t="s">
        <v>554</v>
      </c>
      <c r="F241" s="1" t="s">
        <v>555</v>
      </c>
      <c r="G241" s="1" t="s">
        <v>556</v>
      </c>
      <c r="H241" s="1" t="s">
        <v>557</v>
      </c>
      <c r="I241" s="1" t="s">
        <v>5</v>
      </c>
      <c r="J241" s="1" t="s">
        <v>67</v>
      </c>
      <c r="K241" s="1" t="s">
        <v>7</v>
      </c>
      <c r="M241" s="2">
        <v>43496</v>
      </c>
      <c r="N241" s="1" t="s">
        <v>8</v>
      </c>
      <c r="O241" s="1" t="s">
        <v>68</v>
      </c>
    </row>
    <row r="242" spans="1:15" ht="28.8" x14ac:dyDescent="0.3">
      <c r="A242" s="1" t="s">
        <v>558</v>
      </c>
      <c r="B242" s="1" t="str">
        <f>"Haydn Ford PLUMBAAID.COM"</f>
        <v>Haydn Ford PLUMBAAID.COM</v>
      </c>
      <c r="C242" s="1" t="s">
        <v>559</v>
      </c>
      <c r="E242" s="1" t="s">
        <v>560</v>
      </c>
      <c r="F242" s="1" t="s">
        <v>123</v>
      </c>
      <c r="G242" s="1" t="s">
        <v>27</v>
      </c>
      <c r="H242" s="1" t="s">
        <v>561</v>
      </c>
      <c r="I242" s="1" t="s">
        <v>5</v>
      </c>
      <c r="J242" s="1" t="s">
        <v>6</v>
      </c>
      <c r="K242" s="1" t="s">
        <v>14</v>
      </c>
      <c r="M242" s="2">
        <v>43496</v>
      </c>
      <c r="N242" s="1" t="s">
        <v>8</v>
      </c>
      <c r="O242" s="2">
        <v>44591</v>
      </c>
    </row>
    <row r="243" spans="1:15" ht="43.2" x14ac:dyDescent="0.3">
      <c r="A243" s="1" t="s">
        <v>906</v>
      </c>
      <c r="B243" s="1" t="str">
        <f>"Parc Store Ltd"</f>
        <v>Parc Store Ltd</v>
      </c>
      <c r="C243" s="1" t="s">
        <v>907</v>
      </c>
      <c r="D243" s="1" t="s">
        <v>908</v>
      </c>
      <c r="E243" s="1" t="s">
        <v>909</v>
      </c>
      <c r="F243" s="1" t="s">
        <v>123</v>
      </c>
      <c r="H243" s="1" t="s">
        <v>910</v>
      </c>
      <c r="I243" s="1" t="s">
        <v>19</v>
      </c>
      <c r="J243" s="1" t="s">
        <v>67</v>
      </c>
      <c r="K243" s="1" t="s">
        <v>14</v>
      </c>
      <c r="L243" s="1">
        <v>1063416</v>
      </c>
      <c r="M243" s="2">
        <v>43496</v>
      </c>
      <c r="N243" s="1" t="s">
        <v>8</v>
      </c>
      <c r="O243" s="1" t="s">
        <v>68</v>
      </c>
    </row>
    <row r="244" spans="1:15" x14ac:dyDescent="0.3">
      <c r="A244" s="1" t="s">
        <v>911</v>
      </c>
      <c r="B244" s="1" t="str">
        <f>"Steven Ridyard"</f>
        <v>Steven Ridyard</v>
      </c>
      <c r="C244" s="1" t="s">
        <v>912</v>
      </c>
      <c r="F244" s="1" t="s">
        <v>476</v>
      </c>
      <c r="G244" s="1" t="s">
        <v>73</v>
      </c>
      <c r="H244" s="1" t="s">
        <v>913</v>
      </c>
      <c r="I244" s="1" t="s">
        <v>5</v>
      </c>
      <c r="J244" s="1" t="s">
        <v>6</v>
      </c>
      <c r="K244" s="1" t="s">
        <v>14</v>
      </c>
      <c r="M244" s="2">
        <v>43496</v>
      </c>
      <c r="N244" s="1" t="s">
        <v>8</v>
      </c>
      <c r="O244" s="2">
        <v>44591</v>
      </c>
    </row>
    <row r="245" spans="1:15" ht="28.8" x14ac:dyDescent="0.3">
      <c r="A245" s="1" t="s">
        <v>1636</v>
      </c>
      <c r="B245" s="1" t="str">
        <f>"ELEMENT ESSENTIALS LIMITED"</f>
        <v>ELEMENT ESSENTIALS LIMITED</v>
      </c>
      <c r="C245" s="1" t="s">
        <v>1637</v>
      </c>
      <c r="F245" s="1" t="s">
        <v>1638</v>
      </c>
      <c r="G245" s="1" t="s">
        <v>51</v>
      </c>
      <c r="H245" s="1" t="s">
        <v>1639</v>
      </c>
      <c r="I245" s="1" t="s">
        <v>19</v>
      </c>
      <c r="J245" s="1" t="s">
        <v>6</v>
      </c>
      <c r="K245" s="1" t="s">
        <v>14</v>
      </c>
      <c r="L245" s="1">
        <v>9604900</v>
      </c>
      <c r="M245" s="2">
        <v>43495</v>
      </c>
      <c r="N245" s="1" t="s">
        <v>8</v>
      </c>
      <c r="O245" s="2">
        <v>44590</v>
      </c>
    </row>
    <row r="246" spans="1:15" x14ac:dyDescent="0.3">
      <c r="A246" s="1" t="s">
        <v>1646</v>
      </c>
      <c r="B246" s="1" t="str">
        <f>"Orion TS Ltd"</f>
        <v>Orion TS Ltd</v>
      </c>
      <c r="C246" s="1" t="s">
        <v>1647</v>
      </c>
      <c r="D246" s="1" t="s">
        <v>500</v>
      </c>
      <c r="F246" s="1" t="s">
        <v>123</v>
      </c>
      <c r="G246" s="1" t="s">
        <v>27</v>
      </c>
      <c r="H246" s="1" t="s">
        <v>1648</v>
      </c>
      <c r="I246" s="1" t="s">
        <v>19</v>
      </c>
      <c r="J246" s="1" t="s">
        <v>6</v>
      </c>
      <c r="K246" s="1" t="s">
        <v>14</v>
      </c>
      <c r="L246" s="1">
        <v>11596153</v>
      </c>
      <c r="M246" s="2">
        <v>43495</v>
      </c>
      <c r="N246" s="1" t="s">
        <v>8</v>
      </c>
      <c r="O246" s="2">
        <v>44590</v>
      </c>
    </row>
    <row r="247" spans="1:15" ht="43.2" x14ac:dyDescent="0.3">
      <c r="A247" s="1" t="s">
        <v>1649</v>
      </c>
      <c r="B247" s="1" t="str">
        <f>"Paul Mitchell"</f>
        <v>Paul Mitchell</v>
      </c>
      <c r="C247" s="1" t="s">
        <v>1650</v>
      </c>
      <c r="D247" s="1" t="s">
        <v>1651</v>
      </c>
      <c r="E247" s="1" t="s">
        <v>817</v>
      </c>
      <c r="F247" s="1" t="s">
        <v>64</v>
      </c>
      <c r="G247" s="1" t="s">
        <v>65</v>
      </c>
      <c r="H247" s="1" t="s">
        <v>1652</v>
      </c>
      <c r="I247" s="1" t="s">
        <v>5</v>
      </c>
      <c r="J247" s="1" t="s">
        <v>67</v>
      </c>
      <c r="K247" s="1" t="s">
        <v>14</v>
      </c>
      <c r="M247" s="2">
        <v>43495</v>
      </c>
      <c r="N247" s="1" t="s">
        <v>8</v>
      </c>
      <c r="O247" s="1" t="s">
        <v>68</v>
      </c>
    </row>
    <row r="248" spans="1:15" ht="28.8" x14ac:dyDescent="0.3">
      <c r="A248" s="1" t="s">
        <v>347</v>
      </c>
      <c r="B248" s="1" t="str">
        <f>"All Star Roofing &amp; Building Ltd"</f>
        <v>All Star Roofing &amp; Building Ltd</v>
      </c>
      <c r="C248" s="1" t="s">
        <v>348</v>
      </c>
      <c r="D248" s="1" t="s">
        <v>349</v>
      </c>
      <c r="F248" s="1" t="s">
        <v>156</v>
      </c>
      <c r="G248" s="1" t="s">
        <v>156</v>
      </c>
      <c r="H248" s="1" t="s">
        <v>350</v>
      </c>
      <c r="I248" s="1" t="s">
        <v>19</v>
      </c>
      <c r="J248" s="1" t="s">
        <v>6</v>
      </c>
      <c r="K248" s="1" t="s">
        <v>14</v>
      </c>
      <c r="L248" s="1">
        <v>10796601</v>
      </c>
      <c r="M248" s="2">
        <v>43494</v>
      </c>
      <c r="N248" s="1" t="s">
        <v>8</v>
      </c>
      <c r="O248" s="2">
        <v>44589</v>
      </c>
    </row>
    <row r="249" spans="1:15" x14ac:dyDescent="0.3">
      <c r="A249" s="1" t="s">
        <v>356</v>
      </c>
      <c r="B249" s="1" t="str">
        <f>"Christopher Flinn"</f>
        <v>Christopher Flinn</v>
      </c>
      <c r="C249" s="1" t="s">
        <v>357</v>
      </c>
      <c r="F249" s="1" t="s">
        <v>358</v>
      </c>
      <c r="G249" s="1" t="s">
        <v>359</v>
      </c>
      <c r="H249" s="1" t="s">
        <v>360</v>
      </c>
      <c r="I249" s="1" t="s">
        <v>5</v>
      </c>
      <c r="J249" s="1" t="s">
        <v>6</v>
      </c>
      <c r="K249" s="1" t="s">
        <v>14</v>
      </c>
      <c r="M249" s="2">
        <v>43494</v>
      </c>
      <c r="N249" s="1" t="s">
        <v>8</v>
      </c>
      <c r="O249" s="2">
        <v>44589</v>
      </c>
    </row>
    <row r="250" spans="1:15" ht="28.8" x14ac:dyDescent="0.3">
      <c r="A250" s="1" t="s">
        <v>361</v>
      </c>
      <c r="B250" s="1" t="str">
        <f>"LEWIS DRAINAGE LIMITED"</f>
        <v>LEWIS DRAINAGE LIMITED</v>
      </c>
      <c r="C250" s="1" t="s">
        <v>362</v>
      </c>
      <c r="D250" s="1" t="s">
        <v>363</v>
      </c>
      <c r="F250" s="1" t="s">
        <v>364</v>
      </c>
      <c r="G250" s="1" t="s">
        <v>103</v>
      </c>
      <c r="H250" s="1" t="s">
        <v>365</v>
      </c>
      <c r="I250" s="1" t="s">
        <v>19</v>
      </c>
      <c r="J250" s="1" t="s">
        <v>6</v>
      </c>
      <c r="K250" s="1" t="s">
        <v>366</v>
      </c>
      <c r="L250" s="1">
        <v>6190997</v>
      </c>
      <c r="M250" s="2">
        <v>43494</v>
      </c>
      <c r="N250" s="1" t="s">
        <v>8</v>
      </c>
      <c r="O250" s="2">
        <v>44589</v>
      </c>
    </row>
    <row r="251" spans="1:15" ht="43.2" x14ac:dyDescent="0.3">
      <c r="A251" s="1" t="s">
        <v>538</v>
      </c>
      <c r="B251" s="1" t="str">
        <f>"Brendan Thompson"</f>
        <v>Brendan Thompson</v>
      </c>
      <c r="C251" s="1" t="s">
        <v>539</v>
      </c>
      <c r="D251" s="1" t="s">
        <v>540</v>
      </c>
      <c r="F251" s="1" t="s">
        <v>541</v>
      </c>
      <c r="G251" s="1" t="s">
        <v>51</v>
      </c>
      <c r="H251" s="1" t="s">
        <v>542</v>
      </c>
      <c r="I251" s="1" t="s">
        <v>5</v>
      </c>
      <c r="J251" s="1" t="s">
        <v>67</v>
      </c>
      <c r="K251" s="1" t="s">
        <v>14</v>
      </c>
      <c r="M251" s="2">
        <v>43494</v>
      </c>
      <c r="N251" s="1" t="s">
        <v>8</v>
      </c>
      <c r="O251" s="1" t="s">
        <v>68</v>
      </c>
    </row>
    <row r="252" spans="1:15" ht="43.2" x14ac:dyDescent="0.3">
      <c r="A252" s="1" t="s">
        <v>543</v>
      </c>
      <c r="B252" s="1" t="str">
        <f>"Daljit Kaur"</f>
        <v>Daljit Kaur</v>
      </c>
      <c r="C252" s="1" t="s">
        <v>544</v>
      </c>
      <c r="D252" s="1" t="s">
        <v>545</v>
      </c>
      <c r="E252" s="1" t="s">
        <v>546</v>
      </c>
      <c r="F252" s="1" t="s">
        <v>156</v>
      </c>
      <c r="G252" s="1" t="s">
        <v>103</v>
      </c>
      <c r="H252" s="1" t="s">
        <v>547</v>
      </c>
      <c r="I252" s="1" t="s">
        <v>5</v>
      </c>
      <c r="J252" s="1" t="s">
        <v>67</v>
      </c>
      <c r="K252" s="1" t="s">
        <v>14</v>
      </c>
      <c r="M252" s="2">
        <v>43494</v>
      </c>
      <c r="N252" s="1" t="s">
        <v>8</v>
      </c>
      <c r="O252" s="1" t="s">
        <v>68</v>
      </c>
    </row>
    <row r="253" spans="1:15" x14ac:dyDescent="0.3">
      <c r="A253" s="1" t="s">
        <v>3136</v>
      </c>
      <c r="B253" s="1" t="str">
        <f>"Lots Of"</f>
        <v>Lots Of</v>
      </c>
      <c r="C253" s="1" t="s">
        <v>3137</v>
      </c>
      <c r="F253" s="1" t="s">
        <v>64</v>
      </c>
      <c r="G253" s="1" t="s">
        <v>65</v>
      </c>
      <c r="H253" s="1" t="s">
        <v>3138</v>
      </c>
      <c r="I253" s="1" t="s">
        <v>125</v>
      </c>
      <c r="J253" s="1" t="s">
        <v>6</v>
      </c>
      <c r="K253" s="1" t="s">
        <v>14</v>
      </c>
      <c r="M253" s="2">
        <v>43490</v>
      </c>
      <c r="N253" s="1" t="s">
        <v>8</v>
      </c>
      <c r="O253" s="2">
        <v>44585</v>
      </c>
    </row>
    <row r="254" spans="1:15" x14ac:dyDescent="0.3">
      <c r="A254" s="1" t="s">
        <v>3139</v>
      </c>
      <c r="B254" s="1" t="str">
        <f>"Windtechs Ltd"</f>
        <v>Windtechs Ltd</v>
      </c>
      <c r="C254" s="1" t="s">
        <v>3140</v>
      </c>
      <c r="D254" s="1" t="s">
        <v>3141</v>
      </c>
      <c r="F254" s="1" t="s">
        <v>3142</v>
      </c>
      <c r="G254" s="1" t="s">
        <v>162</v>
      </c>
      <c r="H254" s="1" t="s">
        <v>3143</v>
      </c>
      <c r="I254" s="1" t="s">
        <v>19</v>
      </c>
      <c r="J254" s="1" t="s">
        <v>6</v>
      </c>
      <c r="K254" s="1" t="s">
        <v>24</v>
      </c>
      <c r="L254" s="1">
        <v>6369650</v>
      </c>
      <c r="M254" s="2">
        <v>43490</v>
      </c>
      <c r="N254" s="1" t="s">
        <v>8</v>
      </c>
      <c r="O254" s="2">
        <v>44585</v>
      </c>
    </row>
    <row r="255" spans="1:15" x14ac:dyDescent="0.3">
      <c r="A255" s="1" t="s">
        <v>3144</v>
      </c>
      <c r="B255" s="1" t="str">
        <f>"TRADING DAYS LTD"</f>
        <v>TRADING DAYS LTD</v>
      </c>
      <c r="C255" s="1" t="s">
        <v>3145</v>
      </c>
      <c r="D255" s="1" t="s">
        <v>3146</v>
      </c>
      <c r="F255" s="1" t="s">
        <v>230</v>
      </c>
      <c r="G255" s="1" t="s">
        <v>231</v>
      </c>
      <c r="H255" s="1" t="s">
        <v>3147</v>
      </c>
      <c r="I255" s="1" t="s">
        <v>19</v>
      </c>
      <c r="J255" s="1" t="s">
        <v>6</v>
      </c>
      <c r="K255" s="1" t="s">
        <v>14</v>
      </c>
      <c r="L255" s="1">
        <v>4516652</v>
      </c>
      <c r="M255" s="2">
        <v>43490</v>
      </c>
      <c r="N255" s="1" t="s">
        <v>8</v>
      </c>
      <c r="O255" s="2">
        <v>44585</v>
      </c>
    </row>
    <row r="256" spans="1:15" x14ac:dyDescent="0.3">
      <c r="A256" s="1" t="s">
        <v>3152</v>
      </c>
      <c r="B256" s="1" t="str">
        <f>"Graham stuart Duckitt"</f>
        <v>Graham stuart Duckitt</v>
      </c>
      <c r="C256" s="1" t="s">
        <v>3153</v>
      </c>
      <c r="D256" s="1" t="s">
        <v>3154</v>
      </c>
      <c r="F256" s="1" t="s">
        <v>123</v>
      </c>
      <c r="G256" s="1" t="s">
        <v>27</v>
      </c>
      <c r="H256" s="1" t="s">
        <v>3155</v>
      </c>
      <c r="I256" s="1" t="s">
        <v>5</v>
      </c>
      <c r="J256" s="1" t="s">
        <v>6</v>
      </c>
      <c r="K256" s="1" t="s">
        <v>14</v>
      </c>
      <c r="M256" s="2">
        <v>43490</v>
      </c>
      <c r="N256" s="1" t="s">
        <v>8</v>
      </c>
      <c r="O256" s="2">
        <v>44585</v>
      </c>
    </row>
    <row r="257" spans="1:15" ht="43.2" x14ac:dyDescent="0.3">
      <c r="A257" s="1" t="s">
        <v>3156</v>
      </c>
      <c r="B257" s="1" t="str">
        <f>"Ryan Sylvester"</f>
        <v>Ryan Sylvester</v>
      </c>
      <c r="C257" s="1" t="s">
        <v>3157</v>
      </c>
      <c r="D257" s="1" t="s">
        <v>3158</v>
      </c>
      <c r="E257" s="1" t="s">
        <v>2152</v>
      </c>
      <c r="G257" s="1" t="s">
        <v>211</v>
      </c>
      <c r="H257" s="1" t="s">
        <v>3159</v>
      </c>
      <c r="I257" s="1" t="s">
        <v>5</v>
      </c>
      <c r="J257" s="1" t="s">
        <v>67</v>
      </c>
      <c r="K257" s="1" t="s">
        <v>14</v>
      </c>
      <c r="M257" s="2">
        <v>43490</v>
      </c>
      <c r="N257" s="1" t="s">
        <v>8</v>
      </c>
      <c r="O257" s="1" t="s">
        <v>68</v>
      </c>
    </row>
    <row r="258" spans="1:15" ht="43.2" x14ac:dyDescent="0.3">
      <c r="A258" s="1" t="s">
        <v>32329</v>
      </c>
      <c r="B258" s="1" t="str">
        <f>"Seashore Grill and Cafe Bar LTD"</f>
        <v>Seashore Grill and Cafe Bar LTD</v>
      </c>
      <c r="C258" s="1" t="s">
        <v>32330</v>
      </c>
      <c r="D258" s="1" t="s">
        <v>32331</v>
      </c>
      <c r="E258" s="1" t="s">
        <v>32332</v>
      </c>
      <c r="F258" s="1" t="s">
        <v>930</v>
      </c>
      <c r="G258" s="1" t="s">
        <v>211</v>
      </c>
      <c r="H258" s="1" t="s">
        <v>32333</v>
      </c>
      <c r="I258" s="1" t="s">
        <v>19</v>
      </c>
      <c r="J258" s="1" t="s">
        <v>67</v>
      </c>
      <c r="K258" s="1" t="s">
        <v>14</v>
      </c>
      <c r="L258" s="1">
        <v>9691263</v>
      </c>
      <c r="M258" s="2">
        <v>43490</v>
      </c>
      <c r="N258" s="1" t="s">
        <v>8</v>
      </c>
      <c r="O258" s="1" t="s">
        <v>68</v>
      </c>
    </row>
    <row r="259" spans="1:15" ht="43.2" x14ac:dyDescent="0.3">
      <c r="A259" s="1" t="s">
        <v>32334</v>
      </c>
      <c r="B259" s="1" t="str">
        <f>"Chefs on the run Pemb Ltd"</f>
        <v>Chefs on the run Pemb Ltd</v>
      </c>
      <c r="C259" s="1" t="s">
        <v>32335</v>
      </c>
      <c r="F259" s="1" t="s">
        <v>1776</v>
      </c>
      <c r="G259" s="1" t="s">
        <v>115</v>
      </c>
      <c r="H259" s="1" t="s">
        <v>19060</v>
      </c>
      <c r="I259" s="1" t="s">
        <v>19</v>
      </c>
      <c r="J259" s="1" t="s">
        <v>67</v>
      </c>
      <c r="K259" s="1" t="s">
        <v>14</v>
      </c>
      <c r="L259" s="1">
        <v>10434990</v>
      </c>
      <c r="M259" s="2">
        <v>43490</v>
      </c>
      <c r="N259" s="1" t="s">
        <v>8</v>
      </c>
      <c r="O259" s="1" t="s">
        <v>68</v>
      </c>
    </row>
    <row r="260" spans="1:15" ht="43.2" x14ac:dyDescent="0.3">
      <c r="A260" s="1" t="s">
        <v>32336</v>
      </c>
      <c r="B260" s="1" t="str">
        <f>"K P &amp; C S Thomas"</f>
        <v>K P &amp; C S Thomas</v>
      </c>
      <c r="C260" s="1" t="s">
        <v>32337</v>
      </c>
      <c r="D260" s="1" t="s">
        <v>32338</v>
      </c>
      <c r="F260" s="1" t="s">
        <v>1206</v>
      </c>
      <c r="G260" s="1" t="s">
        <v>162</v>
      </c>
      <c r="H260" s="1" t="s">
        <v>15805</v>
      </c>
      <c r="I260" s="1" t="s">
        <v>125</v>
      </c>
      <c r="J260" s="1" t="s">
        <v>67</v>
      </c>
      <c r="K260" s="1" t="s">
        <v>14</v>
      </c>
      <c r="M260" s="2">
        <v>43490</v>
      </c>
      <c r="N260" s="1" t="s">
        <v>8</v>
      </c>
      <c r="O260" s="1" t="s">
        <v>68</v>
      </c>
    </row>
    <row r="261" spans="1:15" ht="43.2" x14ac:dyDescent="0.3">
      <c r="A261" s="1" t="s">
        <v>33372</v>
      </c>
      <c r="B261" s="1" t="str">
        <f>"Sweetimpex Limited"</f>
        <v>Sweetimpex Limited</v>
      </c>
      <c r="C261" s="1" t="s">
        <v>33373</v>
      </c>
      <c r="D261" s="1" t="s">
        <v>852</v>
      </c>
      <c r="F261" s="1" t="s">
        <v>64</v>
      </c>
      <c r="G261" s="1" t="s">
        <v>65</v>
      </c>
      <c r="H261" s="1" t="s">
        <v>33374</v>
      </c>
      <c r="I261" s="1" t="s">
        <v>19</v>
      </c>
      <c r="J261" s="1" t="s">
        <v>67</v>
      </c>
      <c r="K261" s="1" t="s">
        <v>14</v>
      </c>
      <c r="L261" s="1">
        <v>5508243</v>
      </c>
      <c r="M261" s="2">
        <v>43490</v>
      </c>
      <c r="N261" s="1" t="s">
        <v>8</v>
      </c>
      <c r="O261" s="1" t="s">
        <v>68</v>
      </c>
    </row>
    <row r="262" spans="1:15" ht="28.8" x14ac:dyDescent="0.3">
      <c r="A262" s="1" t="s">
        <v>3090</v>
      </c>
      <c r="B262" s="1" t="str">
        <f>"Geraint Williams GW Commerical Cleaning"</f>
        <v>Geraint Williams GW Commerical Cleaning</v>
      </c>
      <c r="C262" s="1" t="s">
        <v>3091</v>
      </c>
      <c r="D262" s="1" t="s">
        <v>3092</v>
      </c>
      <c r="E262" s="1" t="s">
        <v>3093</v>
      </c>
      <c r="F262" s="1" t="s">
        <v>710</v>
      </c>
      <c r="G262" s="1" t="s">
        <v>3</v>
      </c>
      <c r="H262" s="1" t="s">
        <v>3094</v>
      </c>
      <c r="I262" s="1" t="s">
        <v>5</v>
      </c>
      <c r="J262" s="1" t="s">
        <v>6</v>
      </c>
      <c r="K262" s="1" t="s">
        <v>14</v>
      </c>
      <c r="M262" s="2">
        <v>43489</v>
      </c>
      <c r="N262" s="1" t="s">
        <v>8</v>
      </c>
      <c r="O262" s="2">
        <v>44584</v>
      </c>
    </row>
    <row r="263" spans="1:15" ht="28.8" x14ac:dyDescent="0.3">
      <c r="A263" s="1" t="s">
        <v>3095</v>
      </c>
      <c r="B263" s="1" t="str">
        <f>"Christopher Morgan CC Morgan &amp; Son"</f>
        <v>Christopher Morgan CC Morgan &amp; Son</v>
      </c>
      <c r="C263" s="1" t="s">
        <v>3096</v>
      </c>
      <c r="D263" s="1" t="s">
        <v>3097</v>
      </c>
      <c r="F263" s="1" t="s">
        <v>380</v>
      </c>
      <c r="G263" s="1" t="s">
        <v>381</v>
      </c>
      <c r="H263" s="1" t="s">
        <v>3098</v>
      </c>
      <c r="I263" s="1" t="s">
        <v>5</v>
      </c>
      <c r="J263" s="1" t="s">
        <v>6</v>
      </c>
      <c r="K263" s="1" t="s">
        <v>14</v>
      </c>
      <c r="M263" s="2">
        <v>43489</v>
      </c>
      <c r="N263" s="1" t="s">
        <v>8</v>
      </c>
      <c r="O263" s="2">
        <v>44584</v>
      </c>
    </row>
    <row r="264" spans="1:15" ht="28.8" x14ac:dyDescent="0.3">
      <c r="A264" s="1" t="s">
        <v>3107</v>
      </c>
      <c r="B264" s="1" t="str">
        <f>"The Home Extension Company Ltd"</f>
        <v>The Home Extension Company Ltd</v>
      </c>
      <c r="C264" s="1" t="s">
        <v>3108</v>
      </c>
      <c r="D264" s="1" t="s">
        <v>861</v>
      </c>
      <c r="F264" s="1" t="s">
        <v>42</v>
      </c>
      <c r="G264" s="1" t="s">
        <v>51</v>
      </c>
      <c r="H264" s="1" t="s">
        <v>3109</v>
      </c>
      <c r="I264" s="1" t="s">
        <v>19</v>
      </c>
      <c r="J264" s="1" t="s">
        <v>6</v>
      </c>
      <c r="K264" s="1" t="s">
        <v>14</v>
      </c>
      <c r="L264" s="1">
        <v>10796757</v>
      </c>
      <c r="M264" s="2">
        <v>43489</v>
      </c>
      <c r="N264" s="1" t="s">
        <v>8</v>
      </c>
      <c r="O264" s="2">
        <v>44584</v>
      </c>
    </row>
    <row r="265" spans="1:15" x14ac:dyDescent="0.3">
      <c r="A265" s="1" t="s">
        <v>3113</v>
      </c>
      <c r="B265" s="1" t="str">
        <f>"Michael Parkes"</f>
        <v>Michael Parkes</v>
      </c>
      <c r="C265" s="1" t="s">
        <v>3114</v>
      </c>
      <c r="F265" s="1" t="s">
        <v>1093</v>
      </c>
      <c r="G265" s="1" t="s">
        <v>103</v>
      </c>
      <c r="H265" s="1" t="s">
        <v>3115</v>
      </c>
      <c r="I265" s="1" t="s">
        <v>5</v>
      </c>
      <c r="J265" s="1" t="s">
        <v>6</v>
      </c>
      <c r="K265" s="1" t="s">
        <v>14</v>
      </c>
      <c r="M265" s="2">
        <v>43489</v>
      </c>
      <c r="N265" s="1" t="s">
        <v>8</v>
      </c>
      <c r="O265" s="2">
        <v>44584</v>
      </c>
    </row>
    <row r="266" spans="1:15" ht="28.8" x14ac:dyDescent="0.3">
      <c r="A266" s="1" t="s">
        <v>31341</v>
      </c>
      <c r="B266" s="1" t="str">
        <f>"Overflow Warehousing UK"</f>
        <v>Overflow Warehousing UK</v>
      </c>
      <c r="C266" s="1" t="s">
        <v>31342</v>
      </c>
      <c r="D266" s="1" t="s">
        <v>31343</v>
      </c>
      <c r="E266" s="1" t="s">
        <v>31344</v>
      </c>
      <c r="F266" s="1" t="s">
        <v>64</v>
      </c>
      <c r="G266" s="1" t="s">
        <v>162</v>
      </c>
      <c r="H266" s="1" t="s">
        <v>10953</v>
      </c>
      <c r="I266" s="1" t="s">
        <v>19</v>
      </c>
      <c r="J266" s="1" t="s">
        <v>6</v>
      </c>
      <c r="K266" s="1" t="s">
        <v>34</v>
      </c>
      <c r="M266" s="2">
        <v>43489</v>
      </c>
      <c r="N266" s="1" t="s">
        <v>8</v>
      </c>
      <c r="O266" s="2">
        <v>44584</v>
      </c>
    </row>
    <row r="267" spans="1:15" x14ac:dyDescent="0.3">
      <c r="A267" s="1" t="s">
        <v>31300</v>
      </c>
      <c r="B267" s="1" t="str">
        <f>"Keith Evans"</f>
        <v>Keith Evans</v>
      </c>
      <c r="C267" s="1" t="s">
        <v>31301</v>
      </c>
      <c r="F267" s="1" t="s">
        <v>665</v>
      </c>
      <c r="G267" s="1" t="s">
        <v>51</v>
      </c>
      <c r="H267" s="1" t="s">
        <v>31302</v>
      </c>
      <c r="I267" s="1" t="s">
        <v>5</v>
      </c>
      <c r="J267" s="1" t="s">
        <v>6</v>
      </c>
      <c r="K267" s="1" t="s">
        <v>366</v>
      </c>
      <c r="M267" s="2">
        <v>43488</v>
      </c>
      <c r="N267" s="1" t="s">
        <v>8</v>
      </c>
      <c r="O267" s="2">
        <v>44583</v>
      </c>
    </row>
    <row r="268" spans="1:15" x14ac:dyDescent="0.3">
      <c r="A268" s="1" t="s">
        <v>31306</v>
      </c>
      <c r="B268" s="1" t="str">
        <f>"Euro Recycle Ltd"</f>
        <v>Euro Recycle Ltd</v>
      </c>
      <c r="C268" s="1" t="s">
        <v>15423</v>
      </c>
      <c r="D268" s="1" t="s">
        <v>31307</v>
      </c>
      <c r="E268" s="1" t="s">
        <v>18093</v>
      </c>
      <c r="F268" s="1" t="s">
        <v>123</v>
      </c>
      <c r="G268" s="1" t="s">
        <v>27</v>
      </c>
      <c r="H268" s="1" t="s">
        <v>18094</v>
      </c>
      <c r="I268" s="1" t="s">
        <v>19</v>
      </c>
      <c r="J268" s="1" t="s">
        <v>6</v>
      </c>
      <c r="K268" s="1" t="s">
        <v>14</v>
      </c>
      <c r="L268" s="1">
        <v>11775573</v>
      </c>
      <c r="M268" s="2">
        <v>43488</v>
      </c>
      <c r="N268" s="1" t="s">
        <v>8</v>
      </c>
      <c r="O268" s="2">
        <v>44583</v>
      </c>
    </row>
    <row r="269" spans="1:15" x14ac:dyDescent="0.3">
      <c r="A269" s="1" t="s">
        <v>31308</v>
      </c>
      <c r="B269" s="1" t="str">
        <f>"Jonathon Jones"</f>
        <v>Jonathon Jones</v>
      </c>
      <c r="C269" s="1" t="s">
        <v>31309</v>
      </c>
      <c r="D269" s="1" t="s">
        <v>1452</v>
      </c>
      <c r="E269" s="1" t="s">
        <v>449</v>
      </c>
      <c r="F269" s="1" t="s">
        <v>42</v>
      </c>
      <c r="G269" s="1" t="s">
        <v>51</v>
      </c>
      <c r="H269" s="1" t="s">
        <v>31310</v>
      </c>
      <c r="I269" s="1" t="s">
        <v>5</v>
      </c>
      <c r="J269" s="1" t="s">
        <v>6</v>
      </c>
      <c r="K269" s="1" t="s">
        <v>366</v>
      </c>
      <c r="M269" s="2">
        <v>43488</v>
      </c>
      <c r="N269" s="1" t="s">
        <v>8</v>
      </c>
      <c r="O269" s="2">
        <v>44583</v>
      </c>
    </row>
    <row r="270" spans="1:15" ht="43.2" x14ac:dyDescent="0.3">
      <c r="A270" s="1" t="s">
        <v>31311</v>
      </c>
      <c r="B270" s="1" t="str">
        <f>"PJ Mellor Plumbing and Heating Gas Services Ltd"</f>
        <v>PJ Mellor Plumbing and Heating Gas Services Ltd</v>
      </c>
      <c r="C270" s="1" t="s">
        <v>31312</v>
      </c>
      <c r="F270" s="1" t="s">
        <v>32</v>
      </c>
      <c r="G270" s="1" t="s">
        <v>109</v>
      </c>
      <c r="H270" s="1" t="s">
        <v>31313</v>
      </c>
      <c r="I270" s="1" t="s">
        <v>19</v>
      </c>
      <c r="J270" s="1" t="s">
        <v>6</v>
      </c>
      <c r="K270" s="1" t="s">
        <v>366</v>
      </c>
      <c r="L270" s="1">
        <v>11139753</v>
      </c>
      <c r="M270" s="2">
        <v>43488</v>
      </c>
      <c r="N270" s="1" t="s">
        <v>8</v>
      </c>
      <c r="O270" s="2">
        <v>44583</v>
      </c>
    </row>
    <row r="271" spans="1:15" x14ac:dyDescent="0.3">
      <c r="A271" s="1" t="s">
        <v>31314</v>
      </c>
      <c r="B271" s="1" t="str">
        <f>"Paul Cappell"</f>
        <v>Paul Cappell</v>
      </c>
      <c r="C271" s="1" t="s">
        <v>31315</v>
      </c>
      <c r="F271" s="1" t="s">
        <v>706</v>
      </c>
      <c r="G271" s="1" t="s">
        <v>211</v>
      </c>
      <c r="H271" s="1" t="s">
        <v>31316</v>
      </c>
      <c r="I271" s="1" t="s">
        <v>5</v>
      </c>
      <c r="J271" s="1" t="s">
        <v>6</v>
      </c>
      <c r="K271" s="1" t="s">
        <v>14</v>
      </c>
      <c r="M271" s="2">
        <v>43488</v>
      </c>
      <c r="N271" s="1" t="s">
        <v>8</v>
      </c>
      <c r="O271" s="2">
        <v>44583</v>
      </c>
    </row>
    <row r="272" spans="1:15" x14ac:dyDescent="0.3">
      <c r="A272" s="1" t="s">
        <v>31317</v>
      </c>
      <c r="B272" s="1" t="str">
        <f>"Keith Young"</f>
        <v>Keith Young</v>
      </c>
      <c r="C272" s="1" t="s">
        <v>31318</v>
      </c>
      <c r="D272" s="1" t="s">
        <v>6747</v>
      </c>
      <c r="F272" s="1" t="s">
        <v>123</v>
      </c>
      <c r="G272" s="1" t="s">
        <v>27</v>
      </c>
      <c r="H272" s="1" t="s">
        <v>31319</v>
      </c>
      <c r="I272" s="1" t="s">
        <v>5</v>
      </c>
      <c r="J272" s="1" t="s">
        <v>6</v>
      </c>
      <c r="K272" s="1" t="s">
        <v>14</v>
      </c>
      <c r="M272" s="2">
        <v>43488</v>
      </c>
      <c r="N272" s="1" t="s">
        <v>8</v>
      </c>
      <c r="O272" s="2">
        <v>44583</v>
      </c>
    </row>
    <row r="273" spans="1:15" ht="43.2" x14ac:dyDescent="0.3">
      <c r="A273" s="1" t="s">
        <v>31320</v>
      </c>
      <c r="B273" s="1" t="str">
        <f>"Howell Carver"</f>
        <v>Howell Carver</v>
      </c>
      <c r="C273" s="1" t="s">
        <v>31321</v>
      </c>
      <c r="D273" s="1" t="s">
        <v>31322</v>
      </c>
      <c r="E273" s="1" t="s">
        <v>578</v>
      </c>
      <c r="F273" s="1" t="s">
        <v>64</v>
      </c>
      <c r="G273" s="1" t="s">
        <v>65</v>
      </c>
      <c r="H273" s="1" t="s">
        <v>31323</v>
      </c>
      <c r="I273" s="1" t="s">
        <v>5</v>
      </c>
      <c r="J273" s="1" t="s">
        <v>67</v>
      </c>
      <c r="K273" s="1" t="s">
        <v>14</v>
      </c>
      <c r="M273" s="2">
        <v>43488</v>
      </c>
      <c r="N273" s="1" t="s">
        <v>8</v>
      </c>
      <c r="O273" s="1" t="s">
        <v>68</v>
      </c>
    </row>
    <row r="274" spans="1:15" ht="43.2" x14ac:dyDescent="0.3">
      <c r="A274" s="1" t="s">
        <v>31324</v>
      </c>
      <c r="B274" s="1" t="str">
        <f>"Wayne Wharton"</f>
        <v>Wayne Wharton</v>
      </c>
      <c r="C274" s="1" t="s">
        <v>31325</v>
      </c>
      <c r="D274" s="1" t="s">
        <v>31326</v>
      </c>
      <c r="F274" s="1" t="s">
        <v>5640</v>
      </c>
      <c r="G274" s="1" t="s">
        <v>654</v>
      </c>
      <c r="H274" s="1" t="s">
        <v>31327</v>
      </c>
      <c r="I274" s="1" t="s">
        <v>5</v>
      </c>
      <c r="J274" s="1" t="s">
        <v>67</v>
      </c>
      <c r="K274" s="1" t="s">
        <v>14</v>
      </c>
      <c r="M274" s="2">
        <v>43488</v>
      </c>
      <c r="N274" s="1" t="s">
        <v>8</v>
      </c>
      <c r="O274" s="1" t="s">
        <v>68</v>
      </c>
    </row>
    <row r="275" spans="1:15" ht="28.8" x14ac:dyDescent="0.3">
      <c r="A275" s="1" t="s">
        <v>31333</v>
      </c>
      <c r="B275" s="1" t="str">
        <f>"Owen Davies Davies Waste"</f>
        <v>Owen Davies Davies Waste</v>
      </c>
      <c r="C275" s="1" t="s">
        <v>31334</v>
      </c>
      <c r="D275" s="1" t="s">
        <v>18782</v>
      </c>
      <c r="F275" s="1" t="s">
        <v>179</v>
      </c>
      <c r="G275" s="1" t="s">
        <v>180</v>
      </c>
      <c r="H275" s="1" t="s">
        <v>31335</v>
      </c>
      <c r="I275" s="1" t="s">
        <v>5</v>
      </c>
      <c r="J275" s="1" t="s">
        <v>6</v>
      </c>
      <c r="K275" s="1" t="s">
        <v>14</v>
      </c>
      <c r="M275" s="2">
        <v>43488</v>
      </c>
      <c r="N275" s="1" t="s">
        <v>8</v>
      </c>
      <c r="O275" s="2">
        <v>44583</v>
      </c>
    </row>
    <row r="276" spans="1:15" ht="28.8" x14ac:dyDescent="0.3">
      <c r="A276" s="1" t="s">
        <v>31336</v>
      </c>
      <c r="B276" s="1" t="str">
        <f>"Robert Duffy RTD Home Improvements"</f>
        <v>Robert Duffy RTD Home Improvements</v>
      </c>
      <c r="C276" s="1" t="s">
        <v>31337</v>
      </c>
      <c r="D276" s="1" t="s">
        <v>30275</v>
      </c>
      <c r="F276" s="1" t="s">
        <v>64</v>
      </c>
      <c r="G276" s="1" t="s">
        <v>65</v>
      </c>
      <c r="H276" s="1" t="s">
        <v>30276</v>
      </c>
      <c r="I276" s="1" t="s">
        <v>5</v>
      </c>
      <c r="J276" s="1" t="s">
        <v>6</v>
      </c>
      <c r="K276" s="1" t="s">
        <v>14</v>
      </c>
      <c r="M276" s="2">
        <v>43488</v>
      </c>
      <c r="N276" s="1" t="s">
        <v>8</v>
      </c>
      <c r="O276" s="2">
        <v>44583</v>
      </c>
    </row>
    <row r="277" spans="1:15" ht="28.8" x14ac:dyDescent="0.3">
      <c r="A277" s="1" t="s">
        <v>31338</v>
      </c>
      <c r="B277" s="1" t="str">
        <f>"Diverse Commercial Solutions Ltd"</f>
        <v>Diverse Commercial Solutions Ltd</v>
      </c>
      <c r="C277" s="1" t="s">
        <v>31339</v>
      </c>
      <c r="D277" s="1" t="s">
        <v>31340</v>
      </c>
      <c r="E277" s="1" t="s">
        <v>2438</v>
      </c>
      <c r="F277" s="1" t="s">
        <v>156</v>
      </c>
      <c r="G277" s="1" t="s">
        <v>156</v>
      </c>
      <c r="H277" s="1" t="s">
        <v>520</v>
      </c>
      <c r="I277" s="1" t="s">
        <v>19</v>
      </c>
      <c r="J277" s="1" t="s">
        <v>6</v>
      </c>
      <c r="K277" s="1" t="s">
        <v>14</v>
      </c>
      <c r="L277" s="1">
        <v>5705656</v>
      </c>
      <c r="M277" s="2">
        <v>43488</v>
      </c>
      <c r="N277" s="1" t="s">
        <v>8</v>
      </c>
      <c r="O277" s="2">
        <v>44583</v>
      </c>
    </row>
    <row r="278" spans="1:15" ht="28.8" x14ac:dyDescent="0.3">
      <c r="A278" s="1" t="s">
        <v>33370</v>
      </c>
      <c r="B278" s="1" t="str">
        <f>"Ignite Gas Heating &amp; Plumbing Ltd"</f>
        <v>Ignite Gas Heating &amp; Plumbing Ltd</v>
      </c>
      <c r="C278" s="1" t="s">
        <v>33371</v>
      </c>
      <c r="D278" s="1" t="s">
        <v>30807</v>
      </c>
      <c r="F278" s="1" t="s">
        <v>123</v>
      </c>
      <c r="G278" s="1" t="s">
        <v>27</v>
      </c>
      <c r="H278" s="1" t="s">
        <v>29150</v>
      </c>
      <c r="I278" s="1" t="s">
        <v>19</v>
      </c>
      <c r="J278" s="1" t="s">
        <v>6</v>
      </c>
      <c r="K278" s="1" t="s">
        <v>14</v>
      </c>
      <c r="L278" s="1">
        <v>9965933</v>
      </c>
      <c r="M278" s="2">
        <v>43488</v>
      </c>
      <c r="N278" s="1" t="s">
        <v>8</v>
      </c>
      <c r="O278" s="2">
        <v>44583</v>
      </c>
    </row>
    <row r="279" spans="1:15" x14ac:dyDescent="0.3">
      <c r="A279" s="1" t="s">
        <v>31281</v>
      </c>
      <c r="B279" s="1" t="str">
        <f>"David Williams"</f>
        <v>David Williams</v>
      </c>
      <c r="C279" s="1" t="s">
        <v>31282</v>
      </c>
      <c r="D279" s="1" t="s">
        <v>31283</v>
      </c>
      <c r="F279" s="1" t="s">
        <v>37</v>
      </c>
      <c r="G279" s="1" t="s">
        <v>654</v>
      </c>
      <c r="H279" s="1" t="s">
        <v>31284</v>
      </c>
      <c r="I279" s="1" t="s">
        <v>5</v>
      </c>
      <c r="J279" s="1" t="s">
        <v>6</v>
      </c>
      <c r="K279" s="1" t="s">
        <v>14</v>
      </c>
      <c r="M279" s="2">
        <v>43487</v>
      </c>
      <c r="N279" s="1" t="s">
        <v>8</v>
      </c>
      <c r="O279" s="2">
        <v>44582</v>
      </c>
    </row>
    <row r="280" spans="1:15" x14ac:dyDescent="0.3">
      <c r="A280" s="1" t="s">
        <v>31292</v>
      </c>
      <c r="B280" s="1" t="str">
        <f>"Ian Collins"</f>
        <v>Ian Collins</v>
      </c>
      <c r="C280" s="1" t="s">
        <v>31293</v>
      </c>
      <c r="D280" s="1" t="s">
        <v>31294</v>
      </c>
      <c r="E280" s="1" t="s">
        <v>31295</v>
      </c>
      <c r="F280" s="1" t="s">
        <v>1888</v>
      </c>
      <c r="G280" s="1" t="s">
        <v>198</v>
      </c>
      <c r="H280" s="1" t="s">
        <v>31296</v>
      </c>
      <c r="I280" s="1" t="s">
        <v>5</v>
      </c>
      <c r="J280" s="1" t="s">
        <v>6</v>
      </c>
      <c r="K280" s="1" t="s">
        <v>14</v>
      </c>
      <c r="M280" s="2">
        <v>43487</v>
      </c>
      <c r="N280" s="1" t="s">
        <v>8</v>
      </c>
      <c r="O280" s="2">
        <v>44582</v>
      </c>
    </row>
    <row r="281" spans="1:15" ht="28.8" x14ac:dyDescent="0.3">
      <c r="A281" s="1" t="s">
        <v>31297</v>
      </c>
      <c r="B281" s="1" t="str">
        <f>"Billy Harris BJH Building &amp; Gardening"</f>
        <v>Billy Harris BJH Building &amp; Gardening</v>
      </c>
      <c r="C281" s="1" t="s">
        <v>31298</v>
      </c>
      <c r="D281" s="1" t="s">
        <v>596</v>
      </c>
      <c r="F281" s="1" t="s">
        <v>64</v>
      </c>
      <c r="G281" s="1" t="s">
        <v>65</v>
      </c>
      <c r="H281" s="1" t="s">
        <v>31299</v>
      </c>
      <c r="I281" s="1" t="s">
        <v>5</v>
      </c>
      <c r="J281" s="1" t="s">
        <v>6</v>
      </c>
      <c r="K281" s="1" t="s">
        <v>14</v>
      </c>
      <c r="M281" s="2">
        <v>43487</v>
      </c>
      <c r="N281" s="1" t="s">
        <v>8</v>
      </c>
      <c r="O281" s="2">
        <v>44582</v>
      </c>
    </row>
    <row r="282" spans="1:15" x14ac:dyDescent="0.3">
      <c r="A282" s="1" t="s">
        <v>32307</v>
      </c>
      <c r="B282" s="1" t="str">
        <f>"Joyce Land"</f>
        <v>Joyce Land</v>
      </c>
      <c r="C282" s="1" t="s">
        <v>32308</v>
      </c>
      <c r="D282" s="1" t="s">
        <v>32309</v>
      </c>
      <c r="E282" s="1" t="s">
        <v>1672</v>
      </c>
      <c r="F282" s="1" t="s">
        <v>64</v>
      </c>
      <c r="G282" s="1" t="s">
        <v>65</v>
      </c>
      <c r="H282" s="1" t="s">
        <v>12621</v>
      </c>
      <c r="I282" s="1" t="s">
        <v>125</v>
      </c>
      <c r="J282" s="1" t="s">
        <v>6</v>
      </c>
      <c r="K282" s="1" t="s">
        <v>14</v>
      </c>
      <c r="M282" s="2">
        <v>43487</v>
      </c>
      <c r="N282" s="1" t="s">
        <v>8</v>
      </c>
      <c r="O282" s="2">
        <v>44582</v>
      </c>
    </row>
    <row r="283" spans="1:15" ht="43.2" x14ac:dyDescent="0.3">
      <c r="A283" s="1" t="s">
        <v>32310</v>
      </c>
      <c r="B283" s="1" t="str">
        <f>"Hemmings Plant Hire and Groundworks Contractors"</f>
        <v>Hemmings Plant Hire and Groundworks Contractors</v>
      </c>
      <c r="C283" s="1" t="s">
        <v>32311</v>
      </c>
      <c r="D283" s="1" t="s">
        <v>32312</v>
      </c>
      <c r="F283" s="1" t="s">
        <v>2200</v>
      </c>
      <c r="G283" s="1" t="s">
        <v>51</v>
      </c>
      <c r="H283" s="1" t="s">
        <v>32313</v>
      </c>
      <c r="I283" s="1" t="s">
        <v>19</v>
      </c>
      <c r="J283" s="1" t="s">
        <v>6</v>
      </c>
      <c r="K283" s="1" t="s">
        <v>34</v>
      </c>
      <c r="L283" s="1">
        <v>5157483</v>
      </c>
      <c r="M283" s="2">
        <v>43487</v>
      </c>
      <c r="N283" s="1" t="s">
        <v>8</v>
      </c>
      <c r="O283" s="2">
        <v>44582</v>
      </c>
    </row>
    <row r="284" spans="1:15" ht="28.8" x14ac:dyDescent="0.3">
      <c r="A284" s="1" t="s">
        <v>32314</v>
      </c>
      <c r="B284" s="1" t="str">
        <f>"Gerwyn lloyd Williams"</f>
        <v>Gerwyn lloyd Williams</v>
      </c>
      <c r="C284" s="1" t="s">
        <v>32315</v>
      </c>
      <c r="D284" s="1" t="s">
        <v>1655</v>
      </c>
      <c r="E284" s="1" t="s">
        <v>32316</v>
      </c>
      <c r="F284" s="1" t="s">
        <v>32</v>
      </c>
      <c r="G284" s="1" t="s">
        <v>109</v>
      </c>
      <c r="H284" s="1" t="s">
        <v>32317</v>
      </c>
      <c r="I284" s="1" t="s">
        <v>5</v>
      </c>
      <c r="J284" s="1" t="s">
        <v>6</v>
      </c>
      <c r="K284" s="1" t="s">
        <v>14</v>
      </c>
      <c r="M284" s="2">
        <v>43487</v>
      </c>
      <c r="N284" s="1" t="s">
        <v>8</v>
      </c>
      <c r="O284" s="2">
        <v>44582</v>
      </c>
    </row>
    <row r="285" spans="1:15" x14ac:dyDescent="0.3">
      <c r="A285" s="1" t="s">
        <v>32318</v>
      </c>
      <c r="B285" s="1" t="str">
        <f>"Terry Davies"</f>
        <v>Terry Davies</v>
      </c>
      <c r="C285" s="1" t="s">
        <v>32319</v>
      </c>
      <c r="D285" s="1" t="s">
        <v>24188</v>
      </c>
      <c r="F285" s="1" t="s">
        <v>64</v>
      </c>
      <c r="G285" s="1" t="s">
        <v>65</v>
      </c>
      <c r="H285" s="1" t="s">
        <v>32320</v>
      </c>
      <c r="I285" s="1" t="s">
        <v>5</v>
      </c>
      <c r="J285" s="1" t="s">
        <v>6</v>
      </c>
      <c r="K285" s="1" t="s">
        <v>14</v>
      </c>
      <c r="M285" s="2">
        <v>43487</v>
      </c>
      <c r="N285" s="1" t="s">
        <v>8</v>
      </c>
      <c r="O285" s="2">
        <v>44582</v>
      </c>
    </row>
    <row r="286" spans="1:15" ht="28.8" x14ac:dyDescent="0.3">
      <c r="A286" s="1" t="s">
        <v>32321</v>
      </c>
      <c r="B286" s="1" t="str">
        <f>"Allen and Smith Metal Recyclers"</f>
        <v>Allen and Smith Metal Recyclers</v>
      </c>
      <c r="C286" s="1" t="s">
        <v>32322</v>
      </c>
      <c r="D286" s="1" t="s">
        <v>32323</v>
      </c>
      <c r="E286" s="1" t="s">
        <v>32324</v>
      </c>
      <c r="F286" s="1" t="s">
        <v>374</v>
      </c>
      <c r="G286" s="1" t="s">
        <v>359</v>
      </c>
      <c r="H286" s="1" t="s">
        <v>32325</v>
      </c>
      <c r="I286" s="1" t="s">
        <v>125</v>
      </c>
      <c r="J286" s="1" t="s">
        <v>6</v>
      </c>
      <c r="K286" s="1" t="s">
        <v>14</v>
      </c>
      <c r="M286" s="2">
        <v>43487</v>
      </c>
      <c r="N286" s="1" t="s">
        <v>8</v>
      </c>
      <c r="O286" s="2">
        <v>44582</v>
      </c>
    </row>
    <row r="287" spans="1:15" ht="28.8" x14ac:dyDescent="0.3">
      <c r="A287" s="1" t="s">
        <v>31231</v>
      </c>
      <c r="B287" s="1" t="str">
        <f>"Ryan Coslett Coslett's Garden Maintenance"</f>
        <v>Ryan Coslett Coslett's Garden Maintenance</v>
      </c>
      <c r="C287" s="1" t="s">
        <v>31232</v>
      </c>
      <c r="E287" s="1" t="s">
        <v>1350</v>
      </c>
      <c r="F287" s="1" t="s">
        <v>1351</v>
      </c>
      <c r="G287" s="1" t="s">
        <v>109</v>
      </c>
      <c r="H287" s="1" t="s">
        <v>31233</v>
      </c>
      <c r="I287" s="1" t="s">
        <v>5</v>
      </c>
      <c r="J287" s="1" t="s">
        <v>6</v>
      </c>
      <c r="K287" s="1" t="s">
        <v>14</v>
      </c>
      <c r="M287" s="2">
        <v>43486</v>
      </c>
      <c r="N287" s="1" t="s">
        <v>8</v>
      </c>
      <c r="O287" s="2">
        <v>44581</v>
      </c>
    </row>
    <row r="288" spans="1:15" ht="43.2" x14ac:dyDescent="0.3">
      <c r="A288" s="1" t="s">
        <v>31234</v>
      </c>
      <c r="B288" s="1" t="str">
        <f>"Rachel Downs"</f>
        <v>Rachel Downs</v>
      </c>
      <c r="C288" s="1" t="s">
        <v>31235</v>
      </c>
      <c r="D288" s="1" t="s">
        <v>8931</v>
      </c>
      <c r="F288" s="1" t="s">
        <v>64</v>
      </c>
      <c r="G288" s="1" t="s">
        <v>65</v>
      </c>
      <c r="H288" s="1" t="s">
        <v>31236</v>
      </c>
      <c r="I288" s="1" t="s">
        <v>5</v>
      </c>
      <c r="J288" s="1" t="s">
        <v>67</v>
      </c>
      <c r="K288" s="1" t="s">
        <v>366</v>
      </c>
      <c r="M288" s="2">
        <v>43486</v>
      </c>
      <c r="N288" s="1" t="s">
        <v>8</v>
      </c>
      <c r="O288" s="1" t="s">
        <v>68</v>
      </c>
    </row>
    <row r="289" spans="1:15" ht="43.2" x14ac:dyDescent="0.3">
      <c r="A289" s="1" t="s">
        <v>31237</v>
      </c>
      <c r="B289" s="1" t="str">
        <f>"LLAETH Y LLAN CYF"</f>
        <v>LLAETH Y LLAN CYF</v>
      </c>
      <c r="C289" s="1" t="s">
        <v>31238</v>
      </c>
      <c r="D289" s="1" t="s">
        <v>31239</v>
      </c>
      <c r="F289" s="1" t="s">
        <v>922</v>
      </c>
      <c r="G289" s="1" t="s">
        <v>359</v>
      </c>
      <c r="H289" s="1" t="s">
        <v>31240</v>
      </c>
      <c r="I289" s="1" t="s">
        <v>19</v>
      </c>
      <c r="J289" s="1" t="s">
        <v>67</v>
      </c>
      <c r="K289" s="1" t="s">
        <v>14</v>
      </c>
      <c r="L289" s="1">
        <v>5098999</v>
      </c>
      <c r="M289" s="2">
        <v>43486</v>
      </c>
      <c r="N289" s="1" t="s">
        <v>8</v>
      </c>
      <c r="O289" s="1" t="s">
        <v>68</v>
      </c>
    </row>
    <row r="290" spans="1:15" ht="43.2" x14ac:dyDescent="0.3">
      <c r="A290" s="1" t="s">
        <v>31244</v>
      </c>
      <c r="B290" s="1" t="str">
        <f>"Wernllwyd Farm"</f>
        <v>Wernllwyd Farm</v>
      </c>
      <c r="C290" s="1" t="s">
        <v>31245</v>
      </c>
      <c r="D290" s="1" t="s">
        <v>31246</v>
      </c>
      <c r="F290" s="1" t="s">
        <v>1239</v>
      </c>
      <c r="G290" s="1" t="s">
        <v>231</v>
      </c>
      <c r="H290" s="1" t="s">
        <v>31247</v>
      </c>
      <c r="I290" s="1" t="s">
        <v>125</v>
      </c>
      <c r="J290" s="1" t="s">
        <v>67</v>
      </c>
      <c r="K290" s="1" t="s">
        <v>14</v>
      </c>
      <c r="M290" s="2">
        <v>43486</v>
      </c>
      <c r="N290" s="1" t="s">
        <v>8</v>
      </c>
      <c r="O290" s="1" t="s">
        <v>68</v>
      </c>
    </row>
    <row r="291" spans="1:15" ht="43.2" x14ac:dyDescent="0.3">
      <c r="A291" s="1" t="s">
        <v>31251</v>
      </c>
      <c r="B291" s="1" t="str">
        <f>"kitchen@no.12 ltd"</f>
        <v>kitchen@no.12 ltd</v>
      </c>
      <c r="C291" s="1" t="s">
        <v>31252</v>
      </c>
      <c r="D291" s="1" t="s">
        <v>31253</v>
      </c>
      <c r="E291" s="1" t="s">
        <v>1025</v>
      </c>
      <c r="F291" s="1" t="s">
        <v>123</v>
      </c>
      <c r="G291" s="1" t="s">
        <v>27</v>
      </c>
      <c r="H291" s="1" t="s">
        <v>6279</v>
      </c>
      <c r="I291" s="1" t="s">
        <v>19</v>
      </c>
      <c r="J291" s="1" t="s">
        <v>67</v>
      </c>
      <c r="K291" s="1" t="s">
        <v>14</v>
      </c>
      <c r="L291" s="1">
        <v>8984123</v>
      </c>
      <c r="M291" s="2">
        <v>43486</v>
      </c>
      <c r="N291" s="1" t="s">
        <v>8</v>
      </c>
      <c r="O291" s="1" t="s">
        <v>68</v>
      </c>
    </row>
    <row r="292" spans="1:15" ht="28.8" x14ac:dyDescent="0.3">
      <c r="A292" s="1" t="s">
        <v>31255</v>
      </c>
      <c r="B292" s="1" t="str">
        <f>"GJ Teeson Ltd"</f>
        <v>GJ Teeson Ltd</v>
      </c>
      <c r="C292" s="1" t="s">
        <v>31256</v>
      </c>
      <c r="D292" s="1" t="s">
        <v>31257</v>
      </c>
      <c r="F292" s="1" t="s">
        <v>72</v>
      </c>
      <c r="G292" s="1" t="s">
        <v>73</v>
      </c>
      <c r="H292" s="1" t="s">
        <v>1701</v>
      </c>
      <c r="I292" s="1" t="s">
        <v>19</v>
      </c>
      <c r="J292" s="1" t="s">
        <v>6</v>
      </c>
      <c r="K292" s="1" t="s">
        <v>366</v>
      </c>
      <c r="L292" s="1">
        <v>7937959</v>
      </c>
      <c r="M292" s="2">
        <v>43486</v>
      </c>
      <c r="N292" s="1" t="s">
        <v>8</v>
      </c>
      <c r="O292" s="2">
        <v>44581</v>
      </c>
    </row>
    <row r="293" spans="1:15" ht="43.2" x14ac:dyDescent="0.3">
      <c r="A293" s="1" t="s">
        <v>31258</v>
      </c>
      <c r="B293" s="1" t="str">
        <f>"Jaspal Singh"</f>
        <v>Jaspal Singh</v>
      </c>
      <c r="C293" s="1" t="s">
        <v>31259</v>
      </c>
      <c r="D293" s="1" t="s">
        <v>20548</v>
      </c>
      <c r="F293" s="1" t="s">
        <v>123</v>
      </c>
      <c r="G293" s="1" t="s">
        <v>27</v>
      </c>
      <c r="H293" s="1" t="s">
        <v>31260</v>
      </c>
      <c r="I293" s="1" t="s">
        <v>5</v>
      </c>
      <c r="J293" s="1" t="s">
        <v>67</v>
      </c>
      <c r="K293" s="1" t="s">
        <v>14</v>
      </c>
      <c r="M293" s="2">
        <v>43486</v>
      </c>
      <c r="N293" s="1" t="s">
        <v>8</v>
      </c>
      <c r="O293" s="1" t="s">
        <v>68</v>
      </c>
    </row>
    <row r="294" spans="1:15" ht="28.8" x14ac:dyDescent="0.3">
      <c r="A294" s="1" t="s">
        <v>31267</v>
      </c>
      <c r="B294" s="1" t="str">
        <f>"Paul Baker Construction Ltd"</f>
        <v>Paul Baker Construction Ltd</v>
      </c>
      <c r="C294" s="1" t="s">
        <v>31268</v>
      </c>
      <c r="D294" s="1" t="s">
        <v>31269</v>
      </c>
      <c r="F294" s="1" t="s">
        <v>123</v>
      </c>
      <c r="G294" s="1" t="s">
        <v>27</v>
      </c>
      <c r="H294" s="1" t="s">
        <v>31270</v>
      </c>
      <c r="I294" s="1" t="s">
        <v>19</v>
      </c>
      <c r="J294" s="1" t="s">
        <v>6</v>
      </c>
      <c r="K294" s="1" t="s">
        <v>34</v>
      </c>
      <c r="M294" s="2">
        <v>43486</v>
      </c>
      <c r="N294" s="1" t="s">
        <v>8</v>
      </c>
      <c r="O294" s="2">
        <v>44581</v>
      </c>
    </row>
    <row r="295" spans="1:15" ht="28.8" x14ac:dyDescent="0.3">
      <c r="A295" s="1" t="s">
        <v>31271</v>
      </c>
      <c r="B295" s="1" t="str">
        <f>"Boundary Stonework and Fencing"</f>
        <v>Boundary Stonework and Fencing</v>
      </c>
      <c r="C295" s="1" t="s">
        <v>31272</v>
      </c>
      <c r="F295" s="1" t="s">
        <v>214</v>
      </c>
      <c r="G295" s="1" t="s">
        <v>73</v>
      </c>
      <c r="H295" s="1" t="s">
        <v>31273</v>
      </c>
      <c r="I295" s="1" t="s">
        <v>125</v>
      </c>
      <c r="J295" s="1" t="s">
        <v>6</v>
      </c>
      <c r="K295" s="1" t="s">
        <v>14</v>
      </c>
      <c r="M295" s="2">
        <v>43486</v>
      </c>
      <c r="N295" s="1" t="s">
        <v>8</v>
      </c>
      <c r="O295" s="2">
        <v>44581</v>
      </c>
    </row>
    <row r="296" spans="1:15" ht="43.2" x14ac:dyDescent="0.3">
      <c r="A296" s="1" t="s">
        <v>31215</v>
      </c>
      <c r="B296" s="1" t="str">
        <f>"Chase Manufacturing Ltd"</f>
        <v>Chase Manufacturing Ltd</v>
      </c>
      <c r="C296" s="1" t="s">
        <v>31216</v>
      </c>
      <c r="D296" s="1" t="s">
        <v>31217</v>
      </c>
      <c r="E296" s="1" t="s">
        <v>8331</v>
      </c>
      <c r="F296" s="1" t="s">
        <v>156</v>
      </c>
      <c r="G296" s="1" t="s">
        <v>156</v>
      </c>
      <c r="H296" s="1" t="s">
        <v>9398</v>
      </c>
      <c r="I296" s="1" t="s">
        <v>19</v>
      </c>
      <c r="J296" s="1" t="s">
        <v>67</v>
      </c>
      <c r="K296" s="1" t="s">
        <v>14</v>
      </c>
      <c r="M296" s="2">
        <v>43483</v>
      </c>
      <c r="N296" s="1" t="s">
        <v>8</v>
      </c>
      <c r="O296" s="1" t="s">
        <v>68</v>
      </c>
    </row>
    <row r="297" spans="1:15" ht="28.8" x14ac:dyDescent="0.3">
      <c r="A297" s="1" t="s">
        <v>31228</v>
      </c>
      <c r="B297" s="1" t="str">
        <f>"AY Landscapes LTD"</f>
        <v>AY Landscapes LTD</v>
      </c>
      <c r="C297" s="1" t="s">
        <v>31229</v>
      </c>
      <c r="D297" s="1" t="s">
        <v>31230</v>
      </c>
      <c r="E297" s="1" t="s">
        <v>258</v>
      </c>
      <c r="F297" s="1" t="s">
        <v>64</v>
      </c>
      <c r="G297" s="1" t="s">
        <v>65</v>
      </c>
      <c r="H297" s="1" t="s">
        <v>3795</v>
      </c>
      <c r="I297" s="1" t="s">
        <v>19</v>
      </c>
      <c r="J297" s="1" t="s">
        <v>6</v>
      </c>
      <c r="K297" s="1" t="s">
        <v>14</v>
      </c>
      <c r="M297" s="2">
        <v>43483</v>
      </c>
      <c r="N297" s="1" t="s">
        <v>8</v>
      </c>
      <c r="O297" s="2">
        <v>44578</v>
      </c>
    </row>
    <row r="298" spans="1:15" x14ac:dyDescent="0.3">
      <c r="A298" s="1" t="s">
        <v>33348</v>
      </c>
      <c r="B298" s="1" t="str">
        <f>"Lee Hamonda"</f>
        <v>Lee Hamonda</v>
      </c>
      <c r="C298" s="1" t="s">
        <v>33349</v>
      </c>
      <c r="F298" s="1" t="s">
        <v>123</v>
      </c>
      <c r="G298" s="1" t="s">
        <v>27</v>
      </c>
      <c r="H298" s="1" t="s">
        <v>33350</v>
      </c>
      <c r="I298" s="1" t="s">
        <v>5</v>
      </c>
      <c r="J298" s="1" t="s">
        <v>6</v>
      </c>
      <c r="K298" s="1" t="s">
        <v>14</v>
      </c>
      <c r="M298" s="2">
        <v>43483</v>
      </c>
      <c r="N298" s="1" t="s">
        <v>8</v>
      </c>
      <c r="O298" s="2">
        <v>44578</v>
      </c>
    </row>
    <row r="299" spans="1:15" ht="43.2" x14ac:dyDescent="0.3">
      <c r="A299" s="1" t="s">
        <v>33352</v>
      </c>
      <c r="B299" s="1" t="str">
        <f>"AJ's Mobile Catering"</f>
        <v>AJ's Mobile Catering</v>
      </c>
      <c r="C299" s="1" t="s">
        <v>33353</v>
      </c>
      <c r="D299" s="1" t="s">
        <v>33354</v>
      </c>
      <c r="E299" s="1" t="s">
        <v>18618</v>
      </c>
      <c r="F299" s="1" t="s">
        <v>123</v>
      </c>
      <c r="G299" s="1" t="s">
        <v>27</v>
      </c>
      <c r="H299" s="1" t="s">
        <v>33355</v>
      </c>
      <c r="I299" s="1" t="s">
        <v>19</v>
      </c>
      <c r="J299" s="1" t="s">
        <v>67</v>
      </c>
      <c r="K299" s="1" t="s">
        <v>14</v>
      </c>
      <c r="L299" s="1">
        <v>10729296</v>
      </c>
      <c r="M299" s="2">
        <v>43483</v>
      </c>
      <c r="N299" s="1" t="s">
        <v>8</v>
      </c>
      <c r="O299" s="1" t="s">
        <v>68</v>
      </c>
    </row>
    <row r="300" spans="1:15" ht="28.8" x14ac:dyDescent="0.3">
      <c r="A300" s="1" t="s">
        <v>33356</v>
      </c>
      <c r="B300" s="1" t="str">
        <f>"Pallet Recycling South Wales"</f>
        <v>Pallet Recycling South Wales</v>
      </c>
      <c r="C300" s="1" t="s">
        <v>33357</v>
      </c>
      <c r="D300" s="1" t="s">
        <v>33358</v>
      </c>
      <c r="E300" s="1" t="s">
        <v>1560</v>
      </c>
      <c r="F300" s="1" t="s">
        <v>156</v>
      </c>
      <c r="G300" s="1" t="s">
        <v>156</v>
      </c>
      <c r="H300" s="1" t="s">
        <v>33359</v>
      </c>
      <c r="I300" s="1" t="s">
        <v>19</v>
      </c>
      <c r="J300" s="1" t="s">
        <v>6</v>
      </c>
      <c r="K300" s="1" t="s">
        <v>34</v>
      </c>
      <c r="L300" s="1">
        <v>7639190</v>
      </c>
      <c r="M300" s="2">
        <v>43483</v>
      </c>
      <c r="N300" s="1" t="s">
        <v>8</v>
      </c>
      <c r="O300" s="2">
        <v>44578</v>
      </c>
    </row>
    <row r="301" spans="1:15" ht="28.8" x14ac:dyDescent="0.3">
      <c r="A301" s="1" t="s">
        <v>33360</v>
      </c>
      <c r="B301" s="1" t="str">
        <f>"A&amp;R Recovery Transport Services Ltd"</f>
        <v>A&amp;R Recovery Transport Services Ltd</v>
      </c>
      <c r="C301" s="1" t="s">
        <v>33361</v>
      </c>
      <c r="D301" s="1" t="s">
        <v>33362</v>
      </c>
      <c r="F301" s="1" t="s">
        <v>64</v>
      </c>
      <c r="G301" s="1" t="s">
        <v>65</v>
      </c>
      <c r="H301" s="1" t="s">
        <v>33363</v>
      </c>
      <c r="I301" s="1" t="s">
        <v>19</v>
      </c>
      <c r="J301" s="1" t="s">
        <v>6</v>
      </c>
      <c r="K301" s="1" t="s">
        <v>14</v>
      </c>
      <c r="L301" s="1">
        <v>11016567</v>
      </c>
      <c r="M301" s="2">
        <v>43483</v>
      </c>
      <c r="N301" s="1" t="s">
        <v>8</v>
      </c>
      <c r="O301" s="2">
        <v>44578</v>
      </c>
    </row>
    <row r="302" spans="1:15" ht="28.8" x14ac:dyDescent="0.3">
      <c r="A302" s="1" t="s">
        <v>33364</v>
      </c>
      <c r="B302" s="1" t="str">
        <f>"Robert Bartlett RGB Construction"</f>
        <v>Robert Bartlett RGB Construction</v>
      </c>
      <c r="C302" s="1" t="s">
        <v>33365</v>
      </c>
      <c r="D302" s="1" t="s">
        <v>30807</v>
      </c>
      <c r="F302" s="1" t="s">
        <v>123</v>
      </c>
      <c r="G302" s="1" t="s">
        <v>27</v>
      </c>
      <c r="H302" s="1" t="s">
        <v>33366</v>
      </c>
      <c r="I302" s="1" t="s">
        <v>5</v>
      </c>
      <c r="J302" s="1" t="s">
        <v>6</v>
      </c>
      <c r="K302" s="1" t="s">
        <v>14</v>
      </c>
      <c r="M302" s="2">
        <v>43483</v>
      </c>
      <c r="N302" s="1" t="s">
        <v>8</v>
      </c>
      <c r="O302" s="2">
        <v>44578</v>
      </c>
    </row>
    <row r="303" spans="1:15" ht="28.8" x14ac:dyDescent="0.3">
      <c r="A303" s="1" t="s">
        <v>33367</v>
      </c>
      <c r="B303" s="1" t="str">
        <f>"Brian Roberts Brian's Removals &amp; Clearances"</f>
        <v>Brian Roberts Brian's Removals &amp; Clearances</v>
      </c>
      <c r="C303" s="1" t="s">
        <v>33368</v>
      </c>
      <c r="D303" s="1" t="s">
        <v>155</v>
      </c>
      <c r="F303" s="1" t="s">
        <v>156</v>
      </c>
      <c r="G303" s="1" t="s">
        <v>103</v>
      </c>
      <c r="H303" s="1" t="s">
        <v>33369</v>
      </c>
      <c r="I303" s="1" t="s">
        <v>5</v>
      </c>
      <c r="J303" s="1" t="s">
        <v>6</v>
      </c>
      <c r="K303" s="1" t="s">
        <v>14</v>
      </c>
      <c r="M303" s="2">
        <v>43483</v>
      </c>
      <c r="N303" s="1" t="s">
        <v>8</v>
      </c>
      <c r="O303" s="2">
        <v>44578</v>
      </c>
    </row>
    <row r="304" spans="1:15" x14ac:dyDescent="0.3">
      <c r="A304" s="1" t="s">
        <v>32279</v>
      </c>
      <c r="B304" s="1" t="str">
        <f>"CTF Contractors LTD"</f>
        <v>CTF Contractors LTD</v>
      </c>
      <c r="C304" s="1" t="s">
        <v>894</v>
      </c>
      <c r="D304" s="1" t="s">
        <v>895</v>
      </c>
      <c r="E304" s="1" t="s">
        <v>2434</v>
      </c>
      <c r="F304" s="1" t="s">
        <v>4731</v>
      </c>
      <c r="H304" s="1" t="s">
        <v>32280</v>
      </c>
      <c r="I304" s="1" t="s">
        <v>19</v>
      </c>
      <c r="J304" s="1" t="s">
        <v>6</v>
      </c>
      <c r="K304" s="1" t="s">
        <v>14</v>
      </c>
      <c r="M304" s="2">
        <v>43482</v>
      </c>
      <c r="N304" s="1" t="s">
        <v>8</v>
      </c>
      <c r="O304" s="2">
        <v>44577</v>
      </c>
    </row>
    <row r="305" spans="1:15" ht="28.8" x14ac:dyDescent="0.3">
      <c r="A305" s="1" t="s">
        <v>32284</v>
      </c>
      <c r="B305" s="1" t="str">
        <f>"KAEFER LTD"</f>
        <v>KAEFER LTD</v>
      </c>
      <c r="C305" s="1" t="s">
        <v>32285</v>
      </c>
      <c r="D305" s="1" t="s">
        <v>32286</v>
      </c>
      <c r="E305" s="1" t="s">
        <v>3853</v>
      </c>
      <c r="F305" s="1" t="s">
        <v>123</v>
      </c>
      <c r="G305" s="1" t="s">
        <v>27</v>
      </c>
      <c r="H305" s="1" t="s">
        <v>15297</v>
      </c>
      <c r="I305" s="1" t="s">
        <v>19</v>
      </c>
      <c r="J305" s="1" t="s">
        <v>6</v>
      </c>
      <c r="K305" s="1" t="s">
        <v>14</v>
      </c>
      <c r="L305" s="1">
        <v>3132937</v>
      </c>
      <c r="M305" s="2">
        <v>43482</v>
      </c>
      <c r="N305" s="1" t="s">
        <v>8</v>
      </c>
      <c r="O305" s="2">
        <v>44577</v>
      </c>
    </row>
    <row r="306" spans="1:15" x14ac:dyDescent="0.3">
      <c r="A306" s="1" t="s">
        <v>32290</v>
      </c>
      <c r="B306" s="1" t="str">
        <f>"Andrew Davies"</f>
        <v>Andrew Davies</v>
      </c>
      <c r="C306" s="1" t="s">
        <v>31959</v>
      </c>
      <c r="D306" s="1" t="s">
        <v>32291</v>
      </c>
      <c r="F306" s="1" t="s">
        <v>2200</v>
      </c>
      <c r="G306" s="1" t="s">
        <v>51</v>
      </c>
      <c r="H306" s="1" t="s">
        <v>32292</v>
      </c>
      <c r="I306" s="1" t="s">
        <v>5</v>
      </c>
      <c r="J306" s="1" t="s">
        <v>6</v>
      </c>
      <c r="K306" s="1" t="s">
        <v>366</v>
      </c>
      <c r="M306" s="2">
        <v>43482</v>
      </c>
      <c r="N306" s="1" t="s">
        <v>8</v>
      </c>
      <c r="O306" s="2">
        <v>44577</v>
      </c>
    </row>
    <row r="307" spans="1:15" x14ac:dyDescent="0.3">
      <c r="A307" s="1" t="s">
        <v>32297</v>
      </c>
      <c r="B307" s="1" t="str">
        <f>"Kenny Williams"</f>
        <v>Kenny Williams</v>
      </c>
      <c r="C307" s="1" t="s">
        <v>32298</v>
      </c>
      <c r="D307" s="1" t="s">
        <v>32299</v>
      </c>
      <c r="F307" s="1" t="s">
        <v>1108</v>
      </c>
      <c r="G307" s="1" t="s">
        <v>679</v>
      </c>
      <c r="H307" s="1" t="s">
        <v>32300</v>
      </c>
      <c r="I307" s="1" t="s">
        <v>5</v>
      </c>
      <c r="J307" s="1" t="s">
        <v>6</v>
      </c>
      <c r="K307" s="1" t="s">
        <v>366</v>
      </c>
      <c r="M307" s="2">
        <v>43482</v>
      </c>
      <c r="N307" s="1" t="s">
        <v>8</v>
      </c>
      <c r="O307" s="2">
        <v>44577</v>
      </c>
    </row>
    <row r="308" spans="1:15" ht="43.2" x14ac:dyDescent="0.3">
      <c r="A308" s="1" t="s">
        <v>33327</v>
      </c>
      <c r="B308" s="1" t="str">
        <f>"JM Renewable Solutions Ltd"</f>
        <v>JM Renewable Solutions Ltd</v>
      </c>
      <c r="C308" s="1" t="s">
        <v>33328</v>
      </c>
      <c r="D308" s="1" t="s">
        <v>33329</v>
      </c>
      <c r="E308" s="1" t="s">
        <v>8264</v>
      </c>
      <c r="F308" s="1" t="s">
        <v>6799</v>
      </c>
      <c r="G308" s="1" t="s">
        <v>1169</v>
      </c>
      <c r="H308" s="1" t="s">
        <v>13352</v>
      </c>
      <c r="I308" s="1" t="s">
        <v>19</v>
      </c>
      <c r="J308" s="1" t="s">
        <v>67</v>
      </c>
      <c r="K308" s="1" t="s">
        <v>14</v>
      </c>
      <c r="M308" s="2">
        <v>43482</v>
      </c>
      <c r="N308" s="1" t="s">
        <v>8</v>
      </c>
      <c r="O308" s="1" t="s">
        <v>68</v>
      </c>
    </row>
    <row r="309" spans="1:15" ht="43.2" x14ac:dyDescent="0.3">
      <c r="A309" s="1" t="s">
        <v>33333</v>
      </c>
      <c r="B309" s="1" t="str">
        <f>"Linear Plastics Ltd"</f>
        <v>Linear Plastics Ltd</v>
      </c>
      <c r="C309" s="1" t="s">
        <v>33334</v>
      </c>
      <c r="D309" s="1" t="s">
        <v>33335</v>
      </c>
      <c r="E309" s="1" t="s">
        <v>3029</v>
      </c>
      <c r="F309" s="1" t="s">
        <v>277</v>
      </c>
      <c r="G309" s="1" t="s">
        <v>141</v>
      </c>
      <c r="H309" s="1" t="s">
        <v>33336</v>
      </c>
      <c r="I309" s="1" t="s">
        <v>19</v>
      </c>
      <c r="J309" s="1" t="s">
        <v>67</v>
      </c>
      <c r="K309" s="1" t="s">
        <v>14</v>
      </c>
      <c r="M309" s="2">
        <v>43482</v>
      </c>
      <c r="N309" s="1" t="s">
        <v>8</v>
      </c>
      <c r="O309" s="1" t="s">
        <v>68</v>
      </c>
    </row>
    <row r="310" spans="1:15" ht="28.8" x14ac:dyDescent="0.3">
      <c r="A310" s="1" t="s">
        <v>3064</v>
      </c>
      <c r="B310" s="1" t="str">
        <f>"David Jones"</f>
        <v>David Jones</v>
      </c>
      <c r="C310" s="1" t="s">
        <v>3065</v>
      </c>
      <c r="D310" s="1" t="s">
        <v>3066</v>
      </c>
      <c r="E310" s="1" t="s">
        <v>3067</v>
      </c>
      <c r="F310" s="1" t="s">
        <v>3068</v>
      </c>
      <c r="G310" s="1" t="s">
        <v>115</v>
      </c>
      <c r="H310" s="1" t="s">
        <v>3069</v>
      </c>
      <c r="I310" s="1" t="s">
        <v>5</v>
      </c>
      <c r="J310" s="1" t="s">
        <v>6</v>
      </c>
      <c r="K310" s="1" t="s">
        <v>14</v>
      </c>
      <c r="M310" s="2">
        <v>43481</v>
      </c>
      <c r="N310" s="1" t="s">
        <v>8</v>
      </c>
      <c r="O310" s="2">
        <v>44576</v>
      </c>
    </row>
    <row r="311" spans="1:15" x14ac:dyDescent="0.3">
      <c r="A311" s="1" t="s">
        <v>3070</v>
      </c>
      <c r="B311" s="1" t="str">
        <f>"Simon Davies"</f>
        <v>Simon Davies</v>
      </c>
      <c r="C311" s="1" t="s">
        <v>3071</v>
      </c>
      <c r="D311" s="1" t="s">
        <v>3072</v>
      </c>
      <c r="F311" s="1" t="s">
        <v>277</v>
      </c>
      <c r="G311" s="1" t="s">
        <v>141</v>
      </c>
      <c r="H311" s="1" t="s">
        <v>3073</v>
      </c>
      <c r="I311" s="1" t="s">
        <v>5</v>
      </c>
      <c r="J311" s="1" t="s">
        <v>6</v>
      </c>
      <c r="K311" s="1" t="s">
        <v>14</v>
      </c>
      <c r="M311" s="2">
        <v>43481</v>
      </c>
      <c r="N311" s="1" t="s">
        <v>8</v>
      </c>
      <c r="O311" s="2">
        <v>44576</v>
      </c>
    </row>
    <row r="312" spans="1:15" ht="28.8" x14ac:dyDescent="0.3">
      <c r="A312" s="1" t="s">
        <v>3074</v>
      </c>
      <c r="B312" s="1" t="str">
        <f>"Stanley Builders Limited"</f>
        <v>Stanley Builders Limited</v>
      </c>
      <c r="C312" s="1" t="s">
        <v>3075</v>
      </c>
      <c r="D312" s="1" t="s">
        <v>3076</v>
      </c>
      <c r="E312" s="1" t="s">
        <v>155</v>
      </c>
      <c r="F312" s="1" t="s">
        <v>156</v>
      </c>
      <c r="G312" s="1" t="s">
        <v>103</v>
      </c>
      <c r="H312" s="1" t="s">
        <v>3077</v>
      </c>
      <c r="I312" s="1" t="s">
        <v>19</v>
      </c>
      <c r="J312" s="1" t="s">
        <v>6</v>
      </c>
      <c r="K312" s="1" t="s">
        <v>14</v>
      </c>
      <c r="M312" s="2">
        <v>43481</v>
      </c>
      <c r="N312" s="1" t="s">
        <v>8</v>
      </c>
      <c r="O312" s="2">
        <v>44576</v>
      </c>
    </row>
    <row r="313" spans="1:15" ht="43.2" x14ac:dyDescent="0.3">
      <c r="A313" s="1" t="s">
        <v>3078</v>
      </c>
      <c r="B313" s="1" t="str">
        <f>"Andrew Campbell"</f>
        <v>Andrew Campbell</v>
      </c>
      <c r="C313" s="1" t="s">
        <v>3079</v>
      </c>
      <c r="D313" s="1" t="s">
        <v>3080</v>
      </c>
      <c r="F313" s="1" t="s">
        <v>3081</v>
      </c>
      <c r="G313" s="1" t="s">
        <v>654</v>
      </c>
      <c r="H313" s="1" t="s">
        <v>3082</v>
      </c>
      <c r="I313" s="1" t="s">
        <v>5</v>
      </c>
      <c r="J313" s="1" t="s">
        <v>67</v>
      </c>
      <c r="K313" s="1" t="s">
        <v>14</v>
      </c>
      <c r="M313" s="2">
        <v>43481</v>
      </c>
      <c r="N313" s="1" t="s">
        <v>8</v>
      </c>
      <c r="O313" s="1" t="s">
        <v>68</v>
      </c>
    </row>
    <row r="314" spans="1:15" x14ac:dyDescent="0.3">
      <c r="A314" s="1" t="s">
        <v>3085</v>
      </c>
      <c r="B314" s="1" t="str">
        <f>"Inspire Windows LTD"</f>
        <v>Inspire Windows LTD</v>
      </c>
      <c r="C314" s="1" t="s">
        <v>3086</v>
      </c>
      <c r="D314" s="1" t="s">
        <v>3087</v>
      </c>
      <c r="E314" s="1" t="s">
        <v>3088</v>
      </c>
      <c r="F314" s="1" t="s">
        <v>123</v>
      </c>
      <c r="G314" s="1" t="s">
        <v>27</v>
      </c>
      <c r="H314" s="1" t="s">
        <v>3089</v>
      </c>
      <c r="I314" s="1" t="s">
        <v>19</v>
      </c>
      <c r="J314" s="1" t="s">
        <v>6</v>
      </c>
      <c r="K314" s="1" t="s">
        <v>14</v>
      </c>
      <c r="L314" s="1">
        <v>7380999</v>
      </c>
      <c r="M314" s="2">
        <v>43481</v>
      </c>
      <c r="N314" s="1" t="s">
        <v>8</v>
      </c>
      <c r="O314" s="2">
        <v>44576</v>
      </c>
    </row>
    <row r="315" spans="1:15" ht="43.2" x14ac:dyDescent="0.3">
      <c r="A315" s="1" t="s">
        <v>31200</v>
      </c>
      <c r="B315" s="1" t="str">
        <f>"Family Shopper"</f>
        <v>Family Shopper</v>
      </c>
      <c r="C315" s="1" t="s">
        <v>31201</v>
      </c>
      <c r="D315" s="1" t="s">
        <v>31202</v>
      </c>
      <c r="E315" s="1" t="s">
        <v>31203</v>
      </c>
      <c r="F315" s="1" t="s">
        <v>140</v>
      </c>
      <c r="H315" s="1" t="s">
        <v>25921</v>
      </c>
      <c r="I315" s="1" t="s">
        <v>19</v>
      </c>
      <c r="J315" s="1" t="s">
        <v>67</v>
      </c>
      <c r="K315" s="1" t="s">
        <v>14</v>
      </c>
      <c r="M315" s="2">
        <v>43481</v>
      </c>
      <c r="N315" s="1" t="s">
        <v>8</v>
      </c>
      <c r="O315" s="1" t="s">
        <v>68</v>
      </c>
    </row>
    <row r="316" spans="1:15" ht="43.2" x14ac:dyDescent="0.3">
      <c r="A316" s="1" t="s">
        <v>31204</v>
      </c>
      <c r="B316" s="1" t="str">
        <f>"Jon Price"</f>
        <v>Jon Price</v>
      </c>
      <c r="C316" s="1" t="s">
        <v>31205</v>
      </c>
      <c r="D316" s="1" t="s">
        <v>30275</v>
      </c>
      <c r="F316" s="1" t="s">
        <v>64</v>
      </c>
      <c r="G316" s="1" t="s">
        <v>65</v>
      </c>
      <c r="H316" s="1" t="s">
        <v>30276</v>
      </c>
      <c r="I316" s="1" t="s">
        <v>5</v>
      </c>
      <c r="J316" s="1" t="s">
        <v>67</v>
      </c>
      <c r="K316" s="1" t="s">
        <v>14</v>
      </c>
      <c r="M316" s="2">
        <v>43481</v>
      </c>
      <c r="N316" s="1" t="s">
        <v>8</v>
      </c>
      <c r="O316" s="1" t="s">
        <v>68</v>
      </c>
    </row>
    <row r="317" spans="1:15" ht="43.2" x14ac:dyDescent="0.3">
      <c r="A317" s="1" t="s">
        <v>31206</v>
      </c>
      <c r="B317" s="1" t="str">
        <f>"Crow Valley Gas Service &amp; Electrical Installation ltd"</f>
        <v>Crow Valley Gas Service &amp; Electrical Installation ltd</v>
      </c>
      <c r="C317" s="1" t="s">
        <v>31207</v>
      </c>
      <c r="D317" s="1" t="s">
        <v>31208</v>
      </c>
      <c r="E317" s="1" t="s">
        <v>2204</v>
      </c>
      <c r="F317" s="1" t="s">
        <v>380</v>
      </c>
      <c r="G317" s="1" t="s">
        <v>381</v>
      </c>
      <c r="H317" s="1" t="s">
        <v>31209</v>
      </c>
      <c r="I317" s="1" t="s">
        <v>19</v>
      </c>
      <c r="J317" s="1" t="s">
        <v>67</v>
      </c>
      <c r="K317" s="1" t="s">
        <v>14</v>
      </c>
      <c r="L317" s="1">
        <v>7996804</v>
      </c>
      <c r="M317" s="2">
        <v>43481</v>
      </c>
      <c r="N317" s="1" t="s">
        <v>8</v>
      </c>
      <c r="O317" s="1" t="s">
        <v>68</v>
      </c>
    </row>
    <row r="318" spans="1:15" x14ac:dyDescent="0.3">
      <c r="A318" s="1" t="s">
        <v>31213</v>
      </c>
      <c r="B318" s="1" t="str">
        <f>"Spot on Designs"</f>
        <v>Spot on Designs</v>
      </c>
      <c r="C318" s="1" t="s">
        <v>31214</v>
      </c>
      <c r="D318" s="1" t="s">
        <v>108</v>
      </c>
      <c r="F318" s="1" t="s">
        <v>64</v>
      </c>
      <c r="G318" s="1" t="s">
        <v>64</v>
      </c>
      <c r="H318" s="1" t="s">
        <v>2011</v>
      </c>
      <c r="I318" s="1" t="s">
        <v>19</v>
      </c>
      <c r="J318" s="1" t="s">
        <v>6</v>
      </c>
      <c r="K318" s="1" t="s">
        <v>14</v>
      </c>
      <c r="L318" s="1">
        <v>7028242</v>
      </c>
      <c r="M318" s="2">
        <v>43481</v>
      </c>
      <c r="N318" s="1" t="s">
        <v>8</v>
      </c>
      <c r="O318" s="2">
        <v>44576</v>
      </c>
    </row>
    <row r="319" spans="1:15" ht="28.8" x14ac:dyDescent="0.3">
      <c r="A319" s="1" t="s">
        <v>32259</v>
      </c>
      <c r="B319" s="1" t="str">
        <f>"STEPHEN WILLIAMS TRANSPORT LTD"</f>
        <v>STEPHEN WILLIAMS TRANSPORT LTD</v>
      </c>
      <c r="C319" s="1" t="s">
        <v>32260</v>
      </c>
      <c r="D319" s="1" t="s">
        <v>32261</v>
      </c>
      <c r="E319" s="1" t="s">
        <v>197</v>
      </c>
      <c r="F319" s="1" t="s">
        <v>198</v>
      </c>
      <c r="H319" s="1" t="s">
        <v>32262</v>
      </c>
      <c r="I319" s="1" t="s">
        <v>19</v>
      </c>
      <c r="J319" s="1" t="s">
        <v>6</v>
      </c>
      <c r="K319" s="1" t="s">
        <v>24</v>
      </c>
      <c r="L319" s="1">
        <v>4955526</v>
      </c>
      <c r="M319" s="2">
        <v>43481</v>
      </c>
      <c r="N319" s="1" t="s">
        <v>8</v>
      </c>
      <c r="O319" s="2">
        <v>44576</v>
      </c>
    </row>
    <row r="320" spans="1:15" ht="28.8" x14ac:dyDescent="0.3">
      <c r="A320" s="1" t="s">
        <v>32266</v>
      </c>
      <c r="B320" s="1" t="str">
        <f>"Security System Reclaim LTD"</f>
        <v>Security System Reclaim LTD</v>
      </c>
      <c r="C320" s="1" t="s">
        <v>32267</v>
      </c>
      <c r="D320" s="1" t="s">
        <v>32268</v>
      </c>
      <c r="E320" s="1" t="s">
        <v>32269</v>
      </c>
      <c r="F320" s="1" t="s">
        <v>156</v>
      </c>
      <c r="G320" s="1" t="s">
        <v>156</v>
      </c>
      <c r="H320" s="1" t="s">
        <v>32270</v>
      </c>
      <c r="I320" s="1" t="s">
        <v>19</v>
      </c>
      <c r="J320" s="1" t="s">
        <v>6</v>
      </c>
      <c r="K320" s="1" t="s">
        <v>24</v>
      </c>
      <c r="L320" s="1">
        <v>11709600</v>
      </c>
      <c r="M320" s="2">
        <v>43481</v>
      </c>
      <c r="N320" s="1" t="s">
        <v>8</v>
      </c>
      <c r="O320" s="2">
        <v>44576</v>
      </c>
    </row>
    <row r="321" spans="1:15" x14ac:dyDescent="0.3">
      <c r="A321" s="1" t="s">
        <v>32271</v>
      </c>
      <c r="B321" s="1" t="str">
        <f>"R P G Anglesey LTD"</f>
        <v>R P G Anglesey LTD</v>
      </c>
      <c r="C321" s="1" t="s">
        <v>32272</v>
      </c>
      <c r="D321" s="1" t="s">
        <v>32273</v>
      </c>
      <c r="F321" s="1" t="s">
        <v>9949</v>
      </c>
      <c r="G321" s="1" t="s">
        <v>679</v>
      </c>
      <c r="H321" s="1" t="s">
        <v>9950</v>
      </c>
      <c r="I321" s="1" t="s">
        <v>19</v>
      </c>
      <c r="J321" s="1" t="s">
        <v>6</v>
      </c>
      <c r="K321" s="1" t="s">
        <v>14</v>
      </c>
      <c r="L321" s="1">
        <v>5929635</v>
      </c>
      <c r="M321" s="2">
        <v>43481</v>
      </c>
      <c r="N321" s="1" t="s">
        <v>8</v>
      </c>
      <c r="O321" s="2">
        <v>44576</v>
      </c>
    </row>
    <row r="322" spans="1:15" ht="43.2" x14ac:dyDescent="0.3">
      <c r="A322" s="1" t="s">
        <v>33277</v>
      </c>
      <c r="B322" s="1" t="str">
        <f>"Mark Hillberg Dops Paint Merchants"</f>
        <v>Mark Hillberg Dops Paint Merchants</v>
      </c>
      <c r="C322" s="1" t="s">
        <v>33278</v>
      </c>
      <c r="F322" s="1" t="s">
        <v>706</v>
      </c>
      <c r="G322" s="1" t="s">
        <v>211</v>
      </c>
      <c r="H322" s="1" t="s">
        <v>33279</v>
      </c>
      <c r="I322" s="1" t="s">
        <v>5</v>
      </c>
      <c r="J322" s="1" t="s">
        <v>67</v>
      </c>
      <c r="K322" s="1" t="s">
        <v>14</v>
      </c>
      <c r="M322" s="2">
        <v>43480</v>
      </c>
      <c r="N322" s="1" t="s">
        <v>8</v>
      </c>
      <c r="O322" s="1" t="s">
        <v>68</v>
      </c>
    </row>
    <row r="323" spans="1:15" ht="43.2" x14ac:dyDescent="0.3">
      <c r="A323" s="1" t="s">
        <v>33290</v>
      </c>
      <c r="B323" s="1" t="str">
        <f>"Bryn Stores"</f>
        <v>Bryn Stores</v>
      </c>
      <c r="C323" s="1" t="s">
        <v>33291</v>
      </c>
      <c r="D323" s="1" t="s">
        <v>33292</v>
      </c>
      <c r="F323" s="1" t="s">
        <v>56</v>
      </c>
      <c r="G323" s="1" t="s">
        <v>51</v>
      </c>
      <c r="H323" s="1" t="s">
        <v>33293</v>
      </c>
      <c r="I323" s="1" t="s">
        <v>19</v>
      </c>
      <c r="J323" s="1" t="s">
        <v>67</v>
      </c>
      <c r="K323" s="1" t="s">
        <v>14</v>
      </c>
      <c r="M323" s="2">
        <v>43480</v>
      </c>
      <c r="N323" s="1" t="s">
        <v>8</v>
      </c>
      <c r="O323" s="1" t="s">
        <v>68</v>
      </c>
    </row>
    <row r="324" spans="1:15" ht="43.2" x14ac:dyDescent="0.3">
      <c r="A324" s="1" t="s">
        <v>33294</v>
      </c>
      <c r="B324" s="1" t="str">
        <f>"Matthew Brookman B's Trees and Gardening Servies"</f>
        <v>Matthew Brookman B's Trees and Gardening Servies</v>
      </c>
      <c r="C324" s="1" t="s">
        <v>33295</v>
      </c>
      <c r="D324" s="1" t="s">
        <v>929</v>
      </c>
      <c r="F324" s="1" t="s">
        <v>930</v>
      </c>
      <c r="G324" s="1" t="s">
        <v>211</v>
      </c>
      <c r="H324" s="1" t="s">
        <v>33296</v>
      </c>
      <c r="I324" s="1" t="s">
        <v>5</v>
      </c>
      <c r="J324" s="1" t="s">
        <v>67</v>
      </c>
      <c r="K324" s="1" t="s">
        <v>7</v>
      </c>
      <c r="M324" s="2">
        <v>43480</v>
      </c>
      <c r="N324" s="1" t="s">
        <v>8</v>
      </c>
      <c r="O324" s="1" t="s">
        <v>68</v>
      </c>
    </row>
    <row r="325" spans="1:15" ht="43.2" x14ac:dyDescent="0.3">
      <c r="A325" s="1" t="s">
        <v>33297</v>
      </c>
      <c r="B325" s="1" t="str">
        <f>"Cambrian Car Care Ltd"</f>
        <v>Cambrian Car Care Ltd</v>
      </c>
      <c r="C325" s="1" t="s">
        <v>33298</v>
      </c>
      <c r="D325" s="1" t="s">
        <v>33299</v>
      </c>
      <c r="E325" s="1" t="s">
        <v>33300</v>
      </c>
      <c r="F325" s="1" t="s">
        <v>179</v>
      </c>
      <c r="G325" s="1" t="s">
        <v>180</v>
      </c>
      <c r="H325" s="1" t="s">
        <v>33301</v>
      </c>
      <c r="I325" s="1" t="s">
        <v>19</v>
      </c>
      <c r="J325" s="1" t="s">
        <v>67</v>
      </c>
      <c r="K325" s="1" t="s">
        <v>14</v>
      </c>
      <c r="M325" s="2">
        <v>43480</v>
      </c>
      <c r="N325" s="1" t="s">
        <v>8</v>
      </c>
      <c r="O325" s="1" t="s">
        <v>68</v>
      </c>
    </row>
    <row r="326" spans="1:15" ht="43.2" x14ac:dyDescent="0.3">
      <c r="A326" s="1" t="s">
        <v>33307</v>
      </c>
      <c r="B326" s="1" t="str">
        <f>"Paul Atwood"</f>
        <v>Paul Atwood</v>
      </c>
      <c r="C326" s="1" t="s">
        <v>22586</v>
      </c>
      <c r="D326" s="1" t="s">
        <v>18594</v>
      </c>
      <c r="F326" s="1" t="s">
        <v>1093</v>
      </c>
      <c r="G326" s="1" t="s">
        <v>103</v>
      </c>
      <c r="H326" s="1" t="s">
        <v>33308</v>
      </c>
      <c r="I326" s="1" t="s">
        <v>5</v>
      </c>
      <c r="J326" s="1" t="s">
        <v>67</v>
      </c>
      <c r="K326" s="1" t="s">
        <v>14</v>
      </c>
      <c r="M326" s="2">
        <v>43480</v>
      </c>
      <c r="N326" s="1" t="s">
        <v>8</v>
      </c>
      <c r="O326" s="1" t="s">
        <v>68</v>
      </c>
    </row>
    <row r="327" spans="1:15" x14ac:dyDescent="0.3">
      <c r="A327" s="1" t="s">
        <v>33309</v>
      </c>
      <c r="B327" s="1" t="str">
        <f>"Thomas Rees"</f>
        <v>Thomas Rees</v>
      </c>
      <c r="C327" s="1" t="s">
        <v>33310</v>
      </c>
      <c r="D327" s="1" t="s">
        <v>2983</v>
      </c>
      <c r="F327" s="1" t="s">
        <v>64</v>
      </c>
      <c r="G327" s="1" t="s">
        <v>65</v>
      </c>
      <c r="H327" s="1" t="s">
        <v>33311</v>
      </c>
      <c r="I327" s="1" t="s">
        <v>5</v>
      </c>
      <c r="J327" s="1" t="s">
        <v>6</v>
      </c>
      <c r="K327" s="1" t="s">
        <v>366</v>
      </c>
      <c r="M327" s="2">
        <v>43480</v>
      </c>
      <c r="N327" s="1" t="s">
        <v>8</v>
      </c>
      <c r="O327" s="2">
        <v>44575</v>
      </c>
    </row>
    <row r="328" spans="1:15" x14ac:dyDescent="0.3">
      <c r="A328" s="1" t="s">
        <v>33312</v>
      </c>
      <c r="B328" s="1" t="str">
        <f>"paul jarrold tyres ltd"</f>
        <v>paul jarrold tyres ltd</v>
      </c>
      <c r="C328" s="1" t="s">
        <v>33313</v>
      </c>
      <c r="D328" s="1" t="s">
        <v>33314</v>
      </c>
      <c r="E328" s="1" t="s">
        <v>33315</v>
      </c>
      <c r="F328" s="1" t="s">
        <v>156</v>
      </c>
      <c r="H328" s="1" t="s">
        <v>8515</v>
      </c>
      <c r="I328" s="1" t="s">
        <v>19</v>
      </c>
      <c r="J328" s="1" t="s">
        <v>6</v>
      </c>
      <c r="K328" s="1" t="s">
        <v>14</v>
      </c>
      <c r="L328" s="1">
        <v>5294979</v>
      </c>
      <c r="M328" s="2">
        <v>43480</v>
      </c>
      <c r="N328" s="1" t="s">
        <v>8</v>
      </c>
      <c r="O328" s="2">
        <v>44575</v>
      </c>
    </row>
    <row r="329" spans="1:15" ht="28.8" x14ac:dyDescent="0.3">
      <c r="A329" s="1" t="s">
        <v>33318</v>
      </c>
      <c r="B329" s="1" t="str">
        <f>"Lee Faircloth Lee Faircloth"</f>
        <v>Lee Faircloth Lee Faircloth</v>
      </c>
      <c r="C329" s="1" t="s">
        <v>33319</v>
      </c>
      <c r="F329" s="1" t="s">
        <v>621</v>
      </c>
      <c r="H329" s="1" t="s">
        <v>33320</v>
      </c>
      <c r="I329" s="1" t="s">
        <v>5</v>
      </c>
      <c r="J329" s="1" t="s">
        <v>6</v>
      </c>
      <c r="K329" s="1" t="s">
        <v>14</v>
      </c>
      <c r="M329" s="2">
        <v>43480</v>
      </c>
      <c r="N329" s="1" t="s">
        <v>8</v>
      </c>
      <c r="O329" s="2">
        <v>44575</v>
      </c>
    </row>
    <row r="330" spans="1:15" x14ac:dyDescent="0.3">
      <c r="A330" s="1" t="s">
        <v>33321</v>
      </c>
      <c r="B330" s="1" t="str">
        <f>"Matthew Hopes"</f>
        <v>Matthew Hopes</v>
      </c>
      <c r="C330" s="1" t="s">
        <v>33322</v>
      </c>
      <c r="D330" s="1" t="s">
        <v>33323</v>
      </c>
      <c r="F330" s="1" t="s">
        <v>5534</v>
      </c>
      <c r="H330" s="1" t="s">
        <v>19164</v>
      </c>
      <c r="I330" s="1" t="s">
        <v>5</v>
      </c>
      <c r="J330" s="1" t="s">
        <v>6</v>
      </c>
      <c r="K330" s="1" t="s">
        <v>14</v>
      </c>
      <c r="M330" s="2">
        <v>43480</v>
      </c>
      <c r="N330" s="1" t="s">
        <v>8</v>
      </c>
      <c r="O330" s="2">
        <v>44575</v>
      </c>
    </row>
    <row r="331" spans="1:15" ht="43.2" x14ac:dyDescent="0.3">
      <c r="A331" s="1" t="s">
        <v>3022</v>
      </c>
      <c r="B331" s="1" t="str">
        <f>"CCTV (Wales) Ltd"</f>
        <v>CCTV (Wales) Ltd</v>
      </c>
      <c r="C331" s="1" t="s">
        <v>3023</v>
      </c>
      <c r="D331" s="1" t="s">
        <v>3024</v>
      </c>
      <c r="E331" s="1" t="s">
        <v>2041</v>
      </c>
      <c r="F331" s="1" t="s">
        <v>64</v>
      </c>
      <c r="G331" s="1" t="s">
        <v>65</v>
      </c>
      <c r="H331" s="1" t="s">
        <v>3025</v>
      </c>
      <c r="I331" s="1" t="s">
        <v>19</v>
      </c>
      <c r="J331" s="1" t="s">
        <v>67</v>
      </c>
      <c r="K331" s="1" t="s">
        <v>14</v>
      </c>
      <c r="L331" s="1">
        <v>6829762</v>
      </c>
      <c r="M331" s="2">
        <v>43479</v>
      </c>
      <c r="N331" s="1" t="s">
        <v>8</v>
      </c>
      <c r="O331" s="1" t="s">
        <v>68</v>
      </c>
    </row>
    <row r="332" spans="1:15" ht="43.2" x14ac:dyDescent="0.3">
      <c r="A332" s="1" t="s">
        <v>3034</v>
      </c>
      <c r="B332" s="1" t="str">
        <f>"LHP Accountants"</f>
        <v>LHP Accountants</v>
      </c>
      <c r="C332" s="1" t="s">
        <v>3035</v>
      </c>
      <c r="D332" s="1" t="s">
        <v>3036</v>
      </c>
      <c r="E332" s="1" t="s">
        <v>1776</v>
      </c>
      <c r="G332" s="1" t="s">
        <v>115</v>
      </c>
      <c r="H332" s="1" t="s">
        <v>3037</v>
      </c>
      <c r="I332" s="1" t="s">
        <v>19</v>
      </c>
      <c r="J332" s="1" t="s">
        <v>67</v>
      </c>
      <c r="K332" s="1" t="s">
        <v>14</v>
      </c>
      <c r="M332" s="2">
        <v>43479</v>
      </c>
      <c r="N332" s="1" t="s">
        <v>8</v>
      </c>
      <c r="O332" s="1" t="s">
        <v>68</v>
      </c>
    </row>
    <row r="333" spans="1:15" ht="43.2" x14ac:dyDescent="0.3">
      <c r="A333" s="1" t="s">
        <v>3043</v>
      </c>
      <c r="B333" s="1" t="str">
        <f>"MontRose Maintenance Service"</f>
        <v>MontRose Maintenance Service</v>
      </c>
      <c r="C333" s="1" t="s">
        <v>3044</v>
      </c>
      <c r="D333" s="1" t="s">
        <v>3045</v>
      </c>
      <c r="E333" s="1" t="s">
        <v>596</v>
      </c>
      <c r="F333" s="1" t="s">
        <v>64</v>
      </c>
      <c r="G333" s="1" t="s">
        <v>51</v>
      </c>
      <c r="H333" s="1" t="s">
        <v>3046</v>
      </c>
      <c r="I333" s="1" t="s">
        <v>19</v>
      </c>
      <c r="J333" s="1" t="s">
        <v>67</v>
      </c>
      <c r="K333" s="1" t="s">
        <v>14</v>
      </c>
      <c r="M333" s="2">
        <v>43479</v>
      </c>
      <c r="N333" s="1" t="s">
        <v>8</v>
      </c>
      <c r="O333" s="1" t="s">
        <v>68</v>
      </c>
    </row>
    <row r="334" spans="1:15" x14ac:dyDescent="0.3">
      <c r="A334" s="1" t="s">
        <v>3050</v>
      </c>
      <c r="B334" s="1" t="str">
        <f>"David Williams"</f>
        <v>David Williams</v>
      </c>
      <c r="C334" s="1" t="s">
        <v>3051</v>
      </c>
      <c r="F334" s="1" t="s">
        <v>3052</v>
      </c>
      <c r="G334" s="1" t="s">
        <v>359</v>
      </c>
      <c r="H334" s="1" t="s">
        <v>3053</v>
      </c>
      <c r="I334" s="1" t="s">
        <v>5</v>
      </c>
      <c r="J334" s="1" t="s">
        <v>6</v>
      </c>
      <c r="K334" s="1" t="s">
        <v>14</v>
      </c>
      <c r="M334" s="2">
        <v>43479</v>
      </c>
      <c r="N334" s="1" t="s">
        <v>8</v>
      </c>
      <c r="O334" s="2">
        <v>44574</v>
      </c>
    </row>
    <row r="335" spans="1:15" ht="43.2" x14ac:dyDescent="0.3">
      <c r="A335" s="1" t="s">
        <v>3060</v>
      </c>
      <c r="B335" s="1" t="str">
        <f>"Callbire Connections IT Ltd"</f>
        <v>Callbire Connections IT Ltd</v>
      </c>
      <c r="C335" s="1" t="s">
        <v>3061</v>
      </c>
      <c r="D335" s="1" t="s">
        <v>3062</v>
      </c>
      <c r="E335" s="1" t="s">
        <v>1206</v>
      </c>
      <c r="G335" s="1" t="s">
        <v>162</v>
      </c>
      <c r="H335" s="1" t="s">
        <v>3063</v>
      </c>
      <c r="I335" s="1" t="s">
        <v>19</v>
      </c>
      <c r="J335" s="1" t="s">
        <v>67</v>
      </c>
      <c r="K335" s="1" t="s">
        <v>14</v>
      </c>
      <c r="M335" s="2">
        <v>43479</v>
      </c>
      <c r="N335" s="1" t="s">
        <v>8</v>
      </c>
      <c r="O335" s="1" t="s">
        <v>68</v>
      </c>
    </row>
    <row r="336" spans="1:15" ht="43.2" x14ac:dyDescent="0.3">
      <c r="A336" s="1" t="s">
        <v>31187</v>
      </c>
      <c r="B336" s="1" t="str">
        <f>"Thomas Davey"</f>
        <v>Thomas Davey</v>
      </c>
      <c r="C336" s="1" t="s">
        <v>31188</v>
      </c>
      <c r="F336" s="1" t="s">
        <v>230</v>
      </c>
      <c r="G336" s="1" t="s">
        <v>231</v>
      </c>
      <c r="H336" s="1" t="s">
        <v>27769</v>
      </c>
      <c r="I336" s="1" t="s">
        <v>5</v>
      </c>
      <c r="J336" s="1" t="s">
        <v>67</v>
      </c>
      <c r="K336" s="1" t="s">
        <v>14</v>
      </c>
      <c r="M336" s="2">
        <v>43479</v>
      </c>
      <c r="N336" s="1" t="s">
        <v>8</v>
      </c>
      <c r="O336" s="1" t="s">
        <v>68</v>
      </c>
    </row>
    <row r="337" spans="1:15" x14ac:dyDescent="0.3">
      <c r="A337" s="1" t="s">
        <v>31189</v>
      </c>
      <c r="B337" s="1" t="str">
        <f>"JS Removals"</f>
        <v>JS Removals</v>
      </c>
      <c r="C337" s="1" t="s">
        <v>31190</v>
      </c>
      <c r="F337" s="1" t="s">
        <v>64</v>
      </c>
      <c r="G337" s="1" t="s">
        <v>65</v>
      </c>
      <c r="H337" s="1" t="s">
        <v>31191</v>
      </c>
      <c r="I337" s="1" t="s">
        <v>19</v>
      </c>
      <c r="J337" s="1" t="s">
        <v>6</v>
      </c>
      <c r="K337" s="1" t="s">
        <v>366</v>
      </c>
      <c r="M337" s="2">
        <v>43479</v>
      </c>
      <c r="N337" s="1" t="s">
        <v>8</v>
      </c>
      <c r="O337" s="2">
        <v>44574</v>
      </c>
    </row>
    <row r="338" spans="1:15" ht="28.8" x14ac:dyDescent="0.3">
      <c r="A338" s="1" t="s">
        <v>33274</v>
      </c>
      <c r="B338" s="1" t="str">
        <f>"Sean Daly John J Daly &amp; Sons"</f>
        <v>Sean Daly John J Daly &amp; Sons</v>
      </c>
      <c r="C338" s="1" t="s">
        <v>33275</v>
      </c>
      <c r="D338" s="1" t="s">
        <v>312</v>
      </c>
      <c r="F338" s="1" t="s">
        <v>179</v>
      </c>
      <c r="G338" s="1" t="s">
        <v>180</v>
      </c>
      <c r="H338" s="1" t="s">
        <v>33276</v>
      </c>
      <c r="I338" s="1" t="s">
        <v>5</v>
      </c>
      <c r="J338" s="1" t="s">
        <v>6</v>
      </c>
      <c r="K338" s="1" t="s">
        <v>14</v>
      </c>
      <c r="M338" s="2">
        <v>43479</v>
      </c>
      <c r="N338" s="1" t="s">
        <v>8</v>
      </c>
      <c r="O338" s="2">
        <v>44574</v>
      </c>
    </row>
    <row r="339" spans="1:15" ht="43.2" x14ac:dyDescent="0.3">
      <c r="A339" s="1" t="s">
        <v>32241</v>
      </c>
      <c r="B339" s="1" t="str">
        <f>"paul foreman GET DIRECT PAVING AND LANDSCAPING"</f>
        <v>paul foreman GET DIRECT PAVING AND LANDSCAPING</v>
      </c>
      <c r="I339" s="1" t="s">
        <v>5</v>
      </c>
      <c r="J339" s="1" t="s">
        <v>6</v>
      </c>
      <c r="K339" s="1" t="s">
        <v>34</v>
      </c>
      <c r="M339" s="2">
        <v>43476</v>
      </c>
      <c r="N339" s="1" t="s">
        <v>8</v>
      </c>
      <c r="O339" s="2">
        <v>44571</v>
      </c>
    </row>
    <row r="340" spans="1:15" ht="28.8" x14ac:dyDescent="0.3">
      <c r="A340" s="1" t="s">
        <v>32242</v>
      </c>
      <c r="B340" s="1" t="str">
        <f>"Brian matthew Pritchard"</f>
        <v>Brian matthew Pritchard</v>
      </c>
      <c r="C340" s="1" t="s">
        <v>32243</v>
      </c>
      <c r="D340" s="1" t="s">
        <v>32244</v>
      </c>
      <c r="E340" s="1" t="s">
        <v>24148</v>
      </c>
      <c r="G340" s="1" t="s">
        <v>3</v>
      </c>
      <c r="H340" s="1" t="s">
        <v>32245</v>
      </c>
      <c r="I340" s="1" t="s">
        <v>5</v>
      </c>
      <c r="J340" s="1" t="s">
        <v>6</v>
      </c>
      <c r="K340" s="1" t="s">
        <v>34</v>
      </c>
      <c r="M340" s="2">
        <v>43476</v>
      </c>
      <c r="N340" s="1" t="s">
        <v>8</v>
      </c>
      <c r="O340" s="2">
        <v>44571</v>
      </c>
    </row>
    <row r="341" spans="1:15" ht="28.8" x14ac:dyDescent="0.3">
      <c r="A341" s="1" t="s">
        <v>32246</v>
      </c>
      <c r="B341" s="1" t="str">
        <f>"Jeffrey ian Tombs"</f>
        <v>Jeffrey ian Tombs</v>
      </c>
      <c r="C341" s="1" t="s">
        <v>32247</v>
      </c>
      <c r="D341" s="1" t="s">
        <v>32248</v>
      </c>
      <c r="E341" s="1" t="s">
        <v>32249</v>
      </c>
      <c r="F341" s="1" t="s">
        <v>179</v>
      </c>
      <c r="G341" s="1" t="s">
        <v>179</v>
      </c>
      <c r="H341" s="1" t="s">
        <v>32250</v>
      </c>
      <c r="I341" s="1" t="s">
        <v>5</v>
      </c>
      <c r="J341" s="1" t="s">
        <v>6</v>
      </c>
      <c r="K341" s="1" t="s">
        <v>34</v>
      </c>
      <c r="M341" s="2">
        <v>43476</v>
      </c>
      <c r="N341" s="1" t="s">
        <v>8</v>
      </c>
      <c r="O341" s="2">
        <v>44571</v>
      </c>
    </row>
    <row r="342" spans="1:15" ht="28.8" x14ac:dyDescent="0.3">
      <c r="A342" s="1" t="s">
        <v>32251</v>
      </c>
      <c r="B342" s="1" t="str">
        <f>"David Philp"</f>
        <v>David Philp</v>
      </c>
      <c r="C342" s="1" t="s">
        <v>32252</v>
      </c>
      <c r="D342" s="1" t="s">
        <v>20688</v>
      </c>
      <c r="F342" s="1" t="s">
        <v>123</v>
      </c>
      <c r="G342" s="1" t="s">
        <v>27</v>
      </c>
      <c r="H342" s="1" t="s">
        <v>32253</v>
      </c>
      <c r="I342" s="1" t="s">
        <v>5</v>
      </c>
      <c r="J342" s="1" t="s">
        <v>6</v>
      </c>
      <c r="K342" s="1" t="s">
        <v>34</v>
      </c>
      <c r="M342" s="2">
        <v>43476</v>
      </c>
      <c r="N342" s="1" t="s">
        <v>8</v>
      </c>
      <c r="O342" s="2">
        <v>44571</v>
      </c>
    </row>
    <row r="343" spans="1:15" ht="43.2" x14ac:dyDescent="0.3">
      <c r="A343" s="1" t="s">
        <v>33239</v>
      </c>
      <c r="B343" s="1" t="str">
        <f>"Aaron Mills"</f>
        <v>Aaron Mills</v>
      </c>
      <c r="C343" s="1" t="s">
        <v>33240</v>
      </c>
      <c r="D343" s="1" t="s">
        <v>33241</v>
      </c>
      <c r="F343" s="1" t="s">
        <v>9838</v>
      </c>
      <c r="G343" s="1" t="s">
        <v>115</v>
      </c>
      <c r="H343" s="1" t="s">
        <v>33242</v>
      </c>
      <c r="I343" s="1" t="s">
        <v>5</v>
      </c>
      <c r="J343" s="1" t="s">
        <v>67</v>
      </c>
      <c r="K343" s="1" t="s">
        <v>366</v>
      </c>
      <c r="M343" s="2">
        <v>43476</v>
      </c>
      <c r="N343" s="1" t="s">
        <v>8</v>
      </c>
      <c r="O343" s="1" t="s">
        <v>68</v>
      </c>
    </row>
    <row r="344" spans="1:15" ht="43.2" x14ac:dyDescent="0.3">
      <c r="A344" s="1" t="s">
        <v>33243</v>
      </c>
      <c r="B344" s="1" t="str">
        <f>"Michael Rutter"</f>
        <v>Michael Rutter</v>
      </c>
      <c r="C344" s="1" t="s">
        <v>33244</v>
      </c>
      <c r="D344" s="1" t="s">
        <v>19932</v>
      </c>
      <c r="E344" s="1" t="s">
        <v>108</v>
      </c>
      <c r="F344" s="1" t="s">
        <v>64</v>
      </c>
      <c r="G344" s="1" t="s">
        <v>109</v>
      </c>
      <c r="H344" s="1" t="s">
        <v>33245</v>
      </c>
      <c r="I344" s="1" t="s">
        <v>5</v>
      </c>
      <c r="J344" s="1" t="s">
        <v>67</v>
      </c>
      <c r="K344" s="1" t="s">
        <v>14</v>
      </c>
      <c r="M344" s="2">
        <v>43476</v>
      </c>
      <c r="N344" s="1" t="s">
        <v>8</v>
      </c>
      <c r="O344" s="1" t="s">
        <v>68</v>
      </c>
    </row>
    <row r="345" spans="1:15" x14ac:dyDescent="0.3">
      <c r="A345" s="1" t="s">
        <v>33252</v>
      </c>
      <c r="B345" s="1" t="str">
        <f>"M &amp; F Davies Transport"</f>
        <v>M &amp; F Davies Transport</v>
      </c>
      <c r="C345" s="1" t="s">
        <v>33253</v>
      </c>
      <c r="D345" s="1" t="s">
        <v>9866</v>
      </c>
      <c r="F345" s="1" t="s">
        <v>532</v>
      </c>
      <c r="G345" s="1" t="s">
        <v>198</v>
      </c>
      <c r="H345" s="1" t="s">
        <v>33254</v>
      </c>
      <c r="I345" s="1" t="s">
        <v>19</v>
      </c>
      <c r="J345" s="1" t="s">
        <v>6</v>
      </c>
      <c r="K345" s="1" t="s">
        <v>14</v>
      </c>
      <c r="M345" s="2">
        <v>43476</v>
      </c>
      <c r="N345" s="1" t="s">
        <v>8</v>
      </c>
      <c r="O345" s="2">
        <v>44571</v>
      </c>
    </row>
    <row r="346" spans="1:15" x14ac:dyDescent="0.3">
      <c r="A346" s="1" t="s">
        <v>33271</v>
      </c>
      <c r="B346" s="1" t="str">
        <f>"Christian Jones"</f>
        <v>Christian Jones</v>
      </c>
      <c r="C346" s="1" t="s">
        <v>33272</v>
      </c>
      <c r="F346" s="1" t="s">
        <v>556</v>
      </c>
      <c r="G346" s="1" t="s">
        <v>556</v>
      </c>
      <c r="H346" s="1" t="s">
        <v>33273</v>
      </c>
      <c r="I346" s="1" t="s">
        <v>5</v>
      </c>
      <c r="J346" s="1" t="s">
        <v>6</v>
      </c>
      <c r="K346" s="1" t="s">
        <v>366</v>
      </c>
      <c r="M346" s="2">
        <v>43476</v>
      </c>
      <c r="N346" s="1" t="s">
        <v>8</v>
      </c>
      <c r="O346" s="2">
        <v>44571</v>
      </c>
    </row>
    <row r="347" spans="1:15" x14ac:dyDescent="0.3">
      <c r="A347" s="1" t="s">
        <v>31159</v>
      </c>
      <c r="B347" s="1" t="str">
        <f>"Heulyn Jones"</f>
        <v>Heulyn Jones</v>
      </c>
      <c r="C347" s="1" t="s">
        <v>31160</v>
      </c>
      <c r="D347" s="1" t="s">
        <v>31161</v>
      </c>
      <c r="F347" s="1" t="s">
        <v>1385</v>
      </c>
      <c r="G347" s="1" t="s">
        <v>654</v>
      </c>
      <c r="H347" s="1" t="s">
        <v>31162</v>
      </c>
      <c r="I347" s="1" t="s">
        <v>5</v>
      </c>
      <c r="J347" s="1" t="s">
        <v>6</v>
      </c>
      <c r="K347" s="1" t="s">
        <v>14</v>
      </c>
      <c r="M347" s="2">
        <v>43475</v>
      </c>
      <c r="N347" s="1" t="s">
        <v>8</v>
      </c>
      <c r="O347" s="2">
        <v>44570</v>
      </c>
    </row>
    <row r="348" spans="1:15" ht="28.8" x14ac:dyDescent="0.3">
      <c r="A348" s="1" t="s">
        <v>31173</v>
      </c>
      <c r="B348" s="1" t="str">
        <f>"Timothy Durston"</f>
        <v>Timothy Durston</v>
      </c>
      <c r="C348" s="1" t="s">
        <v>31174</v>
      </c>
      <c r="D348" s="1" t="s">
        <v>31175</v>
      </c>
      <c r="E348" s="1" t="s">
        <v>2606</v>
      </c>
      <c r="F348" s="1" t="s">
        <v>7025</v>
      </c>
      <c r="G348" s="1" t="s">
        <v>1093</v>
      </c>
      <c r="H348" s="1" t="s">
        <v>7955</v>
      </c>
      <c r="I348" s="1" t="s">
        <v>5</v>
      </c>
      <c r="J348" s="1" t="s">
        <v>6</v>
      </c>
      <c r="K348" s="1" t="s">
        <v>14</v>
      </c>
      <c r="M348" s="2">
        <v>43475</v>
      </c>
      <c r="N348" s="1" t="s">
        <v>8</v>
      </c>
      <c r="O348" s="2">
        <v>44570</v>
      </c>
    </row>
    <row r="349" spans="1:15" ht="28.8" x14ac:dyDescent="0.3">
      <c r="A349" s="1" t="s">
        <v>31176</v>
      </c>
      <c r="B349" s="1" t="str">
        <f>"James Gilheaney"</f>
        <v>James Gilheaney</v>
      </c>
      <c r="C349" s="1" t="s">
        <v>31177</v>
      </c>
      <c r="D349" s="1" t="s">
        <v>12233</v>
      </c>
      <c r="F349" s="1" t="s">
        <v>64</v>
      </c>
      <c r="G349" s="1" t="s">
        <v>65</v>
      </c>
      <c r="H349" s="1" t="s">
        <v>31178</v>
      </c>
      <c r="I349" s="1" t="s">
        <v>5</v>
      </c>
      <c r="J349" s="1" t="s">
        <v>6</v>
      </c>
      <c r="K349" s="1" t="s">
        <v>7</v>
      </c>
      <c r="M349" s="2">
        <v>43475</v>
      </c>
      <c r="N349" s="1" t="s">
        <v>8</v>
      </c>
      <c r="O349" s="2">
        <v>44570</v>
      </c>
    </row>
    <row r="350" spans="1:15" ht="43.2" x14ac:dyDescent="0.3">
      <c r="A350" s="1" t="s">
        <v>31179</v>
      </c>
      <c r="B350" s="1" t="str">
        <f>"WA Humphreys International Transport Ltd"</f>
        <v>WA Humphreys International Transport Ltd</v>
      </c>
      <c r="C350" s="1" t="s">
        <v>31180</v>
      </c>
      <c r="D350" s="1" t="s">
        <v>1815</v>
      </c>
      <c r="E350" s="1" t="s">
        <v>15424</v>
      </c>
      <c r="F350" s="1" t="s">
        <v>767</v>
      </c>
      <c r="G350" s="1" t="s">
        <v>141</v>
      </c>
      <c r="H350" s="1" t="s">
        <v>13889</v>
      </c>
      <c r="I350" s="1" t="s">
        <v>19</v>
      </c>
      <c r="J350" s="1" t="s">
        <v>6</v>
      </c>
      <c r="K350" s="1" t="s">
        <v>366</v>
      </c>
      <c r="M350" s="2">
        <v>43475</v>
      </c>
      <c r="N350" s="1" t="s">
        <v>8</v>
      </c>
      <c r="O350" s="2">
        <v>44570</v>
      </c>
    </row>
    <row r="351" spans="1:15" x14ac:dyDescent="0.3">
      <c r="A351" s="1" t="s">
        <v>31184</v>
      </c>
      <c r="B351" s="1" t="str">
        <f>"James Reynolds"</f>
        <v>James Reynolds</v>
      </c>
      <c r="C351" s="1" t="s">
        <v>31185</v>
      </c>
      <c r="D351" s="1" t="s">
        <v>10065</v>
      </c>
      <c r="F351" s="1" t="s">
        <v>767</v>
      </c>
      <c r="G351" s="1" t="s">
        <v>141</v>
      </c>
      <c r="H351" s="1" t="s">
        <v>31186</v>
      </c>
      <c r="I351" s="1" t="s">
        <v>5</v>
      </c>
      <c r="J351" s="1" t="s">
        <v>6</v>
      </c>
      <c r="K351" s="1" t="s">
        <v>366</v>
      </c>
      <c r="M351" s="2">
        <v>43475</v>
      </c>
      <c r="N351" s="1" t="s">
        <v>8</v>
      </c>
      <c r="O351" s="2">
        <v>44570</v>
      </c>
    </row>
    <row r="352" spans="1:15" ht="28.8" x14ac:dyDescent="0.3">
      <c r="A352" s="1" t="s">
        <v>33221</v>
      </c>
      <c r="B352" s="1" t="str">
        <f>"Brian Harries Brian Harries"</f>
        <v>Brian Harries Brian Harries</v>
      </c>
      <c r="C352" s="1" t="s">
        <v>33222</v>
      </c>
      <c r="F352" s="1" t="s">
        <v>123</v>
      </c>
      <c r="H352" s="1" t="s">
        <v>33223</v>
      </c>
      <c r="I352" s="1" t="s">
        <v>5</v>
      </c>
      <c r="J352" s="1" t="s">
        <v>6</v>
      </c>
      <c r="K352" s="1" t="s">
        <v>34</v>
      </c>
      <c r="M352" s="2">
        <v>43475</v>
      </c>
      <c r="N352" s="1" t="s">
        <v>8</v>
      </c>
      <c r="O352" s="2">
        <v>44570</v>
      </c>
    </row>
    <row r="353" spans="1:15" ht="43.2" x14ac:dyDescent="0.3">
      <c r="A353" s="1" t="s">
        <v>33224</v>
      </c>
      <c r="B353" s="1" t="str">
        <f>"Something New Ltd"</f>
        <v>Something New Ltd</v>
      </c>
      <c r="C353" s="1" t="s">
        <v>33225</v>
      </c>
      <c r="D353" s="1" t="s">
        <v>33226</v>
      </c>
      <c r="E353" s="1" t="s">
        <v>1051</v>
      </c>
      <c r="G353" s="1" t="s">
        <v>3925</v>
      </c>
      <c r="H353" s="1" t="s">
        <v>33227</v>
      </c>
      <c r="I353" s="1" t="s">
        <v>19</v>
      </c>
      <c r="J353" s="1" t="s">
        <v>67</v>
      </c>
      <c r="K353" s="1" t="s">
        <v>24</v>
      </c>
      <c r="M353" s="2">
        <v>43475</v>
      </c>
      <c r="N353" s="1" t="s">
        <v>8</v>
      </c>
      <c r="O353" s="1" t="s">
        <v>68</v>
      </c>
    </row>
    <row r="354" spans="1:15" ht="28.8" x14ac:dyDescent="0.3">
      <c r="A354" s="1" t="s">
        <v>33228</v>
      </c>
      <c r="B354" s="1" t="str">
        <f>"Cameron Elsey"</f>
        <v>Cameron Elsey</v>
      </c>
      <c r="C354" s="1" t="s">
        <v>33229</v>
      </c>
      <c r="F354" s="1" t="s">
        <v>32</v>
      </c>
      <c r="G354" s="1" t="s">
        <v>109</v>
      </c>
      <c r="H354" s="1" t="s">
        <v>33230</v>
      </c>
      <c r="I354" s="1" t="s">
        <v>5</v>
      </c>
      <c r="J354" s="1" t="s">
        <v>6</v>
      </c>
      <c r="K354" s="1" t="s">
        <v>14</v>
      </c>
      <c r="M354" s="2">
        <v>43475</v>
      </c>
      <c r="N354" s="1" t="s">
        <v>8</v>
      </c>
      <c r="O354" s="2">
        <v>44570</v>
      </c>
    </row>
    <row r="355" spans="1:15" ht="43.2" x14ac:dyDescent="0.3">
      <c r="A355" s="1" t="s">
        <v>33231</v>
      </c>
      <c r="B355" s="1" t="str">
        <f>"Alliance inspection"</f>
        <v>Alliance inspection</v>
      </c>
      <c r="C355" s="1" t="s">
        <v>33232</v>
      </c>
      <c r="D355" s="1" t="s">
        <v>33233</v>
      </c>
      <c r="E355" s="1" t="s">
        <v>322</v>
      </c>
      <c r="F355" s="1" t="s">
        <v>323</v>
      </c>
      <c r="G355" s="1" t="s">
        <v>324</v>
      </c>
      <c r="H355" s="1" t="s">
        <v>33234</v>
      </c>
      <c r="I355" s="1" t="s">
        <v>19</v>
      </c>
      <c r="J355" s="1" t="s">
        <v>67</v>
      </c>
      <c r="K355" s="1" t="s">
        <v>34</v>
      </c>
      <c r="M355" s="2">
        <v>43475</v>
      </c>
      <c r="N355" s="1" t="s">
        <v>8</v>
      </c>
      <c r="O355" s="1" t="s">
        <v>68</v>
      </c>
    </row>
    <row r="356" spans="1:15" ht="43.2" x14ac:dyDescent="0.3">
      <c r="A356" s="1" t="s">
        <v>33235</v>
      </c>
      <c r="B356" s="1" t="str">
        <f>"JoJo Maman Bebe Ltd"</f>
        <v>JoJo Maman Bebe Ltd</v>
      </c>
      <c r="C356" s="1" t="s">
        <v>33236</v>
      </c>
      <c r="D356" s="1" t="s">
        <v>33237</v>
      </c>
      <c r="E356" s="1" t="s">
        <v>7215</v>
      </c>
      <c r="F356" s="1" t="s">
        <v>156</v>
      </c>
      <c r="H356" s="1" t="s">
        <v>33238</v>
      </c>
      <c r="I356" s="1" t="s">
        <v>19</v>
      </c>
      <c r="J356" s="1" t="s">
        <v>67</v>
      </c>
      <c r="K356" s="1" t="s">
        <v>14</v>
      </c>
      <c r="M356" s="2">
        <v>43475</v>
      </c>
      <c r="N356" s="1" t="s">
        <v>8</v>
      </c>
      <c r="O356" s="1" t="s">
        <v>68</v>
      </c>
    </row>
    <row r="357" spans="1:15" ht="28.8" x14ac:dyDescent="0.3">
      <c r="A357" s="1" t="s">
        <v>3017</v>
      </c>
      <c r="B357" s="1" t="str">
        <f>"Atlantic Auto Salvage Ltd"</f>
        <v>Atlantic Auto Salvage Ltd</v>
      </c>
      <c r="C357" s="1" t="s">
        <v>3018</v>
      </c>
      <c r="D357" s="1" t="s">
        <v>3019</v>
      </c>
      <c r="E357" s="1" t="s">
        <v>3020</v>
      </c>
      <c r="F357" s="1" t="s">
        <v>123</v>
      </c>
      <c r="G357" s="1" t="s">
        <v>123</v>
      </c>
      <c r="H357" s="1" t="s">
        <v>3021</v>
      </c>
      <c r="I357" s="1" t="s">
        <v>19</v>
      </c>
      <c r="J357" s="1" t="s">
        <v>6</v>
      </c>
      <c r="K357" s="1" t="s">
        <v>34</v>
      </c>
      <c r="M357" s="2">
        <v>43474</v>
      </c>
      <c r="N357" s="1" t="s">
        <v>8</v>
      </c>
      <c r="O357" s="2">
        <v>44569</v>
      </c>
    </row>
    <row r="358" spans="1:15" x14ac:dyDescent="0.3">
      <c r="A358" s="1" t="s">
        <v>32217</v>
      </c>
      <c r="B358" s="1" t="str">
        <f>"S&amp;M Waste Removal"</f>
        <v>S&amp;M Waste Removal</v>
      </c>
      <c r="C358" s="1" t="s">
        <v>32218</v>
      </c>
      <c r="F358" s="1" t="s">
        <v>179</v>
      </c>
      <c r="G358" s="1" t="s">
        <v>180</v>
      </c>
      <c r="H358" s="1" t="s">
        <v>27513</v>
      </c>
      <c r="I358" s="1" t="s">
        <v>19</v>
      </c>
      <c r="J358" s="1" t="s">
        <v>6</v>
      </c>
      <c r="K358" s="1" t="s">
        <v>24</v>
      </c>
      <c r="M358" s="2">
        <v>43474</v>
      </c>
      <c r="N358" s="1" t="s">
        <v>8</v>
      </c>
      <c r="O358" s="2">
        <v>44569</v>
      </c>
    </row>
    <row r="359" spans="1:15" ht="28.8" x14ac:dyDescent="0.3">
      <c r="A359" s="1" t="s">
        <v>32219</v>
      </c>
      <c r="B359" s="1" t="str">
        <f>"Jordan Evans Jordan Evans"</f>
        <v>Jordan Evans Jordan Evans</v>
      </c>
      <c r="C359" s="1" t="s">
        <v>32220</v>
      </c>
      <c r="F359" s="1" t="s">
        <v>370</v>
      </c>
      <c r="G359" s="1" t="s">
        <v>3</v>
      </c>
      <c r="H359" s="1" t="s">
        <v>16518</v>
      </c>
      <c r="I359" s="1" t="s">
        <v>5</v>
      </c>
      <c r="J359" s="1" t="s">
        <v>6</v>
      </c>
      <c r="K359" s="1" t="s">
        <v>14</v>
      </c>
      <c r="M359" s="2">
        <v>43474</v>
      </c>
      <c r="N359" s="1" t="s">
        <v>8</v>
      </c>
      <c r="O359" s="2">
        <v>44569</v>
      </c>
    </row>
    <row r="360" spans="1:15" ht="28.8" x14ac:dyDescent="0.3">
      <c r="A360" s="1" t="s">
        <v>32221</v>
      </c>
      <c r="B360" s="1" t="str">
        <f>"Peter Hughes &amp; Sons"</f>
        <v>Peter Hughes &amp; Sons</v>
      </c>
      <c r="C360" s="1" t="s">
        <v>32222</v>
      </c>
      <c r="D360" s="1" t="s">
        <v>32223</v>
      </c>
      <c r="F360" s="1" t="s">
        <v>1609</v>
      </c>
      <c r="G360" s="1" t="s">
        <v>679</v>
      </c>
      <c r="H360" s="1" t="s">
        <v>32224</v>
      </c>
      <c r="I360" s="1" t="s">
        <v>19</v>
      </c>
      <c r="J360" s="1" t="s">
        <v>6</v>
      </c>
      <c r="K360" s="1" t="s">
        <v>34</v>
      </c>
      <c r="M360" s="2">
        <v>43474</v>
      </c>
      <c r="N360" s="1" t="s">
        <v>8</v>
      </c>
      <c r="O360" s="2">
        <v>44569</v>
      </c>
    </row>
    <row r="361" spans="1:15" x14ac:dyDescent="0.3">
      <c r="A361" s="1" t="s">
        <v>32228</v>
      </c>
      <c r="B361" s="1" t="str">
        <f>"Mike Garden Services"</f>
        <v>Mike Garden Services</v>
      </c>
      <c r="C361" s="1" t="s">
        <v>32229</v>
      </c>
      <c r="D361" s="1" t="s">
        <v>32230</v>
      </c>
      <c r="E361" s="1" t="s">
        <v>578</v>
      </c>
      <c r="F361" s="1" t="s">
        <v>64</v>
      </c>
      <c r="G361" s="1" t="s">
        <v>65</v>
      </c>
      <c r="H361" s="1" t="s">
        <v>32231</v>
      </c>
      <c r="I361" s="1" t="s">
        <v>188</v>
      </c>
      <c r="J361" s="1" t="s">
        <v>6</v>
      </c>
      <c r="K361" s="1" t="s">
        <v>24</v>
      </c>
      <c r="M361" s="2">
        <v>43474</v>
      </c>
      <c r="N361" s="1" t="s">
        <v>8</v>
      </c>
      <c r="O361" s="2">
        <v>44569</v>
      </c>
    </row>
    <row r="362" spans="1:15" ht="28.8" x14ac:dyDescent="0.3">
      <c r="A362" s="1" t="s">
        <v>32237</v>
      </c>
      <c r="B362" s="1" t="str">
        <f>"R and A Properties"</f>
        <v>R and A Properties</v>
      </c>
      <c r="C362" s="1" t="s">
        <v>32238</v>
      </c>
      <c r="D362" s="1" t="s">
        <v>9726</v>
      </c>
      <c r="E362" s="1" t="s">
        <v>238</v>
      </c>
      <c r="F362" s="1" t="s">
        <v>42</v>
      </c>
      <c r="G362" s="1" t="s">
        <v>51</v>
      </c>
      <c r="H362" s="1" t="s">
        <v>239</v>
      </c>
      <c r="I362" s="1" t="s">
        <v>19</v>
      </c>
      <c r="J362" s="1" t="s">
        <v>6</v>
      </c>
      <c r="K362" s="1" t="s">
        <v>14</v>
      </c>
      <c r="M362" s="2">
        <v>43474</v>
      </c>
      <c r="N362" s="1" t="s">
        <v>8</v>
      </c>
      <c r="O362" s="2">
        <v>44569</v>
      </c>
    </row>
    <row r="363" spans="1:15" ht="43.2" x14ac:dyDescent="0.3">
      <c r="A363" s="1" t="s">
        <v>33217</v>
      </c>
      <c r="B363" s="1" t="str">
        <f>"Andrew Collins Jet and Stream"</f>
        <v>Andrew Collins Jet and Stream</v>
      </c>
      <c r="C363" s="1" t="s">
        <v>33218</v>
      </c>
      <c r="D363" s="1" t="s">
        <v>33219</v>
      </c>
      <c r="F363" s="1" t="s">
        <v>839</v>
      </c>
      <c r="G363" s="1" t="s">
        <v>115</v>
      </c>
      <c r="H363" s="1" t="s">
        <v>33220</v>
      </c>
      <c r="I363" s="1" t="s">
        <v>5</v>
      </c>
      <c r="J363" s="1" t="s">
        <v>67</v>
      </c>
      <c r="K363" s="1" t="s">
        <v>24</v>
      </c>
      <c r="M363" s="2">
        <v>43474</v>
      </c>
      <c r="N363" s="1" t="s">
        <v>8</v>
      </c>
      <c r="O363" s="1" t="s">
        <v>68</v>
      </c>
    </row>
    <row r="364" spans="1:15" ht="28.8" x14ac:dyDescent="0.3">
      <c r="A364" s="1" t="s">
        <v>3012</v>
      </c>
      <c r="B364" s="1" t="str">
        <f>"Henry Williams and Son"</f>
        <v>Henry Williams and Son</v>
      </c>
      <c r="C364" s="1" t="s">
        <v>3013</v>
      </c>
      <c r="D364" s="1" t="s">
        <v>3014</v>
      </c>
      <c r="E364" s="1" t="s">
        <v>3015</v>
      </c>
      <c r="F364" s="1" t="s">
        <v>532</v>
      </c>
      <c r="G364" s="1" t="s">
        <v>198</v>
      </c>
      <c r="H364" s="1" t="s">
        <v>3016</v>
      </c>
      <c r="I364" s="1" t="s">
        <v>125</v>
      </c>
      <c r="J364" s="1" t="s">
        <v>6</v>
      </c>
      <c r="K364" s="1" t="s">
        <v>34</v>
      </c>
      <c r="M364" s="2">
        <v>43473</v>
      </c>
      <c r="N364" s="1" t="s">
        <v>8</v>
      </c>
      <c r="O364" s="2">
        <v>44568</v>
      </c>
    </row>
    <row r="365" spans="1:15" ht="28.8" x14ac:dyDescent="0.3">
      <c r="A365" s="1" t="s">
        <v>2976</v>
      </c>
      <c r="B365" s="1" t="str">
        <f>"The Edge Estates (UK) LTD"</f>
        <v>The Edge Estates (UK) LTD</v>
      </c>
      <c r="C365" s="1" t="s">
        <v>2977</v>
      </c>
      <c r="D365" s="1" t="s">
        <v>2978</v>
      </c>
      <c r="E365" s="1" t="s">
        <v>2979</v>
      </c>
      <c r="F365" s="1" t="s">
        <v>123</v>
      </c>
      <c r="G365" s="1" t="s">
        <v>27</v>
      </c>
      <c r="H365" s="1" t="s">
        <v>2980</v>
      </c>
      <c r="I365" s="1" t="s">
        <v>19</v>
      </c>
      <c r="J365" s="1" t="s">
        <v>6</v>
      </c>
      <c r="K365" s="1" t="s">
        <v>24</v>
      </c>
      <c r="L365" s="1">
        <v>4461852</v>
      </c>
      <c r="M365" s="2">
        <v>43472</v>
      </c>
      <c r="N365" s="1" t="s">
        <v>8</v>
      </c>
      <c r="O365" s="2">
        <v>44567</v>
      </c>
    </row>
    <row r="366" spans="1:15" ht="43.2" x14ac:dyDescent="0.3">
      <c r="A366" s="1" t="s">
        <v>2981</v>
      </c>
      <c r="B366" s="1" t="str">
        <f>"Jonathan Davis"</f>
        <v>Jonathan Davis</v>
      </c>
      <c r="C366" s="1" t="s">
        <v>2982</v>
      </c>
      <c r="D366" s="1" t="s">
        <v>2983</v>
      </c>
      <c r="F366" s="1" t="s">
        <v>64</v>
      </c>
      <c r="H366" s="1" t="s">
        <v>2984</v>
      </c>
      <c r="I366" s="1" t="s">
        <v>5</v>
      </c>
      <c r="J366" s="1" t="s">
        <v>67</v>
      </c>
      <c r="K366" s="1" t="s">
        <v>24</v>
      </c>
      <c r="M366" s="2">
        <v>43472</v>
      </c>
      <c r="N366" s="1" t="s">
        <v>8</v>
      </c>
      <c r="O366" s="1" t="s">
        <v>68</v>
      </c>
    </row>
    <row r="367" spans="1:15" x14ac:dyDescent="0.3">
      <c r="A367" s="1" t="s">
        <v>2989</v>
      </c>
      <c r="B367" s="1" t="str">
        <f>"Maz Builders Ltd"</f>
        <v>Maz Builders Ltd</v>
      </c>
      <c r="C367" s="1" t="s">
        <v>2990</v>
      </c>
      <c r="F367" s="1" t="s">
        <v>930</v>
      </c>
      <c r="G367" s="1" t="s">
        <v>211</v>
      </c>
      <c r="H367" s="1" t="s">
        <v>2991</v>
      </c>
      <c r="I367" s="1" t="s">
        <v>19</v>
      </c>
      <c r="J367" s="1" t="s">
        <v>6</v>
      </c>
      <c r="K367" s="1" t="s">
        <v>24</v>
      </c>
      <c r="L367" s="1">
        <v>8427989</v>
      </c>
      <c r="M367" s="2">
        <v>43472</v>
      </c>
      <c r="N367" s="1" t="s">
        <v>8</v>
      </c>
      <c r="O367" s="2">
        <v>44567</v>
      </c>
    </row>
    <row r="368" spans="1:15" ht="28.8" x14ac:dyDescent="0.3">
      <c r="A368" s="1" t="s">
        <v>2992</v>
      </c>
      <c r="B368" s="1" t="str">
        <f>"WATER TREATMENT PRODUCTS LTD"</f>
        <v>WATER TREATMENT PRODUCTS LTD</v>
      </c>
      <c r="C368" s="1" t="s">
        <v>2993</v>
      </c>
      <c r="D368" s="1" t="s">
        <v>2994</v>
      </c>
      <c r="F368" s="1" t="s">
        <v>1058</v>
      </c>
      <c r="G368" s="1" t="s">
        <v>1240</v>
      </c>
      <c r="H368" s="1" t="s">
        <v>2995</v>
      </c>
      <c r="I368" s="1" t="s">
        <v>19</v>
      </c>
      <c r="J368" s="1" t="s">
        <v>6</v>
      </c>
      <c r="K368" s="1" t="s">
        <v>14</v>
      </c>
      <c r="L368" s="1">
        <v>3896797</v>
      </c>
      <c r="M368" s="2">
        <v>43472</v>
      </c>
      <c r="N368" s="1" t="s">
        <v>8</v>
      </c>
      <c r="O368" s="2">
        <v>44567</v>
      </c>
    </row>
    <row r="369" spans="1:15" ht="28.8" x14ac:dyDescent="0.3">
      <c r="A369" s="1" t="s">
        <v>32201</v>
      </c>
      <c r="B369" s="1" t="str">
        <f>"S&amp;K Recycling"</f>
        <v>S&amp;K Recycling</v>
      </c>
      <c r="C369" s="1" t="s">
        <v>32202</v>
      </c>
      <c r="D369" s="1" t="s">
        <v>21452</v>
      </c>
      <c r="F369" s="1" t="s">
        <v>64</v>
      </c>
      <c r="G369" s="1" t="s">
        <v>162</v>
      </c>
      <c r="H369" s="1" t="s">
        <v>32203</v>
      </c>
      <c r="I369" s="1" t="s">
        <v>125</v>
      </c>
      <c r="J369" s="1" t="s">
        <v>6</v>
      </c>
      <c r="K369" s="1" t="s">
        <v>34</v>
      </c>
      <c r="M369" s="2">
        <v>43468</v>
      </c>
      <c r="N369" s="1" t="s">
        <v>8</v>
      </c>
      <c r="O369" s="2">
        <v>44563</v>
      </c>
    </row>
    <row r="370" spans="1:15" ht="28.8" x14ac:dyDescent="0.3">
      <c r="A370" s="1" t="s">
        <v>32204</v>
      </c>
      <c r="B370" s="1" t="str">
        <f>"Qtec Facilities Management LTD"</f>
        <v>Qtec Facilities Management LTD</v>
      </c>
      <c r="D370" s="1" t="s">
        <v>32205</v>
      </c>
      <c r="E370" s="1" t="s">
        <v>2606</v>
      </c>
      <c r="F370" s="1" t="s">
        <v>1093</v>
      </c>
      <c r="G370" s="1" t="s">
        <v>103</v>
      </c>
      <c r="H370" s="1" t="s">
        <v>7955</v>
      </c>
      <c r="I370" s="1" t="s">
        <v>19</v>
      </c>
      <c r="J370" s="1" t="s">
        <v>6</v>
      </c>
      <c r="K370" s="1" t="s">
        <v>34</v>
      </c>
      <c r="L370" s="1">
        <v>9916603</v>
      </c>
      <c r="M370" s="2">
        <v>43468</v>
      </c>
      <c r="N370" s="1" t="s">
        <v>8</v>
      </c>
      <c r="O370" s="2">
        <v>44563</v>
      </c>
    </row>
    <row r="371" spans="1:15" ht="28.8" x14ac:dyDescent="0.3">
      <c r="A371" s="1" t="s">
        <v>32206</v>
      </c>
      <c r="B371" s="1" t="str">
        <f>"David Jones DJ &amp; M Distribution"</f>
        <v>David Jones DJ &amp; M Distribution</v>
      </c>
      <c r="C371" s="1" t="s">
        <v>32207</v>
      </c>
      <c r="D371" s="1" t="s">
        <v>32208</v>
      </c>
      <c r="F371" s="1" t="s">
        <v>119</v>
      </c>
      <c r="G371" s="1" t="s">
        <v>679</v>
      </c>
      <c r="H371" s="1" t="s">
        <v>3059</v>
      </c>
      <c r="I371" s="1" t="s">
        <v>5</v>
      </c>
      <c r="J371" s="1" t="s">
        <v>6</v>
      </c>
      <c r="K371" s="1" t="s">
        <v>34</v>
      </c>
      <c r="M371" s="2">
        <v>43468</v>
      </c>
      <c r="N371" s="1" t="s">
        <v>8</v>
      </c>
      <c r="O371" s="2">
        <v>44563</v>
      </c>
    </row>
    <row r="372" spans="1:15" ht="28.8" x14ac:dyDescent="0.3">
      <c r="A372" s="1" t="s">
        <v>32197</v>
      </c>
      <c r="B372" s="1" t="str">
        <f>"Richard Edwards Haulage LTD"</f>
        <v>Richard Edwards Haulage LTD</v>
      </c>
      <c r="C372" s="1" t="s">
        <v>32198</v>
      </c>
      <c r="D372" s="1" t="s">
        <v>32199</v>
      </c>
      <c r="F372" s="1" t="s">
        <v>3465</v>
      </c>
      <c r="G372" s="1" t="s">
        <v>162</v>
      </c>
      <c r="H372" s="1" t="s">
        <v>32200</v>
      </c>
      <c r="I372" s="1" t="s">
        <v>19</v>
      </c>
      <c r="J372" s="1" t="s">
        <v>6</v>
      </c>
      <c r="K372" s="1" t="s">
        <v>24</v>
      </c>
      <c r="L372" s="1">
        <v>4985784</v>
      </c>
      <c r="M372" s="2">
        <v>43462</v>
      </c>
      <c r="N372" s="1" t="s">
        <v>8</v>
      </c>
      <c r="O372" s="2">
        <v>44557</v>
      </c>
    </row>
    <row r="373" spans="1:15" ht="28.8" x14ac:dyDescent="0.3">
      <c r="A373" s="1" t="s">
        <v>32195</v>
      </c>
      <c r="B373" s="1" t="str">
        <f>"Reecer Space Limited"</f>
        <v>Reecer Space Limited</v>
      </c>
      <c r="C373" s="1" t="s">
        <v>1925</v>
      </c>
      <c r="D373" s="1" t="s">
        <v>32196</v>
      </c>
      <c r="E373" s="1" t="s">
        <v>1927</v>
      </c>
      <c r="F373" s="1" t="s">
        <v>1928</v>
      </c>
      <c r="G373" s="1" t="s">
        <v>2497</v>
      </c>
      <c r="H373" s="1" t="s">
        <v>1930</v>
      </c>
      <c r="I373" s="1" t="s">
        <v>19</v>
      </c>
      <c r="J373" s="1" t="s">
        <v>6</v>
      </c>
      <c r="K373" s="1" t="s">
        <v>34</v>
      </c>
      <c r="L373" s="1">
        <v>4641675</v>
      </c>
      <c r="M373" s="2">
        <v>43455</v>
      </c>
      <c r="N373" s="1" t="s">
        <v>8</v>
      </c>
      <c r="O373" s="2">
        <v>44550</v>
      </c>
    </row>
    <row r="374" spans="1:15" ht="28.8" x14ac:dyDescent="0.3">
      <c r="A374" s="1" t="s">
        <v>32189</v>
      </c>
      <c r="B374" s="1" t="str">
        <f>"C. T. F. Contractors Limited"</f>
        <v>C. T. F. Contractors Limited</v>
      </c>
      <c r="C374" s="1" t="s">
        <v>1994</v>
      </c>
      <c r="D374" s="1" t="s">
        <v>1995</v>
      </c>
      <c r="E374" s="1" t="s">
        <v>896</v>
      </c>
      <c r="F374" s="1" t="s">
        <v>897</v>
      </c>
      <c r="G374" s="1" t="s">
        <v>73</v>
      </c>
      <c r="H374" s="1" t="s">
        <v>898</v>
      </c>
      <c r="I374" s="1" t="s">
        <v>19</v>
      </c>
      <c r="J374" s="1" t="s">
        <v>6</v>
      </c>
      <c r="K374" s="1" t="s">
        <v>34</v>
      </c>
      <c r="L374" s="1">
        <v>11699584</v>
      </c>
      <c r="M374" s="2">
        <v>43454</v>
      </c>
      <c r="N374" s="1" t="s">
        <v>8</v>
      </c>
      <c r="O374" s="2">
        <v>44549</v>
      </c>
    </row>
    <row r="375" spans="1:15" ht="28.8" x14ac:dyDescent="0.3">
      <c r="A375" s="1" t="s">
        <v>32194</v>
      </c>
      <c r="B375" s="1" t="str">
        <f>"NHC Technology Ltd"</f>
        <v>NHC Technology Ltd</v>
      </c>
      <c r="C375" s="1" t="s">
        <v>16038</v>
      </c>
      <c r="D375" s="1" t="s">
        <v>922</v>
      </c>
      <c r="F375" s="1" t="s">
        <v>73</v>
      </c>
      <c r="H375" s="1" t="s">
        <v>16039</v>
      </c>
      <c r="I375" s="1" t="s">
        <v>19</v>
      </c>
      <c r="J375" s="1" t="s">
        <v>6</v>
      </c>
      <c r="K375" s="1" t="s">
        <v>24</v>
      </c>
      <c r="M375" s="2">
        <v>43454</v>
      </c>
      <c r="N375" s="1" t="s">
        <v>8</v>
      </c>
      <c r="O375" s="2">
        <v>44549</v>
      </c>
    </row>
    <row r="376" spans="1:15" x14ac:dyDescent="0.3">
      <c r="A376" s="1" t="s">
        <v>33213</v>
      </c>
      <c r="B376" s="1" t="str">
        <f>"Peter Miller"</f>
        <v>Peter Miller</v>
      </c>
      <c r="C376" s="1" t="s">
        <v>33214</v>
      </c>
      <c r="D376" s="1" t="s">
        <v>32341</v>
      </c>
      <c r="F376" s="1" t="s">
        <v>706</v>
      </c>
      <c r="G376" s="1" t="s">
        <v>211</v>
      </c>
      <c r="H376" s="1" t="s">
        <v>32342</v>
      </c>
      <c r="I376" s="1" t="s">
        <v>5</v>
      </c>
      <c r="J376" s="1" t="s">
        <v>6</v>
      </c>
      <c r="K376" s="1" t="s">
        <v>1859</v>
      </c>
      <c r="M376" s="2">
        <v>43454</v>
      </c>
      <c r="N376" s="1" t="s">
        <v>8</v>
      </c>
      <c r="O376" s="2">
        <v>44549</v>
      </c>
    </row>
    <row r="377" spans="1:15" x14ac:dyDescent="0.3">
      <c r="A377" s="1" t="s">
        <v>2925</v>
      </c>
      <c r="B377" s="1" t="str">
        <f>"M &amp; L CONSTRUCTION"</f>
        <v>M &amp; L CONSTRUCTION</v>
      </c>
      <c r="C377" s="1" t="s">
        <v>2926</v>
      </c>
      <c r="D377" s="1" t="s">
        <v>2927</v>
      </c>
      <c r="F377" s="1" t="s">
        <v>123</v>
      </c>
      <c r="G377" s="1" t="s">
        <v>211</v>
      </c>
      <c r="H377" s="1" t="s">
        <v>2928</v>
      </c>
      <c r="I377" s="1" t="s">
        <v>19</v>
      </c>
      <c r="J377" s="1" t="s">
        <v>6</v>
      </c>
      <c r="K377" s="1" t="s">
        <v>24</v>
      </c>
      <c r="M377" s="2">
        <v>43453</v>
      </c>
      <c r="N377" s="1" t="s">
        <v>8</v>
      </c>
      <c r="O377" s="2">
        <v>44548</v>
      </c>
    </row>
    <row r="378" spans="1:15" ht="28.8" x14ac:dyDescent="0.3">
      <c r="A378" s="1" t="s">
        <v>2935</v>
      </c>
      <c r="B378" s="1" t="str">
        <f>"Stephen Locke"</f>
        <v>Stephen Locke</v>
      </c>
      <c r="C378" s="1" t="s">
        <v>2936</v>
      </c>
      <c r="D378" s="1" t="s">
        <v>2937</v>
      </c>
      <c r="F378" s="1" t="s">
        <v>1321</v>
      </c>
      <c r="G378" s="1" t="s">
        <v>3</v>
      </c>
      <c r="H378" s="1" t="s">
        <v>2938</v>
      </c>
      <c r="I378" s="1" t="s">
        <v>5</v>
      </c>
      <c r="J378" s="1" t="s">
        <v>6</v>
      </c>
      <c r="K378" s="1" t="s">
        <v>34</v>
      </c>
      <c r="M378" s="2">
        <v>43453</v>
      </c>
      <c r="N378" s="1" t="s">
        <v>8</v>
      </c>
      <c r="O378" s="2">
        <v>44548</v>
      </c>
    </row>
    <row r="379" spans="1:15" ht="28.8" x14ac:dyDescent="0.3">
      <c r="A379" s="1" t="s">
        <v>2952</v>
      </c>
      <c r="B379" s="1" t="str">
        <f>"James darren Waygood James Waygood"</f>
        <v>James darren Waygood James Waygood</v>
      </c>
      <c r="C379" s="1" t="s">
        <v>2953</v>
      </c>
      <c r="F379" s="1" t="s">
        <v>64</v>
      </c>
      <c r="G379" s="1" t="s">
        <v>65</v>
      </c>
      <c r="H379" s="1" t="s">
        <v>2954</v>
      </c>
      <c r="I379" s="1" t="s">
        <v>5</v>
      </c>
      <c r="J379" s="1" t="s">
        <v>6</v>
      </c>
      <c r="K379" s="1" t="s">
        <v>34</v>
      </c>
      <c r="M379" s="2">
        <v>43453</v>
      </c>
      <c r="N379" s="1" t="s">
        <v>8</v>
      </c>
      <c r="O379" s="2">
        <v>44548</v>
      </c>
    </row>
    <row r="380" spans="1:15" ht="28.8" x14ac:dyDescent="0.3">
      <c r="A380" s="1" t="s">
        <v>2958</v>
      </c>
      <c r="B380" s="1" t="str">
        <f>"Stephen Jones"</f>
        <v>Stephen Jones</v>
      </c>
      <c r="C380" s="1" t="s">
        <v>2959</v>
      </c>
      <c r="D380" s="1" t="s">
        <v>2960</v>
      </c>
      <c r="F380" s="1" t="s">
        <v>2961</v>
      </c>
      <c r="G380" s="1" t="s">
        <v>654</v>
      </c>
      <c r="H380" s="1" t="s">
        <v>2962</v>
      </c>
      <c r="I380" s="1" t="s">
        <v>5</v>
      </c>
      <c r="J380" s="1" t="s">
        <v>6</v>
      </c>
      <c r="K380" s="1" t="s">
        <v>34</v>
      </c>
      <c r="M380" s="2">
        <v>43453</v>
      </c>
      <c r="N380" s="1" t="s">
        <v>8</v>
      </c>
      <c r="O380" s="2">
        <v>44548</v>
      </c>
    </row>
    <row r="381" spans="1:15" ht="28.8" x14ac:dyDescent="0.3">
      <c r="A381" s="1" t="s">
        <v>2963</v>
      </c>
      <c r="B381" s="1" t="str">
        <f>"Byron Cosgrove"</f>
        <v>Byron Cosgrove</v>
      </c>
      <c r="C381" s="1" t="s">
        <v>2964</v>
      </c>
      <c r="D381" s="1" t="s">
        <v>2965</v>
      </c>
      <c r="F381" s="1" t="s">
        <v>641</v>
      </c>
      <c r="G381" s="1" t="s">
        <v>642</v>
      </c>
      <c r="H381" s="1" t="s">
        <v>2966</v>
      </c>
      <c r="I381" s="1" t="s">
        <v>5</v>
      </c>
      <c r="J381" s="1" t="s">
        <v>6</v>
      </c>
      <c r="K381" s="1" t="s">
        <v>34</v>
      </c>
      <c r="M381" s="2">
        <v>43453</v>
      </c>
      <c r="N381" s="1" t="s">
        <v>8</v>
      </c>
      <c r="O381" s="2">
        <v>44548</v>
      </c>
    </row>
    <row r="382" spans="1:15" ht="28.8" x14ac:dyDescent="0.3">
      <c r="A382" s="1" t="s">
        <v>31147</v>
      </c>
      <c r="B382" s="1" t="str">
        <f>"Simon Barker"</f>
        <v>Simon Barker</v>
      </c>
      <c r="C382" s="1" t="s">
        <v>31148</v>
      </c>
      <c r="D382" s="1" t="s">
        <v>178</v>
      </c>
      <c r="F382" s="1" t="s">
        <v>179</v>
      </c>
      <c r="G382" s="1" t="s">
        <v>180</v>
      </c>
      <c r="H382" s="1" t="s">
        <v>26163</v>
      </c>
      <c r="I382" s="1" t="s">
        <v>5</v>
      </c>
      <c r="J382" s="1" t="s">
        <v>6</v>
      </c>
      <c r="K382" s="1" t="s">
        <v>34</v>
      </c>
      <c r="M382" s="2">
        <v>43453</v>
      </c>
      <c r="N382" s="1" t="s">
        <v>8</v>
      </c>
      <c r="O382" s="2">
        <v>44548</v>
      </c>
    </row>
    <row r="383" spans="1:15" ht="28.8" x14ac:dyDescent="0.3">
      <c r="A383" s="1" t="s">
        <v>31152</v>
      </c>
      <c r="B383" s="1" t="str">
        <f>"WM Budd and Sons Group"</f>
        <v>WM Budd and Sons Group</v>
      </c>
      <c r="C383" s="1" t="s">
        <v>31153</v>
      </c>
      <c r="D383" s="1" t="s">
        <v>31154</v>
      </c>
      <c r="F383" s="1" t="s">
        <v>123</v>
      </c>
      <c r="G383" s="1" t="s">
        <v>27</v>
      </c>
      <c r="H383" s="1" t="s">
        <v>31155</v>
      </c>
      <c r="I383" s="1" t="s">
        <v>19</v>
      </c>
      <c r="J383" s="1" t="s">
        <v>6</v>
      </c>
      <c r="K383" s="1" t="s">
        <v>24</v>
      </c>
      <c r="L383" s="1">
        <v>106242</v>
      </c>
      <c r="M383" s="2">
        <v>43453</v>
      </c>
      <c r="N383" s="1" t="s">
        <v>8</v>
      </c>
      <c r="O383" s="2">
        <v>44548</v>
      </c>
    </row>
    <row r="384" spans="1:15" ht="28.8" x14ac:dyDescent="0.3">
      <c r="A384" s="1" t="s">
        <v>31156</v>
      </c>
      <c r="B384" s="1" t="str">
        <f>"North Wales Floorings Ltd."</f>
        <v>North Wales Floorings Ltd.</v>
      </c>
      <c r="C384" s="1" t="s">
        <v>31157</v>
      </c>
      <c r="F384" s="1" t="s">
        <v>1184</v>
      </c>
      <c r="H384" s="1" t="s">
        <v>31158</v>
      </c>
      <c r="I384" s="1" t="s">
        <v>19</v>
      </c>
      <c r="J384" s="1" t="s">
        <v>6</v>
      </c>
      <c r="K384" s="1" t="s">
        <v>24</v>
      </c>
      <c r="L384" s="1">
        <v>689239</v>
      </c>
      <c r="M384" s="2">
        <v>43453</v>
      </c>
      <c r="N384" s="1" t="s">
        <v>8</v>
      </c>
      <c r="O384" s="2">
        <v>44548</v>
      </c>
    </row>
    <row r="385" spans="1:15" ht="43.2" x14ac:dyDescent="0.3">
      <c r="A385" s="1" t="s">
        <v>33177</v>
      </c>
      <c r="B385" s="1" t="str">
        <f>"TREE DIMENSION LTD"</f>
        <v>TREE DIMENSION LTD</v>
      </c>
      <c r="C385" s="1" t="s">
        <v>33178</v>
      </c>
      <c r="F385" s="1" t="s">
        <v>409</v>
      </c>
      <c r="H385" s="1" t="s">
        <v>33179</v>
      </c>
      <c r="I385" s="1" t="s">
        <v>19</v>
      </c>
      <c r="J385" s="1" t="s">
        <v>67</v>
      </c>
      <c r="K385" s="1" t="s">
        <v>24</v>
      </c>
      <c r="L385" s="1">
        <v>7564262</v>
      </c>
      <c r="M385" s="2">
        <v>43453</v>
      </c>
      <c r="N385" s="1" t="s">
        <v>8</v>
      </c>
      <c r="O385" s="1" t="s">
        <v>68</v>
      </c>
    </row>
    <row r="386" spans="1:15" x14ac:dyDescent="0.3">
      <c r="A386" s="1" t="s">
        <v>33184</v>
      </c>
      <c r="B386" s="1" t="str">
        <f>"Matthew Knill"</f>
        <v>Matthew Knill</v>
      </c>
      <c r="C386" s="1" t="s">
        <v>33185</v>
      </c>
      <c r="D386" s="1" t="s">
        <v>33186</v>
      </c>
      <c r="F386" s="1" t="s">
        <v>798</v>
      </c>
      <c r="G386" s="1" t="s">
        <v>162</v>
      </c>
      <c r="H386" s="1" t="s">
        <v>17086</v>
      </c>
      <c r="I386" s="1" t="s">
        <v>5</v>
      </c>
      <c r="J386" s="1" t="s">
        <v>6</v>
      </c>
      <c r="K386" s="1" t="s">
        <v>24</v>
      </c>
      <c r="M386" s="2">
        <v>43453</v>
      </c>
      <c r="N386" s="1" t="s">
        <v>8</v>
      </c>
      <c r="O386" s="2">
        <v>44548</v>
      </c>
    </row>
    <row r="387" spans="1:15" ht="43.2" x14ac:dyDescent="0.3">
      <c r="A387" s="1" t="s">
        <v>33191</v>
      </c>
      <c r="B387" s="1" t="str">
        <f>"David Johnson"</f>
        <v>David Johnson</v>
      </c>
      <c r="C387" s="1" t="s">
        <v>33192</v>
      </c>
      <c r="D387" s="1" t="s">
        <v>1005</v>
      </c>
      <c r="F387" s="1" t="s">
        <v>32</v>
      </c>
      <c r="G387" s="1" t="s">
        <v>109</v>
      </c>
      <c r="H387" s="1" t="s">
        <v>33193</v>
      </c>
      <c r="I387" s="1" t="s">
        <v>5</v>
      </c>
      <c r="J387" s="1" t="s">
        <v>67</v>
      </c>
      <c r="K387" s="1" t="s">
        <v>24</v>
      </c>
      <c r="M387" s="2">
        <v>43453</v>
      </c>
      <c r="N387" s="1" t="s">
        <v>8</v>
      </c>
      <c r="O387" s="1" t="s">
        <v>68</v>
      </c>
    </row>
    <row r="388" spans="1:15" ht="43.2" x14ac:dyDescent="0.3">
      <c r="A388" s="1" t="s">
        <v>33194</v>
      </c>
      <c r="B388" s="1" t="str">
        <f>"GERRIEW DARNY &amp; JOAN CLUB"</f>
        <v>GERRIEW DARNY &amp; JOAN CLUB</v>
      </c>
      <c r="C388" s="1" t="s">
        <v>33195</v>
      </c>
      <c r="D388" s="1" t="s">
        <v>33196</v>
      </c>
      <c r="F388" s="1" t="s">
        <v>2459</v>
      </c>
      <c r="G388" s="1" t="s">
        <v>162</v>
      </c>
      <c r="H388" s="1" t="s">
        <v>33197</v>
      </c>
      <c r="I388" s="1" t="s">
        <v>1872</v>
      </c>
      <c r="J388" s="1" t="s">
        <v>67</v>
      </c>
      <c r="K388" s="1" t="s">
        <v>24</v>
      </c>
      <c r="M388" s="2">
        <v>43453</v>
      </c>
      <c r="N388" s="1" t="s">
        <v>8</v>
      </c>
      <c r="O388" s="1" t="s">
        <v>68</v>
      </c>
    </row>
    <row r="389" spans="1:15" ht="43.2" x14ac:dyDescent="0.3">
      <c r="A389" s="1" t="s">
        <v>33198</v>
      </c>
      <c r="B389" s="1" t="str">
        <f>"Mark Edwards"</f>
        <v>Mark Edwards</v>
      </c>
      <c r="C389" s="1" t="s">
        <v>33199</v>
      </c>
      <c r="D389" s="1" t="s">
        <v>424</v>
      </c>
      <c r="F389" s="1" t="s">
        <v>64</v>
      </c>
      <c r="G389" s="1" t="s">
        <v>65</v>
      </c>
      <c r="H389" s="1" t="s">
        <v>33200</v>
      </c>
      <c r="I389" s="1" t="s">
        <v>5</v>
      </c>
      <c r="J389" s="1" t="s">
        <v>67</v>
      </c>
      <c r="K389" s="1" t="s">
        <v>24</v>
      </c>
      <c r="M389" s="2">
        <v>43453</v>
      </c>
      <c r="N389" s="1" t="s">
        <v>8</v>
      </c>
      <c r="O389" s="1" t="s">
        <v>68</v>
      </c>
    </row>
    <row r="390" spans="1:15" ht="43.2" x14ac:dyDescent="0.3">
      <c r="A390" s="1" t="s">
        <v>33201</v>
      </c>
      <c r="B390" s="1" t="str">
        <f>"CCTV Services Limited"</f>
        <v>CCTV Services Limited</v>
      </c>
      <c r="C390" s="1" t="s">
        <v>33202</v>
      </c>
      <c r="D390" s="1" t="s">
        <v>33203</v>
      </c>
      <c r="F390" s="1" t="s">
        <v>3242</v>
      </c>
      <c r="G390" s="1" t="s">
        <v>359</v>
      </c>
      <c r="H390" s="1" t="s">
        <v>16927</v>
      </c>
      <c r="I390" s="1" t="s">
        <v>19</v>
      </c>
      <c r="J390" s="1" t="s">
        <v>67</v>
      </c>
      <c r="K390" s="1" t="s">
        <v>24</v>
      </c>
      <c r="M390" s="2">
        <v>43453</v>
      </c>
      <c r="N390" s="1" t="s">
        <v>8</v>
      </c>
      <c r="O390" s="1" t="s">
        <v>68</v>
      </c>
    </row>
    <row r="391" spans="1:15" ht="28.8" x14ac:dyDescent="0.3">
      <c r="A391" s="1" t="s">
        <v>33204</v>
      </c>
      <c r="B391" s="1" t="str">
        <f>"West Wales waste limited"</f>
        <v>West Wales waste limited</v>
      </c>
      <c r="C391" s="1" t="s">
        <v>33205</v>
      </c>
      <c r="D391" s="1" t="s">
        <v>839</v>
      </c>
      <c r="G391" s="1" t="s">
        <v>3691</v>
      </c>
      <c r="H391" s="1" t="s">
        <v>33206</v>
      </c>
      <c r="I391" s="1" t="s">
        <v>19</v>
      </c>
      <c r="J391" s="1" t="s">
        <v>6</v>
      </c>
      <c r="K391" s="1" t="s">
        <v>34</v>
      </c>
      <c r="M391" s="2">
        <v>43453</v>
      </c>
      <c r="N391" s="1" t="s">
        <v>8</v>
      </c>
      <c r="O391" s="2">
        <v>44548</v>
      </c>
    </row>
    <row r="392" spans="1:15" ht="28.8" x14ac:dyDescent="0.3">
      <c r="A392" s="1" t="s">
        <v>2908</v>
      </c>
      <c r="B392" s="1" t="str">
        <f>"TES DEC"</f>
        <v>TES DEC</v>
      </c>
      <c r="C392" s="1" t="s">
        <v>2909</v>
      </c>
      <c r="D392" s="1" t="s">
        <v>2910</v>
      </c>
      <c r="F392" s="1" t="s">
        <v>123</v>
      </c>
      <c r="G392" s="1" t="s">
        <v>27</v>
      </c>
      <c r="H392" s="1" t="s">
        <v>2911</v>
      </c>
      <c r="I392" s="1" t="s">
        <v>19</v>
      </c>
      <c r="J392" s="1" t="s">
        <v>6</v>
      </c>
      <c r="K392" s="1" t="s">
        <v>34</v>
      </c>
      <c r="L392" s="1" t="s">
        <v>2912</v>
      </c>
      <c r="M392" s="2">
        <v>43452</v>
      </c>
      <c r="N392" s="1" t="s">
        <v>8</v>
      </c>
      <c r="O392" s="2">
        <v>44547</v>
      </c>
    </row>
    <row r="393" spans="1:15" ht="28.8" x14ac:dyDescent="0.3">
      <c r="A393" s="1" t="s">
        <v>2921</v>
      </c>
      <c r="B393" s="1" t="str">
        <f>"Anthony Lee"</f>
        <v>Anthony Lee</v>
      </c>
      <c r="C393" s="1" t="s">
        <v>2922</v>
      </c>
      <c r="D393" s="1" t="s">
        <v>2923</v>
      </c>
      <c r="F393" s="1" t="s">
        <v>123</v>
      </c>
      <c r="G393" s="1" t="s">
        <v>27</v>
      </c>
      <c r="H393" s="1" t="s">
        <v>2924</v>
      </c>
      <c r="I393" s="1" t="s">
        <v>5</v>
      </c>
      <c r="J393" s="1" t="s">
        <v>6</v>
      </c>
      <c r="K393" s="1" t="s">
        <v>34</v>
      </c>
      <c r="M393" s="2">
        <v>43452</v>
      </c>
      <c r="N393" s="1" t="s">
        <v>8</v>
      </c>
      <c r="O393" s="2">
        <v>44547</v>
      </c>
    </row>
    <row r="394" spans="1:15" ht="28.8" x14ac:dyDescent="0.3">
      <c r="A394" s="1" t="s">
        <v>31140</v>
      </c>
      <c r="B394" s="1" t="str">
        <f>"Tom Harper Tom Harper's Gas"</f>
        <v>Tom Harper Tom Harper's Gas</v>
      </c>
      <c r="C394" s="1" t="s">
        <v>31141</v>
      </c>
      <c r="D394" s="1" t="s">
        <v>31142</v>
      </c>
      <c r="F394" s="1" t="s">
        <v>555</v>
      </c>
      <c r="G394" s="1" t="s">
        <v>556</v>
      </c>
      <c r="H394" s="1" t="s">
        <v>31143</v>
      </c>
      <c r="I394" s="1" t="s">
        <v>5</v>
      </c>
      <c r="J394" s="1" t="s">
        <v>6</v>
      </c>
      <c r="K394" s="1" t="s">
        <v>24</v>
      </c>
      <c r="M394" s="2">
        <v>43452</v>
      </c>
      <c r="N394" s="1" t="s">
        <v>8</v>
      </c>
      <c r="O394" s="2">
        <v>44547</v>
      </c>
    </row>
    <row r="395" spans="1:15" x14ac:dyDescent="0.3">
      <c r="A395" s="1" t="s">
        <v>31144</v>
      </c>
      <c r="B395" s="1" t="str">
        <f>"Ian Bell"</f>
        <v>Ian Bell</v>
      </c>
      <c r="C395" s="1" t="s">
        <v>11055</v>
      </c>
      <c r="D395" s="1" t="s">
        <v>31145</v>
      </c>
      <c r="E395" s="1" t="s">
        <v>12903</v>
      </c>
      <c r="F395" s="1" t="s">
        <v>1818</v>
      </c>
      <c r="G395" s="1" t="s">
        <v>162</v>
      </c>
      <c r="H395" s="1" t="s">
        <v>31146</v>
      </c>
      <c r="I395" s="1" t="s">
        <v>5</v>
      </c>
      <c r="J395" s="1" t="s">
        <v>6</v>
      </c>
      <c r="K395" s="1" t="s">
        <v>24</v>
      </c>
      <c r="M395" s="2">
        <v>43452</v>
      </c>
      <c r="N395" s="1" t="s">
        <v>8</v>
      </c>
      <c r="O395" s="2">
        <v>44547</v>
      </c>
    </row>
    <row r="396" spans="1:15" ht="28.8" x14ac:dyDescent="0.3">
      <c r="A396" s="1" t="s">
        <v>32159</v>
      </c>
      <c r="B396" s="1" t="str">
        <f>"Liam Dutton"</f>
        <v>Liam Dutton</v>
      </c>
      <c r="C396" s="1" t="s">
        <v>32160</v>
      </c>
      <c r="D396" s="1" t="s">
        <v>1875</v>
      </c>
      <c r="F396" s="1" t="s">
        <v>532</v>
      </c>
      <c r="G396" s="1" t="s">
        <v>198</v>
      </c>
      <c r="H396" s="1" t="s">
        <v>32161</v>
      </c>
      <c r="I396" s="1" t="s">
        <v>5</v>
      </c>
      <c r="J396" s="1" t="s">
        <v>6</v>
      </c>
      <c r="K396" s="1" t="s">
        <v>34</v>
      </c>
      <c r="M396" s="2">
        <v>43452</v>
      </c>
      <c r="N396" s="1" t="s">
        <v>8</v>
      </c>
      <c r="O396" s="2">
        <v>44547</v>
      </c>
    </row>
    <row r="397" spans="1:15" ht="28.8" x14ac:dyDescent="0.3">
      <c r="A397" s="1" t="s">
        <v>32164</v>
      </c>
      <c r="B397" s="1" t="str">
        <f>"Landcsaping and Grounds Maitenance"</f>
        <v>Landcsaping and Grounds Maitenance</v>
      </c>
      <c r="C397" s="1" t="s">
        <v>32165</v>
      </c>
      <c r="D397" s="1" t="s">
        <v>31715</v>
      </c>
      <c r="F397" s="1" t="s">
        <v>1776</v>
      </c>
      <c r="G397" s="1" t="s">
        <v>115</v>
      </c>
      <c r="H397" s="1" t="s">
        <v>32166</v>
      </c>
      <c r="I397" s="1" t="s">
        <v>19</v>
      </c>
      <c r="J397" s="1" t="s">
        <v>6</v>
      </c>
      <c r="K397" s="1" t="s">
        <v>24</v>
      </c>
      <c r="M397" s="2">
        <v>43452</v>
      </c>
      <c r="N397" s="1" t="s">
        <v>8</v>
      </c>
      <c r="O397" s="2">
        <v>44547</v>
      </c>
    </row>
    <row r="398" spans="1:15" ht="28.8" x14ac:dyDescent="0.3">
      <c r="A398" s="1" t="s">
        <v>32167</v>
      </c>
      <c r="B398" s="1" t="str">
        <f>"Jiflex Limited"</f>
        <v>Jiflex Limited</v>
      </c>
      <c r="C398" s="1" t="s">
        <v>32168</v>
      </c>
      <c r="D398" s="1" t="s">
        <v>16348</v>
      </c>
      <c r="E398" s="1" t="s">
        <v>1214</v>
      </c>
      <c r="F398" s="1" t="s">
        <v>64</v>
      </c>
      <c r="G398" s="1" t="s">
        <v>64</v>
      </c>
      <c r="H398" s="1" t="s">
        <v>1215</v>
      </c>
      <c r="I398" s="1" t="s">
        <v>19</v>
      </c>
      <c r="J398" s="1" t="s">
        <v>6</v>
      </c>
      <c r="K398" s="1" t="s">
        <v>34</v>
      </c>
      <c r="L398" s="1">
        <v>4446989</v>
      </c>
      <c r="M398" s="2">
        <v>43452</v>
      </c>
      <c r="N398" s="1" t="s">
        <v>8</v>
      </c>
      <c r="O398" s="2">
        <v>44547</v>
      </c>
    </row>
    <row r="399" spans="1:15" ht="28.8" x14ac:dyDescent="0.3">
      <c r="A399" s="1" t="s">
        <v>32176</v>
      </c>
      <c r="B399" s="1" t="str">
        <f>"A. Porter Landscaping and Gardening"</f>
        <v>A. Porter Landscaping and Gardening</v>
      </c>
      <c r="C399" s="1" t="s">
        <v>32177</v>
      </c>
      <c r="D399" s="1" t="s">
        <v>32178</v>
      </c>
      <c r="E399" s="1" t="s">
        <v>6024</v>
      </c>
      <c r="F399" s="1" t="s">
        <v>64</v>
      </c>
      <c r="G399" s="1" t="s">
        <v>64</v>
      </c>
      <c r="H399" s="1" t="s">
        <v>32179</v>
      </c>
      <c r="I399" s="1" t="s">
        <v>19</v>
      </c>
      <c r="J399" s="1" t="s">
        <v>6</v>
      </c>
      <c r="K399" s="1" t="s">
        <v>34</v>
      </c>
      <c r="M399" s="2">
        <v>43452</v>
      </c>
      <c r="N399" s="1" t="s">
        <v>8</v>
      </c>
      <c r="O399" s="2">
        <v>44547</v>
      </c>
    </row>
    <row r="400" spans="1:15" ht="28.8" x14ac:dyDescent="0.3">
      <c r="A400" s="1" t="s">
        <v>32180</v>
      </c>
      <c r="B400" s="1" t="str">
        <f>"Dafydd Davies"</f>
        <v>Dafydd Davies</v>
      </c>
      <c r="C400" s="1" t="s">
        <v>32181</v>
      </c>
      <c r="D400" s="1" t="s">
        <v>4220</v>
      </c>
      <c r="E400" s="1" t="s">
        <v>108</v>
      </c>
      <c r="F400" s="1" t="s">
        <v>64</v>
      </c>
      <c r="G400" s="1" t="s">
        <v>109</v>
      </c>
      <c r="H400" s="1" t="s">
        <v>32182</v>
      </c>
      <c r="I400" s="1" t="s">
        <v>5</v>
      </c>
      <c r="J400" s="1" t="s">
        <v>6</v>
      </c>
      <c r="K400" s="1" t="s">
        <v>34</v>
      </c>
      <c r="M400" s="2">
        <v>43452</v>
      </c>
      <c r="N400" s="1" t="s">
        <v>8</v>
      </c>
      <c r="O400" s="2">
        <v>44547</v>
      </c>
    </row>
    <row r="401" spans="1:15" ht="28.8" x14ac:dyDescent="0.3">
      <c r="A401" s="1" t="s">
        <v>32186</v>
      </c>
      <c r="B401" s="1" t="str">
        <f>"Stephen Brookes"</f>
        <v>Stephen Brookes</v>
      </c>
      <c r="C401" s="1" t="s">
        <v>32187</v>
      </c>
      <c r="F401" s="1" t="s">
        <v>491</v>
      </c>
      <c r="G401" s="1" t="s">
        <v>115</v>
      </c>
      <c r="H401" s="1" t="s">
        <v>32188</v>
      </c>
      <c r="I401" s="1" t="s">
        <v>5</v>
      </c>
      <c r="J401" s="1" t="s">
        <v>6</v>
      </c>
      <c r="K401" s="1" t="s">
        <v>34</v>
      </c>
      <c r="M401" s="2">
        <v>43452</v>
      </c>
      <c r="N401" s="1" t="s">
        <v>8</v>
      </c>
      <c r="O401" s="2">
        <v>44547</v>
      </c>
    </row>
    <row r="402" spans="1:15" ht="28.8" x14ac:dyDescent="0.3">
      <c r="A402" s="1" t="s">
        <v>33152</v>
      </c>
      <c r="B402" s="1" t="str">
        <f>"The Canalside company (Welshpool) Ltd"</f>
        <v>The Canalside company (Welshpool) Ltd</v>
      </c>
      <c r="C402" s="1" t="s">
        <v>33153</v>
      </c>
      <c r="F402" s="1" t="s">
        <v>2459</v>
      </c>
      <c r="G402" s="1" t="s">
        <v>162</v>
      </c>
      <c r="H402" s="1" t="s">
        <v>24348</v>
      </c>
      <c r="I402" s="1" t="s">
        <v>19</v>
      </c>
      <c r="J402" s="1" t="s">
        <v>6</v>
      </c>
      <c r="K402" s="1" t="s">
        <v>24</v>
      </c>
      <c r="L402" s="1">
        <v>8717771</v>
      </c>
      <c r="M402" s="2">
        <v>43452</v>
      </c>
      <c r="N402" s="1" t="s">
        <v>8</v>
      </c>
      <c r="O402" s="2">
        <v>44547</v>
      </c>
    </row>
    <row r="403" spans="1:15" x14ac:dyDescent="0.3">
      <c r="A403" s="1" t="s">
        <v>33154</v>
      </c>
      <c r="B403" s="1" t="str">
        <f>"Craig Brown"</f>
        <v>Craig Brown</v>
      </c>
      <c r="C403" s="1" t="s">
        <v>33155</v>
      </c>
      <c r="F403" s="1" t="s">
        <v>123</v>
      </c>
      <c r="G403" s="1" t="s">
        <v>27</v>
      </c>
      <c r="H403" s="1" t="s">
        <v>33156</v>
      </c>
      <c r="I403" s="1" t="s">
        <v>5</v>
      </c>
      <c r="J403" s="1" t="s">
        <v>6</v>
      </c>
      <c r="K403" s="1" t="s">
        <v>24</v>
      </c>
      <c r="M403" s="2">
        <v>43452</v>
      </c>
      <c r="N403" s="1" t="s">
        <v>8</v>
      </c>
      <c r="O403" s="2">
        <v>44547</v>
      </c>
    </row>
    <row r="404" spans="1:15" ht="28.8" x14ac:dyDescent="0.3">
      <c r="A404" s="1" t="s">
        <v>33157</v>
      </c>
      <c r="B404" s="1" t="str">
        <f>"Evans Property Maintenance"</f>
        <v>Evans Property Maintenance</v>
      </c>
      <c r="C404" s="1" t="s">
        <v>33158</v>
      </c>
      <c r="D404" s="1" t="s">
        <v>816</v>
      </c>
      <c r="E404" s="1" t="s">
        <v>578</v>
      </c>
      <c r="F404" s="1" t="s">
        <v>64</v>
      </c>
      <c r="G404" s="1" t="s">
        <v>65</v>
      </c>
      <c r="H404" s="1" t="s">
        <v>6117</v>
      </c>
      <c r="I404" s="1" t="s">
        <v>19</v>
      </c>
      <c r="J404" s="1" t="s">
        <v>6</v>
      </c>
      <c r="K404" s="1" t="s">
        <v>24</v>
      </c>
      <c r="M404" s="2">
        <v>43452</v>
      </c>
      <c r="N404" s="1" t="s">
        <v>8</v>
      </c>
      <c r="O404" s="2">
        <v>44547</v>
      </c>
    </row>
    <row r="405" spans="1:15" ht="43.2" x14ac:dyDescent="0.3">
      <c r="A405" s="1" t="s">
        <v>33162</v>
      </c>
      <c r="B405" s="1" t="str">
        <f>"David Edwards"</f>
        <v>David Edwards</v>
      </c>
      <c r="C405" s="1" t="s">
        <v>33163</v>
      </c>
      <c r="D405" s="1" t="s">
        <v>33164</v>
      </c>
      <c r="F405" s="1" t="s">
        <v>156</v>
      </c>
      <c r="G405" s="1" t="s">
        <v>156</v>
      </c>
      <c r="H405" s="1" t="s">
        <v>5166</v>
      </c>
      <c r="I405" s="1" t="s">
        <v>5</v>
      </c>
      <c r="J405" s="1" t="s">
        <v>67</v>
      </c>
      <c r="K405" s="1" t="s">
        <v>24</v>
      </c>
      <c r="M405" s="2">
        <v>43452</v>
      </c>
      <c r="N405" s="1" t="s">
        <v>8</v>
      </c>
      <c r="O405" s="1" t="s">
        <v>68</v>
      </c>
    </row>
    <row r="406" spans="1:15" ht="28.8" x14ac:dyDescent="0.3">
      <c r="A406" s="1" t="s">
        <v>33165</v>
      </c>
      <c r="B406" s="1" t="str">
        <f>"Rudall&amp; LLoyd Limted "</f>
        <v xml:space="preserve">Rudall&amp; LLoyd Limted </v>
      </c>
      <c r="C406" s="1" t="s">
        <v>33166</v>
      </c>
      <c r="F406" s="1" t="s">
        <v>277</v>
      </c>
      <c r="H406" s="1" t="s">
        <v>33167</v>
      </c>
      <c r="I406" s="1" t="s">
        <v>19</v>
      </c>
      <c r="J406" s="1" t="s">
        <v>6</v>
      </c>
      <c r="K406" s="1" t="s">
        <v>34</v>
      </c>
      <c r="L406" s="1">
        <v>4336601</v>
      </c>
      <c r="M406" s="2">
        <v>43452</v>
      </c>
      <c r="N406" s="1" t="s">
        <v>8</v>
      </c>
      <c r="O406" s="2">
        <v>44547</v>
      </c>
    </row>
    <row r="407" spans="1:15" ht="43.2" x14ac:dyDescent="0.3">
      <c r="A407" s="1" t="s">
        <v>2887</v>
      </c>
      <c r="B407" s="1" t="str">
        <f>"ISC Ltd"</f>
        <v>ISC Ltd</v>
      </c>
      <c r="C407" s="1" t="s">
        <v>2888</v>
      </c>
      <c r="D407" s="1" t="s">
        <v>2889</v>
      </c>
      <c r="E407" s="1" t="s">
        <v>2890</v>
      </c>
      <c r="F407" s="1" t="s">
        <v>1321</v>
      </c>
      <c r="G407" s="1" t="s">
        <v>3</v>
      </c>
      <c r="H407" s="1" t="s">
        <v>2763</v>
      </c>
      <c r="I407" s="1" t="s">
        <v>19</v>
      </c>
      <c r="J407" s="1" t="s">
        <v>67</v>
      </c>
      <c r="K407" s="1" t="s">
        <v>24</v>
      </c>
      <c r="M407" s="2">
        <v>43451</v>
      </c>
      <c r="N407" s="1" t="s">
        <v>8</v>
      </c>
      <c r="O407" s="1" t="s">
        <v>68</v>
      </c>
    </row>
    <row r="408" spans="1:15" ht="43.2" x14ac:dyDescent="0.3">
      <c r="A408" s="1" t="s">
        <v>2891</v>
      </c>
      <c r="B408" s="1" t="str">
        <f>"John Archer Carpets and Furniture"</f>
        <v>John Archer Carpets and Furniture</v>
      </c>
      <c r="C408" s="1" t="s">
        <v>2892</v>
      </c>
      <c r="D408" s="1" t="s">
        <v>2893</v>
      </c>
      <c r="F408" s="1" t="s">
        <v>1108</v>
      </c>
      <c r="G408" s="1" t="s">
        <v>679</v>
      </c>
      <c r="H408" s="1" t="s">
        <v>2894</v>
      </c>
      <c r="I408" s="1" t="s">
        <v>125</v>
      </c>
      <c r="J408" s="1" t="s">
        <v>67</v>
      </c>
      <c r="K408" s="1" t="s">
        <v>24</v>
      </c>
      <c r="M408" s="2">
        <v>43451</v>
      </c>
      <c r="N408" s="1" t="s">
        <v>8</v>
      </c>
      <c r="O408" s="1" t="s">
        <v>68</v>
      </c>
    </row>
    <row r="409" spans="1:15" ht="28.8" x14ac:dyDescent="0.3">
      <c r="A409" s="1" t="s">
        <v>2895</v>
      </c>
      <c r="B409" s="1" t="str">
        <f>"K1 Logistics Ltd"</f>
        <v>K1 Logistics Ltd</v>
      </c>
      <c r="C409" s="1" t="s">
        <v>732</v>
      </c>
      <c r="F409" s="1" t="s">
        <v>733</v>
      </c>
      <c r="H409" s="1" t="s">
        <v>734</v>
      </c>
      <c r="I409" s="1" t="s">
        <v>19</v>
      </c>
      <c r="J409" s="1" t="s">
        <v>6</v>
      </c>
      <c r="K409" s="1" t="s">
        <v>34</v>
      </c>
      <c r="L409" s="1">
        <v>6904872</v>
      </c>
      <c r="M409" s="2">
        <v>43451</v>
      </c>
      <c r="N409" s="1" t="s">
        <v>8</v>
      </c>
      <c r="O409" s="2">
        <v>44546</v>
      </c>
    </row>
    <row r="410" spans="1:15" ht="28.8" x14ac:dyDescent="0.3">
      <c r="A410" s="1" t="s">
        <v>31135</v>
      </c>
      <c r="B410" s="1" t="str">
        <f>"Arnold Building &amp; Carpentry"</f>
        <v>Arnold Building &amp; Carpentry</v>
      </c>
      <c r="C410" s="1" t="s">
        <v>31136</v>
      </c>
      <c r="F410" s="1" t="s">
        <v>930</v>
      </c>
      <c r="G410" s="1" t="s">
        <v>211</v>
      </c>
      <c r="H410" s="1" t="s">
        <v>14705</v>
      </c>
      <c r="I410" s="1" t="s">
        <v>19</v>
      </c>
      <c r="J410" s="1" t="s">
        <v>6</v>
      </c>
      <c r="K410" s="1" t="s">
        <v>24</v>
      </c>
      <c r="L410" s="1">
        <v>6349022</v>
      </c>
      <c r="M410" s="2">
        <v>43451</v>
      </c>
      <c r="N410" s="1" t="s">
        <v>8</v>
      </c>
      <c r="O410" s="2">
        <v>44546</v>
      </c>
    </row>
    <row r="411" spans="1:15" x14ac:dyDescent="0.3">
      <c r="A411" s="1" t="s">
        <v>2896</v>
      </c>
      <c r="B411" s="1" t="str">
        <f>"David rhydian Jones"</f>
        <v>David rhydian Jones</v>
      </c>
      <c r="C411" s="1" t="s">
        <v>2897</v>
      </c>
      <c r="D411" s="1" t="s">
        <v>2898</v>
      </c>
      <c r="F411" s="1" t="s">
        <v>56</v>
      </c>
      <c r="G411" s="1" t="s">
        <v>51</v>
      </c>
      <c r="H411" s="1" t="s">
        <v>2899</v>
      </c>
      <c r="I411" s="1" t="s">
        <v>5</v>
      </c>
      <c r="J411" s="1" t="s">
        <v>6</v>
      </c>
      <c r="K411" s="1" t="s">
        <v>24</v>
      </c>
      <c r="M411" s="2">
        <v>43447</v>
      </c>
      <c r="N411" s="1" t="s">
        <v>8</v>
      </c>
      <c r="O411" s="2">
        <v>44542</v>
      </c>
    </row>
    <row r="412" spans="1:15" ht="43.2" x14ac:dyDescent="0.3">
      <c r="A412" s="1" t="s">
        <v>32156</v>
      </c>
      <c r="B412" s="1" t="str">
        <f>"AFT Group (Wales) LTD"</f>
        <v>AFT Group (Wales) LTD</v>
      </c>
      <c r="C412" s="1" t="s">
        <v>32157</v>
      </c>
      <c r="D412" s="1" t="s">
        <v>32158</v>
      </c>
      <c r="F412" s="1" t="s">
        <v>1093</v>
      </c>
      <c r="G412" s="1" t="s">
        <v>103</v>
      </c>
      <c r="H412" s="1" t="s">
        <v>8713</v>
      </c>
      <c r="I412" s="1" t="s">
        <v>19</v>
      </c>
      <c r="J412" s="1" t="s">
        <v>67</v>
      </c>
      <c r="K412" s="1" t="s">
        <v>24</v>
      </c>
      <c r="L412" s="1">
        <v>8198086</v>
      </c>
      <c r="M412" s="2">
        <v>43446</v>
      </c>
      <c r="N412" s="1" t="s">
        <v>8</v>
      </c>
      <c r="O412" s="1" t="s">
        <v>68</v>
      </c>
    </row>
    <row r="413" spans="1:15" ht="28.8" x14ac:dyDescent="0.3">
      <c r="A413" s="1" t="s">
        <v>33148</v>
      </c>
      <c r="B413" s="1" t="str">
        <f>"Julian Williams Man &amp; a Van Removals"</f>
        <v>Julian Williams Man &amp; a Van Removals</v>
      </c>
      <c r="C413" s="1" t="s">
        <v>33149</v>
      </c>
      <c r="F413" s="1" t="s">
        <v>42</v>
      </c>
      <c r="H413" s="1" t="s">
        <v>33150</v>
      </c>
      <c r="I413" s="1" t="s">
        <v>5</v>
      </c>
      <c r="J413" s="1" t="s">
        <v>6</v>
      </c>
      <c r="K413" s="1" t="s">
        <v>24</v>
      </c>
      <c r="M413" s="2">
        <v>43445</v>
      </c>
      <c r="N413" s="1" t="s">
        <v>8</v>
      </c>
      <c r="O413" s="2">
        <v>44540</v>
      </c>
    </row>
    <row r="414" spans="1:15" ht="28.8" x14ac:dyDescent="0.3">
      <c r="A414" s="1" t="s">
        <v>2900</v>
      </c>
      <c r="B414" s="1" t="str">
        <f>"PD Construction and plant"</f>
        <v>PD Construction and plant</v>
      </c>
      <c r="C414" s="1" t="s">
        <v>2901</v>
      </c>
      <c r="D414" s="1" t="s">
        <v>2902</v>
      </c>
      <c r="F414" s="1" t="s">
        <v>2281</v>
      </c>
      <c r="G414" s="1" t="s">
        <v>73</v>
      </c>
      <c r="H414" s="1" t="s">
        <v>2903</v>
      </c>
      <c r="I414" s="1" t="s">
        <v>19</v>
      </c>
      <c r="J414" s="1" t="s">
        <v>6</v>
      </c>
      <c r="K414" s="1" t="s">
        <v>34</v>
      </c>
      <c r="L414" s="1">
        <v>6409603</v>
      </c>
      <c r="M414" s="2">
        <v>43444</v>
      </c>
      <c r="N414" s="1" t="s">
        <v>8</v>
      </c>
      <c r="O414" s="2">
        <v>44539</v>
      </c>
    </row>
    <row r="415" spans="1:15" x14ac:dyDescent="0.3">
      <c r="A415" s="1" t="s">
        <v>2917</v>
      </c>
      <c r="B415" s="1" t="str">
        <f>"Myrddin Griffiths"</f>
        <v>Myrddin Griffiths</v>
      </c>
      <c r="C415" s="1" t="s">
        <v>2918</v>
      </c>
      <c r="D415" s="1" t="s">
        <v>2919</v>
      </c>
      <c r="F415" s="1" t="s">
        <v>72</v>
      </c>
      <c r="G415" s="1" t="s">
        <v>73</v>
      </c>
      <c r="H415" s="1" t="s">
        <v>2920</v>
      </c>
      <c r="I415" s="1" t="s">
        <v>5</v>
      </c>
      <c r="J415" s="1" t="s">
        <v>6</v>
      </c>
      <c r="K415" s="1" t="s">
        <v>24</v>
      </c>
      <c r="M415" s="2">
        <v>43444</v>
      </c>
      <c r="N415" s="1" t="s">
        <v>8</v>
      </c>
      <c r="O415" s="2">
        <v>44539</v>
      </c>
    </row>
    <row r="416" spans="1:15" x14ac:dyDescent="0.3">
      <c r="A416" s="1" t="s">
        <v>31132</v>
      </c>
      <c r="B416" s="1" t="str">
        <f>"John McCarthy"</f>
        <v>John McCarthy</v>
      </c>
      <c r="C416" s="1" t="s">
        <v>31133</v>
      </c>
      <c r="D416" s="1" t="s">
        <v>31134</v>
      </c>
      <c r="E416" s="1" t="s">
        <v>560</v>
      </c>
      <c r="F416" s="1" t="s">
        <v>123</v>
      </c>
      <c r="G416" s="1" t="s">
        <v>27</v>
      </c>
      <c r="H416" s="1" t="s">
        <v>15984</v>
      </c>
      <c r="I416" s="1" t="s">
        <v>5</v>
      </c>
      <c r="J416" s="1" t="s">
        <v>6</v>
      </c>
      <c r="K416" s="1" t="s">
        <v>14</v>
      </c>
      <c r="M416" s="2">
        <v>43441</v>
      </c>
      <c r="N416" s="1" t="s">
        <v>8</v>
      </c>
      <c r="O416" s="2">
        <v>44536</v>
      </c>
    </row>
    <row r="417" spans="1:15" ht="28.8" x14ac:dyDescent="0.3">
      <c r="A417" s="1" t="s">
        <v>32115</v>
      </c>
      <c r="B417" s="1" t="str">
        <f>"Beamish Trading Limited"</f>
        <v>Beamish Trading Limited</v>
      </c>
      <c r="C417" s="1" t="s">
        <v>32116</v>
      </c>
      <c r="D417" s="1" t="s">
        <v>32117</v>
      </c>
      <c r="E417" s="1" t="s">
        <v>32118</v>
      </c>
      <c r="F417" s="1" t="s">
        <v>211</v>
      </c>
      <c r="H417" s="1" t="s">
        <v>32119</v>
      </c>
      <c r="I417" s="1" t="s">
        <v>19</v>
      </c>
      <c r="J417" s="1" t="s">
        <v>6</v>
      </c>
      <c r="K417" s="1" t="s">
        <v>34</v>
      </c>
      <c r="L417" s="1">
        <v>6961058</v>
      </c>
      <c r="M417" s="2">
        <v>43441</v>
      </c>
      <c r="N417" s="1" t="s">
        <v>8</v>
      </c>
      <c r="O417" s="2">
        <v>44536</v>
      </c>
    </row>
    <row r="418" spans="1:15" x14ac:dyDescent="0.3">
      <c r="A418" s="1" t="s">
        <v>32123</v>
      </c>
      <c r="B418" s="1" t="str">
        <f>"Andrew Jones"</f>
        <v>Andrew Jones</v>
      </c>
      <c r="C418" s="1" t="s">
        <v>32124</v>
      </c>
      <c r="D418" s="1" t="s">
        <v>32125</v>
      </c>
      <c r="F418" s="1" t="s">
        <v>64</v>
      </c>
      <c r="G418" s="1" t="s">
        <v>65</v>
      </c>
      <c r="H418" s="1" t="s">
        <v>13819</v>
      </c>
      <c r="I418" s="1" t="s">
        <v>5</v>
      </c>
      <c r="J418" s="1" t="s">
        <v>6</v>
      </c>
      <c r="K418" s="1" t="s">
        <v>24</v>
      </c>
      <c r="M418" s="2">
        <v>43441</v>
      </c>
      <c r="N418" s="1" t="s">
        <v>8</v>
      </c>
      <c r="O418" s="2">
        <v>44536</v>
      </c>
    </row>
    <row r="419" spans="1:15" x14ac:dyDescent="0.3">
      <c r="A419" s="1" t="s">
        <v>32129</v>
      </c>
      <c r="B419" s="1" t="str">
        <f>"Robert Bunford"</f>
        <v>Robert Bunford</v>
      </c>
      <c r="C419" s="1" t="s">
        <v>32130</v>
      </c>
      <c r="F419" s="1" t="s">
        <v>665</v>
      </c>
      <c r="G419" s="1" t="s">
        <v>51</v>
      </c>
      <c r="H419" s="1" t="s">
        <v>32131</v>
      </c>
      <c r="I419" s="1" t="s">
        <v>5</v>
      </c>
      <c r="J419" s="1" t="s">
        <v>6</v>
      </c>
      <c r="K419" s="1" t="s">
        <v>24</v>
      </c>
      <c r="M419" s="2">
        <v>43441</v>
      </c>
      <c r="N419" s="1" t="s">
        <v>8</v>
      </c>
      <c r="O419" s="2">
        <v>44536</v>
      </c>
    </row>
    <row r="420" spans="1:15" ht="28.8" x14ac:dyDescent="0.3">
      <c r="A420" s="1" t="s">
        <v>32135</v>
      </c>
      <c r="B420" s="1" t="str">
        <f>"John Dyer John Dyer"</f>
        <v>John Dyer John Dyer</v>
      </c>
      <c r="C420" s="1" t="s">
        <v>32136</v>
      </c>
      <c r="D420" s="1" t="s">
        <v>30397</v>
      </c>
      <c r="F420" s="1" t="s">
        <v>42</v>
      </c>
      <c r="G420" s="1" t="s">
        <v>51</v>
      </c>
      <c r="H420" s="1" t="s">
        <v>32137</v>
      </c>
      <c r="I420" s="1" t="s">
        <v>5</v>
      </c>
      <c r="J420" s="1" t="s">
        <v>6</v>
      </c>
      <c r="K420" s="1" t="s">
        <v>34</v>
      </c>
      <c r="M420" s="2">
        <v>43441</v>
      </c>
      <c r="N420" s="1" t="s">
        <v>8</v>
      </c>
      <c r="O420" s="2">
        <v>44536</v>
      </c>
    </row>
    <row r="421" spans="1:15" ht="28.8" x14ac:dyDescent="0.3">
      <c r="A421" s="1" t="s">
        <v>32142</v>
      </c>
      <c r="B421" s="1" t="str">
        <f>"D J REES DECORATING SERVICES LTD"</f>
        <v>D J REES DECORATING SERVICES LTD</v>
      </c>
      <c r="C421" s="1" t="s">
        <v>32143</v>
      </c>
      <c r="D421" s="1" t="s">
        <v>17720</v>
      </c>
      <c r="E421" s="1" t="s">
        <v>1705</v>
      </c>
      <c r="F421" s="1" t="s">
        <v>556</v>
      </c>
      <c r="G421" s="1" t="s">
        <v>556</v>
      </c>
      <c r="H421" s="1" t="s">
        <v>1706</v>
      </c>
      <c r="I421" s="1" t="s">
        <v>19</v>
      </c>
      <c r="J421" s="1" t="s">
        <v>6</v>
      </c>
      <c r="K421" s="1" t="s">
        <v>24</v>
      </c>
      <c r="L421" s="1">
        <v>4961879</v>
      </c>
      <c r="M421" s="2">
        <v>43441</v>
      </c>
      <c r="N421" s="1" t="s">
        <v>8</v>
      </c>
      <c r="O421" s="2">
        <v>44536</v>
      </c>
    </row>
    <row r="422" spans="1:15" ht="43.2" x14ac:dyDescent="0.3">
      <c r="A422" s="1" t="s">
        <v>32144</v>
      </c>
      <c r="B422" s="1" t="str">
        <f>"Stephen Lloyd"</f>
        <v>Stephen Lloyd</v>
      </c>
      <c r="C422" s="1" t="s">
        <v>32145</v>
      </c>
      <c r="D422" s="1" t="s">
        <v>2837</v>
      </c>
      <c r="E422" s="1" t="s">
        <v>2307</v>
      </c>
      <c r="F422" s="1" t="s">
        <v>1021</v>
      </c>
      <c r="G422" s="1" t="s">
        <v>51</v>
      </c>
      <c r="H422" s="1" t="s">
        <v>2308</v>
      </c>
      <c r="I422" s="1" t="s">
        <v>5</v>
      </c>
      <c r="J422" s="1" t="s">
        <v>67</v>
      </c>
      <c r="K422" s="1" t="s">
        <v>24</v>
      </c>
      <c r="M422" s="2">
        <v>43441</v>
      </c>
      <c r="N422" s="1" t="s">
        <v>8</v>
      </c>
      <c r="O422" s="1" t="s">
        <v>68</v>
      </c>
    </row>
    <row r="423" spans="1:15" ht="43.2" x14ac:dyDescent="0.3">
      <c r="A423" s="1" t="s">
        <v>32146</v>
      </c>
      <c r="B423" s="1" t="str">
        <f>"STA Supplies"</f>
        <v>STA Supplies</v>
      </c>
      <c r="C423" s="1" t="s">
        <v>32147</v>
      </c>
      <c r="D423" s="1" t="s">
        <v>2879</v>
      </c>
      <c r="F423" s="1" t="s">
        <v>2459</v>
      </c>
      <c r="G423" s="1" t="s">
        <v>162</v>
      </c>
      <c r="H423" s="1" t="s">
        <v>2880</v>
      </c>
      <c r="I423" s="1" t="s">
        <v>19</v>
      </c>
      <c r="J423" s="1" t="s">
        <v>67</v>
      </c>
      <c r="K423" s="1" t="s">
        <v>24</v>
      </c>
      <c r="L423" s="1">
        <v>4299746</v>
      </c>
      <c r="M423" s="2">
        <v>43441</v>
      </c>
      <c r="N423" s="1" t="s">
        <v>8</v>
      </c>
      <c r="O423" s="1" t="s">
        <v>68</v>
      </c>
    </row>
    <row r="424" spans="1:15" ht="28.8" x14ac:dyDescent="0.3">
      <c r="A424" s="1" t="s">
        <v>32148</v>
      </c>
      <c r="B424" s="1" t="str">
        <f>"Karina Lane Property"</f>
        <v>Karina Lane Property</v>
      </c>
      <c r="C424" s="1" t="s">
        <v>32149</v>
      </c>
      <c r="D424" s="1" t="s">
        <v>424</v>
      </c>
      <c r="F424" s="1" t="s">
        <v>64</v>
      </c>
      <c r="G424" s="1" t="s">
        <v>65</v>
      </c>
      <c r="H424" s="1" t="s">
        <v>32150</v>
      </c>
      <c r="I424" s="1" t="s">
        <v>19</v>
      </c>
      <c r="J424" s="1" t="s">
        <v>6</v>
      </c>
      <c r="K424" s="1" t="s">
        <v>34</v>
      </c>
      <c r="L424" s="1">
        <v>10746601</v>
      </c>
      <c r="M424" s="2">
        <v>43441</v>
      </c>
      <c r="N424" s="1" t="s">
        <v>8</v>
      </c>
      <c r="O424" s="2">
        <v>44536</v>
      </c>
    </row>
    <row r="425" spans="1:15" x14ac:dyDescent="0.3">
      <c r="A425" s="1" t="s">
        <v>31100</v>
      </c>
      <c r="B425" s="1" t="str">
        <f>"Mike Thomas"</f>
        <v>Mike Thomas</v>
      </c>
      <c r="C425" s="1" t="s">
        <v>31101</v>
      </c>
      <c r="D425" s="1" t="s">
        <v>12173</v>
      </c>
      <c r="E425" s="1" t="s">
        <v>8076</v>
      </c>
      <c r="F425" s="1" t="s">
        <v>358</v>
      </c>
      <c r="G425" s="1" t="s">
        <v>359</v>
      </c>
      <c r="H425" s="1" t="s">
        <v>31102</v>
      </c>
      <c r="I425" s="1" t="s">
        <v>5</v>
      </c>
      <c r="J425" s="1" t="s">
        <v>6</v>
      </c>
      <c r="K425" s="1" t="s">
        <v>14</v>
      </c>
      <c r="M425" s="2">
        <v>43440</v>
      </c>
      <c r="N425" s="1" t="s">
        <v>8</v>
      </c>
      <c r="O425" s="2">
        <v>44535</v>
      </c>
    </row>
    <row r="426" spans="1:15" ht="28.8" x14ac:dyDescent="0.3">
      <c r="A426" s="1" t="s">
        <v>31103</v>
      </c>
      <c r="B426" s="1" t="str">
        <f>"Zach Camp"</f>
        <v>Zach Camp</v>
      </c>
      <c r="C426" s="1" t="s">
        <v>31104</v>
      </c>
      <c r="F426" s="1" t="s">
        <v>32</v>
      </c>
      <c r="G426" s="1" t="s">
        <v>109</v>
      </c>
      <c r="H426" s="1" t="s">
        <v>26045</v>
      </c>
      <c r="I426" s="1" t="s">
        <v>5</v>
      </c>
      <c r="J426" s="1" t="s">
        <v>6</v>
      </c>
      <c r="K426" s="1" t="s">
        <v>24</v>
      </c>
      <c r="M426" s="2">
        <v>43440</v>
      </c>
      <c r="N426" s="1" t="s">
        <v>8</v>
      </c>
      <c r="O426" s="2">
        <v>44535</v>
      </c>
    </row>
    <row r="427" spans="1:15" ht="28.8" x14ac:dyDescent="0.3">
      <c r="A427" s="1" t="s">
        <v>31105</v>
      </c>
      <c r="B427" s="1" t="str">
        <f>"RG Hire"</f>
        <v>RG Hire</v>
      </c>
      <c r="C427" s="1" t="s">
        <v>31106</v>
      </c>
      <c r="D427" s="1" t="s">
        <v>30635</v>
      </c>
      <c r="F427" s="1" t="s">
        <v>1108</v>
      </c>
      <c r="G427" s="1" t="s">
        <v>679</v>
      </c>
      <c r="H427" s="1" t="s">
        <v>31107</v>
      </c>
      <c r="I427" s="1" t="s">
        <v>19</v>
      </c>
      <c r="J427" s="1" t="s">
        <v>6</v>
      </c>
      <c r="K427" s="1" t="s">
        <v>34</v>
      </c>
      <c r="L427" s="1">
        <v>6608296</v>
      </c>
      <c r="M427" s="2">
        <v>43440</v>
      </c>
      <c r="N427" s="1" t="s">
        <v>8</v>
      </c>
      <c r="O427" s="2">
        <v>44535</v>
      </c>
    </row>
    <row r="428" spans="1:15" x14ac:dyDescent="0.3">
      <c r="A428" s="1" t="s">
        <v>31111</v>
      </c>
      <c r="B428" s="1" t="str">
        <f>"Adam O'callaghan"</f>
        <v>Adam O'callaghan</v>
      </c>
      <c r="C428" s="1" t="s">
        <v>31112</v>
      </c>
      <c r="D428" s="1" t="s">
        <v>424</v>
      </c>
      <c r="F428" s="1" t="s">
        <v>64</v>
      </c>
      <c r="G428" s="1" t="s">
        <v>65</v>
      </c>
      <c r="H428" s="1" t="s">
        <v>31113</v>
      </c>
      <c r="I428" s="1" t="s">
        <v>5</v>
      </c>
      <c r="J428" s="1" t="s">
        <v>6</v>
      </c>
      <c r="K428" s="1" t="s">
        <v>1632</v>
      </c>
      <c r="M428" s="2">
        <v>43440</v>
      </c>
      <c r="N428" s="1" t="s">
        <v>8</v>
      </c>
      <c r="O428" s="2">
        <v>44535</v>
      </c>
    </row>
    <row r="429" spans="1:15" ht="28.8" x14ac:dyDescent="0.3">
      <c r="A429" s="1" t="s">
        <v>31114</v>
      </c>
      <c r="B429" s="1" t="str">
        <f>"JJ Gardening Maintenance"</f>
        <v>JJ Gardening Maintenance</v>
      </c>
      <c r="C429" s="1" t="s">
        <v>31115</v>
      </c>
      <c r="D429" s="1" t="s">
        <v>31116</v>
      </c>
      <c r="E429" s="1" t="s">
        <v>31117</v>
      </c>
      <c r="F429" s="1" t="s">
        <v>31118</v>
      </c>
      <c r="G429" s="1" t="s">
        <v>211</v>
      </c>
      <c r="H429" s="1" t="s">
        <v>9355</v>
      </c>
      <c r="I429" s="1" t="s">
        <v>19</v>
      </c>
      <c r="J429" s="1" t="s">
        <v>6</v>
      </c>
      <c r="K429" s="1" t="s">
        <v>34</v>
      </c>
      <c r="L429" s="1">
        <v>8926519</v>
      </c>
      <c r="M429" s="2">
        <v>43440</v>
      </c>
      <c r="N429" s="1" t="s">
        <v>8</v>
      </c>
      <c r="O429" s="2">
        <v>44535</v>
      </c>
    </row>
    <row r="430" spans="1:15" ht="28.8" x14ac:dyDescent="0.3">
      <c r="A430" s="1" t="s">
        <v>31119</v>
      </c>
      <c r="B430" s="1" t="str">
        <f>"DJ Huxley Farms Ltd"</f>
        <v>DJ Huxley Farms Ltd</v>
      </c>
      <c r="C430" s="1" t="s">
        <v>31120</v>
      </c>
      <c r="D430" s="1" t="s">
        <v>31121</v>
      </c>
      <c r="E430" s="1" t="s">
        <v>20461</v>
      </c>
      <c r="F430" s="1" t="s">
        <v>560</v>
      </c>
      <c r="G430" s="1" t="s">
        <v>198</v>
      </c>
      <c r="H430" s="1" t="s">
        <v>31122</v>
      </c>
      <c r="I430" s="1" t="s">
        <v>19</v>
      </c>
      <c r="J430" s="1" t="s">
        <v>6</v>
      </c>
      <c r="K430" s="1" t="s">
        <v>34</v>
      </c>
      <c r="M430" s="2">
        <v>43440</v>
      </c>
      <c r="N430" s="1" t="s">
        <v>8</v>
      </c>
      <c r="O430" s="2">
        <v>44535</v>
      </c>
    </row>
    <row r="431" spans="1:15" ht="43.2" x14ac:dyDescent="0.3">
      <c r="A431" s="1" t="s">
        <v>31126</v>
      </c>
      <c r="B431" s="1" t="str">
        <f>"PROJECT ENGINEERING"</f>
        <v>PROJECT ENGINEERING</v>
      </c>
      <c r="C431" s="1" t="s">
        <v>31127</v>
      </c>
      <c r="D431" s="1" t="s">
        <v>31128</v>
      </c>
      <c r="E431" s="1" t="s">
        <v>5074</v>
      </c>
      <c r="F431" s="1" t="s">
        <v>1206</v>
      </c>
      <c r="G431" s="1" t="s">
        <v>162</v>
      </c>
      <c r="H431" s="1" t="s">
        <v>31129</v>
      </c>
      <c r="I431" s="1" t="s">
        <v>19</v>
      </c>
      <c r="J431" s="1" t="s">
        <v>67</v>
      </c>
      <c r="K431" s="1" t="s">
        <v>7</v>
      </c>
      <c r="M431" s="2">
        <v>43440</v>
      </c>
      <c r="N431" s="1" t="s">
        <v>8</v>
      </c>
      <c r="O431" s="1" t="s">
        <v>68</v>
      </c>
    </row>
    <row r="432" spans="1:15" ht="28.8" x14ac:dyDescent="0.3">
      <c r="A432" s="1" t="s">
        <v>31130</v>
      </c>
      <c r="B432" s="1" t="str">
        <f>"GNR Industrial Flooring Limited"</f>
        <v>GNR Industrial Flooring Limited</v>
      </c>
      <c r="C432" s="1" t="s">
        <v>31131</v>
      </c>
      <c r="D432" s="1" t="s">
        <v>733</v>
      </c>
      <c r="F432" s="1" t="s">
        <v>2066</v>
      </c>
      <c r="G432" s="1" t="s">
        <v>231</v>
      </c>
      <c r="H432" s="1" t="s">
        <v>21797</v>
      </c>
      <c r="I432" s="1" t="s">
        <v>19</v>
      </c>
      <c r="J432" s="1" t="s">
        <v>6</v>
      </c>
      <c r="K432" s="1" t="s">
        <v>34</v>
      </c>
      <c r="M432" s="2">
        <v>43440</v>
      </c>
      <c r="N432" s="1" t="s">
        <v>8</v>
      </c>
      <c r="O432" s="2">
        <v>44535</v>
      </c>
    </row>
    <row r="433" spans="1:15" ht="28.8" x14ac:dyDescent="0.3">
      <c r="A433" s="1" t="s">
        <v>32081</v>
      </c>
      <c r="B433" s="1" t="str">
        <f>"Celsa Manufacturing (uk) Ltd"</f>
        <v>Celsa Manufacturing (uk) Ltd</v>
      </c>
      <c r="C433" s="1" t="s">
        <v>32082</v>
      </c>
      <c r="D433" s="1" t="s">
        <v>1034</v>
      </c>
      <c r="F433" s="1" t="s">
        <v>123</v>
      </c>
      <c r="H433" s="1" t="s">
        <v>32083</v>
      </c>
      <c r="I433" s="1" t="s">
        <v>19</v>
      </c>
      <c r="J433" s="1" t="s">
        <v>6</v>
      </c>
      <c r="K433" s="1" t="s">
        <v>34</v>
      </c>
      <c r="M433" s="2">
        <v>43440</v>
      </c>
      <c r="N433" s="1" t="s">
        <v>8</v>
      </c>
      <c r="O433" s="2">
        <v>44535</v>
      </c>
    </row>
    <row r="434" spans="1:15" ht="28.8" x14ac:dyDescent="0.3">
      <c r="A434" s="1" t="s">
        <v>32084</v>
      </c>
      <c r="B434" s="1" t="str">
        <f>"SCR Services"</f>
        <v>SCR Services</v>
      </c>
      <c r="C434" s="1" t="s">
        <v>31513</v>
      </c>
      <c r="D434" s="1" t="s">
        <v>32085</v>
      </c>
      <c r="F434" s="1" t="s">
        <v>1479</v>
      </c>
      <c r="G434" s="1" t="s">
        <v>324</v>
      </c>
      <c r="H434" s="1" t="s">
        <v>32086</v>
      </c>
      <c r="I434" s="1" t="s">
        <v>19</v>
      </c>
      <c r="J434" s="1" t="s">
        <v>6</v>
      </c>
      <c r="K434" s="1" t="s">
        <v>34</v>
      </c>
      <c r="L434" s="1">
        <v>9510059</v>
      </c>
      <c r="M434" s="2">
        <v>43440</v>
      </c>
      <c r="N434" s="1" t="s">
        <v>8</v>
      </c>
      <c r="O434" s="2">
        <v>44535</v>
      </c>
    </row>
    <row r="435" spans="1:15" ht="28.8" x14ac:dyDescent="0.3">
      <c r="A435" s="1" t="s">
        <v>32095</v>
      </c>
      <c r="B435" s="1" t="str">
        <f>"Paul Desmond Leach"</f>
        <v>Paul Desmond Leach</v>
      </c>
      <c r="C435" s="1" t="s">
        <v>32096</v>
      </c>
      <c r="D435" s="1" t="s">
        <v>32097</v>
      </c>
      <c r="F435" s="1" t="s">
        <v>665</v>
      </c>
      <c r="H435" s="1" t="s">
        <v>32098</v>
      </c>
      <c r="I435" s="1" t="s">
        <v>5</v>
      </c>
      <c r="J435" s="1" t="s">
        <v>6</v>
      </c>
      <c r="K435" s="1" t="s">
        <v>34</v>
      </c>
      <c r="M435" s="2">
        <v>43440</v>
      </c>
      <c r="N435" s="1" t="s">
        <v>8</v>
      </c>
      <c r="O435" s="2">
        <v>44535</v>
      </c>
    </row>
    <row r="436" spans="1:15" ht="28.8" x14ac:dyDescent="0.3">
      <c r="A436" s="1" t="s">
        <v>32099</v>
      </c>
      <c r="B436" s="1" t="str">
        <f>"QE Paving"</f>
        <v>QE Paving</v>
      </c>
      <c r="C436" s="1" t="s">
        <v>32100</v>
      </c>
      <c r="D436" s="1" t="s">
        <v>5760</v>
      </c>
      <c r="E436" s="1" t="s">
        <v>14843</v>
      </c>
      <c r="F436" s="1" t="s">
        <v>179</v>
      </c>
      <c r="G436" s="1" t="s">
        <v>180</v>
      </c>
      <c r="H436" s="1" t="s">
        <v>5762</v>
      </c>
      <c r="I436" s="1" t="s">
        <v>19</v>
      </c>
      <c r="J436" s="1" t="s">
        <v>6</v>
      </c>
      <c r="K436" s="1" t="s">
        <v>34</v>
      </c>
      <c r="L436" s="1">
        <v>6708453</v>
      </c>
      <c r="M436" s="2">
        <v>43440</v>
      </c>
      <c r="N436" s="1" t="s">
        <v>8</v>
      </c>
      <c r="O436" s="2">
        <v>44535</v>
      </c>
    </row>
    <row r="437" spans="1:15" ht="28.8" x14ac:dyDescent="0.3">
      <c r="A437" s="1" t="s">
        <v>32101</v>
      </c>
      <c r="B437" s="1" t="str">
        <f>"TCM Carpets"</f>
        <v>TCM Carpets</v>
      </c>
      <c r="C437" s="1" t="s">
        <v>32102</v>
      </c>
      <c r="D437" s="1" t="s">
        <v>32103</v>
      </c>
      <c r="F437" s="1" t="s">
        <v>32104</v>
      </c>
      <c r="G437" s="1" t="s">
        <v>2497</v>
      </c>
      <c r="H437" s="1" t="s">
        <v>32105</v>
      </c>
      <c r="I437" s="1" t="s">
        <v>19</v>
      </c>
      <c r="J437" s="1" t="s">
        <v>6</v>
      </c>
      <c r="K437" s="1" t="s">
        <v>34</v>
      </c>
      <c r="M437" s="2">
        <v>43440</v>
      </c>
      <c r="N437" s="1" t="s">
        <v>8</v>
      </c>
      <c r="O437" s="2">
        <v>44535</v>
      </c>
    </row>
    <row r="438" spans="1:15" ht="43.2" x14ac:dyDescent="0.3">
      <c r="A438" s="1" t="s">
        <v>32107</v>
      </c>
      <c r="B438" s="1" t="str">
        <f>"Leighton Kieft L.j.k gardening and maintenance ser"</f>
        <v>Leighton Kieft L.j.k gardening and maintenance ser</v>
      </c>
      <c r="C438" s="1" t="s">
        <v>32108</v>
      </c>
      <c r="D438" s="1" t="s">
        <v>424</v>
      </c>
      <c r="F438" s="1" t="s">
        <v>64</v>
      </c>
      <c r="G438" s="1" t="s">
        <v>65</v>
      </c>
      <c r="H438" s="1" t="s">
        <v>32109</v>
      </c>
      <c r="I438" s="1" t="s">
        <v>5</v>
      </c>
      <c r="J438" s="1" t="s">
        <v>6</v>
      </c>
      <c r="K438" s="1" t="s">
        <v>24</v>
      </c>
      <c r="M438" s="2">
        <v>43440</v>
      </c>
      <c r="N438" s="1" t="s">
        <v>8</v>
      </c>
      <c r="O438" s="2">
        <v>44535</v>
      </c>
    </row>
    <row r="439" spans="1:15" ht="28.8" x14ac:dyDescent="0.3">
      <c r="A439" s="1" t="s">
        <v>650</v>
      </c>
      <c r="B439" s="1" t="str">
        <f>"Pencefn Livestock Ltd"</f>
        <v>Pencefn Livestock Ltd</v>
      </c>
      <c r="C439" s="1" t="s">
        <v>651</v>
      </c>
      <c r="D439" s="1" t="s">
        <v>652</v>
      </c>
      <c r="F439" s="1" t="s">
        <v>653</v>
      </c>
      <c r="G439" s="1" t="s">
        <v>654</v>
      </c>
      <c r="H439" s="1" t="s">
        <v>655</v>
      </c>
      <c r="I439" s="1" t="s">
        <v>19</v>
      </c>
      <c r="J439" s="1" t="s">
        <v>6</v>
      </c>
      <c r="K439" s="1" t="s">
        <v>34</v>
      </c>
      <c r="L439" s="1">
        <v>3772075</v>
      </c>
      <c r="M439" s="2">
        <v>43439</v>
      </c>
      <c r="N439" s="1" t="s">
        <v>8</v>
      </c>
      <c r="O439" s="2">
        <v>44534</v>
      </c>
    </row>
    <row r="440" spans="1:15" ht="43.2" x14ac:dyDescent="0.3">
      <c r="A440" s="1" t="s">
        <v>31091</v>
      </c>
      <c r="B440" s="1" t="str">
        <f>"Amanda Allen"</f>
        <v>Amanda Allen</v>
      </c>
      <c r="C440" s="1" t="s">
        <v>31092</v>
      </c>
      <c r="D440" s="1" t="s">
        <v>31093</v>
      </c>
      <c r="F440" s="1" t="s">
        <v>1230</v>
      </c>
      <c r="G440" s="1" t="s">
        <v>162</v>
      </c>
      <c r="H440" s="1" t="s">
        <v>25753</v>
      </c>
      <c r="I440" s="1" t="s">
        <v>5</v>
      </c>
      <c r="J440" s="1" t="s">
        <v>67</v>
      </c>
      <c r="K440" s="1" t="s">
        <v>24</v>
      </c>
      <c r="M440" s="2">
        <v>43439</v>
      </c>
      <c r="N440" s="1" t="s">
        <v>8</v>
      </c>
      <c r="O440" s="1" t="s">
        <v>68</v>
      </c>
    </row>
    <row r="441" spans="1:15" ht="43.2" x14ac:dyDescent="0.3">
      <c r="A441" s="1" t="s">
        <v>32055</v>
      </c>
      <c r="B441" s="1" t="str">
        <f>"Jean-pierre Van der westhuizen Newport Best Metal Merchants"</f>
        <v>Jean-pierre Van der westhuizen Newport Best Metal Merchants</v>
      </c>
      <c r="C441" s="1" t="s">
        <v>32056</v>
      </c>
      <c r="F441" s="1" t="s">
        <v>156</v>
      </c>
      <c r="G441" s="1" t="s">
        <v>156</v>
      </c>
      <c r="H441" s="1" t="s">
        <v>32057</v>
      </c>
      <c r="I441" s="1" t="s">
        <v>5</v>
      </c>
      <c r="J441" s="1" t="s">
        <v>6</v>
      </c>
      <c r="K441" s="1" t="s">
        <v>24</v>
      </c>
      <c r="M441" s="2">
        <v>43439</v>
      </c>
      <c r="N441" s="1" t="s">
        <v>8</v>
      </c>
      <c r="O441" s="2">
        <v>44534</v>
      </c>
    </row>
    <row r="442" spans="1:15" x14ac:dyDescent="0.3">
      <c r="A442" s="1" t="s">
        <v>33122</v>
      </c>
      <c r="B442" s="1" t="str">
        <f>"Hall Bros Transport Ltd"</f>
        <v>Hall Bros Transport Ltd</v>
      </c>
      <c r="C442" s="1" t="s">
        <v>31120</v>
      </c>
      <c r="D442" s="1" t="s">
        <v>33123</v>
      </c>
      <c r="E442" s="1" t="s">
        <v>5227</v>
      </c>
      <c r="G442" s="1" t="s">
        <v>307</v>
      </c>
      <c r="H442" s="1" t="s">
        <v>33124</v>
      </c>
      <c r="I442" s="1" t="s">
        <v>19</v>
      </c>
      <c r="J442" s="1" t="s">
        <v>6</v>
      </c>
      <c r="K442" s="1" t="s">
        <v>24</v>
      </c>
      <c r="L442" s="1">
        <v>11640665</v>
      </c>
      <c r="M442" s="2">
        <v>43439</v>
      </c>
      <c r="N442" s="1" t="s">
        <v>8</v>
      </c>
      <c r="O442" s="2">
        <v>44534</v>
      </c>
    </row>
    <row r="443" spans="1:15" ht="28.8" x14ac:dyDescent="0.3">
      <c r="A443" s="1" t="s">
        <v>33141</v>
      </c>
      <c r="B443" s="1" t="str">
        <f>"Connor Chapman"</f>
        <v>Connor Chapman</v>
      </c>
      <c r="C443" s="1" t="s">
        <v>33142</v>
      </c>
      <c r="D443" s="1" t="s">
        <v>33143</v>
      </c>
      <c r="F443" s="1" t="s">
        <v>64</v>
      </c>
      <c r="G443" s="1" t="s">
        <v>65</v>
      </c>
      <c r="H443" s="1" t="s">
        <v>33144</v>
      </c>
      <c r="I443" s="1" t="s">
        <v>5</v>
      </c>
      <c r="J443" s="1" t="s">
        <v>6</v>
      </c>
      <c r="K443" s="1" t="s">
        <v>34</v>
      </c>
      <c r="M443" s="2">
        <v>43439</v>
      </c>
      <c r="N443" s="1" t="s">
        <v>8</v>
      </c>
      <c r="O443" s="2">
        <v>44534</v>
      </c>
    </row>
    <row r="444" spans="1:15" x14ac:dyDescent="0.3">
      <c r="A444" s="1" t="s">
        <v>2803</v>
      </c>
      <c r="B444" s="1" t="str">
        <f>"melvyn davies"</f>
        <v>melvyn davies</v>
      </c>
      <c r="I444" s="1" t="s">
        <v>5</v>
      </c>
      <c r="J444" s="1" t="s">
        <v>6</v>
      </c>
      <c r="K444" s="1" t="s">
        <v>24</v>
      </c>
      <c r="M444" s="2">
        <v>43437</v>
      </c>
      <c r="N444" s="1" t="s">
        <v>8</v>
      </c>
      <c r="O444" s="2">
        <v>44532</v>
      </c>
    </row>
    <row r="445" spans="1:15" ht="28.8" x14ac:dyDescent="0.3">
      <c r="A445" s="1" t="s">
        <v>2822</v>
      </c>
      <c r="B445" s="1" t="str">
        <f>"Richard Kemble Contracts Ltd"</f>
        <v>Richard Kemble Contracts Ltd</v>
      </c>
      <c r="C445" s="1" t="s">
        <v>2823</v>
      </c>
      <c r="D445" s="1" t="s">
        <v>2824</v>
      </c>
      <c r="E445" s="1" t="s">
        <v>2825</v>
      </c>
      <c r="F445" s="1" t="s">
        <v>123</v>
      </c>
      <c r="G445" s="1" t="s">
        <v>2826</v>
      </c>
      <c r="H445" s="1" t="s">
        <v>2827</v>
      </c>
      <c r="I445" s="1" t="s">
        <v>19</v>
      </c>
      <c r="J445" s="1" t="s">
        <v>6</v>
      </c>
      <c r="K445" s="1" t="s">
        <v>34</v>
      </c>
      <c r="M445" s="2">
        <v>43437</v>
      </c>
      <c r="N445" s="1" t="s">
        <v>8</v>
      </c>
      <c r="O445" s="2">
        <v>44532</v>
      </c>
    </row>
    <row r="446" spans="1:15" ht="28.8" x14ac:dyDescent="0.3">
      <c r="A446" s="1" t="s">
        <v>33210</v>
      </c>
      <c r="B446" s="1" t="str">
        <f>"Peter Donegan"</f>
        <v>Peter Donegan</v>
      </c>
      <c r="C446" s="1" t="s">
        <v>33211</v>
      </c>
      <c r="D446" s="1" t="s">
        <v>23294</v>
      </c>
      <c r="F446" s="1" t="s">
        <v>1321</v>
      </c>
      <c r="G446" s="1" t="s">
        <v>3</v>
      </c>
      <c r="H446" s="1" t="s">
        <v>33212</v>
      </c>
      <c r="I446" s="1" t="s">
        <v>5</v>
      </c>
      <c r="J446" s="1" t="s">
        <v>6</v>
      </c>
      <c r="K446" s="1" t="s">
        <v>34</v>
      </c>
      <c r="M446" s="2">
        <v>43436</v>
      </c>
      <c r="N446" s="1" t="s">
        <v>8</v>
      </c>
      <c r="O446" s="2">
        <v>44531</v>
      </c>
    </row>
    <row r="447" spans="1:15" ht="28.8" x14ac:dyDescent="0.3">
      <c r="A447" s="1" t="s">
        <v>33086</v>
      </c>
      <c r="B447" s="1" t="str">
        <f>"Premier Asset holdings Ltd"</f>
        <v>Premier Asset holdings Ltd</v>
      </c>
      <c r="C447" s="1" t="s">
        <v>33087</v>
      </c>
      <c r="D447" s="1" t="s">
        <v>33088</v>
      </c>
      <c r="E447" s="1" t="s">
        <v>33089</v>
      </c>
      <c r="F447" s="1" t="s">
        <v>156</v>
      </c>
      <c r="G447" s="1" t="s">
        <v>33090</v>
      </c>
      <c r="H447" s="1" t="s">
        <v>520</v>
      </c>
      <c r="I447" s="1" t="s">
        <v>19</v>
      </c>
      <c r="J447" s="1" t="s">
        <v>6</v>
      </c>
      <c r="K447" s="1" t="s">
        <v>14</v>
      </c>
      <c r="L447" s="1">
        <v>4452423</v>
      </c>
      <c r="M447" s="2">
        <v>43434</v>
      </c>
      <c r="N447" s="1" t="s">
        <v>8</v>
      </c>
      <c r="O447" s="2">
        <v>44529</v>
      </c>
    </row>
    <row r="448" spans="1:15" ht="28.8" x14ac:dyDescent="0.3">
      <c r="A448" s="1" t="s">
        <v>33147</v>
      </c>
      <c r="B448" s="1" t="str">
        <f>"Rite Freight Transport Services Ltd"</f>
        <v>Rite Freight Transport Services Ltd</v>
      </c>
      <c r="C448" s="1" t="s">
        <v>32037</v>
      </c>
      <c r="D448" s="1" t="s">
        <v>1010</v>
      </c>
      <c r="E448" s="1" t="s">
        <v>1594</v>
      </c>
      <c r="F448" s="1" t="s">
        <v>532</v>
      </c>
      <c r="G448" s="1" t="s">
        <v>198</v>
      </c>
      <c r="H448" s="1" t="s">
        <v>32038</v>
      </c>
      <c r="I448" s="1" t="s">
        <v>19</v>
      </c>
      <c r="J448" s="1" t="s">
        <v>6</v>
      </c>
      <c r="K448" s="1" t="s">
        <v>34</v>
      </c>
      <c r="M448" s="2">
        <v>43434</v>
      </c>
      <c r="N448" s="1" t="s">
        <v>8</v>
      </c>
      <c r="O448" s="2">
        <v>44529</v>
      </c>
    </row>
    <row r="449" spans="1:15" x14ac:dyDescent="0.3">
      <c r="A449" s="1" t="s">
        <v>32039</v>
      </c>
      <c r="B449" s="1" t="str">
        <f>"R. J. E  Plastering Ltd"</f>
        <v>R. J. E  Plastering Ltd</v>
      </c>
      <c r="C449" s="1" t="s">
        <v>32040</v>
      </c>
      <c r="F449" s="1" t="s">
        <v>3465</v>
      </c>
      <c r="G449" s="1" t="s">
        <v>162</v>
      </c>
      <c r="H449" s="1" t="s">
        <v>32041</v>
      </c>
      <c r="I449" s="1" t="s">
        <v>19</v>
      </c>
      <c r="J449" s="1" t="s">
        <v>6</v>
      </c>
      <c r="K449" s="1" t="s">
        <v>24</v>
      </c>
      <c r="L449" s="1">
        <v>278845444</v>
      </c>
      <c r="M449" s="2">
        <v>43433</v>
      </c>
      <c r="N449" s="1" t="s">
        <v>8</v>
      </c>
      <c r="O449" s="2">
        <v>44528</v>
      </c>
    </row>
    <row r="450" spans="1:15" x14ac:dyDescent="0.3">
      <c r="A450" s="1" t="s">
        <v>32042</v>
      </c>
      <c r="B450" s="1" t="str">
        <f>"R T Bishop LTD"</f>
        <v>R T Bishop LTD</v>
      </c>
      <c r="C450" s="1" t="s">
        <v>32043</v>
      </c>
      <c r="D450" s="1" t="s">
        <v>32044</v>
      </c>
      <c r="F450" s="1" t="s">
        <v>3655</v>
      </c>
      <c r="G450" s="1" t="s">
        <v>162</v>
      </c>
      <c r="H450" s="1" t="s">
        <v>14011</v>
      </c>
      <c r="I450" s="1" t="s">
        <v>19</v>
      </c>
      <c r="J450" s="1" t="s">
        <v>6</v>
      </c>
      <c r="K450" s="1" t="s">
        <v>14</v>
      </c>
      <c r="M450" s="2">
        <v>43433</v>
      </c>
      <c r="N450" s="1" t="s">
        <v>8</v>
      </c>
      <c r="O450" s="2">
        <v>44528</v>
      </c>
    </row>
    <row r="451" spans="1:15" ht="43.2" x14ac:dyDescent="0.3">
      <c r="A451" s="1" t="s">
        <v>32045</v>
      </c>
      <c r="B451" s="1" t="str">
        <f>"Kath Ogden"</f>
        <v>Kath Ogden</v>
      </c>
      <c r="C451" s="1" t="s">
        <v>32046</v>
      </c>
      <c r="D451" s="1" t="s">
        <v>25092</v>
      </c>
      <c r="F451" s="1" t="s">
        <v>665</v>
      </c>
      <c r="G451" s="1" t="s">
        <v>51</v>
      </c>
      <c r="H451" s="1" t="s">
        <v>32047</v>
      </c>
      <c r="I451" s="1" t="s">
        <v>5</v>
      </c>
      <c r="J451" s="1" t="s">
        <v>67</v>
      </c>
      <c r="K451" s="1" t="s">
        <v>14</v>
      </c>
      <c r="M451" s="2">
        <v>43433</v>
      </c>
      <c r="N451" s="1" t="s">
        <v>8</v>
      </c>
      <c r="O451" s="1" t="s">
        <v>68</v>
      </c>
    </row>
    <row r="452" spans="1:15" x14ac:dyDescent="0.3">
      <c r="A452" s="1" t="s">
        <v>32048</v>
      </c>
      <c r="B452" s="1" t="str">
        <f>"Albert Lynes"</f>
        <v>Albert Lynes</v>
      </c>
      <c r="C452" s="1" t="s">
        <v>32049</v>
      </c>
      <c r="D452" s="1" t="s">
        <v>22607</v>
      </c>
      <c r="F452" s="1" t="s">
        <v>710</v>
      </c>
      <c r="G452" s="1" t="s">
        <v>3</v>
      </c>
      <c r="H452" s="1" t="s">
        <v>32050</v>
      </c>
      <c r="I452" s="1" t="s">
        <v>5</v>
      </c>
      <c r="J452" s="1" t="s">
        <v>6</v>
      </c>
      <c r="K452" s="1" t="s">
        <v>24</v>
      </c>
      <c r="M452" s="2">
        <v>43433</v>
      </c>
      <c r="N452" s="1" t="s">
        <v>8</v>
      </c>
      <c r="O452" s="2">
        <v>44528</v>
      </c>
    </row>
    <row r="453" spans="1:15" ht="28.8" x14ac:dyDescent="0.3">
      <c r="A453" s="1" t="s">
        <v>32051</v>
      </c>
      <c r="B453" s="1" t="str">
        <f>"Paul Dodge"</f>
        <v>Paul Dodge</v>
      </c>
      <c r="C453" s="1" t="s">
        <v>32052</v>
      </c>
      <c r="D453" s="1" t="s">
        <v>32053</v>
      </c>
      <c r="F453" s="1" t="s">
        <v>706</v>
      </c>
      <c r="G453" s="1" t="s">
        <v>211</v>
      </c>
      <c r="H453" s="1" t="s">
        <v>32054</v>
      </c>
      <c r="I453" s="1" t="s">
        <v>5</v>
      </c>
      <c r="J453" s="1" t="s">
        <v>6</v>
      </c>
      <c r="K453" s="1" t="s">
        <v>34</v>
      </c>
      <c r="M453" s="2">
        <v>43433</v>
      </c>
      <c r="N453" s="1" t="s">
        <v>8</v>
      </c>
      <c r="O453" s="2">
        <v>44528</v>
      </c>
    </row>
    <row r="454" spans="1:15" ht="43.2" x14ac:dyDescent="0.3">
      <c r="A454" s="1" t="s">
        <v>32112</v>
      </c>
      <c r="B454" s="1" t="str">
        <f>"APCymru Ltd"</f>
        <v>APCymru Ltd</v>
      </c>
      <c r="C454" s="1" t="s">
        <v>32113</v>
      </c>
      <c r="D454" s="1" t="s">
        <v>32114</v>
      </c>
      <c r="E454" s="1" t="s">
        <v>31083</v>
      </c>
      <c r="F454" s="1" t="s">
        <v>123</v>
      </c>
      <c r="G454" s="1" t="s">
        <v>27</v>
      </c>
      <c r="H454" s="1" t="s">
        <v>5664</v>
      </c>
      <c r="I454" s="1" t="s">
        <v>19</v>
      </c>
      <c r="J454" s="1" t="s">
        <v>67</v>
      </c>
      <c r="K454" s="1" t="s">
        <v>24</v>
      </c>
      <c r="M454" s="2">
        <v>43433</v>
      </c>
      <c r="N454" s="1" t="s">
        <v>8</v>
      </c>
      <c r="O454" s="1" t="s">
        <v>68</v>
      </c>
    </row>
    <row r="455" spans="1:15" ht="43.2" x14ac:dyDescent="0.3">
      <c r="A455" s="1" t="s">
        <v>33079</v>
      </c>
      <c r="B455" s="1" t="str">
        <f>"Blas ar Fwyd"</f>
        <v>Blas ar Fwyd</v>
      </c>
      <c r="C455" s="1" t="s">
        <v>33080</v>
      </c>
      <c r="F455" s="1" t="s">
        <v>7543</v>
      </c>
      <c r="G455" s="1" t="s">
        <v>359</v>
      </c>
      <c r="H455" s="1" t="s">
        <v>33081</v>
      </c>
      <c r="I455" s="1" t="s">
        <v>19</v>
      </c>
      <c r="J455" s="1" t="s">
        <v>67</v>
      </c>
      <c r="K455" s="1" t="s">
        <v>14</v>
      </c>
      <c r="L455" s="1">
        <v>4692699</v>
      </c>
      <c r="M455" s="2">
        <v>43433</v>
      </c>
      <c r="N455" s="1" t="s">
        <v>8</v>
      </c>
      <c r="O455" s="1" t="s">
        <v>68</v>
      </c>
    </row>
    <row r="456" spans="1:15" ht="43.2" x14ac:dyDescent="0.3">
      <c r="A456" s="1" t="s">
        <v>33082</v>
      </c>
      <c r="B456" s="1" t="str">
        <f>"Rouble Conveniance Store"</f>
        <v>Rouble Conveniance Store</v>
      </c>
      <c r="C456" s="1" t="s">
        <v>33083</v>
      </c>
      <c r="D456" s="1" t="s">
        <v>5644</v>
      </c>
      <c r="F456" s="1" t="s">
        <v>6400</v>
      </c>
      <c r="G456" s="1" t="s">
        <v>103</v>
      </c>
      <c r="H456" s="1" t="s">
        <v>33084</v>
      </c>
      <c r="I456" s="1" t="s">
        <v>19</v>
      </c>
      <c r="J456" s="1" t="s">
        <v>67</v>
      </c>
      <c r="K456" s="1" t="s">
        <v>34</v>
      </c>
      <c r="M456" s="2">
        <v>43433</v>
      </c>
      <c r="N456" s="1" t="s">
        <v>8</v>
      </c>
      <c r="O456" s="1" t="s">
        <v>68</v>
      </c>
    </row>
    <row r="457" spans="1:15" ht="43.2" x14ac:dyDescent="0.3">
      <c r="A457" s="1" t="s">
        <v>33085</v>
      </c>
      <c r="B457" s="1" t="str">
        <f>"Rupinder Hayre"</f>
        <v>Rupinder Hayre</v>
      </c>
      <c r="D457" s="1" t="s">
        <v>14986</v>
      </c>
      <c r="E457" s="1" t="s">
        <v>5644</v>
      </c>
      <c r="F457" s="1" t="s">
        <v>6400</v>
      </c>
      <c r="G457" s="1" t="s">
        <v>103</v>
      </c>
      <c r="H457" s="1" t="s">
        <v>33084</v>
      </c>
      <c r="I457" s="1" t="s">
        <v>5</v>
      </c>
      <c r="J457" s="1" t="s">
        <v>67</v>
      </c>
      <c r="K457" s="1" t="s">
        <v>34</v>
      </c>
      <c r="M457" s="2">
        <v>43433</v>
      </c>
      <c r="N457" s="1" t="s">
        <v>8</v>
      </c>
      <c r="O457" s="1" t="s">
        <v>68</v>
      </c>
    </row>
    <row r="458" spans="1:15" x14ac:dyDescent="0.3">
      <c r="A458" s="1" t="s">
        <v>31063</v>
      </c>
      <c r="B458" s="1" t="str">
        <f>"Alastair McGowan"</f>
        <v>Alastair McGowan</v>
      </c>
      <c r="C458" s="1" t="s">
        <v>31064</v>
      </c>
      <c r="D458" s="1" t="s">
        <v>27865</v>
      </c>
      <c r="F458" s="1" t="s">
        <v>230</v>
      </c>
      <c r="G458" s="1" t="s">
        <v>231</v>
      </c>
      <c r="H458" s="1" t="s">
        <v>31065</v>
      </c>
      <c r="I458" s="1" t="s">
        <v>5</v>
      </c>
      <c r="J458" s="1" t="s">
        <v>6</v>
      </c>
      <c r="K458" s="1" t="s">
        <v>24</v>
      </c>
      <c r="M458" s="2">
        <v>43432</v>
      </c>
      <c r="N458" s="1" t="s">
        <v>8</v>
      </c>
      <c r="O458" s="2">
        <v>44527</v>
      </c>
    </row>
    <row r="459" spans="1:15" ht="28.8" x14ac:dyDescent="0.3">
      <c r="A459" s="1" t="s">
        <v>31066</v>
      </c>
      <c r="B459" s="1" t="str">
        <f>"S. J Chubb Transport Ltd"</f>
        <v>S. J Chubb Transport Ltd</v>
      </c>
      <c r="C459" s="1" t="s">
        <v>31067</v>
      </c>
      <c r="D459" s="1" t="s">
        <v>31068</v>
      </c>
      <c r="E459" s="1" t="s">
        <v>31069</v>
      </c>
      <c r="F459" s="1" t="s">
        <v>1321</v>
      </c>
      <c r="G459" s="1" t="s">
        <v>31070</v>
      </c>
      <c r="H459" s="1" t="s">
        <v>31071</v>
      </c>
      <c r="I459" s="1" t="s">
        <v>19</v>
      </c>
      <c r="J459" s="1" t="s">
        <v>6</v>
      </c>
      <c r="K459" s="1" t="s">
        <v>34</v>
      </c>
      <c r="M459" s="2">
        <v>43432</v>
      </c>
      <c r="N459" s="1" t="s">
        <v>8</v>
      </c>
      <c r="O459" s="2">
        <v>44527</v>
      </c>
    </row>
    <row r="460" spans="1:15" ht="43.2" x14ac:dyDescent="0.3">
      <c r="A460" s="1" t="s">
        <v>31072</v>
      </c>
      <c r="B460" s="1" t="str">
        <f>"Paul Xuereb Xuereb Flooring"</f>
        <v>Paul Xuereb Xuereb Flooring</v>
      </c>
      <c r="C460" s="1" t="s">
        <v>31073</v>
      </c>
      <c r="D460" s="1" t="s">
        <v>30807</v>
      </c>
      <c r="F460" s="1" t="s">
        <v>123</v>
      </c>
      <c r="G460" s="1" t="s">
        <v>27</v>
      </c>
      <c r="H460" s="1" t="s">
        <v>31074</v>
      </c>
      <c r="I460" s="1" t="s">
        <v>5</v>
      </c>
      <c r="J460" s="1" t="s">
        <v>67</v>
      </c>
      <c r="K460" s="1" t="s">
        <v>24</v>
      </c>
      <c r="M460" s="2">
        <v>43432</v>
      </c>
      <c r="N460" s="1" t="s">
        <v>8</v>
      </c>
      <c r="O460" s="1" t="s">
        <v>68</v>
      </c>
    </row>
    <row r="461" spans="1:15" ht="43.2" x14ac:dyDescent="0.3">
      <c r="A461" s="1" t="s">
        <v>31075</v>
      </c>
      <c r="B461" s="1" t="str">
        <f>"David Finney"</f>
        <v>David Finney</v>
      </c>
      <c r="C461" s="1" t="s">
        <v>31076</v>
      </c>
      <c r="F461" s="1" t="s">
        <v>179</v>
      </c>
      <c r="G461" s="1" t="s">
        <v>180</v>
      </c>
      <c r="H461" s="1" t="s">
        <v>31077</v>
      </c>
      <c r="I461" s="1" t="s">
        <v>5</v>
      </c>
      <c r="J461" s="1" t="s">
        <v>67</v>
      </c>
      <c r="K461" s="1" t="s">
        <v>24</v>
      </c>
      <c r="M461" s="2">
        <v>43432</v>
      </c>
      <c r="N461" s="1" t="s">
        <v>8</v>
      </c>
      <c r="O461" s="1" t="s">
        <v>68</v>
      </c>
    </row>
    <row r="462" spans="1:15" ht="28.8" x14ac:dyDescent="0.3">
      <c r="A462" s="1" t="s">
        <v>31078</v>
      </c>
      <c r="B462" s="1" t="str">
        <f>"Peter Manning Heating Services LTD"</f>
        <v>Peter Manning Heating Services LTD</v>
      </c>
      <c r="C462" s="1" t="s">
        <v>31079</v>
      </c>
      <c r="D462" s="1" t="s">
        <v>3476</v>
      </c>
      <c r="F462" s="1" t="s">
        <v>3655</v>
      </c>
      <c r="G462" s="1" t="s">
        <v>162</v>
      </c>
      <c r="H462" s="1" t="s">
        <v>3478</v>
      </c>
      <c r="I462" s="1" t="s">
        <v>19</v>
      </c>
      <c r="J462" s="1" t="s">
        <v>6</v>
      </c>
      <c r="K462" s="1" t="s">
        <v>24</v>
      </c>
      <c r="L462" s="1">
        <v>4466870</v>
      </c>
      <c r="M462" s="2">
        <v>43432</v>
      </c>
      <c r="N462" s="1" t="s">
        <v>8</v>
      </c>
      <c r="O462" s="2">
        <v>44527</v>
      </c>
    </row>
    <row r="463" spans="1:15" ht="28.8" x14ac:dyDescent="0.3">
      <c r="A463" s="1" t="s">
        <v>31080</v>
      </c>
      <c r="B463" s="1" t="str">
        <f>"EMI Construction Ltd"</f>
        <v>EMI Construction Ltd</v>
      </c>
      <c r="C463" s="1" t="s">
        <v>31081</v>
      </c>
      <c r="D463" s="1" t="s">
        <v>31082</v>
      </c>
      <c r="E463" s="1" t="s">
        <v>31083</v>
      </c>
      <c r="F463" s="1" t="s">
        <v>123</v>
      </c>
      <c r="G463" s="1" t="s">
        <v>27</v>
      </c>
      <c r="H463" s="1" t="s">
        <v>5664</v>
      </c>
      <c r="I463" s="1" t="s">
        <v>19</v>
      </c>
      <c r="J463" s="1" t="s">
        <v>6</v>
      </c>
      <c r="K463" s="1" t="s">
        <v>34</v>
      </c>
      <c r="L463" s="1">
        <v>7365769</v>
      </c>
      <c r="M463" s="2">
        <v>43432</v>
      </c>
      <c r="N463" s="1" t="s">
        <v>8</v>
      </c>
      <c r="O463" s="2">
        <v>44527</v>
      </c>
    </row>
    <row r="464" spans="1:15" x14ac:dyDescent="0.3">
      <c r="A464" s="1" t="s">
        <v>31084</v>
      </c>
      <c r="B464" s="1" t="str">
        <f>"David Andrew"</f>
        <v>David Andrew</v>
      </c>
      <c r="C464" s="1" t="s">
        <v>31085</v>
      </c>
      <c r="D464" s="1" t="s">
        <v>17762</v>
      </c>
      <c r="E464" s="1" t="s">
        <v>31086</v>
      </c>
      <c r="H464" s="1" t="s">
        <v>31087</v>
      </c>
      <c r="I464" s="1" t="s">
        <v>5</v>
      </c>
      <c r="J464" s="1" t="s">
        <v>6</v>
      </c>
      <c r="K464" s="1" t="s">
        <v>14</v>
      </c>
      <c r="M464" s="2">
        <v>43432</v>
      </c>
      <c r="N464" s="1" t="s">
        <v>8</v>
      </c>
      <c r="O464" s="2">
        <v>44527</v>
      </c>
    </row>
    <row r="465" spans="1:15" ht="43.2" x14ac:dyDescent="0.3">
      <c r="A465" s="1" t="s">
        <v>32110</v>
      </c>
      <c r="B465" s="1" t="str">
        <f>"A. C. Roof Trusses Ltd"</f>
        <v>A. C. Roof Trusses Ltd</v>
      </c>
      <c r="C465" s="1" t="s">
        <v>32111</v>
      </c>
      <c r="D465" s="1" t="s">
        <v>12072</v>
      </c>
      <c r="E465" s="1" t="s">
        <v>12072</v>
      </c>
      <c r="F465" s="1" t="s">
        <v>2459</v>
      </c>
      <c r="G465" s="1" t="s">
        <v>162</v>
      </c>
      <c r="H465" s="1" t="s">
        <v>8523</v>
      </c>
      <c r="I465" s="1" t="s">
        <v>19</v>
      </c>
      <c r="J465" s="1" t="s">
        <v>67</v>
      </c>
      <c r="K465" s="1" t="s">
        <v>24</v>
      </c>
      <c r="M465" s="2">
        <v>43432</v>
      </c>
      <c r="N465" s="1" t="s">
        <v>8</v>
      </c>
      <c r="O465" s="1" t="s">
        <v>68</v>
      </c>
    </row>
    <row r="466" spans="1:15" ht="28.8" x14ac:dyDescent="0.3">
      <c r="A466" s="1" t="s">
        <v>33074</v>
      </c>
      <c r="B466" s="1" t="str">
        <f>"Paul Vasconcelos"</f>
        <v>Paul Vasconcelos</v>
      </c>
      <c r="C466" s="1" t="s">
        <v>33075</v>
      </c>
      <c r="D466" s="1" t="s">
        <v>15550</v>
      </c>
      <c r="E466" s="1" t="s">
        <v>8138</v>
      </c>
      <c r="F466" s="1" t="s">
        <v>123</v>
      </c>
      <c r="G466" s="1" t="s">
        <v>27</v>
      </c>
      <c r="H466" s="1" t="s">
        <v>8139</v>
      </c>
      <c r="I466" s="1" t="s">
        <v>5</v>
      </c>
      <c r="J466" s="1" t="s">
        <v>6</v>
      </c>
      <c r="K466" s="1" t="s">
        <v>24</v>
      </c>
      <c r="M466" s="2">
        <v>43432</v>
      </c>
      <c r="N466" s="1" t="s">
        <v>8</v>
      </c>
      <c r="O466" s="2">
        <v>44527</v>
      </c>
    </row>
    <row r="467" spans="1:15" ht="28.8" x14ac:dyDescent="0.3">
      <c r="A467" s="1" t="s">
        <v>33076</v>
      </c>
      <c r="B467" s="1" t="str">
        <f>"Mathew Dowler"</f>
        <v>Mathew Dowler</v>
      </c>
      <c r="C467" s="1" t="s">
        <v>33077</v>
      </c>
      <c r="D467" s="1" t="s">
        <v>14765</v>
      </c>
      <c r="F467" s="1" t="s">
        <v>1341</v>
      </c>
      <c r="G467" s="1" t="s">
        <v>103</v>
      </c>
      <c r="H467" s="1" t="s">
        <v>33078</v>
      </c>
      <c r="I467" s="1" t="s">
        <v>5</v>
      </c>
      <c r="J467" s="1" t="s">
        <v>6</v>
      </c>
      <c r="K467" s="1" t="s">
        <v>34</v>
      </c>
      <c r="M467" s="2">
        <v>43432</v>
      </c>
      <c r="N467" s="1" t="s">
        <v>8</v>
      </c>
      <c r="O467" s="2">
        <v>44527</v>
      </c>
    </row>
    <row r="468" spans="1:15" ht="28.8" x14ac:dyDescent="0.3">
      <c r="A468" s="1" t="s">
        <v>2789</v>
      </c>
      <c r="B468" s="1" t="str">
        <f>"City Energy Network Limited"</f>
        <v>City Energy Network Limited</v>
      </c>
      <c r="C468" s="1" t="s">
        <v>2790</v>
      </c>
      <c r="D468" s="1" t="s">
        <v>2791</v>
      </c>
      <c r="E468" s="1" t="s">
        <v>2792</v>
      </c>
      <c r="F468" s="1" t="s">
        <v>123</v>
      </c>
      <c r="G468" s="1" t="s">
        <v>27</v>
      </c>
      <c r="H468" s="1" t="s">
        <v>2793</v>
      </c>
      <c r="I468" s="1" t="s">
        <v>19</v>
      </c>
      <c r="J468" s="1" t="s">
        <v>6</v>
      </c>
      <c r="K468" s="1" t="s">
        <v>34</v>
      </c>
      <c r="L468" s="1">
        <v>7889412</v>
      </c>
      <c r="M468" s="2">
        <v>43431</v>
      </c>
      <c r="N468" s="1" t="s">
        <v>8</v>
      </c>
      <c r="O468" s="2">
        <v>44526</v>
      </c>
    </row>
    <row r="469" spans="1:15" ht="43.2" x14ac:dyDescent="0.3">
      <c r="A469" s="1" t="s">
        <v>2794</v>
      </c>
      <c r="B469" s="1" t="str">
        <f>"Adam Silcox"</f>
        <v>Adam Silcox</v>
      </c>
      <c r="C469" s="1" t="s">
        <v>2795</v>
      </c>
      <c r="D469" s="1" t="s">
        <v>2796</v>
      </c>
      <c r="F469" s="1" t="s">
        <v>56</v>
      </c>
      <c r="G469" s="1" t="s">
        <v>51</v>
      </c>
      <c r="H469" s="1" t="s">
        <v>2797</v>
      </c>
      <c r="I469" s="1" t="s">
        <v>5</v>
      </c>
      <c r="J469" s="1" t="s">
        <v>67</v>
      </c>
      <c r="K469" s="1" t="s">
        <v>24</v>
      </c>
      <c r="M469" s="2">
        <v>43431</v>
      </c>
      <c r="N469" s="1" t="s">
        <v>8</v>
      </c>
      <c r="O469" s="1" t="s">
        <v>68</v>
      </c>
    </row>
    <row r="470" spans="1:15" x14ac:dyDescent="0.3">
      <c r="A470" s="1" t="s">
        <v>31057</v>
      </c>
      <c r="B470" s="1" t="str">
        <f>"Michael Arthur"</f>
        <v>Michael Arthur</v>
      </c>
      <c r="C470" s="1">
        <v>20</v>
      </c>
      <c r="D470" s="1" t="s">
        <v>31058</v>
      </c>
      <c r="E470" s="1" t="s">
        <v>4135</v>
      </c>
      <c r="F470" s="1" t="s">
        <v>1486</v>
      </c>
      <c r="H470" s="1" t="s">
        <v>31059</v>
      </c>
      <c r="I470" s="1" t="s">
        <v>5</v>
      </c>
      <c r="J470" s="1" t="s">
        <v>6</v>
      </c>
      <c r="K470" s="1" t="s">
        <v>24</v>
      </c>
      <c r="M470" s="2">
        <v>43431</v>
      </c>
      <c r="N470" s="1" t="s">
        <v>8</v>
      </c>
      <c r="O470" s="2">
        <v>44526</v>
      </c>
    </row>
    <row r="471" spans="1:15" ht="28.8" x14ac:dyDescent="0.3">
      <c r="A471" s="1" t="s">
        <v>33068</v>
      </c>
      <c r="B471" s="1" t="str">
        <f>"Benjamin Price"</f>
        <v>Benjamin Price</v>
      </c>
      <c r="C471" s="1" t="s">
        <v>33069</v>
      </c>
      <c r="F471" s="1" t="s">
        <v>32</v>
      </c>
      <c r="G471" s="1" t="s">
        <v>109</v>
      </c>
      <c r="H471" s="1" t="s">
        <v>33070</v>
      </c>
      <c r="I471" s="1" t="s">
        <v>5</v>
      </c>
      <c r="J471" s="1" t="s">
        <v>6</v>
      </c>
      <c r="K471" s="1" t="s">
        <v>34</v>
      </c>
      <c r="M471" s="2">
        <v>43431</v>
      </c>
      <c r="N471" s="1" t="s">
        <v>8</v>
      </c>
      <c r="O471" s="2">
        <v>44526</v>
      </c>
    </row>
    <row r="472" spans="1:15" ht="28.8" x14ac:dyDescent="0.3">
      <c r="A472" s="1" t="s">
        <v>2798</v>
      </c>
      <c r="B472" s="1" t="str">
        <f>"Goldstone Books ltd"</f>
        <v>Goldstone Books ltd</v>
      </c>
      <c r="C472" s="1" t="s">
        <v>2799</v>
      </c>
      <c r="D472" s="1" t="s">
        <v>2800</v>
      </c>
      <c r="E472" s="1" t="s">
        <v>2801</v>
      </c>
      <c r="G472" s="1" t="s">
        <v>666</v>
      </c>
      <c r="H472" s="1" t="s">
        <v>2802</v>
      </c>
      <c r="I472" s="1" t="s">
        <v>19</v>
      </c>
      <c r="J472" s="1" t="s">
        <v>6</v>
      </c>
      <c r="K472" s="1" t="s">
        <v>34</v>
      </c>
      <c r="M472" s="2">
        <v>43430</v>
      </c>
      <c r="N472" s="1" t="s">
        <v>8</v>
      </c>
      <c r="O472" s="2">
        <v>44525</v>
      </c>
    </row>
    <row r="473" spans="1:15" ht="28.8" x14ac:dyDescent="0.3">
      <c r="A473" s="1" t="s">
        <v>2881</v>
      </c>
      <c r="B473" s="1" t="str">
        <f>"PJM Civil Engineering LTD"</f>
        <v>PJM Civil Engineering LTD</v>
      </c>
      <c r="C473" s="1" t="s">
        <v>2882</v>
      </c>
      <c r="F473" s="1" t="s">
        <v>476</v>
      </c>
      <c r="G473" s="1" t="s">
        <v>73</v>
      </c>
      <c r="H473" s="1" t="s">
        <v>2883</v>
      </c>
      <c r="I473" s="1" t="s">
        <v>19</v>
      </c>
      <c r="J473" s="1" t="s">
        <v>6</v>
      </c>
      <c r="K473" s="1" t="s">
        <v>24</v>
      </c>
      <c r="M473" s="2">
        <v>43429</v>
      </c>
      <c r="N473" s="1" t="s">
        <v>8</v>
      </c>
      <c r="O473" s="2">
        <v>44524</v>
      </c>
    </row>
    <row r="474" spans="1:15" ht="28.8" x14ac:dyDescent="0.3">
      <c r="A474" s="1" t="s">
        <v>2874</v>
      </c>
      <c r="B474" s="1" t="str">
        <f>"D K Phillips Transport Ltd"</f>
        <v>D K Phillips Transport Ltd</v>
      </c>
      <c r="C474" s="1" t="s">
        <v>2875</v>
      </c>
      <c r="D474" s="1" t="s">
        <v>2137</v>
      </c>
      <c r="F474" s="1" t="s">
        <v>1776</v>
      </c>
      <c r="G474" s="1" t="s">
        <v>115</v>
      </c>
      <c r="H474" s="1" t="s">
        <v>2876</v>
      </c>
      <c r="I474" s="1" t="s">
        <v>19</v>
      </c>
      <c r="J474" s="1" t="s">
        <v>6</v>
      </c>
      <c r="K474" s="1" t="s">
        <v>24</v>
      </c>
      <c r="L474" s="1">
        <v>11594711</v>
      </c>
      <c r="M474" s="2">
        <v>43428</v>
      </c>
      <c r="N474" s="1" t="s">
        <v>8</v>
      </c>
      <c r="O474" s="2">
        <v>44523</v>
      </c>
    </row>
    <row r="475" spans="1:15" ht="43.2" x14ac:dyDescent="0.3">
      <c r="A475" s="1" t="s">
        <v>32008</v>
      </c>
      <c r="B475" s="1" t="str">
        <f>"Marton Village Hall"</f>
        <v>Marton Village Hall</v>
      </c>
      <c r="C475" s="1" t="s">
        <v>32009</v>
      </c>
      <c r="D475" s="1" t="s">
        <v>32010</v>
      </c>
      <c r="F475" s="1" t="s">
        <v>2459</v>
      </c>
      <c r="G475" s="1" t="s">
        <v>7961</v>
      </c>
      <c r="H475" s="1" t="s">
        <v>32011</v>
      </c>
      <c r="I475" s="1" t="s">
        <v>1872</v>
      </c>
      <c r="J475" s="1" t="s">
        <v>67</v>
      </c>
      <c r="K475" s="1" t="s">
        <v>24</v>
      </c>
      <c r="M475" s="2">
        <v>43427</v>
      </c>
      <c r="N475" s="1" t="s">
        <v>8</v>
      </c>
      <c r="O475" s="1" t="s">
        <v>68</v>
      </c>
    </row>
    <row r="476" spans="1:15" ht="43.2" x14ac:dyDescent="0.3">
      <c r="A476" s="1" t="s">
        <v>32012</v>
      </c>
      <c r="B476" s="1" t="str">
        <f>"Stephen Harris Stephen Harris Property Maintenance"</f>
        <v>Stephen Harris Stephen Harris Property Maintenance</v>
      </c>
      <c r="C476" s="1" t="s">
        <v>32013</v>
      </c>
      <c r="D476" s="1" t="s">
        <v>5074</v>
      </c>
      <c r="F476" s="1" t="s">
        <v>3415</v>
      </c>
      <c r="H476" s="1" t="s">
        <v>32014</v>
      </c>
      <c r="I476" s="1" t="s">
        <v>5</v>
      </c>
      <c r="J476" s="1" t="s">
        <v>6</v>
      </c>
      <c r="K476" s="1" t="s">
        <v>34</v>
      </c>
      <c r="M476" s="2">
        <v>43427</v>
      </c>
      <c r="N476" s="1" t="s">
        <v>8</v>
      </c>
      <c r="O476" s="2">
        <v>44522</v>
      </c>
    </row>
    <row r="477" spans="1:15" ht="28.8" x14ac:dyDescent="0.3">
      <c r="A477" s="1" t="s">
        <v>32025</v>
      </c>
      <c r="B477" s="1" t="str">
        <f>"Snowdonia Fire Protection Ltd"</f>
        <v>Snowdonia Fire Protection Ltd</v>
      </c>
      <c r="C477" s="1" t="s">
        <v>32026</v>
      </c>
      <c r="D477" s="1" t="s">
        <v>32027</v>
      </c>
      <c r="E477" s="1" t="s">
        <v>12617</v>
      </c>
      <c r="F477" s="1" t="s">
        <v>3</v>
      </c>
      <c r="H477" s="1" t="s">
        <v>5710</v>
      </c>
      <c r="I477" s="1" t="s">
        <v>19</v>
      </c>
      <c r="J477" s="1" t="s">
        <v>6</v>
      </c>
      <c r="K477" s="1" t="s">
        <v>24</v>
      </c>
      <c r="L477" s="1">
        <v>4674757</v>
      </c>
      <c r="M477" s="2">
        <v>43427</v>
      </c>
      <c r="N477" s="1" t="s">
        <v>8</v>
      </c>
      <c r="O477" s="2">
        <v>44522</v>
      </c>
    </row>
    <row r="478" spans="1:15" ht="28.8" x14ac:dyDescent="0.3">
      <c r="A478" s="1" t="s">
        <v>32028</v>
      </c>
      <c r="B478" s="1" t="str">
        <f>"Christopher French GC Services"</f>
        <v>Christopher French GC Services</v>
      </c>
      <c r="C478" s="1" t="s">
        <v>32029</v>
      </c>
      <c r="D478" s="1" t="s">
        <v>1902</v>
      </c>
      <c r="F478" s="1" t="s">
        <v>1058</v>
      </c>
      <c r="G478" s="1" t="s">
        <v>231</v>
      </c>
      <c r="H478" s="1" t="s">
        <v>20901</v>
      </c>
      <c r="I478" s="1" t="s">
        <v>5</v>
      </c>
      <c r="J478" s="1" t="s">
        <v>6</v>
      </c>
      <c r="K478" s="1" t="s">
        <v>34</v>
      </c>
      <c r="M478" s="2">
        <v>43427</v>
      </c>
      <c r="N478" s="1" t="s">
        <v>8</v>
      </c>
      <c r="O478" s="2">
        <v>44522</v>
      </c>
    </row>
    <row r="479" spans="1:15" ht="43.2" x14ac:dyDescent="0.3">
      <c r="A479" s="1" t="s">
        <v>32030</v>
      </c>
      <c r="B479" s="1" t="str">
        <f>"Cilgwyn Leisure"</f>
        <v>Cilgwyn Leisure</v>
      </c>
      <c r="C479" s="1" t="s">
        <v>32031</v>
      </c>
      <c r="F479" s="1" t="s">
        <v>6881</v>
      </c>
      <c r="G479" s="1" t="s">
        <v>51</v>
      </c>
      <c r="H479" s="1" t="s">
        <v>32032</v>
      </c>
      <c r="I479" s="1" t="s">
        <v>125</v>
      </c>
      <c r="J479" s="1" t="s">
        <v>67</v>
      </c>
      <c r="K479" s="1" t="s">
        <v>24</v>
      </c>
      <c r="M479" s="2">
        <v>43427</v>
      </c>
      <c r="N479" s="1" t="s">
        <v>8</v>
      </c>
      <c r="O479" s="1" t="s">
        <v>68</v>
      </c>
    </row>
    <row r="480" spans="1:15" ht="43.2" x14ac:dyDescent="0.3">
      <c r="A480" s="1" t="s">
        <v>32033</v>
      </c>
      <c r="B480" s="1" t="str">
        <f>"Old School Surgery Group Practice"</f>
        <v>Old School Surgery Group Practice</v>
      </c>
      <c r="C480" s="1" t="s">
        <v>32034</v>
      </c>
      <c r="F480" s="1" t="s">
        <v>767</v>
      </c>
      <c r="G480" s="1" t="s">
        <v>141</v>
      </c>
      <c r="H480" s="1" t="s">
        <v>32035</v>
      </c>
      <c r="I480" s="1" t="s">
        <v>125</v>
      </c>
      <c r="J480" s="1" t="s">
        <v>67</v>
      </c>
      <c r="K480" s="1" t="s">
        <v>24</v>
      </c>
      <c r="M480" s="2">
        <v>43427</v>
      </c>
      <c r="N480" s="1" t="s">
        <v>8</v>
      </c>
      <c r="O480" s="1" t="s">
        <v>68</v>
      </c>
    </row>
    <row r="481" spans="1:15" ht="28.8" x14ac:dyDescent="0.3">
      <c r="A481" s="1" t="s">
        <v>32036</v>
      </c>
      <c r="B481" s="1" t="str">
        <f>"RITE TRANSPORT SERVICES LTD"</f>
        <v>RITE TRANSPORT SERVICES LTD</v>
      </c>
      <c r="C481" s="1" t="s">
        <v>32037</v>
      </c>
      <c r="D481" s="1" t="s">
        <v>1010</v>
      </c>
      <c r="E481" s="1" t="s">
        <v>1594</v>
      </c>
      <c r="F481" s="1" t="s">
        <v>532</v>
      </c>
      <c r="G481" s="1" t="s">
        <v>198</v>
      </c>
      <c r="H481" s="1" t="s">
        <v>32038</v>
      </c>
      <c r="I481" s="1" t="s">
        <v>19</v>
      </c>
      <c r="J481" s="1" t="s">
        <v>6</v>
      </c>
      <c r="K481" s="1" t="s">
        <v>34</v>
      </c>
      <c r="L481" s="1">
        <v>4230174</v>
      </c>
      <c r="M481" s="2">
        <v>43427</v>
      </c>
      <c r="N481" s="1" t="s">
        <v>8</v>
      </c>
      <c r="O481" s="2">
        <v>44522</v>
      </c>
    </row>
    <row r="482" spans="1:15" ht="43.2" x14ac:dyDescent="0.3">
      <c r="A482" s="1" t="s">
        <v>2828</v>
      </c>
      <c r="B482" s="1" t="str">
        <f>"Andrew Billington"</f>
        <v>Andrew Billington</v>
      </c>
      <c r="C482" s="1" t="s">
        <v>1925</v>
      </c>
      <c r="D482" s="1" t="s">
        <v>2829</v>
      </c>
      <c r="G482" s="1" t="s">
        <v>1169</v>
      </c>
      <c r="H482" s="1" t="s">
        <v>2830</v>
      </c>
      <c r="I482" s="1" t="s">
        <v>5</v>
      </c>
      <c r="J482" s="1" t="s">
        <v>67</v>
      </c>
      <c r="K482" s="1" t="s">
        <v>14</v>
      </c>
      <c r="M482" s="2">
        <v>43426</v>
      </c>
      <c r="N482" s="1" t="s">
        <v>8</v>
      </c>
      <c r="O482" s="1" t="s">
        <v>68</v>
      </c>
    </row>
    <row r="483" spans="1:15" ht="28.8" x14ac:dyDescent="0.3">
      <c r="A483" s="1" t="s">
        <v>2831</v>
      </c>
      <c r="B483" s="1" t="str">
        <f>"Ace play Ltd"</f>
        <v>Ace play Ltd</v>
      </c>
      <c r="C483" s="1" t="s">
        <v>2832</v>
      </c>
      <c r="D483" s="1" t="s">
        <v>2833</v>
      </c>
      <c r="F483" s="1" t="s">
        <v>532</v>
      </c>
      <c r="G483" s="1" t="s">
        <v>73</v>
      </c>
      <c r="H483" s="1" t="s">
        <v>2834</v>
      </c>
      <c r="I483" s="1" t="s">
        <v>19</v>
      </c>
      <c r="J483" s="1" t="s">
        <v>6</v>
      </c>
      <c r="K483" s="1" t="s">
        <v>34</v>
      </c>
      <c r="L483" s="1">
        <v>7163413</v>
      </c>
      <c r="M483" s="2">
        <v>43426</v>
      </c>
      <c r="N483" s="1" t="s">
        <v>8</v>
      </c>
      <c r="O483" s="2">
        <v>44521</v>
      </c>
    </row>
    <row r="484" spans="1:15" ht="43.2" x14ac:dyDescent="0.3">
      <c r="A484" s="1" t="s">
        <v>2835</v>
      </c>
      <c r="B484" s="1" t="str">
        <f>"Steve Lloyd Timber"</f>
        <v>Steve Lloyd Timber</v>
      </c>
      <c r="C484" s="1" t="s">
        <v>2836</v>
      </c>
      <c r="D484" s="1" t="s">
        <v>2837</v>
      </c>
      <c r="E484" s="1" t="s">
        <v>2307</v>
      </c>
      <c r="F484" s="1" t="s">
        <v>1021</v>
      </c>
      <c r="G484" s="1" t="s">
        <v>51</v>
      </c>
      <c r="H484" s="1" t="s">
        <v>2308</v>
      </c>
      <c r="I484" s="1" t="s">
        <v>19</v>
      </c>
      <c r="J484" s="1" t="s">
        <v>67</v>
      </c>
      <c r="K484" s="1" t="s">
        <v>14</v>
      </c>
      <c r="M484" s="2">
        <v>43426</v>
      </c>
      <c r="N484" s="1" t="s">
        <v>8</v>
      </c>
      <c r="O484" s="1" t="s">
        <v>68</v>
      </c>
    </row>
    <row r="485" spans="1:15" ht="43.2" x14ac:dyDescent="0.3">
      <c r="A485" s="1" t="s">
        <v>2841</v>
      </c>
      <c r="B485" s="1" t="str">
        <f>"J. W. Bowkett"</f>
        <v>J. W. Bowkett</v>
      </c>
      <c r="C485" s="1" t="s">
        <v>2842</v>
      </c>
      <c r="D485" s="1" t="s">
        <v>2843</v>
      </c>
      <c r="F485" s="1" t="s">
        <v>156</v>
      </c>
      <c r="G485" s="1" t="s">
        <v>156</v>
      </c>
      <c r="H485" s="1" t="s">
        <v>2844</v>
      </c>
      <c r="I485" s="1" t="s">
        <v>19</v>
      </c>
      <c r="J485" s="1" t="s">
        <v>67</v>
      </c>
      <c r="K485" s="1" t="s">
        <v>14</v>
      </c>
      <c r="M485" s="2">
        <v>43426</v>
      </c>
      <c r="N485" s="1" t="s">
        <v>8</v>
      </c>
      <c r="O485" s="1" t="s">
        <v>68</v>
      </c>
    </row>
    <row r="486" spans="1:15" x14ac:dyDescent="0.3">
      <c r="A486" s="1" t="s">
        <v>31050</v>
      </c>
      <c r="B486" s="1" t="str">
        <f>"Mint Blu LTD"</f>
        <v>Mint Blu LTD</v>
      </c>
      <c r="C486" s="1" t="s">
        <v>31051</v>
      </c>
      <c r="D486" s="1" t="s">
        <v>424</v>
      </c>
      <c r="F486" s="1" t="s">
        <v>64</v>
      </c>
      <c r="G486" s="1" t="s">
        <v>65</v>
      </c>
      <c r="H486" s="1" t="s">
        <v>31052</v>
      </c>
      <c r="I486" s="1" t="s">
        <v>19</v>
      </c>
      <c r="J486" s="1" t="s">
        <v>6</v>
      </c>
      <c r="K486" s="1" t="s">
        <v>24</v>
      </c>
      <c r="L486" s="1">
        <v>11271289</v>
      </c>
      <c r="M486" s="2">
        <v>43426</v>
      </c>
      <c r="N486" s="1" t="s">
        <v>8</v>
      </c>
      <c r="O486" s="2">
        <v>44521</v>
      </c>
    </row>
    <row r="487" spans="1:15" ht="28.8" x14ac:dyDescent="0.3">
      <c r="A487" s="1" t="s">
        <v>31053</v>
      </c>
      <c r="B487" s="1" t="str">
        <f>"P Davies &amp; Sons LTD"</f>
        <v>P Davies &amp; Sons LTD</v>
      </c>
      <c r="C487" s="1" t="s">
        <v>31054</v>
      </c>
      <c r="D487" s="1" t="s">
        <v>3014</v>
      </c>
      <c r="F487" s="1" t="s">
        <v>230</v>
      </c>
      <c r="G487" s="1" t="s">
        <v>231</v>
      </c>
      <c r="H487" s="1" t="s">
        <v>31055</v>
      </c>
      <c r="I487" s="1" t="s">
        <v>19</v>
      </c>
      <c r="J487" s="1" t="s">
        <v>6</v>
      </c>
      <c r="K487" s="1" t="s">
        <v>34</v>
      </c>
      <c r="L487" s="1">
        <v>1065891</v>
      </c>
      <c r="M487" s="2">
        <v>43426</v>
      </c>
      <c r="N487" s="1" t="s">
        <v>8</v>
      </c>
      <c r="O487" s="2">
        <v>44521</v>
      </c>
    </row>
    <row r="488" spans="1:15" ht="43.2" x14ac:dyDescent="0.3">
      <c r="A488" s="1" t="s">
        <v>31056</v>
      </c>
      <c r="B488" s="1" t="str">
        <f>"Capsel LTD"</f>
        <v>Capsel LTD</v>
      </c>
      <c r="D488" s="1" t="s">
        <v>4049</v>
      </c>
      <c r="E488" s="1" t="s">
        <v>4050</v>
      </c>
      <c r="F488" s="1" t="s">
        <v>1058</v>
      </c>
      <c r="G488" s="1" t="s">
        <v>231</v>
      </c>
      <c r="H488" s="1" t="s">
        <v>4051</v>
      </c>
      <c r="I488" s="1" t="s">
        <v>19</v>
      </c>
      <c r="J488" s="1" t="s">
        <v>6</v>
      </c>
      <c r="K488" s="1" t="s">
        <v>24</v>
      </c>
      <c r="M488" s="2">
        <v>43426</v>
      </c>
      <c r="N488" s="1" t="s">
        <v>8</v>
      </c>
      <c r="O488" s="2">
        <v>44521</v>
      </c>
    </row>
    <row r="489" spans="1:15" ht="28.8" x14ac:dyDescent="0.3">
      <c r="A489" s="1" t="s">
        <v>32062</v>
      </c>
      <c r="B489" s="1" t="str">
        <f>"Fred Price"</f>
        <v>Fred Price</v>
      </c>
      <c r="C489" s="1" t="s">
        <v>32063</v>
      </c>
      <c r="F489" s="1" t="s">
        <v>556</v>
      </c>
      <c r="G489" s="1" t="s">
        <v>556</v>
      </c>
      <c r="H489" s="1" t="s">
        <v>32064</v>
      </c>
      <c r="I489" s="1" t="s">
        <v>5</v>
      </c>
      <c r="J489" s="1" t="s">
        <v>6</v>
      </c>
      <c r="K489" s="1" t="s">
        <v>34</v>
      </c>
      <c r="M489" s="2">
        <v>43426</v>
      </c>
      <c r="N489" s="1" t="s">
        <v>8</v>
      </c>
      <c r="O489" s="2">
        <v>44521</v>
      </c>
    </row>
    <row r="490" spans="1:15" ht="43.2" x14ac:dyDescent="0.3">
      <c r="A490" s="1" t="s">
        <v>33012</v>
      </c>
      <c r="B490" s="1" t="str">
        <f>"ATW Property Services LTD"</f>
        <v>ATW Property Services LTD</v>
      </c>
      <c r="C490" s="1" t="s">
        <v>876</v>
      </c>
      <c r="D490" s="1" t="s">
        <v>33013</v>
      </c>
      <c r="E490" s="1" t="s">
        <v>1025</v>
      </c>
      <c r="F490" s="1" t="s">
        <v>123</v>
      </c>
      <c r="G490" s="1" t="s">
        <v>211</v>
      </c>
      <c r="H490" s="1" t="s">
        <v>484</v>
      </c>
      <c r="I490" s="1" t="s">
        <v>19</v>
      </c>
      <c r="J490" s="1" t="s">
        <v>67</v>
      </c>
      <c r="K490" s="1" t="s">
        <v>24</v>
      </c>
      <c r="L490" s="1">
        <v>8640820</v>
      </c>
      <c r="M490" s="2">
        <v>43425</v>
      </c>
      <c r="N490" s="1" t="s">
        <v>8</v>
      </c>
      <c r="O490" s="1" t="s">
        <v>68</v>
      </c>
    </row>
    <row r="491" spans="1:15" ht="43.2" x14ac:dyDescent="0.3">
      <c r="A491" s="1" t="s">
        <v>33014</v>
      </c>
      <c r="B491" s="1" t="str">
        <f>"Gloucester Fencing Limited"</f>
        <v>Gloucester Fencing Limited</v>
      </c>
      <c r="C491" s="1" t="s">
        <v>33015</v>
      </c>
      <c r="F491" s="1" t="s">
        <v>1239</v>
      </c>
      <c r="G491" s="1" t="s">
        <v>231</v>
      </c>
      <c r="H491" s="1" t="s">
        <v>11318</v>
      </c>
      <c r="I491" s="1" t="s">
        <v>19</v>
      </c>
      <c r="J491" s="1" t="s">
        <v>67</v>
      </c>
      <c r="K491" s="1" t="s">
        <v>24</v>
      </c>
      <c r="L491" s="1">
        <v>10978267</v>
      </c>
      <c r="M491" s="2">
        <v>43425</v>
      </c>
      <c r="N491" s="1" t="s">
        <v>8</v>
      </c>
      <c r="O491" s="1" t="s">
        <v>68</v>
      </c>
    </row>
    <row r="492" spans="1:15" x14ac:dyDescent="0.3">
      <c r="A492" s="1" t="s">
        <v>33016</v>
      </c>
      <c r="B492" s="1" t="str">
        <f>"A &amp; J Landscapes"</f>
        <v>A &amp; J Landscapes</v>
      </c>
      <c r="C492" s="1" t="s">
        <v>33017</v>
      </c>
      <c r="F492" s="1" t="s">
        <v>42</v>
      </c>
      <c r="G492" s="1" t="s">
        <v>51</v>
      </c>
      <c r="H492" s="1" t="s">
        <v>33018</v>
      </c>
      <c r="I492" s="1" t="s">
        <v>125</v>
      </c>
      <c r="J492" s="1" t="s">
        <v>6</v>
      </c>
      <c r="K492" s="1" t="s">
        <v>24</v>
      </c>
      <c r="M492" s="2">
        <v>43425</v>
      </c>
      <c r="N492" s="1" t="s">
        <v>8</v>
      </c>
      <c r="O492" s="2">
        <v>44520</v>
      </c>
    </row>
    <row r="493" spans="1:15" ht="28.8" x14ac:dyDescent="0.3">
      <c r="A493" s="1" t="s">
        <v>33019</v>
      </c>
      <c r="B493" s="1" t="str">
        <f>"Draintech Surveys Limited"</f>
        <v>Draintech Surveys Limited</v>
      </c>
      <c r="C493" s="1" t="s">
        <v>31997</v>
      </c>
      <c r="D493" s="1" t="s">
        <v>31998</v>
      </c>
      <c r="E493" s="1" t="s">
        <v>31999</v>
      </c>
      <c r="F493" s="1" t="s">
        <v>179</v>
      </c>
      <c r="G493" s="1" t="s">
        <v>180</v>
      </c>
      <c r="H493" s="1" t="s">
        <v>5288</v>
      </c>
      <c r="I493" s="1" t="s">
        <v>19</v>
      </c>
      <c r="J493" s="1" t="s">
        <v>6</v>
      </c>
      <c r="K493" s="1" t="s">
        <v>34</v>
      </c>
      <c r="L493" s="1">
        <v>6358971</v>
      </c>
      <c r="M493" s="2">
        <v>43425</v>
      </c>
      <c r="N493" s="1" t="s">
        <v>8</v>
      </c>
      <c r="O493" s="2">
        <v>44520</v>
      </c>
    </row>
    <row r="494" spans="1:15" ht="28.8" x14ac:dyDescent="0.3">
      <c r="A494" s="1" t="s">
        <v>33020</v>
      </c>
      <c r="B494" s="1" t="str">
        <f>"Services 360 Limited"</f>
        <v>Services 360 Limited</v>
      </c>
      <c r="C494" s="1" t="s">
        <v>33021</v>
      </c>
      <c r="D494" s="1" t="s">
        <v>276</v>
      </c>
      <c r="F494" s="1" t="s">
        <v>277</v>
      </c>
      <c r="G494" s="1" t="s">
        <v>141</v>
      </c>
      <c r="H494" s="1" t="s">
        <v>33022</v>
      </c>
      <c r="I494" s="1" t="s">
        <v>19</v>
      </c>
      <c r="J494" s="1" t="s">
        <v>6</v>
      </c>
      <c r="K494" s="1" t="s">
        <v>34</v>
      </c>
      <c r="L494" s="1">
        <v>5281488</v>
      </c>
      <c r="M494" s="2">
        <v>43425</v>
      </c>
      <c r="N494" s="1" t="s">
        <v>8</v>
      </c>
      <c r="O494" s="2">
        <v>44520</v>
      </c>
    </row>
    <row r="495" spans="1:15" ht="28.8" x14ac:dyDescent="0.3">
      <c r="A495" s="1" t="s">
        <v>33023</v>
      </c>
      <c r="B495" s="1" t="str">
        <f>"Taylor Robinson"</f>
        <v>Taylor Robinson</v>
      </c>
      <c r="C495" s="1" t="s">
        <v>33024</v>
      </c>
      <c r="D495" s="1" t="s">
        <v>2250</v>
      </c>
      <c r="F495" s="1" t="s">
        <v>179</v>
      </c>
      <c r="G495" s="1" t="s">
        <v>180</v>
      </c>
      <c r="H495" s="1" t="s">
        <v>33025</v>
      </c>
      <c r="I495" s="1" t="s">
        <v>5</v>
      </c>
      <c r="J495" s="1" t="s">
        <v>6</v>
      </c>
      <c r="K495" s="1" t="s">
        <v>34</v>
      </c>
      <c r="M495" s="2">
        <v>43425</v>
      </c>
      <c r="N495" s="1" t="s">
        <v>8</v>
      </c>
      <c r="O495" s="2">
        <v>44520</v>
      </c>
    </row>
    <row r="496" spans="1:15" x14ac:dyDescent="0.3">
      <c r="A496" s="1" t="s">
        <v>33026</v>
      </c>
      <c r="B496" s="1" t="str">
        <f>"EW + HG Jones"</f>
        <v>EW + HG Jones</v>
      </c>
      <c r="C496" s="1" t="s">
        <v>33027</v>
      </c>
      <c r="D496" s="1" t="s">
        <v>33028</v>
      </c>
      <c r="F496" s="1" t="s">
        <v>790</v>
      </c>
      <c r="G496" s="1" t="s">
        <v>3</v>
      </c>
      <c r="H496" s="1" t="s">
        <v>33029</v>
      </c>
      <c r="I496" s="1" t="s">
        <v>125</v>
      </c>
      <c r="J496" s="1" t="s">
        <v>6</v>
      </c>
      <c r="K496" s="1" t="s">
        <v>24</v>
      </c>
      <c r="M496" s="2">
        <v>43425</v>
      </c>
      <c r="N496" s="1" t="s">
        <v>8</v>
      </c>
      <c r="O496" s="2">
        <v>44520</v>
      </c>
    </row>
    <row r="497" spans="1:15" ht="28.8" x14ac:dyDescent="0.3">
      <c r="A497" s="1" t="s">
        <v>33030</v>
      </c>
      <c r="B497" s="1" t="str">
        <f>"T.A. Davies Construction Limited"</f>
        <v>T.A. Davies Construction Limited</v>
      </c>
      <c r="C497" s="1" t="s">
        <v>33031</v>
      </c>
      <c r="D497" s="1" t="s">
        <v>33032</v>
      </c>
      <c r="F497" s="1" t="s">
        <v>156</v>
      </c>
      <c r="G497" s="1" t="s">
        <v>156</v>
      </c>
      <c r="H497" s="1" t="s">
        <v>33033</v>
      </c>
      <c r="I497" s="1" t="s">
        <v>19</v>
      </c>
      <c r="J497" s="1" t="s">
        <v>6</v>
      </c>
      <c r="K497" s="1" t="s">
        <v>34</v>
      </c>
      <c r="L497" s="1">
        <v>10729535</v>
      </c>
      <c r="M497" s="2">
        <v>43425</v>
      </c>
      <c r="N497" s="1" t="s">
        <v>8</v>
      </c>
      <c r="O497" s="2">
        <v>44520</v>
      </c>
    </row>
    <row r="498" spans="1:15" ht="28.8" x14ac:dyDescent="0.3">
      <c r="A498" s="1" t="s">
        <v>33037</v>
      </c>
      <c r="B498" s="1" t="str">
        <f>"Ongl Design + Make LTD"</f>
        <v>Ongl Design + Make LTD</v>
      </c>
      <c r="C498" s="1" t="s">
        <v>33038</v>
      </c>
      <c r="D498" s="1" t="s">
        <v>33039</v>
      </c>
      <c r="E498" s="1" t="s">
        <v>33040</v>
      </c>
      <c r="F498" s="1" t="s">
        <v>123</v>
      </c>
      <c r="G498" s="1" t="s">
        <v>27</v>
      </c>
      <c r="H498" s="1" t="s">
        <v>17200</v>
      </c>
      <c r="I498" s="1" t="s">
        <v>19</v>
      </c>
      <c r="J498" s="1" t="s">
        <v>6</v>
      </c>
      <c r="K498" s="1" t="s">
        <v>24</v>
      </c>
      <c r="L498" s="1">
        <v>8995913</v>
      </c>
      <c r="M498" s="2">
        <v>43425</v>
      </c>
      <c r="N498" s="1" t="s">
        <v>8</v>
      </c>
      <c r="O498" s="2">
        <v>44520</v>
      </c>
    </row>
    <row r="499" spans="1:15" ht="43.2" x14ac:dyDescent="0.3">
      <c r="A499" s="1" t="s">
        <v>33041</v>
      </c>
      <c r="B499" s="1" t="str">
        <f>"Delania Developments"</f>
        <v>Delania Developments</v>
      </c>
      <c r="C499" s="1" t="s">
        <v>33042</v>
      </c>
      <c r="D499" s="1" t="s">
        <v>33043</v>
      </c>
      <c r="E499" s="1" t="s">
        <v>564</v>
      </c>
      <c r="F499" s="1" t="s">
        <v>179</v>
      </c>
      <c r="G499" s="1" t="s">
        <v>180</v>
      </c>
      <c r="H499" s="1" t="s">
        <v>7478</v>
      </c>
      <c r="I499" s="1" t="s">
        <v>19</v>
      </c>
      <c r="J499" s="1" t="s">
        <v>6</v>
      </c>
      <c r="K499" s="1" t="s">
        <v>34</v>
      </c>
      <c r="L499" s="1">
        <v>10704091</v>
      </c>
      <c r="M499" s="2">
        <v>43425</v>
      </c>
      <c r="N499" s="1" t="s">
        <v>8</v>
      </c>
      <c r="O499" s="2">
        <v>44520</v>
      </c>
    </row>
    <row r="500" spans="1:15" ht="28.8" x14ac:dyDescent="0.3">
      <c r="A500" s="1" t="s">
        <v>33044</v>
      </c>
      <c r="B500" s="1" t="str">
        <f>"Max Woodcock LTD"</f>
        <v>Max Woodcock LTD</v>
      </c>
      <c r="C500" s="1" t="s">
        <v>33045</v>
      </c>
      <c r="D500" s="1" t="s">
        <v>12272</v>
      </c>
      <c r="F500" s="1" t="s">
        <v>198</v>
      </c>
      <c r="H500" s="1" t="s">
        <v>33046</v>
      </c>
      <c r="I500" s="1" t="s">
        <v>19</v>
      </c>
      <c r="J500" s="1" t="s">
        <v>6</v>
      </c>
      <c r="K500" s="1" t="s">
        <v>34</v>
      </c>
      <c r="L500" s="1">
        <v>4677222</v>
      </c>
      <c r="M500" s="2">
        <v>43425</v>
      </c>
      <c r="N500" s="1" t="s">
        <v>8</v>
      </c>
      <c r="O500" s="2">
        <v>44520</v>
      </c>
    </row>
    <row r="501" spans="1:15" ht="28.8" x14ac:dyDescent="0.3">
      <c r="A501" s="1" t="s">
        <v>33047</v>
      </c>
      <c r="B501" s="1" t="str">
        <f>"Derek Field D Field Registration"</f>
        <v>Derek Field D Field Registration</v>
      </c>
      <c r="C501" s="1" t="s">
        <v>33048</v>
      </c>
      <c r="F501" s="1" t="s">
        <v>1063</v>
      </c>
      <c r="G501" s="1" t="s">
        <v>115</v>
      </c>
      <c r="H501" s="1" t="s">
        <v>33049</v>
      </c>
      <c r="I501" s="1" t="s">
        <v>5</v>
      </c>
      <c r="J501" s="1" t="s">
        <v>6</v>
      </c>
      <c r="K501" s="1" t="s">
        <v>34</v>
      </c>
      <c r="M501" s="2">
        <v>43425</v>
      </c>
      <c r="N501" s="1" t="s">
        <v>8</v>
      </c>
      <c r="O501" s="2">
        <v>44520</v>
      </c>
    </row>
    <row r="502" spans="1:15" ht="28.8" x14ac:dyDescent="0.3">
      <c r="A502" s="1" t="s">
        <v>33050</v>
      </c>
      <c r="B502" s="1" t="str">
        <f>"Swansea Bay Logistics"</f>
        <v>Swansea Bay Logistics</v>
      </c>
      <c r="C502" s="1" t="s">
        <v>30414</v>
      </c>
      <c r="D502" s="1" t="s">
        <v>30415</v>
      </c>
      <c r="E502" s="1" t="s">
        <v>258</v>
      </c>
      <c r="F502" s="1" t="s">
        <v>64</v>
      </c>
      <c r="G502" s="1" t="s">
        <v>65</v>
      </c>
      <c r="H502" s="1" t="s">
        <v>30416</v>
      </c>
      <c r="I502" s="1" t="s">
        <v>19</v>
      </c>
      <c r="J502" s="1" t="s">
        <v>6</v>
      </c>
      <c r="K502" s="1" t="s">
        <v>24</v>
      </c>
      <c r="M502" s="2">
        <v>43425</v>
      </c>
      <c r="N502" s="1" t="s">
        <v>8</v>
      </c>
      <c r="O502" s="2">
        <v>44520</v>
      </c>
    </row>
    <row r="503" spans="1:15" ht="28.8" x14ac:dyDescent="0.3">
      <c r="A503" s="1" t="s">
        <v>33051</v>
      </c>
      <c r="B503" s="1" t="str">
        <f>"Gwynfor Cardy"</f>
        <v>Gwynfor Cardy</v>
      </c>
      <c r="C503" s="1" t="s">
        <v>33052</v>
      </c>
      <c r="D503" s="1" t="s">
        <v>972</v>
      </c>
      <c r="F503" s="1" t="s">
        <v>179</v>
      </c>
      <c r="G503" s="1" t="s">
        <v>180</v>
      </c>
      <c r="H503" s="1" t="s">
        <v>33053</v>
      </c>
      <c r="I503" s="1" t="s">
        <v>5</v>
      </c>
      <c r="J503" s="1" t="s">
        <v>6</v>
      </c>
      <c r="K503" s="1" t="s">
        <v>34</v>
      </c>
      <c r="M503" s="2">
        <v>43425</v>
      </c>
      <c r="N503" s="1" t="s">
        <v>8</v>
      </c>
      <c r="O503" s="2">
        <v>44520</v>
      </c>
    </row>
    <row r="504" spans="1:15" ht="43.2" x14ac:dyDescent="0.3">
      <c r="A504" s="1" t="s">
        <v>33054</v>
      </c>
      <c r="B504" s="1" t="str">
        <f>"Jonathan Cocks JMC PROPERTY MAINTENANCE"</f>
        <v>Jonathan Cocks JMC PROPERTY MAINTENANCE</v>
      </c>
      <c r="C504" s="1" t="s">
        <v>33055</v>
      </c>
      <c r="F504" s="1" t="s">
        <v>179</v>
      </c>
      <c r="G504" s="1" t="s">
        <v>180</v>
      </c>
      <c r="H504" s="1" t="s">
        <v>27045</v>
      </c>
      <c r="I504" s="1" t="s">
        <v>5</v>
      </c>
      <c r="J504" s="1" t="s">
        <v>6</v>
      </c>
      <c r="K504" s="1" t="s">
        <v>24</v>
      </c>
      <c r="M504" s="2">
        <v>43425</v>
      </c>
      <c r="N504" s="1" t="s">
        <v>8</v>
      </c>
      <c r="O504" s="2">
        <v>44520</v>
      </c>
    </row>
    <row r="505" spans="1:15" ht="28.8" x14ac:dyDescent="0.3">
      <c r="A505" s="1" t="s">
        <v>33056</v>
      </c>
      <c r="B505" s="1" t="str">
        <f>"Mr G. A + Mrs A. Price"</f>
        <v>Mr G. A + Mrs A. Price</v>
      </c>
      <c r="C505" s="1" t="s">
        <v>33057</v>
      </c>
      <c r="D505" s="1" t="s">
        <v>33058</v>
      </c>
      <c r="F505" s="1" t="s">
        <v>798</v>
      </c>
      <c r="G505" s="1" t="s">
        <v>162</v>
      </c>
      <c r="H505" s="1" t="s">
        <v>13612</v>
      </c>
      <c r="I505" s="1" t="s">
        <v>125</v>
      </c>
      <c r="J505" s="1" t="s">
        <v>6</v>
      </c>
      <c r="K505" s="1" t="s">
        <v>34</v>
      </c>
      <c r="M505" s="2">
        <v>43425</v>
      </c>
      <c r="N505" s="1" t="s">
        <v>8</v>
      </c>
      <c r="O505" s="2">
        <v>44520</v>
      </c>
    </row>
    <row r="506" spans="1:15" x14ac:dyDescent="0.3">
      <c r="A506" s="1" t="s">
        <v>2804</v>
      </c>
      <c r="B506" s="1" t="str">
        <f>"DS Construction"</f>
        <v>DS Construction</v>
      </c>
      <c r="C506" s="1" t="s">
        <v>2805</v>
      </c>
      <c r="D506" s="1" t="s">
        <v>2806</v>
      </c>
      <c r="E506" s="1" t="s">
        <v>930</v>
      </c>
      <c r="F506" s="1" t="s">
        <v>123</v>
      </c>
      <c r="G506" s="1" t="s">
        <v>211</v>
      </c>
      <c r="H506" s="1" t="s">
        <v>2807</v>
      </c>
      <c r="I506" s="1" t="s">
        <v>19</v>
      </c>
      <c r="J506" s="1" t="s">
        <v>6</v>
      </c>
      <c r="K506" s="1" t="s">
        <v>24</v>
      </c>
      <c r="L506" s="1">
        <v>11410035</v>
      </c>
      <c r="M506" s="2">
        <v>43424</v>
      </c>
      <c r="N506" s="1" t="s">
        <v>8</v>
      </c>
      <c r="O506" s="2">
        <v>44519</v>
      </c>
    </row>
    <row r="507" spans="1:15" ht="43.2" x14ac:dyDescent="0.3">
      <c r="A507" s="1" t="s">
        <v>2853</v>
      </c>
      <c r="B507" s="1" t="str">
        <f>"LAS Garage Ltd"</f>
        <v>LAS Garage Ltd</v>
      </c>
      <c r="C507" s="1" t="s">
        <v>2854</v>
      </c>
      <c r="D507" s="1" t="s">
        <v>2855</v>
      </c>
      <c r="F507" s="1" t="s">
        <v>1321</v>
      </c>
      <c r="H507" s="1" t="s">
        <v>2763</v>
      </c>
      <c r="I507" s="1" t="s">
        <v>19</v>
      </c>
      <c r="J507" s="1" t="s">
        <v>67</v>
      </c>
      <c r="K507" s="1" t="s">
        <v>24</v>
      </c>
      <c r="M507" s="2">
        <v>43424</v>
      </c>
      <c r="N507" s="1" t="s">
        <v>8</v>
      </c>
      <c r="O507" s="1" t="s">
        <v>68</v>
      </c>
    </row>
    <row r="508" spans="1:15" ht="28.8" x14ac:dyDescent="0.3">
      <c r="A508" s="1" t="s">
        <v>32995</v>
      </c>
      <c r="B508" s="1" t="str">
        <f>"Luke Vinnicombe"</f>
        <v>Luke Vinnicombe</v>
      </c>
      <c r="C508" s="1" t="s">
        <v>32996</v>
      </c>
      <c r="F508" s="1" t="s">
        <v>706</v>
      </c>
      <c r="G508" s="1" t="s">
        <v>211</v>
      </c>
      <c r="H508" s="1" t="s">
        <v>32997</v>
      </c>
      <c r="I508" s="1" t="s">
        <v>5</v>
      </c>
      <c r="J508" s="1" t="s">
        <v>6</v>
      </c>
      <c r="K508" s="1" t="s">
        <v>34</v>
      </c>
      <c r="M508" s="2">
        <v>43424</v>
      </c>
      <c r="N508" s="1" t="s">
        <v>8</v>
      </c>
      <c r="O508" s="2">
        <v>44519</v>
      </c>
    </row>
    <row r="509" spans="1:15" ht="28.8" x14ac:dyDescent="0.3">
      <c r="A509" s="1" t="s">
        <v>33000</v>
      </c>
      <c r="B509" s="1" t="str">
        <f>"Grattan Developments Ltd"</f>
        <v>Grattan Developments Ltd</v>
      </c>
      <c r="C509" s="1" t="s">
        <v>33001</v>
      </c>
      <c r="D509" s="1" t="s">
        <v>323</v>
      </c>
      <c r="F509" s="1" t="s">
        <v>324</v>
      </c>
      <c r="H509" s="1" t="s">
        <v>33002</v>
      </c>
      <c r="I509" s="1" t="s">
        <v>19</v>
      </c>
      <c r="J509" s="1" t="s">
        <v>6</v>
      </c>
      <c r="K509" s="1" t="s">
        <v>34</v>
      </c>
      <c r="L509" s="1">
        <v>3691240</v>
      </c>
      <c r="M509" s="2">
        <v>43424</v>
      </c>
      <c r="N509" s="1" t="s">
        <v>8</v>
      </c>
      <c r="O509" s="2">
        <v>44519</v>
      </c>
    </row>
    <row r="510" spans="1:15" x14ac:dyDescent="0.3">
      <c r="A510" s="1" t="s">
        <v>33003</v>
      </c>
      <c r="B510" s="1" t="str">
        <f>"Steven lloyd Jenkins"</f>
        <v>Steven lloyd Jenkins</v>
      </c>
      <c r="C510" s="1" t="s">
        <v>33004</v>
      </c>
      <c r="F510" s="1" t="s">
        <v>123</v>
      </c>
      <c r="G510" s="1" t="s">
        <v>27</v>
      </c>
      <c r="H510" s="1" t="s">
        <v>33005</v>
      </c>
      <c r="I510" s="1" t="s">
        <v>5</v>
      </c>
      <c r="J510" s="1" t="s">
        <v>6</v>
      </c>
      <c r="K510" s="1" t="s">
        <v>24</v>
      </c>
      <c r="M510" s="2">
        <v>43424</v>
      </c>
      <c r="N510" s="1" t="s">
        <v>8</v>
      </c>
      <c r="O510" s="2">
        <v>44519</v>
      </c>
    </row>
    <row r="511" spans="1:15" ht="43.2" x14ac:dyDescent="0.3">
      <c r="A511" s="1" t="s">
        <v>33136</v>
      </c>
      <c r="B511" s="1" t="str">
        <f>"Matthew's House"</f>
        <v>Matthew's House</v>
      </c>
      <c r="C511" s="1" t="s">
        <v>33137</v>
      </c>
      <c r="F511" s="1" t="s">
        <v>64</v>
      </c>
      <c r="H511" s="1" t="s">
        <v>33138</v>
      </c>
      <c r="I511" s="1" t="s">
        <v>19</v>
      </c>
      <c r="J511" s="1" t="s">
        <v>67</v>
      </c>
      <c r="K511" s="1" t="s">
        <v>24</v>
      </c>
      <c r="M511" s="2">
        <v>43424</v>
      </c>
      <c r="N511" s="1" t="s">
        <v>8</v>
      </c>
      <c r="O511" s="1" t="s">
        <v>68</v>
      </c>
    </row>
    <row r="512" spans="1:15" x14ac:dyDescent="0.3">
      <c r="A512" s="1" t="s">
        <v>2845</v>
      </c>
      <c r="B512" s="1" t="str">
        <f>"Davies Bros"</f>
        <v>Davies Bros</v>
      </c>
      <c r="C512" s="1" t="s">
        <v>2846</v>
      </c>
      <c r="D512" s="1" t="s">
        <v>2847</v>
      </c>
      <c r="F512" s="1" t="s">
        <v>56</v>
      </c>
      <c r="H512" s="1" t="s">
        <v>2848</v>
      </c>
      <c r="I512" s="1" t="s">
        <v>19</v>
      </c>
      <c r="J512" s="1" t="s">
        <v>6</v>
      </c>
      <c r="K512" s="1" t="s">
        <v>24</v>
      </c>
      <c r="M512" s="2">
        <v>43423</v>
      </c>
      <c r="N512" s="1" t="s">
        <v>8</v>
      </c>
      <c r="O512" s="2">
        <v>44518</v>
      </c>
    </row>
    <row r="513" spans="1:15" ht="28.8" x14ac:dyDescent="0.3">
      <c r="A513" s="1" t="s">
        <v>32058</v>
      </c>
      <c r="B513" s="1" t="str">
        <f>"Clive Jones Carpentry"</f>
        <v>Clive Jones Carpentry</v>
      </c>
      <c r="C513" s="1" t="s">
        <v>32059</v>
      </c>
      <c r="D513" s="1" t="s">
        <v>32060</v>
      </c>
      <c r="F513" s="1" t="s">
        <v>32</v>
      </c>
      <c r="G513" s="1" t="s">
        <v>109</v>
      </c>
      <c r="H513" s="1" t="s">
        <v>32061</v>
      </c>
      <c r="I513" s="1" t="s">
        <v>19</v>
      </c>
      <c r="J513" s="1" t="s">
        <v>6</v>
      </c>
      <c r="K513" s="1" t="s">
        <v>24</v>
      </c>
      <c r="M513" s="2">
        <v>43423</v>
      </c>
      <c r="N513" s="1" t="s">
        <v>8</v>
      </c>
      <c r="O513" s="2">
        <v>44518</v>
      </c>
    </row>
    <row r="514" spans="1:15" x14ac:dyDescent="0.3">
      <c r="A514" s="1" t="s">
        <v>32068</v>
      </c>
      <c r="B514" s="1" t="str">
        <f>"Eric  Lewis"</f>
        <v>Eric  Lewis</v>
      </c>
      <c r="C514" s="1" t="s">
        <v>32069</v>
      </c>
      <c r="E514" s="1" t="s">
        <v>2479</v>
      </c>
      <c r="F514" s="1" t="s">
        <v>1720</v>
      </c>
      <c r="G514" s="1" t="s">
        <v>6536</v>
      </c>
      <c r="H514" s="1" t="s">
        <v>32070</v>
      </c>
      <c r="I514" s="1" t="s">
        <v>5</v>
      </c>
      <c r="J514" s="1" t="s">
        <v>6</v>
      </c>
      <c r="K514" s="1" t="s">
        <v>24</v>
      </c>
      <c r="M514" s="2">
        <v>43423</v>
      </c>
      <c r="N514" s="1" t="s">
        <v>8</v>
      </c>
      <c r="O514" s="2">
        <v>44518</v>
      </c>
    </row>
    <row r="515" spans="1:15" ht="43.2" x14ac:dyDescent="0.3">
      <c r="A515" s="1" t="s">
        <v>32966</v>
      </c>
      <c r="B515" s="1" t="str">
        <f>"AVA Fire &amp; Security Ltd"</f>
        <v>AVA Fire &amp; Security Ltd</v>
      </c>
      <c r="C515" s="1" t="s">
        <v>32967</v>
      </c>
      <c r="D515" s="1" t="s">
        <v>32968</v>
      </c>
      <c r="E515" s="1" t="s">
        <v>13011</v>
      </c>
      <c r="F515" s="1" t="s">
        <v>380</v>
      </c>
      <c r="G515" s="1" t="s">
        <v>381</v>
      </c>
      <c r="H515" s="1" t="s">
        <v>3354</v>
      </c>
      <c r="I515" s="1" t="s">
        <v>19</v>
      </c>
      <c r="J515" s="1" t="s">
        <v>67</v>
      </c>
      <c r="K515" s="1" t="s">
        <v>24</v>
      </c>
      <c r="L515" s="1">
        <v>11348824</v>
      </c>
      <c r="M515" s="2">
        <v>43423</v>
      </c>
      <c r="N515" s="1" t="s">
        <v>8</v>
      </c>
      <c r="O515" s="1" t="s">
        <v>68</v>
      </c>
    </row>
    <row r="516" spans="1:15" ht="43.2" x14ac:dyDescent="0.3">
      <c r="A516" s="1" t="s">
        <v>32969</v>
      </c>
      <c r="B516" s="1" t="str">
        <f>"SNAP Cymru"</f>
        <v>SNAP Cymru</v>
      </c>
      <c r="C516" s="1" t="s">
        <v>32970</v>
      </c>
      <c r="D516" s="1" t="s">
        <v>32971</v>
      </c>
      <c r="E516" s="1" t="s">
        <v>9278</v>
      </c>
      <c r="F516" s="1" t="s">
        <v>123</v>
      </c>
      <c r="G516" s="1" t="s">
        <v>27</v>
      </c>
      <c r="H516" s="1" t="s">
        <v>32972</v>
      </c>
      <c r="I516" s="1" t="s">
        <v>19</v>
      </c>
      <c r="J516" s="1" t="s">
        <v>67</v>
      </c>
      <c r="K516" s="1" t="s">
        <v>34</v>
      </c>
      <c r="L516" s="1">
        <v>2832114</v>
      </c>
      <c r="M516" s="2">
        <v>43423</v>
      </c>
      <c r="N516" s="1" t="s">
        <v>8</v>
      </c>
      <c r="O516" s="1" t="s">
        <v>68</v>
      </c>
    </row>
    <row r="517" spans="1:15" ht="43.2" x14ac:dyDescent="0.3">
      <c r="A517" s="1" t="s">
        <v>32973</v>
      </c>
      <c r="B517" s="1" t="str">
        <f>"Tisugo LTD"</f>
        <v>Tisugo LTD</v>
      </c>
      <c r="C517" s="1" t="s">
        <v>32974</v>
      </c>
      <c r="D517" s="1" t="s">
        <v>30666</v>
      </c>
      <c r="E517" s="1" t="s">
        <v>6518</v>
      </c>
      <c r="F517" s="1" t="s">
        <v>179</v>
      </c>
      <c r="G517" s="1" t="s">
        <v>180</v>
      </c>
      <c r="H517" s="1" t="s">
        <v>32975</v>
      </c>
      <c r="I517" s="1" t="s">
        <v>19</v>
      </c>
      <c r="J517" s="1" t="s">
        <v>67</v>
      </c>
      <c r="K517" s="1" t="s">
        <v>24</v>
      </c>
      <c r="L517" s="1">
        <v>11528003</v>
      </c>
      <c r="M517" s="2">
        <v>43423</v>
      </c>
      <c r="N517" s="1" t="s">
        <v>8</v>
      </c>
      <c r="O517" s="1" t="s">
        <v>68</v>
      </c>
    </row>
    <row r="518" spans="1:15" ht="28.8" x14ac:dyDescent="0.3">
      <c r="A518" s="1" t="s">
        <v>32976</v>
      </c>
      <c r="B518" s="1" t="str">
        <f>"Kevin Smith"</f>
        <v>Kevin Smith</v>
      </c>
      <c r="C518" s="1" t="s">
        <v>32977</v>
      </c>
      <c r="D518" s="1" t="s">
        <v>2979</v>
      </c>
      <c r="F518" s="1" t="s">
        <v>123</v>
      </c>
      <c r="G518" s="1" t="s">
        <v>27</v>
      </c>
      <c r="H518" s="1" t="s">
        <v>32978</v>
      </c>
      <c r="I518" s="1" t="s">
        <v>5</v>
      </c>
      <c r="J518" s="1" t="s">
        <v>6</v>
      </c>
      <c r="K518" s="1" t="s">
        <v>34</v>
      </c>
      <c r="M518" s="2">
        <v>43423</v>
      </c>
      <c r="N518" s="1" t="s">
        <v>8</v>
      </c>
      <c r="O518" s="2">
        <v>44518</v>
      </c>
    </row>
    <row r="519" spans="1:15" ht="43.2" x14ac:dyDescent="0.3">
      <c r="A519" s="1" t="s">
        <v>32979</v>
      </c>
      <c r="B519" s="1" t="str">
        <f>"James  Parker"</f>
        <v>James  Parker</v>
      </c>
      <c r="C519" s="1" t="s">
        <v>32980</v>
      </c>
      <c r="E519" s="1" t="s">
        <v>32981</v>
      </c>
      <c r="F519" s="1" t="s">
        <v>1991</v>
      </c>
      <c r="G519" s="1" t="s">
        <v>307</v>
      </c>
      <c r="H519" s="1" t="s">
        <v>32982</v>
      </c>
      <c r="I519" s="1" t="s">
        <v>5</v>
      </c>
      <c r="J519" s="1" t="s">
        <v>67</v>
      </c>
      <c r="K519" s="1" t="s">
        <v>24</v>
      </c>
      <c r="M519" s="2">
        <v>43423</v>
      </c>
      <c r="N519" s="1" t="s">
        <v>8</v>
      </c>
      <c r="O519" s="1" t="s">
        <v>68</v>
      </c>
    </row>
    <row r="520" spans="1:15" x14ac:dyDescent="0.3">
      <c r="A520" s="1" t="s">
        <v>32992</v>
      </c>
      <c r="B520" s="1" t="str">
        <f>"David Hughes"</f>
        <v>David Hughes</v>
      </c>
      <c r="C520" s="1" t="s">
        <v>32993</v>
      </c>
      <c r="D520" s="1" t="s">
        <v>578</v>
      </c>
      <c r="F520" s="1" t="s">
        <v>64</v>
      </c>
      <c r="G520" s="1" t="s">
        <v>65</v>
      </c>
      <c r="H520" s="1" t="s">
        <v>32994</v>
      </c>
      <c r="I520" s="1" t="s">
        <v>5</v>
      </c>
      <c r="J520" s="1" t="s">
        <v>6</v>
      </c>
      <c r="K520" s="1" t="s">
        <v>24</v>
      </c>
      <c r="M520" s="2">
        <v>43423</v>
      </c>
      <c r="N520" s="1" t="s">
        <v>8</v>
      </c>
      <c r="O520" s="2">
        <v>44518</v>
      </c>
    </row>
    <row r="521" spans="1:15" ht="43.2" x14ac:dyDescent="0.3">
      <c r="A521" s="1" t="s">
        <v>2856</v>
      </c>
      <c r="B521" s="1" t="str">
        <f>"C. W. Griffiths &amp; Sons Ltd"</f>
        <v>C. W. Griffiths &amp; Sons Ltd</v>
      </c>
      <c r="C521" s="1" t="s">
        <v>2857</v>
      </c>
      <c r="D521" s="1" t="s">
        <v>2858</v>
      </c>
      <c r="F521" s="1" t="s">
        <v>2859</v>
      </c>
      <c r="G521" s="1" t="s">
        <v>162</v>
      </c>
      <c r="H521" s="1" t="s">
        <v>2860</v>
      </c>
      <c r="I521" s="1" t="s">
        <v>19</v>
      </c>
      <c r="J521" s="1" t="s">
        <v>67</v>
      </c>
      <c r="K521" s="1" t="s">
        <v>14</v>
      </c>
      <c r="M521" s="2">
        <v>43420</v>
      </c>
      <c r="N521" s="1" t="s">
        <v>8</v>
      </c>
      <c r="O521" s="1" t="s">
        <v>68</v>
      </c>
    </row>
    <row r="522" spans="1:15" ht="43.2" x14ac:dyDescent="0.3">
      <c r="A522" s="1" t="s">
        <v>2871</v>
      </c>
      <c r="B522" s="1" t="str">
        <f>"Cancer Research UK"</f>
        <v>Cancer Research UK</v>
      </c>
      <c r="C522" s="1" t="s">
        <v>2872</v>
      </c>
      <c r="F522" s="1" t="s">
        <v>170</v>
      </c>
      <c r="H522" s="1" t="s">
        <v>2873</v>
      </c>
      <c r="I522" s="1" t="s">
        <v>19</v>
      </c>
      <c r="J522" s="1" t="s">
        <v>67</v>
      </c>
      <c r="K522" s="1" t="s">
        <v>24</v>
      </c>
      <c r="M522" s="2">
        <v>43420</v>
      </c>
      <c r="N522" s="1" t="s">
        <v>8</v>
      </c>
      <c r="O522" s="1" t="s">
        <v>68</v>
      </c>
    </row>
    <row r="523" spans="1:15" x14ac:dyDescent="0.3">
      <c r="A523" s="1" t="s">
        <v>32000</v>
      </c>
      <c r="B523" s="1" t="str">
        <f>"Christopher Codd"</f>
        <v>Christopher Codd</v>
      </c>
      <c r="C523" s="1" t="s">
        <v>32001</v>
      </c>
      <c r="D523" s="1" t="s">
        <v>3154</v>
      </c>
      <c r="F523" s="1" t="s">
        <v>123</v>
      </c>
      <c r="G523" s="1" t="s">
        <v>27</v>
      </c>
      <c r="H523" s="1" t="s">
        <v>32002</v>
      </c>
      <c r="I523" s="1" t="s">
        <v>5</v>
      </c>
      <c r="J523" s="1" t="s">
        <v>6</v>
      </c>
      <c r="K523" s="1" t="s">
        <v>24</v>
      </c>
      <c r="M523" s="2">
        <v>43420</v>
      </c>
      <c r="N523" s="1" t="s">
        <v>8</v>
      </c>
      <c r="O523" s="2">
        <v>44515</v>
      </c>
    </row>
    <row r="524" spans="1:15" x14ac:dyDescent="0.3">
      <c r="A524" s="1" t="s">
        <v>32074</v>
      </c>
      <c r="B524" s="1" t="str">
        <f>"SE Metcalfe &amp; Co"</f>
        <v>SE Metcalfe &amp; Co</v>
      </c>
      <c r="C524" s="1" t="s">
        <v>32075</v>
      </c>
      <c r="D524" s="1" t="s">
        <v>32076</v>
      </c>
      <c r="F524" s="1" t="s">
        <v>20217</v>
      </c>
      <c r="G524" s="1" t="s">
        <v>359</v>
      </c>
      <c r="H524" s="1" t="s">
        <v>26688</v>
      </c>
      <c r="I524" s="1" t="s">
        <v>19</v>
      </c>
      <c r="J524" s="1" t="s">
        <v>6</v>
      </c>
      <c r="K524" s="1" t="s">
        <v>24</v>
      </c>
      <c r="M524" s="2">
        <v>43420</v>
      </c>
      <c r="N524" s="1" t="s">
        <v>8</v>
      </c>
      <c r="O524" s="2">
        <v>44515</v>
      </c>
    </row>
    <row r="525" spans="1:15" ht="43.2" x14ac:dyDescent="0.3">
      <c r="A525" s="1" t="s">
        <v>32949</v>
      </c>
      <c r="B525" s="1" t="str">
        <f>"David Lewis Plant Hire Ltd"</f>
        <v>David Lewis Plant Hire Ltd</v>
      </c>
      <c r="C525" s="1" t="s">
        <v>3770</v>
      </c>
      <c r="F525" s="1" t="s">
        <v>385</v>
      </c>
      <c r="H525" s="1" t="s">
        <v>3771</v>
      </c>
      <c r="I525" s="1" t="s">
        <v>19</v>
      </c>
      <c r="J525" s="1" t="s">
        <v>67</v>
      </c>
      <c r="K525" s="1" t="s">
        <v>24</v>
      </c>
      <c r="L525" s="1">
        <v>7824159</v>
      </c>
      <c r="M525" s="2">
        <v>43420</v>
      </c>
      <c r="N525" s="1" t="s">
        <v>8</v>
      </c>
      <c r="O525" s="1" t="s">
        <v>68</v>
      </c>
    </row>
    <row r="526" spans="1:15" ht="43.2" x14ac:dyDescent="0.3">
      <c r="A526" s="1" t="s">
        <v>32950</v>
      </c>
      <c r="B526" s="1" t="str">
        <f>"Mark Wisbey"</f>
        <v>Mark Wisbey</v>
      </c>
      <c r="C526" s="1" t="s">
        <v>32951</v>
      </c>
      <c r="D526" s="1" t="s">
        <v>32952</v>
      </c>
      <c r="E526" s="1" t="s">
        <v>32953</v>
      </c>
      <c r="F526" s="1" t="s">
        <v>161</v>
      </c>
      <c r="G526" s="1" t="s">
        <v>162</v>
      </c>
      <c r="H526" s="1" t="s">
        <v>1122</v>
      </c>
      <c r="I526" s="1" t="s">
        <v>5</v>
      </c>
      <c r="J526" s="1" t="s">
        <v>67</v>
      </c>
      <c r="K526" s="1" t="s">
        <v>24</v>
      </c>
      <c r="M526" s="2">
        <v>43420</v>
      </c>
      <c r="N526" s="1" t="s">
        <v>8</v>
      </c>
      <c r="O526" s="1" t="s">
        <v>68</v>
      </c>
    </row>
    <row r="527" spans="1:15" ht="28.8" x14ac:dyDescent="0.3">
      <c r="A527" s="1" t="s">
        <v>32956</v>
      </c>
      <c r="B527" s="1" t="str">
        <f>"Waste Trade LTD"</f>
        <v>Waste Trade LTD</v>
      </c>
      <c r="D527" s="1" t="s">
        <v>32957</v>
      </c>
      <c r="F527" s="1" t="s">
        <v>2200</v>
      </c>
      <c r="G527" s="1" t="s">
        <v>51</v>
      </c>
      <c r="H527" s="1" t="s">
        <v>32958</v>
      </c>
      <c r="I527" s="1" t="s">
        <v>19</v>
      </c>
      <c r="J527" s="1" t="s">
        <v>6</v>
      </c>
      <c r="K527" s="1" t="s">
        <v>34</v>
      </c>
      <c r="L527" s="1">
        <v>11605136</v>
      </c>
      <c r="M527" s="2">
        <v>43420</v>
      </c>
      <c r="N527" s="1" t="s">
        <v>8</v>
      </c>
      <c r="O527" s="2">
        <v>44515</v>
      </c>
    </row>
    <row r="528" spans="1:15" x14ac:dyDescent="0.3">
      <c r="A528" s="1" t="s">
        <v>32961</v>
      </c>
      <c r="B528" s="1" t="str">
        <f>"Charles james Thomas"</f>
        <v>Charles james Thomas</v>
      </c>
      <c r="C528" s="1" t="s">
        <v>32962</v>
      </c>
      <c r="D528" s="1" t="s">
        <v>1042</v>
      </c>
      <c r="F528" s="1" t="s">
        <v>123</v>
      </c>
      <c r="G528" s="1" t="s">
        <v>27</v>
      </c>
      <c r="H528" s="1" t="s">
        <v>26472</v>
      </c>
      <c r="I528" s="1" t="s">
        <v>5</v>
      </c>
      <c r="J528" s="1" t="s">
        <v>6</v>
      </c>
      <c r="K528" s="1" t="s">
        <v>24</v>
      </c>
      <c r="M528" s="2">
        <v>43420</v>
      </c>
      <c r="N528" s="1" t="s">
        <v>8</v>
      </c>
      <c r="O528" s="2">
        <v>44515</v>
      </c>
    </row>
    <row r="529" spans="1:15" ht="43.2" x14ac:dyDescent="0.3">
      <c r="A529" s="1" t="s">
        <v>32963</v>
      </c>
      <c r="B529" s="1" t="str">
        <f>"R H Bunner and Sun LTD"</f>
        <v>R H Bunner and Sun LTD</v>
      </c>
      <c r="C529" s="1" t="s">
        <v>32964</v>
      </c>
      <c r="D529" s="1" t="s">
        <v>32472</v>
      </c>
      <c r="F529" s="1" t="s">
        <v>3655</v>
      </c>
      <c r="G529" s="1" t="s">
        <v>162</v>
      </c>
      <c r="H529" s="1" t="s">
        <v>32965</v>
      </c>
      <c r="I529" s="1" t="s">
        <v>19</v>
      </c>
      <c r="J529" s="1" t="s">
        <v>67</v>
      </c>
      <c r="K529" s="1" t="s">
        <v>24</v>
      </c>
      <c r="L529" s="1">
        <v>621110</v>
      </c>
      <c r="M529" s="2">
        <v>43420</v>
      </c>
      <c r="N529" s="1" t="s">
        <v>8</v>
      </c>
      <c r="O529" s="1" t="s">
        <v>68</v>
      </c>
    </row>
    <row r="530" spans="1:15" ht="28.8" x14ac:dyDescent="0.3">
      <c r="A530" s="1" t="s">
        <v>2776</v>
      </c>
      <c r="B530" s="1" t="str">
        <f>"JD Evans (Water Services) Limited"</f>
        <v>JD Evans (Water Services) Limited</v>
      </c>
      <c r="C530" s="1" t="s">
        <v>2777</v>
      </c>
      <c r="F530" s="1" t="s">
        <v>2778</v>
      </c>
      <c r="G530" s="1" t="s">
        <v>654</v>
      </c>
      <c r="H530" s="1" t="s">
        <v>2779</v>
      </c>
      <c r="I530" s="1" t="s">
        <v>19</v>
      </c>
      <c r="J530" s="1" t="s">
        <v>6</v>
      </c>
      <c r="K530" s="1" t="s">
        <v>24</v>
      </c>
      <c r="L530" s="1">
        <v>6631900</v>
      </c>
      <c r="M530" s="2">
        <v>43419</v>
      </c>
      <c r="N530" s="1" t="s">
        <v>8</v>
      </c>
      <c r="O530" s="2">
        <v>44514</v>
      </c>
    </row>
    <row r="531" spans="1:15" ht="28.8" x14ac:dyDescent="0.3">
      <c r="A531" s="1" t="s">
        <v>2780</v>
      </c>
      <c r="B531" s="1" t="str">
        <f>"M &amp; R Construction Ltd"</f>
        <v>M &amp; R Construction Ltd</v>
      </c>
      <c r="C531" s="1" t="s">
        <v>2781</v>
      </c>
      <c r="D531" s="1" t="s">
        <v>2782</v>
      </c>
      <c r="E531" s="1" t="s">
        <v>2783</v>
      </c>
      <c r="F531" s="1" t="s">
        <v>2200</v>
      </c>
      <c r="G531" s="1" t="s">
        <v>51</v>
      </c>
      <c r="H531" s="1" t="s">
        <v>2784</v>
      </c>
      <c r="I531" s="1" t="s">
        <v>19</v>
      </c>
      <c r="J531" s="1" t="s">
        <v>6</v>
      </c>
      <c r="K531" s="1" t="s">
        <v>34</v>
      </c>
      <c r="L531" s="1">
        <v>5106671</v>
      </c>
      <c r="M531" s="2">
        <v>43419</v>
      </c>
      <c r="N531" s="1" t="s">
        <v>8</v>
      </c>
      <c r="O531" s="2">
        <v>44514</v>
      </c>
    </row>
    <row r="532" spans="1:15" ht="28.8" x14ac:dyDescent="0.3">
      <c r="A532" s="1" t="s">
        <v>2785</v>
      </c>
      <c r="B532" s="1" t="str">
        <f>"Welsh window systems"</f>
        <v>Welsh window systems</v>
      </c>
      <c r="C532" s="1" t="s">
        <v>2786</v>
      </c>
      <c r="D532" s="1" t="s">
        <v>2787</v>
      </c>
      <c r="F532" s="1" t="s">
        <v>706</v>
      </c>
      <c r="G532" s="1" t="s">
        <v>211</v>
      </c>
      <c r="H532" s="1" t="s">
        <v>2788</v>
      </c>
      <c r="I532" s="1" t="s">
        <v>19</v>
      </c>
      <c r="J532" s="1" t="s">
        <v>6</v>
      </c>
      <c r="K532" s="1" t="s">
        <v>1859</v>
      </c>
      <c r="M532" s="2">
        <v>43419</v>
      </c>
      <c r="N532" s="1" t="s">
        <v>8</v>
      </c>
      <c r="O532" s="2">
        <v>44514</v>
      </c>
    </row>
    <row r="533" spans="1:15" ht="28.8" x14ac:dyDescent="0.3">
      <c r="A533" s="1" t="s">
        <v>32946</v>
      </c>
      <c r="B533" s="1" t="str">
        <f>"Mark Logan plumbing and heating"</f>
        <v>Mark Logan plumbing and heating</v>
      </c>
      <c r="C533" s="1" t="s">
        <v>32947</v>
      </c>
      <c r="D533" s="1" t="s">
        <v>21452</v>
      </c>
      <c r="F533" s="1" t="s">
        <v>64</v>
      </c>
      <c r="G533" s="1" t="s">
        <v>162</v>
      </c>
      <c r="H533" s="1" t="s">
        <v>32948</v>
      </c>
      <c r="I533" s="1" t="s">
        <v>5</v>
      </c>
      <c r="J533" s="1" t="s">
        <v>6</v>
      </c>
      <c r="K533" s="1" t="s">
        <v>24</v>
      </c>
      <c r="M533" s="2">
        <v>43419</v>
      </c>
      <c r="N533" s="1" t="s">
        <v>8</v>
      </c>
      <c r="O533" s="2">
        <v>44514</v>
      </c>
    </row>
    <row r="534" spans="1:15" ht="28.8" x14ac:dyDescent="0.3">
      <c r="A534" s="1" t="s">
        <v>33091</v>
      </c>
      <c r="B534" s="1" t="str">
        <f>"R AND J METALS LTD"</f>
        <v>R AND J METALS LTD</v>
      </c>
      <c r="C534" s="1" t="s">
        <v>33092</v>
      </c>
      <c r="F534" s="1" t="s">
        <v>174</v>
      </c>
      <c r="H534" s="1" t="s">
        <v>33093</v>
      </c>
      <c r="I534" s="1" t="s">
        <v>19</v>
      </c>
      <c r="J534" s="1" t="s">
        <v>6</v>
      </c>
      <c r="K534" s="1" t="s">
        <v>34</v>
      </c>
      <c r="L534" s="1">
        <v>9543521</v>
      </c>
      <c r="M534" s="2">
        <v>43418</v>
      </c>
      <c r="N534" s="1" t="s">
        <v>8</v>
      </c>
      <c r="O534" s="2">
        <v>44513</v>
      </c>
    </row>
    <row r="535" spans="1:15" ht="28.8" x14ac:dyDescent="0.3">
      <c r="A535" s="1" t="s">
        <v>33099</v>
      </c>
      <c r="B535" s="1" t="str">
        <f>"DGM Construction Limited"</f>
        <v>DGM Construction Limited</v>
      </c>
      <c r="C535" s="1" t="s">
        <v>33100</v>
      </c>
      <c r="D535" s="1" t="s">
        <v>33101</v>
      </c>
      <c r="F535" s="1" t="s">
        <v>33102</v>
      </c>
      <c r="G535" s="1" t="s">
        <v>162</v>
      </c>
      <c r="H535" s="1" t="s">
        <v>33103</v>
      </c>
      <c r="I535" s="1" t="s">
        <v>19</v>
      </c>
      <c r="J535" s="1" t="s">
        <v>6</v>
      </c>
      <c r="K535" s="1" t="s">
        <v>14</v>
      </c>
      <c r="L535" s="1">
        <v>4672054</v>
      </c>
      <c r="M535" s="2">
        <v>43418</v>
      </c>
      <c r="N535" s="1" t="s">
        <v>8</v>
      </c>
      <c r="O535" s="2">
        <v>44513</v>
      </c>
    </row>
    <row r="536" spans="1:15" ht="57.6" x14ac:dyDescent="0.3">
      <c r="A536" s="1" t="s">
        <v>33104</v>
      </c>
      <c r="B536" s="1" t="str">
        <f>"Stephen Lawson Stephen Lawson Heating Engineer and Boiler Repairs"</f>
        <v>Stephen Lawson Stephen Lawson Heating Engineer and Boiler Repairs</v>
      </c>
      <c r="I536" s="1" t="s">
        <v>5</v>
      </c>
      <c r="J536" s="1" t="s">
        <v>6</v>
      </c>
      <c r="K536" s="1" t="s">
        <v>34</v>
      </c>
      <c r="M536" s="2">
        <v>43418</v>
      </c>
      <c r="N536" s="1" t="s">
        <v>8</v>
      </c>
      <c r="O536" s="2">
        <v>44513</v>
      </c>
    </row>
    <row r="537" spans="1:15" ht="43.2" x14ac:dyDescent="0.3">
      <c r="A537" s="1" t="s">
        <v>2877</v>
      </c>
      <c r="B537" s="1" t="str">
        <f>"Carpenter &amp; Paterson"</f>
        <v>Carpenter &amp; Paterson</v>
      </c>
      <c r="C537" s="1" t="s">
        <v>2878</v>
      </c>
      <c r="D537" s="1" t="s">
        <v>2879</v>
      </c>
      <c r="F537" s="1" t="s">
        <v>416</v>
      </c>
      <c r="H537" s="1" t="s">
        <v>2880</v>
      </c>
      <c r="I537" s="1" t="s">
        <v>19</v>
      </c>
      <c r="J537" s="1" t="s">
        <v>67</v>
      </c>
      <c r="K537" s="1" t="s">
        <v>24</v>
      </c>
      <c r="M537" s="2">
        <v>43417</v>
      </c>
      <c r="N537" s="1" t="s">
        <v>8</v>
      </c>
      <c r="O537" s="1" t="s">
        <v>68</v>
      </c>
    </row>
    <row r="538" spans="1:15" ht="43.2" x14ac:dyDescent="0.3">
      <c r="A538" s="1" t="s">
        <v>32071</v>
      </c>
      <c r="B538" s="1" t="str">
        <f>"Paul McGuinness Paul McGuinness Electrical Solution"</f>
        <v>Paul McGuinness Paul McGuinness Electrical Solution</v>
      </c>
      <c r="C538" s="1" t="s">
        <v>32072</v>
      </c>
      <c r="F538" s="1" t="s">
        <v>83</v>
      </c>
      <c r="H538" s="1" t="s">
        <v>32073</v>
      </c>
      <c r="I538" s="1" t="s">
        <v>5</v>
      </c>
      <c r="J538" s="1" t="s">
        <v>6</v>
      </c>
      <c r="K538" s="1" t="s">
        <v>34</v>
      </c>
      <c r="M538" s="2">
        <v>43417</v>
      </c>
      <c r="N538" s="1" t="s">
        <v>8</v>
      </c>
      <c r="O538" s="2">
        <v>44512</v>
      </c>
    </row>
    <row r="539" spans="1:15" x14ac:dyDescent="0.3">
      <c r="A539" s="1" t="s">
        <v>33106</v>
      </c>
      <c r="B539" s="1" t="str">
        <f>"Shaun Parry"</f>
        <v>Shaun Parry</v>
      </c>
      <c r="C539" s="1" t="s">
        <v>33107</v>
      </c>
      <c r="D539" s="1" t="s">
        <v>33108</v>
      </c>
      <c r="F539" s="1" t="s">
        <v>4645</v>
      </c>
      <c r="G539" s="1" t="s">
        <v>324</v>
      </c>
      <c r="H539" s="1" t="s">
        <v>33109</v>
      </c>
      <c r="I539" s="1" t="s">
        <v>5</v>
      </c>
      <c r="J539" s="1" t="s">
        <v>6</v>
      </c>
      <c r="K539" s="1" t="s">
        <v>24</v>
      </c>
      <c r="M539" s="2">
        <v>43417</v>
      </c>
      <c r="N539" s="1" t="s">
        <v>8</v>
      </c>
      <c r="O539" s="2">
        <v>44512</v>
      </c>
    </row>
    <row r="540" spans="1:15" x14ac:dyDescent="0.3">
      <c r="A540" s="1" t="s">
        <v>33113</v>
      </c>
      <c r="B540" s="1" t="str">
        <f>""</f>
        <v/>
      </c>
      <c r="C540" s="1" t="s">
        <v>33114</v>
      </c>
      <c r="D540" s="1" t="s">
        <v>30807</v>
      </c>
      <c r="F540" s="1" t="s">
        <v>123</v>
      </c>
      <c r="G540" s="1" t="s">
        <v>27</v>
      </c>
      <c r="H540" s="1" t="s">
        <v>33115</v>
      </c>
      <c r="I540" s="1" t="s">
        <v>5</v>
      </c>
      <c r="J540" s="1" t="s">
        <v>67</v>
      </c>
      <c r="M540" s="2">
        <v>43417</v>
      </c>
      <c r="N540" s="1" t="s">
        <v>8</v>
      </c>
      <c r="O540" s="1" t="s">
        <v>33116</v>
      </c>
    </row>
    <row r="541" spans="1:15" ht="28.8" x14ac:dyDescent="0.3">
      <c r="A541" s="1" t="s">
        <v>31965</v>
      </c>
      <c r="B541" s="1" t="str">
        <f>"Paul Billington Billington Farms"</f>
        <v>Paul Billington Billington Farms</v>
      </c>
      <c r="C541" s="1" t="s">
        <v>31966</v>
      </c>
      <c r="D541" s="1" t="s">
        <v>31967</v>
      </c>
      <c r="E541" s="1" t="s">
        <v>24261</v>
      </c>
      <c r="F541" s="1" t="s">
        <v>532</v>
      </c>
      <c r="G541" s="1" t="s">
        <v>198</v>
      </c>
      <c r="H541" s="1" t="s">
        <v>31968</v>
      </c>
      <c r="I541" s="1" t="s">
        <v>5</v>
      </c>
      <c r="J541" s="1" t="s">
        <v>6</v>
      </c>
      <c r="K541" s="1" t="s">
        <v>34</v>
      </c>
      <c r="M541" s="2">
        <v>43416</v>
      </c>
      <c r="N541" s="1" t="s">
        <v>8</v>
      </c>
      <c r="O541" s="2">
        <v>44511</v>
      </c>
    </row>
    <row r="542" spans="1:15" ht="28.8" x14ac:dyDescent="0.3">
      <c r="A542" s="1" t="s">
        <v>31973</v>
      </c>
      <c r="B542" s="1" t="str">
        <f>"Kordel Ltd"</f>
        <v>Kordel Ltd</v>
      </c>
      <c r="C542" s="1" t="s">
        <v>31974</v>
      </c>
      <c r="D542" s="1" t="s">
        <v>17001</v>
      </c>
      <c r="F542" s="1" t="s">
        <v>1206</v>
      </c>
      <c r="G542" s="1" t="s">
        <v>162</v>
      </c>
      <c r="H542" s="1" t="s">
        <v>31975</v>
      </c>
      <c r="I542" s="1" t="s">
        <v>19</v>
      </c>
      <c r="J542" s="1" t="s">
        <v>6</v>
      </c>
      <c r="K542" s="1" t="s">
        <v>34</v>
      </c>
      <c r="L542" s="1">
        <v>10907848</v>
      </c>
      <c r="M542" s="2">
        <v>43416</v>
      </c>
      <c r="N542" s="1" t="s">
        <v>8</v>
      </c>
      <c r="O542" s="2">
        <v>44511</v>
      </c>
    </row>
    <row r="543" spans="1:15" ht="43.2" x14ac:dyDescent="0.3">
      <c r="A543" s="1" t="s">
        <v>31976</v>
      </c>
      <c r="B543" s="1" t="str">
        <f>"Alvan Jones"</f>
        <v>Alvan Jones</v>
      </c>
      <c r="C543" s="1" t="s">
        <v>31977</v>
      </c>
      <c r="D543" s="1" t="s">
        <v>31978</v>
      </c>
      <c r="F543" s="1" t="s">
        <v>119</v>
      </c>
      <c r="G543" s="1" t="s">
        <v>679</v>
      </c>
      <c r="H543" s="1" t="s">
        <v>31979</v>
      </c>
      <c r="I543" s="1" t="s">
        <v>5</v>
      </c>
      <c r="J543" s="1" t="s">
        <v>67</v>
      </c>
      <c r="K543" s="1" t="s">
        <v>24</v>
      </c>
      <c r="M543" s="2">
        <v>43416</v>
      </c>
      <c r="N543" s="1" t="s">
        <v>8</v>
      </c>
      <c r="O543" s="1" t="s">
        <v>68</v>
      </c>
    </row>
    <row r="544" spans="1:15" ht="28.8" x14ac:dyDescent="0.3">
      <c r="A544" s="1" t="s">
        <v>31980</v>
      </c>
      <c r="B544" s="1" t="str">
        <f>"Taylor Robinson"</f>
        <v>Taylor Robinson</v>
      </c>
      <c r="C544" s="1" t="s">
        <v>31981</v>
      </c>
      <c r="F544" s="1" t="s">
        <v>7147</v>
      </c>
      <c r="H544" s="1" t="s">
        <v>31982</v>
      </c>
      <c r="I544" s="1" t="s">
        <v>5</v>
      </c>
      <c r="J544" s="1" t="s">
        <v>6</v>
      </c>
      <c r="K544" s="1" t="s">
        <v>34</v>
      </c>
      <c r="M544" s="2">
        <v>43416</v>
      </c>
      <c r="N544" s="1" t="s">
        <v>8</v>
      </c>
      <c r="O544" s="2">
        <v>44511</v>
      </c>
    </row>
    <row r="545" spans="1:15" ht="28.8" x14ac:dyDescent="0.3">
      <c r="A545" s="1" t="s">
        <v>31990</v>
      </c>
      <c r="B545" s="1" t="str">
        <f>"Watkins and Walker"</f>
        <v>Watkins and Walker</v>
      </c>
      <c r="C545" s="1" t="s">
        <v>31991</v>
      </c>
      <c r="D545" s="1" t="s">
        <v>31992</v>
      </c>
      <c r="E545" s="1" t="s">
        <v>1264</v>
      </c>
      <c r="F545" s="1" t="s">
        <v>556</v>
      </c>
      <c r="G545" s="1" t="s">
        <v>556</v>
      </c>
      <c r="H545" s="1" t="s">
        <v>220</v>
      </c>
      <c r="I545" s="1" t="s">
        <v>19</v>
      </c>
      <c r="J545" s="1" t="s">
        <v>6</v>
      </c>
      <c r="K545" s="1" t="s">
        <v>24</v>
      </c>
      <c r="L545" s="1">
        <v>7008102</v>
      </c>
      <c r="M545" s="2">
        <v>43416</v>
      </c>
      <c r="N545" s="1" t="s">
        <v>8</v>
      </c>
      <c r="O545" s="2">
        <v>44511</v>
      </c>
    </row>
    <row r="546" spans="1:15" ht="28.8" x14ac:dyDescent="0.3">
      <c r="A546" s="1" t="s">
        <v>31996</v>
      </c>
      <c r="B546" s="1" t="str">
        <f>"Draintech Surveys Limited"</f>
        <v>Draintech Surveys Limited</v>
      </c>
      <c r="C546" s="1" t="s">
        <v>31997</v>
      </c>
      <c r="D546" s="1" t="s">
        <v>31998</v>
      </c>
      <c r="E546" s="1" t="s">
        <v>31999</v>
      </c>
      <c r="F546" s="1" t="s">
        <v>179</v>
      </c>
      <c r="G546" s="1" t="s">
        <v>180</v>
      </c>
      <c r="H546" s="1" t="s">
        <v>5288</v>
      </c>
      <c r="I546" s="1" t="s">
        <v>19</v>
      </c>
      <c r="J546" s="1" t="s">
        <v>6</v>
      </c>
      <c r="K546" s="1" t="s">
        <v>34</v>
      </c>
      <c r="L546" s="1">
        <v>6358971</v>
      </c>
      <c r="M546" s="2">
        <v>43416</v>
      </c>
      <c r="N546" s="1" t="s">
        <v>8</v>
      </c>
      <c r="O546" s="2">
        <v>44511</v>
      </c>
    </row>
    <row r="547" spans="1:15" ht="43.2" x14ac:dyDescent="0.3">
      <c r="A547" s="1" t="s">
        <v>32944</v>
      </c>
      <c r="B547" s="1" t="str">
        <f>"Consumer Energy Solutions Limited"</f>
        <v>Consumer Energy Solutions Limited</v>
      </c>
      <c r="C547" s="1" t="s">
        <v>32945</v>
      </c>
      <c r="D547" s="1" t="s">
        <v>701</v>
      </c>
      <c r="E547" s="1" t="s">
        <v>702</v>
      </c>
      <c r="F547" s="1" t="s">
        <v>64</v>
      </c>
      <c r="G547" s="1" t="s">
        <v>65</v>
      </c>
      <c r="H547" s="1" t="s">
        <v>703</v>
      </c>
      <c r="I547" s="1" t="s">
        <v>19</v>
      </c>
      <c r="J547" s="1" t="s">
        <v>67</v>
      </c>
      <c r="K547" s="1" t="s">
        <v>24</v>
      </c>
      <c r="L547" s="1">
        <v>9959339</v>
      </c>
      <c r="M547" s="2">
        <v>43416</v>
      </c>
      <c r="N547" s="1" t="s">
        <v>8</v>
      </c>
      <c r="O547" s="1" t="s">
        <v>68</v>
      </c>
    </row>
    <row r="548" spans="1:15" ht="43.2" x14ac:dyDescent="0.3">
      <c r="A548" s="1" t="s">
        <v>33127</v>
      </c>
      <c r="B548" s="1" t="str">
        <f>"Anwen Heaton"</f>
        <v>Anwen Heaton</v>
      </c>
      <c r="C548" s="1" t="s">
        <v>33128</v>
      </c>
      <c r="F548" s="1" t="s">
        <v>123</v>
      </c>
      <c r="G548" s="1" t="s">
        <v>27</v>
      </c>
      <c r="H548" s="1" t="s">
        <v>33129</v>
      </c>
      <c r="I548" s="1" t="s">
        <v>5</v>
      </c>
      <c r="J548" s="1" t="s">
        <v>67</v>
      </c>
      <c r="K548" s="1" t="s">
        <v>24</v>
      </c>
      <c r="M548" s="2">
        <v>43416</v>
      </c>
      <c r="N548" s="1" t="s">
        <v>8</v>
      </c>
      <c r="O548" s="1" t="s">
        <v>68</v>
      </c>
    </row>
    <row r="549" spans="1:15" x14ac:dyDescent="0.3">
      <c r="A549" s="1" t="s">
        <v>32065</v>
      </c>
      <c r="B549" s="1" t="str">
        <f>"R P Gowing Ltd"</f>
        <v>R P Gowing Ltd</v>
      </c>
      <c r="C549" s="1" t="s">
        <v>32066</v>
      </c>
      <c r="F549" s="1" t="s">
        <v>897</v>
      </c>
      <c r="G549" s="1" t="s">
        <v>73</v>
      </c>
      <c r="H549" s="1" t="s">
        <v>32067</v>
      </c>
      <c r="I549" s="1" t="s">
        <v>19</v>
      </c>
      <c r="J549" s="1" t="s">
        <v>6</v>
      </c>
      <c r="K549" s="1" t="s">
        <v>24</v>
      </c>
      <c r="M549" s="2">
        <v>43414</v>
      </c>
      <c r="N549" s="1" t="s">
        <v>8</v>
      </c>
      <c r="O549" s="2">
        <v>44509</v>
      </c>
    </row>
    <row r="550" spans="1:15" x14ac:dyDescent="0.3">
      <c r="A550" s="1" t="s">
        <v>31962</v>
      </c>
      <c r="B550" s="1" t="str">
        <f>"Alexander Ingram"</f>
        <v>Alexander Ingram</v>
      </c>
      <c r="C550" s="1" t="s">
        <v>31963</v>
      </c>
      <c r="F550" s="1" t="s">
        <v>123</v>
      </c>
      <c r="G550" s="1" t="s">
        <v>27</v>
      </c>
      <c r="H550" s="1" t="s">
        <v>31964</v>
      </c>
      <c r="I550" s="1" t="s">
        <v>5</v>
      </c>
      <c r="J550" s="1" t="s">
        <v>6</v>
      </c>
      <c r="K550" s="1" t="s">
        <v>24</v>
      </c>
      <c r="M550" s="2">
        <v>43413</v>
      </c>
      <c r="N550" s="1" t="s">
        <v>8</v>
      </c>
      <c r="O550" s="2">
        <v>44508</v>
      </c>
    </row>
    <row r="551" spans="1:15" ht="28.8" x14ac:dyDescent="0.3">
      <c r="A551" s="1" t="s">
        <v>32925</v>
      </c>
      <c r="B551" s="1" t="str">
        <f>"Ben Ellis Mr Ben Ellis"</f>
        <v>Ben Ellis Mr Ben Ellis</v>
      </c>
      <c r="C551" s="1" t="s">
        <v>32926</v>
      </c>
      <c r="D551" s="1" t="s">
        <v>32927</v>
      </c>
      <c r="E551" s="1" t="s">
        <v>31295</v>
      </c>
      <c r="F551" s="1" t="s">
        <v>1888</v>
      </c>
      <c r="G551" s="1" t="s">
        <v>198</v>
      </c>
      <c r="H551" s="1" t="s">
        <v>32928</v>
      </c>
      <c r="I551" s="1" t="s">
        <v>5</v>
      </c>
      <c r="J551" s="1" t="s">
        <v>6</v>
      </c>
      <c r="K551" s="1" t="s">
        <v>34</v>
      </c>
      <c r="M551" s="2">
        <v>43413</v>
      </c>
      <c r="N551" s="1" t="s">
        <v>8</v>
      </c>
      <c r="O551" s="2">
        <v>44508</v>
      </c>
    </row>
    <row r="552" spans="1:15" x14ac:dyDescent="0.3">
      <c r="A552" s="1" t="s">
        <v>32929</v>
      </c>
      <c r="B552" s="1" t="str">
        <f>"Gwynfor Evans"</f>
        <v>Gwynfor Evans</v>
      </c>
      <c r="C552" s="1" t="s">
        <v>32930</v>
      </c>
      <c r="D552" s="1" t="s">
        <v>32931</v>
      </c>
      <c r="F552" s="1" t="s">
        <v>710</v>
      </c>
      <c r="G552" s="1" t="s">
        <v>3</v>
      </c>
      <c r="H552" s="1" t="s">
        <v>32932</v>
      </c>
      <c r="I552" s="1" t="s">
        <v>5</v>
      </c>
      <c r="J552" s="1" t="s">
        <v>6</v>
      </c>
      <c r="K552" s="1" t="s">
        <v>24</v>
      </c>
      <c r="M552" s="2">
        <v>43413</v>
      </c>
      <c r="N552" s="1" t="s">
        <v>8</v>
      </c>
      <c r="O552" s="2">
        <v>44508</v>
      </c>
    </row>
    <row r="553" spans="1:15" ht="43.2" x14ac:dyDescent="0.3">
      <c r="A553" s="1" t="s">
        <v>32941</v>
      </c>
      <c r="B553" s="1" t="str">
        <f>"Keith Gibbs"</f>
        <v>Keith Gibbs</v>
      </c>
      <c r="C553" s="1" t="s">
        <v>32942</v>
      </c>
      <c r="D553" s="1" t="s">
        <v>32943</v>
      </c>
      <c r="F553" s="1" t="s">
        <v>243</v>
      </c>
      <c r="G553" s="1" t="s">
        <v>231</v>
      </c>
      <c r="H553" s="1" t="s">
        <v>14787</v>
      </c>
      <c r="I553" s="1" t="s">
        <v>5</v>
      </c>
      <c r="J553" s="1" t="s">
        <v>67</v>
      </c>
      <c r="K553" s="1" t="s">
        <v>24</v>
      </c>
      <c r="M553" s="2">
        <v>43413</v>
      </c>
      <c r="N553" s="1" t="s">
        <v>8</v>
      </c>
      <c r="O553" s="1" t="s">
        <v>68</v>
      </c>
    </row>
    <row r="554" spans="1:15" ht="28.8" x14ac:dyDescent="0.3">
      <c r="A554" s="1" t="s">
        <v>2973</v>
      </c>
      <c r="B554" s="1" t="str">
        <f>"Frontier Plastics Ltd"</f>
        <v>Frontier Plastics Ltd</v>
      </c>
      <c r="C554" s="1" t="s">
        <v>2974</v>
      </c>
      <c r="D554" s="1" t="s">
        <v>2156</v>
      </c>
      <c r="E554" s="1" t="s">
        <v>1676</v>
      </c>
      <c r="F554" s="1" t="s">
        <v>1341</v>
      </c>
      <c r="G554" s="1" t="s">
        <v>103</v>
      </c>
      <c r="H554" s="1" t="s">
        <v>2975</v>
      </c>
      <c r="I554" s="1" t="s">
        <v>19</v>
      </c>
      <c r="J554" s="1" t="s">
        <v>6</v>
      </c>
      <c r="K554" s="1" t="s">
        <v>34</v>
      </c>
      <c r="L554" s="1">
        <v>869871</v>
      </c>
      <c r="M554" s="2">
        <v>43411</v>
      </c>
      <c r="N554" s="1" t="s">
        <v>8</v>
      </c>
      <c r="O554" s="2">
        <v>44506</v>
      </c>
    </row>
    <row r="555" spans="1:15" ht="28.8" x14ac:dyDescent="0.3">
      <c r="A555" s="1" t="s">
        <v>31048</v>
      </c>
      <c r="B555" s="1" t="str">
        <f>"C &amp; G Mechanical Limited"</f>
        <v>C &amp; G Mechanical Limited</v>
      </c>
      <c r="C555" s="1" t="s">
        <v>31049</v>
      </c>
      <c r="D555" s="1" t="s">
        <v>8255</v>
      </c>
      <c r="E555" s="1" t="s">
        <v>500</v>
      </c>
      <c r="F555" s="1" t="s">
        <v>123</v>
      </c>
      <c r="G555" s="1" t="s">
        <v>27</v>
      </c>
      <c r="H555" s="1" t="s">
        <v>8256</v>
      </c>
      <c r="I555" s="1" t="s">
        <v>19</v>
      </c>
      <c r="J555" s="1" t="s">
        <v>6</v>
      </c>
      <c r="K555" s="1" t="s">
        <v>34</v>
      </c>
      <c r="L555" s="1">
        <v>8260411</v>
      </c>
      <c r="M555" s="2">
        <v>43411</v>
      </c>
      <c r="N555" s="1" t="s">
        <v>8</v>
      </c>
      <c r="O555" s="2">
        <v>44506</v>
      </c>
    </row>
    <row r="556" spans="1:15" ht="28.8" x14ac:dyDescent="0.3">
      <c r="A556" s="1" t="s">
        <v>32077</v>
      </c>
      <c r="B556" s="1" t="str">
        <f>"Carmichaels Building Services Ltd."</f>
        <v>Carmichaels Building Services Ltd.</v>
      </c>
      <c r="C556" s="1" t="s">
        <v>14594</v>
      </c>
      <c r="D556" s="1" t="s">
        <v>14595</v>
      </c>
      <c r="F556" s="1" t="s">
        <v>42</v>
      </c>
      <c r="H556" s="1" t="s">
        <v>14596</v>
      </c>
      <c r="I556" s="1" t="s">
        <v>19</v>
      </c>
      <c r="J556" s="1" t="s">
        <v>6</v>
      </c>
      <c r="K556" s="1" t="s">
        <v>34</v>
      </c>
      <c r="L556" s="1">
        <v>2492185</v>
      </c>
      <c r="M556" s="2">
        <v>43411</v>
      </c>
      <c r="N556" s="1" t="s">
        <v>8</v>
      </c>
      <c r="O556" s="2">
        <v>44506</v>
      </c>
    </row>
    <row r="557" spans="1:15" ht="43.2" x14ac:dyDescent="0.3">
      <c r="A557" s="1" t="s">
        <v>33110</v>
      </c>
      <c r="B557" s="1" t="str">
        <f>"June Day"</f>
        <v>June Day</v>
      </c>
      <c r="C557" s="1" t="s">
        <v>33111</v>
      </c>
      <c r="D557" s="1" t="s">
        <v>738</v>
      </c>
      <c r="F557" s="1" t="s">
        <v>556</v>
      </c>
      <c r="G557" s="1" t="s">
        <v>33112</v>
      </c>
      <c r="H557" s="1" t="s">
        <v>13101</v>
      </c>
      <c r="I557" s="1" t="s">
        <v>5</v>
      </c>
      <c r="J557" s="1" t="s">
        <v>67</v>
      </c>
      <c r="K557" s="1" t="s">
        <v>24</v>
      </c>
      <c r="M557" s="2">
        <v>43411</v>
      </c>
      <c r="N557" s="1" t="s">
        <v>8</v>
      </c>
      <c r="O557" s="1" t="s">
        <v>68</v>
      </c>
    </row>
    <row r="558" spans="1:15" x14ac:dyDescent="0.3">
      <c r="A558" s="1" t="s">
        <v>33145</v>
      </c>
      <c r="B558" s="1" t="str">
        <f>"Sunrise interiors"</f>
        <v>Sunrise interiors</v>
      </c>
      <c r="C558" s="1" t="s">
        <v>2577</v>
      </c>
      <c r="D558" s="1" t="s">
        <v>33146</v>
      </c>
      <c r="F558" s="1" t="s">
        <v>18297</v>
      </c>
      <c r="G558" s="1" t="s">
        <v>1351</v>
      </c>
      <c r="H558" s="1" t="s">
        <v>4010</v>
      </c>
      <c r="I558" s="1" t="s">
        <v>19</v>
      </c>
      <c r="J558" s="1" t="s">
        <v>6</v>
      </c>
      <c r="K558" s="1" t="s">
        <v>24</v>
      </c>
      <c r="L558" s="1">
        <v>3530845</v>
      </c>
      <c r="M558" s="2">
        <v>43410</v>
      </c>
      <c r="N558" s="1" t="s">
        <v>8</v>
      </c>
      <c r="O558" s="2">
        <v>44505</v>
      </c>
    </row>
    <row r="559" spans="1:15" x14ac:dyDescent="0.3">
      <c r="A559" s="1" t="s">
        <v>32918</v>
      </c>
      <c r="B559" s="1" t="str">
        <f>"Grandish Designs"</f>
        <v>Grandish Designs</v>
      </c>
      <c r="C559" s="1" t="s">
        <v>32919</v>
      </c>
      <c r="D559" s="1" t="s">
        <v>32920</v>
      </c>
      <c r="F559" s="1" t="s">
        <v>541</v>
      </c>
      <c r="G559" s="1" t="s">
        <v>51</v>
      </c>
      <c r="H559" s="1" t="s">
        <v>32921</v>
      </c>
      <c r="I559" s="1" t="s">
        <v>19</v>
      </c>
      <c r="J559" s="1" t="s">
        <v>6</v>
      </c>
      <c r="K559" s="1" t="s">
        <v>24</v>
      </c>
      <c r="L559" s="1">
        <v>8815289</v>
      </c>
      <c r="M559" s="2">
        <v>43409</v>
      </c>
      <c r="N559" s="1" t="s">
        <v>8</v>
      </c>
      <c r="O559" s="2">
        <v>44504</v>
      </c>
    </row>
    <row r="560" spans="1:15" ht="43.2" x14ac:dyDescent="0.3">
      <c r="A560" s="1" t="s">
        <v>2761</v>
      </c>
      <c r="B560" s="1" t="str">
        <f>"Hughes Glass &amp; Glazing LTD"</f>
        <v>Hughes Glass &amp; Glazing LTD</v>
      </c>
      <c r="C560" s="1" t="s">
        <v>2762</v>
      </c>
      <c r="D560" s="1" t="s">
        <v>1321</v>
      </c>
      <c r="F560" s="1" t="s">
        <v>3</v>
      </c>
      <c r="H560" s="1" t="s">
        <v>2763</v>
      </c>
      <c r="I560" s="1" t="s">
        <v>19</v>
      </c>
      <c r="J560" s="1" t="s">
        <v>67</v>
      </c>
      <c r="K560" s="1" t="s">
        <v>24</v>
      </c>
      <c r="L560" s="1">
        <v>7151012</v>
      </c>
      <c r="M560" s="2">
        <v>43406</v>
      </c>
      <c r="N560" s="1" t="s">
        <v>8</v>
      </c>
      <c r="O560" s="1" t="s">
        <v>68</v>
      </c>
    </row>
    <row r="561" spans="1:15" ht="28.8" x14ac:dyDescent="0.3">
      <c r="A561" s="1" t="s">
        <v>2764</v>
      </c>
      <c r="B561" s="1" t="str">
        <f>"Simon Edwards Flooring Ltd"</f>
        <v>Simon Edwards Flooring Ltd</v>
      </c>
      <c r="C561" s="1" t="s">
        <v>2765</v>
      </c>
      <c r="F561" s="1" t="s">
        <v>65</v>
      </c>
      <c r="H561" s="1" t="s">
        <v>2766</v>
      </c>
      <c r="I561" s="1" t="s">
        <v>19</v>
      </c>
      <c r="J561" s="1" t="s">
        <v>6</v>
      </c>
      <c r="K561" s="1" t="s">
        <v>34</v>
      </c>
      <c r="L561" s="1">
        <v>4555030</v>
      </c>
      <c r="M561" s="2">
        <v>43406</v>
      </c>
      <c r="N561" s="1" t="s">
        <v>8</v>
      </c>
      <c r="O561" s="2">
        <v>44501</v>
      </c>
    </row>
    <row r="562" spans="1:15" ht="28.8" x14ac:dyDescent="0.3">
      <c r="A562" s="1" t="s">
        <v>2767</v>
      </c>
      <c r="B562" s="1" t="str">
        <f>"Rightseal Wales LTD"</f>
        <v>Rightseal Wales LTD</v>
      </c>
      <c r="C562" s="1" t="s">
        <v>2768</v>
      </c>
      <c r="D562" s="1" t="s">
        <v>1004</v>
      </c>
      <c r="E562" s="1" t="s">
        <v>2769</v>
      </c>
      <c r="F562" s="1" t="s">
        <v>123</v>
      </c>
      <c r="G562" s="1" t="s">
        <v>27</v>
      </c>
      <c r="H562" s="1" t="s">
        <v>2770</v>
      </c>
      <c r="I562" s="1" t="s">
        <v>19</v>
      </c>
      <c r="J562" s="1" t="s">
        <v>6</v>
      </c>
      <c r="K562" s="1" t="s">
        <v>34</v>
      </c>
      <c r="L562" s="1">
        <v>8079213</v>
      </c>
      <c r="M562" s="2">
        <v>43406</v>
      </c>
      <c r="N562" s="1" t="s">
        <v>8</v>
      </c>
      <c r="O562" s="2">
        <v>44501</v>
      </c>
    </row>
    <row r="563" spans="1:15" x14ac:dyDescent="0.3">
      <c r="A563" s="1" t="s">
        <v>32893</v>
      </c>
      <c r="B563" s="1" t="str">
        <f>"Gary Griffiths"</f>
        <v>Gary Griffiths</v>
      </c>
      <c r="C563" s="1" t="s">
        <v>32894</v>
      </c>
      <c r="D563" s="1" t="s">
        <v>32895</v>
      </c>
      <c r="E563" s="1" t="s">
        <v>5491</v>
      </c>
      <c r="F563" s="1" t="s">
        <v>1058</v>
      </c>
      <c r="G563" s="1" t="s">
        <v>381</v>
      </c>
      <c r="H563" s="1" t="s">
        <v>32896</v>
      </c>
      <c r="I563" s="1" t="s">
        <v>5</v>
      </c>
      <c r="J563" s="1" t="s">
        <v>6</v>
      </c>
      <c r="K563" s="1" t="s">
        <v>24</v>
      </c>
      <c r="M563" s="2">
        <v>43405</v>
      </c>
      <c r="N563" s="1" t="s">
        <v>8</v>
      </c>
      <c r="O563" s="2">
        <v>44500</v>
      </c>
    </row>
    <row r="564" spans="1:15" ht="43.2" x14ac:dyDescent="0.3">
      <c r="A564" s="1" t="s">
        <v>32897</v>
      </c>
      <c r="B564" s="1" t="str">
        <f>"Fire Safety Direct"</f>
        <v>Fire Safety Direct</v>
      </c>
      <c r="C564" s="1" t="s">
        <v>32898</v>
      </c>
      <c r="D564" s="1" t="s">
        <v>32899</v>
      </c>
      <c r="E564" s="1" t="s">
        <v>424</v>
      </c>
      <c r="F564" s="1" t="s">
        <v>64</v>
      </c>
      <c r="G564" s="1" t="s">
        <v>65</v>
      </c>
      <c r="H564" s="1" t="s">
        <v>32900</v>
      </c>
      <c r="I564" s="1" t="s">
        <v>19</v>
      </c>
      <c r="J564" s="1" t="s">
        <v>67</v>
      </c>
      <c r="K564" s="1" t="s">
        <v>24</v>
      </c>
      <c r="L564" s="1">
        <v>4771804</v>
      </c>
      <c r="M564" s="2">
        <v>43405</v>
      </c>
      <c r="N564" s="1" t="s">
        <v>8</v>
      </c>
      <c r="O564" s="1" t="s">
        <v>68</v>
      </c>
    </row>
    <row r="565" spans="1:15" ht="28.8" x14ac:dyDescent="0.3">
      <c r="A565" s="1" t="s">
        <v>32901</v>
      </c>
      <c r="B565" s="1" t="str">
        <f>"Christopher Blackmore"</f>
        <v>Christopher Blackmore</v>
      </c>
      <c r="C565" s="1" t="s">
        <v>32902</v>
      </c>
      <c r="D565" s="1" t="s">
        <v>424</v>
      </c>
      <c r="F565" s="1" t="s">
        <v>64</v>
      </c>
      <c r="G565" s="1" t="s">
        <v>65</v>
      </c>
      <c r="H565" s="1" t="s">
        <v>32903</v>
      </c>
      <c r="I565" s="1" t="s">
        <v>5</v>
      </c>
      <c r="J565" s="1" t="s">
        <v>6</v>
      </c>
      <c r="K565" s="1" t="s">
        <v>34</v>
      </c>
      <c r="M565" s="2">
        <v>43405</v>
      </c>
      <c r="N565" s="1" t="s">
        <v>8</v>
      </c>
      <c r="O565" s="2">
        <v>44499</v>
      </c>
    </row>
    <row r="566" spans="1:15" x14ac:dyDescent="0.3">
      <c r="A566" s="1" t="s">
        <v>32908</v>
      </c>
      <c r="B566" s="1" t="str">
        <f>"Kurtis Chapman LTD"</f>
        <v>Kurtis Chapman LTD</v>
      </c>
      <c r="C566" s="1" t="s">
        <v>32909</v>
      </c>
      <c r="D566" s="1" t="s">
        <v>8869</v>
      </c>
      <c r="F566" s="1" t="s">
        <v>358</v>
      </c>
      <c r="G566" s="1" t="s">
        <v>359</v>
      </c>
      <c r="H566" s="1" t="s">
        <v>32910</v>
      </c>
      <c r="I566" s="1" t="s">
        <v>19</v>
      </c>
      <c r="J566" s="1" t="s">
        <v>6</v>
      </c>
      <c r="K566" s="1" t="s">
        <v>24</v>
      </c>
      <c r="L566" s="1">
        <v>8956002</v>
      </c>
      <c r="M566" s="2">
        <v>43405</v>
      </c>
      <c r="N566" s="1" t="s">
        <v>8</v>
      </c>
      <c r="O566" s="2">
        <v>44500</v>
      </c>
    </row>
    <row r="567" spans="1:15" ht="28.8" x14ac:dyDescent="0.3">
      <c r="A567" s="1" t="s">
        <v>32911</v>
      </c>
      <c r="B567" s="1" t="str">
        <f>"Oasis Communications Services"</f>
        <v>Oasis Communications Services</v>
      </c>
      <c r="C567" s="1" t="s">
        <v>32912</v>
      </c>
      <c r="D567" s="1" t="s">
        <v>32913</v>
      </c>
      <c r="F567" s="1" t="s">
        <v>230</v>
      </c>
      <c r="G567" s="1" t="s">
        <v>231</v>
      </c>
      <c r="H567" s="1" t="s">
        <v>32914</v>
      </c>
      <c r="I567" s="1" t="s">
        <v>19</v>
      </c>
      <c r="J567" s="1" t="s">
        <v>6</v>
      </c>
      <c r="K567" s="1" t="s">
        <v>24</v>
      </c>
      <c r="L567" s="1">
        <v>3343039</v>
      </c>
      <c r="M567" s="2">
        <v>43405</v>
      </c>
      <c r="N567" s="1" t="s">
        <v>8</v>
      </c>
      <c r="O567" s="2">
        <v>44500</v>
      </c>
    </row>
    <row r="568" spans="1:15" ht="28.8" x14ac:dyDescent="0.3">
      <c r="A568" s="1" t="s">
        <v>32915</v>
      </c>
      <c r="B568" s="1" t="str">
        <f>"Lee Martin Lee Martin Plastering Contractor"</f>
        <v>Lee Martin Lee Martin Plastering Contractor</v>
      </c>
      <c r="C568" s="1" t="s">
        <v>32916</v>
      </c>
      <c r="F568" s="1" t="s">
        <v>4731</v>
      </c>
      <c r="H568" s="1" t="s">
        <v>32917</v>
      </c>
      <c r="I568" s="1" t="s">
        <v>5</v>
      </c>
      <c r="J568" s="1" t="s">
        <v>6</v>
      </c>
      <c r="K568" s="1" t="s">
        <v>24</v>
      </c>
      <c r="M568" s="2">
        <v>43405</v>
      </c>
      <c r="N568" s="1" t="s">
        <v>8</v>
      </c>
      <c r="O568" s="2">
        <v>44500</v>
      </c>
    </row>
    <row r="569" spans="1:15" ht="57.6" x14ac:dyDescent="0.3">
      <c r="A569" s="1" t="s">
        <v>31020</v>
      </c>
      <c r="B569" s="1" t="str">
        <f>"Keolis Amey Operations / Gweithrediadau Keolis Amey Limited"</f>
        <v>Keolis Amey Operations / Gweithrediadau Keolis Amey Limited</v>
      </c>
      <c r="C569" s="1" t="s">
        <v>31021</v>
      </c>
      <c r="D569" s="1" t="s">
        <v>31022</v>
      </c>
      <c r="F569" s="1" t="s">
        <v>123</v>
      </c>
      <c r="H569" s="1" t="s">
        <v>31023</v>
      </c>
      <c r="I569" s="1" t="s">
        <v>19</v>
      </c>
      <c r="J569" s="1" t="s">
        <v>6</v>
      </c>
      <c r="K569" s="1" t="s">
        <v>24</v>
      </c>
      <c r="M569" s="2">
        <v>43404</v>
      </c>
      <c r="N569" s="1" t="s">
        <v>8</v>
      </c>
      <c r="O569" s="2">
        <v>44499</v>
      </c>
    </row>
    <row r="570" spans="1:15" ht="28.8" x14ac:dyDescent="0.3">
      <c r="A570" s="1" t="s">
        <v>31024</v>
      </c>
      <c r="B570" s="1" t="str">
        <f>"Stuart Lewis Building Roofing LTD"</f>
        <v>Stuart Lewis Building Roofing LTD</v>
      </c>
      <c r="C570" s="1" t="s">
        <v>31025</v>
      </c>
      <c r="F570" s="1" t="s">
        <v>156</v>
      </c>
      <c r="G570" s="1" t="s">
        <v>115</v>
      </c>
      <c r="H570" s="1" t="s">
        <v>31026</v>
      </c>
      <c r="I570" s="1" t="s">
        <v>19</v>
      </c>
      <c r="J570" s="1" t="s">
        <v>6</v>
      </c>
      <c r="K570" s="1" t="s">
        <v>24</v>
      </c>
      <c r="L570" s="1">
        <v>6764685</v>
      </c>
      <c r="M570" s="2">
        <v>43404</v>
      </c>
      <c r="N570" s="1" t="s">
        <v>8</v>
      </c>
      <c r="O570" s="2">
        <v>44499</v>
      </c>
    </row>
    <row r="571" spans="1:15" ht="28.8" x14ac:dyDescent="0.3">
      <c r="A571" s="1" t="s">
        <v>31031</v>
      </c>
      <c r="B571" s="1" t="str">
        <f>"West Wales Chimney Services Limited"</f>
        <v>West Wales Chimney Services Limited</v>
      </c>
      <c r="C571" s="1" t="s">
        <v>31032</v>
      </c>
      <c r="D571" s="1" t="s">
        <v>21401</v>
      </c>
      <c r="E571" s="1" t="s">
        <v>3</v>
      </c>
      <c r="H571" s="1" t="s">
        <v>21402</v>
      </c>
      <c r="I571" s="1" t="s">
        <v>19</v>
      </c>
      <c r="J571" s="1" t="s">
        <v>6</v>
      </c>
      <c r="K571" s="1" t="s">
        <v>24</v>
      </c>
      <c r="L571" s="1">
        <v>8472946</v>
      </c>
      <c r="M571" s="2">
        <v>43404</v>
      </c>
      <c r="N571" s="1" t="s">
        <v>8</v>
      </c>
      <c r="O571" s="2">
        <v>44499</v>
      </c>
    </row>
    <row r="572" spans="1:15" ht="28.8" x14ac:dyDescent="0.3">
      <c r="A572" s="1" t="s">
        <v>31033</v>
      </c>
      <c r="B572" s="1" t="str">
        <f>"Penry Morgan (Blaenavon) LTD"</f>
        <v>Penry Morgan (Blaenavon) LTD</v>
      </c>
      <c r="C572" s="1" t="s">
        <v>31034</v>
      </c>
      <c r="D572" s="1" t="s">
        <v>17743</v>
      </c>
      <c r="E572" s="1" t="s">
        <v>5491</v>
      </c>
      <c r="F572" s="1" t="s">
        <v>1058</v>
      </c>
      <c r="G572" s="1" t="s">
        <v>381</v>
      </c>
      <c r="H572" s="1" t="s">
        <v>2995</v>
      </c>
      <c r="I572" s="1" t="s">
        <v>19</v>
      </c>
      <c r="J572" s="1" t="s">
        <v>6</v>
      </c>
      <c r="K572" s="1" t="s">
        <v>24</v>
      </c>
      <c r="L572" s="1">
        <v>867347</v>
      </c>
      <c r="M572" s="2">
        <v>43404</v>
      </c>
      <c r="N572" s="1" t="s">
        <v>8</v>
      </c>
      <c r="O572" s="2">
        <v>44499</v>
      </c>
    </row>
    <row r="573" spans="1:15" ht="43.2" x14ac:dyDescent="0.3">
      <c r="A573" s="1" t="s">
        <v>31038</v>
      </c>
      <c r="B573" s="1" t="str">
        <f>"COLIN RICHARDSON COLIN RICHARDSON CONTRACTORS"</f>
        <v>COLIN RICHARDSON COLIN RICHARDSON CONTRACTORS</v>
      </c>
      <c r="C573" s="1" t="s">
        <v>31039</v>
      </c>
      <c r="D573" s="1" t="s">
        <v>18020</v>
      </c>
      <c r="F573" s="1" t="s">
        <v>91</v>
      </c>
      <c r="H573" s="1" t="s">
        <v>31040</v>
      </c>
      <c r="I573" s="1" t="s">
        <v>5</v>
      </c>
      <c r="J573" s="1" t="s">
        <v>6</v>
      </c>
      <c r="K573" s="1" t="s">
        <v>24</v>
      </c>
      <c r="M573" s="2">
        <v>43404</v>
      </c>
      <c r="N573" s="1" t="s">
        <v>8</v>
      </c>
      <c r="O573" s="2">
        <v>44499</v>
      </c>
    </row>
    <row r="574" spans="1:15" ht="28.8" x14ac:dyDescent="0.3">
      <c r="A574" s="1" t="s">
        <v>31041</v>
      </c>
      <c r="B574" s="1" t="str">
        <f>"Tahir Karim"</f>
        <v>Tahir Karim</v>
      </c>
      <c r="C574" s="1" t="s">
        <v>4272</v>
      </c>
      <c r="D574" s="1" t="s">
        <v>4273</v>
      </c>
      <c r="E574" s="1" t="s">
        <v>3176</v>
      </c>
      <c r="F574" s="1" t="s">
        <v>1093</v>
      </c>
      <c r="H574" s="1" t="s">
        <v>4274</v>
      </c>
      <c r="I574" s="1" t="s">
        <v>5</v>
      </c>
      <c r="J574" s="1" t="s">
        <v>6</v>
      </c>
      <c r="K574" s="1" t="s">
        <v>34</v>
      </c>
      <c r="M574" s="2">
        <v>43404</v>
      </c>
      <c r="N574" s="1" t="s">
        <v>8</v>
      </c>
      <c r="O574" s="2">
        <v>44499</v>
      </c>
    </row>
    <row r="575" spans="1:15" ht="28.8" x14ac:dyDescent="0.3">
      <c r="A575" s="1" t="s">
        <v>31042</v>
      </c>
      <c r="B575" s="1" t="str">
        <f>"Taylor Robinson"</f>
        <v>Taylor Robinson</v>
      </c>
      <c r="C575" s="1" t="s">
        <v>28352</v>
      </c>
      <c r="F575" s="1" t="s">
        <v>873</v>
      </c>
      <c r="H575" s="1" t="s">
        <v>28353</v>
      </c>
      <c r="I575" s="1" t="s">
        <v>5</v>
      </c>
      <c r="J575" s="1" t="s">
        <v>6</v>
      </c>
      <c r="K575" s="1" t="s">
        <v>34</v>
      </c>
      <c r="M575" s="2">
        <v>43404</v>
      </c>
      <c r="N575" s="1" t="s">
        <v>8</v>
      </c>
      <c r="O575" s="2">
        <v>44499</v>
      </c>
    </row>
    <row r="576" spans="1:15" ht="28.8" x14ac:dyDescent="0.3">
      <c r="A576" s="1" t="s">
        <v>31043</v>
      </c>
      <c r="B576" s="1" t="str">
        <f>"Taylor Robinson"</f>
        <v>Taylor Robinson</v>
      </c>
      <c r="C576" s="1" t="s">
        <v>31044</v>
      </c>
      <c r="D576" s="1" t="s">
        <v>31045</v>
      </c>
      <c r="E576" s="1" t="s">
        <v>3509</v>
      </c>
      <c r="F576" s="1" t="s">
        <v>42</v>
      </c>
      <c r="G576" s="1" t="s">
        <v>51</v>
      </c>
      <c r="H576" s="1" t="s">
        <v>31046</v>
      </c>
      <c r="I576" s="1" t="s">
        <v>5</v>
      </c>
      <c r="J576" s="1" t="s">
        <v>6</v>
      </c>
      <c r="K576" s="1" t="s">
        <v>34</v>
      </c>
      <c r="M576" s="2">
        <v>43404</v>
      </c>
      <c r="N576" s="1" t="s">
        <v>8</v>
      </c>
      <c r="O576" s="2">
        <v>44499</v>
      </c>
    </row>
    <row r="577" spans="1:15" x14ac:dyDescent="0.3">
      <c r="A577" s="1" t="s">
        <v>31047</v>
      </c>
      <c r="B577" s="1" t="str">
        <f>"Thomas Friendship"</f>
        <v>Thomas Friendship</v>
      </c>
      <c r="I577" s="1" t="s">
        <v>5</v>
      </c>
      <c r="J577" s="1" t="s">
        <v>6</v>
      </c>
      <c r="K577" s="1" t="s">
        <v>24</v>
      </c>
      <c r="M577" s="2">
        <v>43404</v>
      </c>
      <c r="N577" s="1" t="s">
        <v>8</v>
      </c>
      <c r="O577" s="2">
        <v>44499</v>
      </c>
    </row>
    <row r="578" spans="1:15" ht="43.2" x14ac:dyDescent="0.3">
      <c r="A578" s="1" t="s">
        <v>30986</v>
      </c>
      <c r="B578" s="1" t="str">
        <f>"The Star Inn"</f>
        <v>The Star Inn</v>
      </c>
      <c r="C578" s="1" t="s">
        <v>30987</v>
      </c>
      <c r="D578" s="1" t="s">
        <v>4050</v>
      </c>
      <c r="F578" s="1" t="s">
        <v>1058</v>
      </c>
      <c r="G578" s="1" t="s">
        <v>231</v>
      </c>
      <c r="H578" s="1" t="s">
        <v>11679</v>
      </c>
      <c r="I578" s="1" t="s">
        <v>125</v>
      </c>
      <c r="J578" s="1" t="s">
        <v>67</v>
      </c>
      <c r="K578" s="1" t="s">
        <v>24</v>
      </c>
      <c r="M578" s="2">
        <v>43403</v>
      </c>
      <c r="N578" s="1" t="s">
        <v>8</v>
      </c>
      <c r="O578" s="1" t="s">
        <v>68</v>
      </c>
    </row>
    <row r="579" spans="1:15" ht="43.2" x14ac:dyDescent="0.3">
      <c r="A579" s="1" t="s">
        <v>30988</v>
      </c>
      <c r="B579" s="1" t="str">
        <f>"Daniel Mccarthy"</f>
        <v>Daniel Mccarthy</v>
      </c>
      <c r="C579" s="1" t="s">
        <v>30989</v>
      </c>
      <c r="D579" s="1" t="s">
        <v>30990</v>
      </c>
      <c r="E579" s="1" t="s">
        <v>30991</v>
      </c>
      <c r="F579" s="1" t="s">
        <v>556</v>
      </c>
      <c r="G579" s="1" t="s">
        <v>556</v>
      </c>
      <c r="H579" s="1" t="s">
        <v>30992</v>
      </c>
      <c r="I579" s="1" t="s">
        <v>5</v>
      </c>
      <c r="J579" s="1" t="s">
        <v>67</v>
      </c>
      <c r="K579" s="1" t="s">
        <v>7</v>
      </c>
      <c r="M579" s="2">
        <v>43403</v>
      </c>
      <c r="N579" s="1" t="s">
        <v>8</v>
      </c>
      <c r="O579" s="1" t="s">
        <v>68</v>
      </c>
    </row>
    <row r="580" spans="1:15" ht="43.2" x14ac:dyDescent="0.3">
      <c r="A580" s="1" t="s">
        <v>30993</v>
      </c>
      <c r="B580" s="1" t="str">
        <f>"Steve Edwards"</f>
        <v>Steve Edwards</v>
      </c>
      <c r="C580" s="1" t="s">
        <v>30994</v>
      </c>
      <c r="D580" s="1" t="s">
        <v>30995</v>
      </c>
      <c r="E580" s="1" t="s">
        <v>30996</v>
      </c>
      <c r="F580" s="1" t="s">
        <v>401</v>
      </c>
      <c r="H580" s="1" t="s">
        <v>30997</v>
      </c>
      <c r="I580" s="1" t="s">
        <v>5</v>
      </c>
      <c r="J580" s="1" t="s">
        <v>67</v>
      </c>
      <c r="K580" s="1" t="s">
        <v>24</v>
      </c>
      <c r="M580" s="2">
        <v>43403</v>
      </c>
      <c r="N580" s="1" t="s">
        <v>8</v>
      </c>
      <c r="O580" s="1" t="s">
        <v>68</v>
      </c>
    </row>
    <row r="581" spans="1:15" ht="43.2" x14ac:dyDescent="0.3">
      <c r="A581" s="1" t="s">
        <v>30998</v>
      </c>
      <c r="B581" s="1" t="str">
        <f>"Amandeep Singh"</f>
        <v>Amandeep Singh</v>
      </c>
      <c r="C581" s="1" t="s">
        <v>30999</v>
      </c>
      <c r="D581" s="1" t="s">
        <v>31000</v>
      </c>
      <c r="E581" s="1" t="s">
        <v>986</v>
      </c>
      <c r="F581" s="1" t="s">
        <v>556</v>
      </c>
      <c r="G581" s="1" t="s">
        <v>556</v>
      </c>
      <c r="H581" s="1" t="s">
        <v>20583</v>
      </c>
      <c r="I581" s="1" t="s">
        <v>5</v>
      </c>
      <c r="J581" s="1" t="s">
        <v>67</v>
      </c>
      <c r="K581" s="1" t="s">
        <v>24</v>
      </c>
      <c r="M581" s="2">
        <v>43403</v>
      </c>
      <c r="N581" s="1" t="s">
        <v>8</v>
      </c>
      <c r="O581" s="1" t="s">
        <v>68</v>
      </c>
    </row>
    <row r="582" spans="1:15" ht="43.2" x14ac:dyDescent="0.3">
      <c r="A582" s="1" t="s">
        <v>31001</v>
      </c>
      <c r="B582" s="1" t="str">
        <f>"Dylan Jones-powell"</f>
        <v>Dylan Jones-powell</v>
      </c>
      <c r="C582" s="1" t="s">
        <v>31002</v>
      </c>
      <c r="D582" s="1" t="s">
        <v>31003</v>
      </c>
      <c r="F582" s="1" t="s">
        <v>665</v>
      </c>
      <c r="G582" s="1" t="s">
        <v>51</v>
      </c>
      <c r="H582" s="1" t="s">
        <v>23065</v>
      </c>
      <c r="I582" s="1" t="s">
        <v>5</v>
      </c>
      <c r="J582" s="1" t="s">
        <v>67</v>
      </c>
      <c r="K582" s="1" t="s">
        <v>34</v>
      </c>
      <c r="M582" s="2">
        <v>43403</v>
      </c>
      <c r="N582" s="1" t="s">
        <v>8</v>
      </c>
      <c r="O582" s="1" t="s">
        <v>68</v>
      </c>
    </row>
    <row r="583" spans="1:15" x14ac:dyDescent="0.3">
      <c r="A583" s="1" t="s">
        <v>31004</v>
      </c>
      <c r="B583" s="1" t="str">
        <f>"Peter Williams"</f>
        <v>Peter Williams</v>
      </c>
      <c r="C583" s="1" t="s">
        <v>31005</v>
      </c>
      <c r="D583" s="1" t="s">
        <v>2041</v>
      </c>
      <c r="F583" s="1" t="s">
        <v>64</v>
      </c>
      <c r="G583" s="1" t="s">
        <v>65</v>
      </c>
      <c r="H583" s="1" t="s">
        <v>31006</v>
      </c>
      <c r="I583" s="1" t="s">
        <v>5</v>
      </c>
      <c r="J583" s="1" t="s">
        <v>6</v>
      </c>
      <c r="K583" s="1" t="s">
        <v>24</v>
      </c>
      <c r="M583" s="2">
        <v>43403</v>
      </c>
      <c r="N583" s="1" t="s">
        <v>8</v>
      </c>
      <c r="O583" s="2">
        <v>44498</v>
      </c>
    </row>
    <row r="584" spans="1:15" ht="28.8" x14ac:dyDescent="0.3">
      <c r="A584" s="1" t="s">
        <v>31007</v>
      </c>
      <c r="B584" s="1" t="str">
        <f>"360 Groundcare Limited"</f>
        <v>360 Groundcare Limited</v>
      </c>
      <c r="C584" s="1" t="s">
        <v>31008</v>
      </c>
      <c r="D584" s="1" t="s">
        <v>31009</v>
      </c>
      <c r="F584" s="1" t="s">
        <v>897</v>
      </c>
      <c r="G584" s="1" t="s">
        <v>73</v>
      </c>
      <c r="H584" s="1" t="s">
        <v>7553</v>
      </c>
      <c r="I584" s="1" t="s">
        <v>19</v>
      </c>
      <c r="J584" s="1" t="s">
        <v>6</v>
      </c>
      <c r="K584" s="1" t="s">
        <v>24</v>
      </c>
      <c r="L584" s="1">
        <v>10422941</v>
      </c>
      <c r="M584" s="2">
        <v>43403</v>
      </c>
      <c r="N584" s="1" t="s">
        <v>8</v>
      </c>
      <c r="O584" s="2">
        <v>44498</v>
      </c>
    </row>
    <row r="585" spans="1:15" ht="28.8" x14ac:dyDescent="0.3">
      <c r="A585" s="1" t="s">
        <v>31010</v>
      </c>
      <c r="B585" s="1" t="str">
        <f>"Connect Property Improvements LTD"</f>
        <v>Connect Property Improvements LTD</v>
      </c>
      <c r="C585" s="1" t="s">
        <v>31008</v>
      </c>
      <c r="D585" s="1" t="s">
        <v>31009</v>
      </c>
      <c r="F585" s="1" t="s">
        <v>897</v>
      </c>
      <c r="G585" s="1" t="s">
        <v>73</v>
      </c>
      <c r="H585" s="1" t="s">
        <v>7553</v>
      </c>
      <c r="I585" s="1" t="s">
        <v>19</v>
      </c>
      <c r="J585" s="1" t="s">
        <v>6</v>
      </c>
      <c r="K585" s="1" t="s">
        <v>24</v>
      </c>
      <c r="L585" s="1">
        <v>8534595</v>
      </c>
      <c r="M585" s="2">
        <v>43403</v>
      </c>
      <c r="N585" s="1" t="s">
        <v>8</v>
      </c>
      <c r="O585" s="2">
        <v>44498</v>
      </c>
    </row>
    <row r="586" spans="1:15" x14ac:dyDescent="0.3">
      <c r="A586" s="1" t="s">
        <v>31011</v>
      </c>
      <c r="B586" s="1" t="str">
        <f>"Lee Peterson"</f>
        <v>Lee Peterson</v>
      </c>
      <c r="C586" s="1" t="s">
        <v>31012</v>
      </c>
      <c r="F586" s="1" t="s">
        <v>123</v>
      </c>
      <c r="G586" s="1" t="s">
        <v>27</v>
      </c>
      <c r="H586" s="1" t="s">
        <v>31013</v>
      </c>
      <c r="I586" s="1" t="s">
        <v>5</v>
      </c>
      <c r="J586" s="1" t="s">
        <v>6</v>
      </c>
      <c r="K586" s="1" t="s">
        <v>24</v>
      </c>
      <c r="M586" s="2">
        <v>43403</v>
      </c>
      <c r="N586" s="1" t="s">
        <v>8</v>
      </c>
      <c r="O586" s="2">
        <v>44498</v>
      </c>
    </row>
    <row r="587" spans="1:15" ht="28.8" x14ac:dyDescent="0.3">
      <c r="A587" s="1" t="s">
        <v>31017</v>
      </c>
      <c r="B587" s="1" t="str">
        <f>"Christopher Ward"</f>
        <v>Christopher Ward</v>
      </c>
      <c r="C587" s="1" t="s">
        <v>31018</v>
      </c>
      <c r="D587" s="1" t="s">
        <v>2479</v>
      </c>
      <c r="F587" s="1" t="s">
        <v>1351</v>
      </c>
      <c r="G587" s="1" t="s">
        <v>109</v>
      </c>
      <c r="H587" s="1" t="s">
        <v>31019</v>
      </c>
      <c r="I587" s="1" t="s">
        <v>5</v>
      </c>
      <c r="J587" s="1" t="s">
        <v>6</v>
      </c>
      <c r="K587" s="1" t="s">
        <v>1859</v>
      </c>
      <c r="M587" s="2">
        <v>43403</v>
      </c>
      <c r="N587" s="1" t="s">
        <v>8</v>
      </c>
      <c r="O587" s="2">
        <v>44498</v>
      </c>
    </row>
    <row r="588" spans="1:15" ht="43.2" x14ac:dyDescent="0.3">
      <c r="A588" s="1" t="s">
        <v>33105</v>
      </c>
      <c r="B588" s="1" t="str">
        <f>"Anthony Eccleston"</f>
        <v>Anthony Eccleston</v>
      </c>
      <c r="I588" s="1" t="s">
        <v>5</v>
      </c>
      <c r="J588" s="1" t="s">
        <v>67</v>
      </c>
      <c r="K588" s="1" t="s">
        <v>24</v>
      </c>
      <c r="M588" s="2">
        <v>43403</v>
      </c>
      <c r="N588" s="1" t="s">
        <v>8</v>
      </c>
      <c r="O588" s="1" t="s">
        <v>68</v>
      </c>
    </row>
    <row r="589" spans="1:15" x14ac:dyDescent="0.3">
      <c r="A589" s="1" t="s">
        <v>30973</v>
      </c>
      <c r="B589" s="1" t="str">
        <f>"Carl Rees"</f>
        <v>Carl Rees</v>
      </c>
      <c r="C589" s="1" t="s">
        <v>30974</v>
      </c>
      <c r="D589" s="1" t="s">
        <v>30975</v>
      </c>
      <c r="F589" s="1" t="s">
        <v>42</v>
      </c>
      <c r="G589" s="1" t="s">
        <v>51</v>
      </c>
      <c r="H589" s="1" t="s">
        <v>30976</v>
      </c>
      <c r="I589" s="1" t="s">
        <v>5</v>
      </c>
      <c r="J589" s="1" t="s">
        <v>6</v>
      </c>
      <c r="K589" s="1" t="s">
        <v>24</v>
      </c>
      <c r="M589" s="2">
        <v>43402</v>
      </c>
      <c r="N589" s="1" t="s">
        <v>8</v>
      </c>
      <c r="O589" s="2">
        <v>44497</v>
      </c>
    </row>
    <row r="590" spans="1:15" ht="28.8" x14ac:dyDescent="0.3">
      <c r="A590" s="1" t="s">
        <v>30980</v>
      </c>
      <c r="B590" s="1" t="str">
        <f>"Castle View Reclaim Limited"</f>
        <v>Castle View Reclaim Limited</v>
      </c>
      <c r="C590" s="1" t="s">
        <v>30981</v>
      </c>
      <c r="D590" s="1" t="s">
        <v>2236</v>
      </c>
      <c r="F590" s="1" t="s">
        <v>476</v>
      </c>
      <c r="G590" s="1" t="s">
        <v>359</v>
      </c>
      <c r="H590" s="1" t="s">
        <v>30982</v>
      </c>
      <c r="I590" s="1" t="s">
        <v>19</v>
      </c>
      <c r="J590" s="1" t="s">
        <v>6</v>
      </c>
      <c r="K590" s="1" t="s">
        <v>34</v>
      </c>
      <c r="L590" s="1">
        <v>11628681</v>
      </c>
      <c r="M590" s="2">
        <v>43402</v>
      </c>
      <c r="N590" s="1" t="s">
        <v>8</v>
      </c>
      <c r="O590" s="2">
        <v>44497</v>
      </c>
    </row>
    <row r="591" spans="1:15" x14ac:dyDescent="0.3">
      <c r="A591" s="1" t="s">
        <v>2732</v>
      </c>
      <c r="B591" s="1" t="str">
        <f>"G &amp; A Property Services"</f>
        <v>G &amp; A Property Services</v>
      </c>
      <c r="C591" s="1" t="s">
        <v>2733</v>
      </c>
      <c r="D591" s="1" t="s">
        <v>2734</v>
      </c>
      <c r="E591" s="1" t="s">
        <v>424</v>
      </c>
      <c r="F591" s="1" t="s">
        <v>64</v>
      </c>
      <c r="G591" s="1" t="s">
        <v>65</v>
      </c>
      <c r="H591" s="1" t="s">
        <v>2735</v>
      </c>
      <c r="I591" s="1" t="s">
        <v>125</v>
      </c>
      <c r="J591" s="1" t="s">
        <v>6</v>
      </c>
      <c r="K591" s="1" t="s">
        <v>24</v>
      </c>
      <c r="M591" s="2">
        <v>43399</v>
      </c>
      <c r="N591" s="1" t="s">
        <v>8</v>
      </c>
      <c r="O591" s="2">
        <v>44494</v>
      </c>
    </row>
    <row r="592" spans="1:15" ht="28.8" x14ac:dyDescent="0.3">
      <c r="A592" s="1" t="s">
        <v>2736</v>
      </c>
      <c r="B592" s="1" t="str">
        <f>"Jonathon Rees"</f>
        <v>Jonathon Rees</v>
      </c>
      <c r="C592" s="1" t="s">
        <v>2737</v>
      </c>
      <c r="D592" s="1" t="s">
        <v>2738</v>
      </c>
      <c r="F592" s="1" t="s">
        <v>32</v>
      </c>
      <c r="G592" s="1" t="s">
        <v>109</v>
      </c>
      <c r="H592" s="1" t="s">
        <v>2739</v>
      </c>
      <c r="I592" s="1" t="s">
        <v>5</v>
      </c>
      <c r="J592" s="1" t="s">
        <v>6</v>
      </c>
      <c r="K592" s="1" t="s">
        <v>24</v>
      </c>
      <c r="M592" s="2">
        <v>43399</v>
      </c>
      <c r="N592" s="1" t="s">
        <v>8</v>
      </c>
      <c r="O592" s="2">
        <v>44494</v>
      </c>
    </row>
    <row r="593" spans="1:15" ht="28.8" x14ac:dyDescent="0.3">
      <c r="A593" s="1" t="s">
        <v>2740</v>
      </c>
      <c r="B593" s="1" t="str">
        <f>"James dale Plimley"</f>
        <v>James dale Plimley</v>
      </c>
      <c r="C593" s="1" t="s">
        <v>2741</v>
      </c>
      <c r="F593" s="1" t="s">
        <v>532</v>
      </c>
      <c r="G593" s="1" t="s">
        <v>198</v>
      </c>
      <c r="H593" s="1" t="s">
        <v>2742</v>
      </c>
      <c r="I593" s="1" t="s">
        <v>5</v>
      </c>
      <c r="J593" s="1" t="s">
        <v>6</v>
      </c>
      <c r="K593" s="1" t="s">
        <v>34</v>
      </c>
      <c r="M593" s="2">
        <v>43399</v>
      </c>
      <c r="N593" s="1" t="s">
        <v>8</v>
      </c>
      <c r="O593" s="2">
        <v>44494</v>
      </c>
    </row>
    <row r="594" spans="1:15" ht="28.8" x14ac:dyDescent="0.3">
      <c r="A594" s="1" t="s">
        <v>2743</v>
      </c>
      <c r="B594" s="1" t="str">
        <f>"GLASS LIGHTS ltd"</f>
        <v>GLASS LIGHTS ltd</v>
      </c>
      <c r="C594" s="1" t="s">
        <v>2744</v>
      </c>
      <c r="D594" s="1" t="s">
        <v>1029</v>
      </c>
      <c r="E594" s="1" t="s">
        <v>2121</v>
      </c>
      <c r="F594" s="1" t="s">
        <v>1351</v>
      </c>
      <c r="G594" s="1" t="s">
        <v>109</v>
      </c>
      <c r="H594" s="1" t="s">
        <v>2745</v>
      </c>
      <c r="I594" s="1" t="s">
        <v>19</v>
      </c>
      <c r="J594" s="1" t="s">
        <v>6</v>
      </c>
      <c r="K594" s="1" t="s">
        <v>34</v>
      </c>
      <c r="L594" s="1">
        <v>2052685</v>
      </c>
      <c r="M594" s="2">
        <v>43399</v>
      </c>
      <c r="N594" s="1" t="s">
        <v>8</v>
      </c>
      <c r="O594" s="2">
        <v>44494</v>
      </c>
    </row>
    <row r="595" spans="1:15" x14ac:dyDescent="0.3">
      <c r="A595" s="1" t="s">
        <v>2746</v>
      </c>
      <c r="B595" s="1" t="str">
        <f>"Amy Britton"</f>
        <v>Amy Britton</v>
      </c>
      <c r="C595" s="1" t="s">
        <v>2747</v>
      </c>
      <c r="F595" s="1" t="s">
        <v>865</v>
      </c>
      <c r="H595" s="1" t="s">
        <v>2748</v>
      </c>
      <c r="I595" s="1" t="s">
        <v>5</v>
      </c>
      <c r="J595" s="1" t="s">
        <v>6</v>
      </c>
      <c r="K595" s="1" t="s">
        <v>24</v>
      </c>
      <c r="M595" s="2">
        <v>43399</v>
      </c>
      <c r="N595" s="1" t="s">
        <v>8</v>
      </c>
      <c r="O595" s="2">
        <v>44494</v>
      </c>
    </row>
    <row r="596" spans="1:15" ht="28.8" x14ac:dyDescent="0.3">
      <c r="A596" s="1" t="s">
        <v>2749</v>
      </c>
      <c r="B596" s="1" t="str">
        <f>"John Jones"</f>
        <v>John Jones</v>
      </c>
      <c r="C596" s="1" t="s">
        <v>2750</v>
      </c>
      <c r="D596" s="1" t="s">
        <v>2751</v>
      </c>
      <c r="F596" s="1" t="s">
        <v>710</v>
      </c>
      <c r="G596" s="1" t="s">
        <v>3</v>
      </c>
      <c r="H596" s="1" t="s">
        <v>2752</v>
      </c>
      <c r="I596" s="1" t="s">
        <v>5</v>
      </c>
      <c r="J596" s="1" t="s">
        <v>6</v>
      </c>
      <c r="K596" s="1" t="s">
        <v>34</v>
      </c>
      <c r="M596" s="2">
        <v>43399</v>
      </c>
      <c r="N596" s="1" t="s">
        <v>8</v>
      </c>
      <c r="O596" s="2">
        <v>44494</v>
      </c>
    </row>
    <row r="597" spans="1:15" ht="43.2" x14ac:dyDescent="0.3">
      <c r="A597" s="1" t="s">
        <v>2753</v>
      </c>
      <c r="B597" s="1" t="str">
        <f>"Herbie Cranston Removals &amp; Storage Ltd"</f>
        <v>Herbie Cranston Removals &amp; Storage Ltd</v>
      </c>
      <c r="C597" s="1" t="s">
        <v>2754</v>
      </c>
      <c r="D597" s="1" t="s">
        <v>2755</v>
      </c>
      <c r="E597" s="1" t="s">
        <v>2756</v>
      </c>
      <c r="F597" s="1" t="s">
        <v>2757</v>
      </c>
      <c r="G597" s="1" t="s">
        <v>679</v>
      </c>
      <c r="H597" s="1" t="s">
        <v>2667</v>
      </c>
      <c r="I597" s="1" t="s">
        <v>19</v>
      </c>
      <c r="J597" s="1" t="s">
        <v>6</v>
      </c>
      <c r="K597" s="1" t="s">
        <v>34</v>
      </c>
      <c r="L597" s="1">
        <v>10614551</v>
      </c>
      <c r="M597" s="2">
        <v>43399</v>
      </c>
      <c r="N597" s="1" t="s">
        <v>8</v>
      </c>
      <c r="O597" s="2">
        <v>44494</v>
      </c>
    </row>
    <row r="598" spans="1:15" ht="28.8" x14ac:dyDescent="0.3">
      <c r="A598" s="1" t="s">
        <v>2758</v>
      </c>
      <c r="B598" s="1" t="str">
        <f>"Caswell Interiors Ltd"</f>
        <v>Caswell Interiors Ltd</v>
      </c>
      <c r="C598" s="1" t="s">
        <v>2759</v>
      </c>
      <c r="D598" s="1" t="s">
        <v>2760</v>
      </c>
      <c r="E598" s="1" t="s">
        <v>258</v>
      </c>
      <c r="F598" s="1" t="s">
        <v>64</v>
      </c>
      <c r="G598" s="1" t="s">
        <v>65</v>
      </c>
      <c r="H598" s="1" t="s">
        <v>259</v>
      </c>
      <c r="I598" s="1" t="s">
        <v>19</v>
      </c>
      <c r="J598" s="1" t="s">
        <v>6</v>
      </c>
      <c r="K598" s="1" t="s">
        <v>24</v>
      </c>
      <c r="L598" s="1">
        <v>6471248</v>
      </c>
      <c r="M598" s="2">
        <v>43399</v>
      </c>
      <c r="N598" s="1" t="s">
        <v>8</v>
      </c>
      <c r="O598" s="2">
        <v>44494</v>
      </c>
    </row>
    <row r="599" spans="1:15" x14ac:dyDescent="0.3">
      <c r="A599" s="1" t="s">
        <v>30928</v>
      </c>
      <c r="B599" s="1" t="str">
        <f>"Michael Jones"</f>
        <v>Michael Jones</v>
      </c>
      <c r="C599" s="1" t="s">
        <v>30929</v>
      </c>
      <c r="F599" s="1" t="s">
        <v>358</v>
      </c>
      <c r="G599" s="1" t="s">
        <v>359</v>
      </c>
      <c r="H599" s="1" t="s">
        <v>19593</v>
      </c>
      <c r="I599" s="1" t="s">
        <v>5</v>
      </c>
      <c r="J599" s="1" t="s">
        <v>6</v>
      </c>
      <c r="K599" s="1" t="s">
        <v>24</v>
      </c>
      <c r="M599" s="2">
        <v>43398</v>
      </c>
      <c r="N599" s="1" t="s">
        <v>8</v>
      </c>
      <c r="O599" s="2">
        <v>44493</v>
      </c>
    </row>
    <row r="600" spans="1:15" ht="28.8" x14ac:dyDescent="0.3">
      <c r="A600" s="1" t="s">
        <v>30930</v>
      </c>
      <c r="B600" s="1" t="str">
        <f>"Christopher Jones"</f>
        <v>Christopher Jones</v>
      </c>
      <c r="C600" s="1" t="s">
        <v>30931</v>
      </c>
      <c r="D600" s="1" t="s">
        <v>30932</v>
      </c>
      <c r="F600" s="1" t="s">
        <v>556</v>
      </c>
      <c r="G600" s="1" t="s">
        <v>556</v>
      </c>
      <c r="H600" s="1" t="s">
        <v>30933</v>
      </c>
      <c r="I600" s="1" t="s">
        <v>5</v>
      </c>
      <c r="J600" s="1" t="s">
        <v>6</v>
      </c>
      <c r="K600" s="1" t="s">
        <v>24</v>
      </c>
      <c r="M600" s="2">
        <v>43398</v>
      </c>
      <c r="N600" s="1" t="s">
        <v>8</v>
      </c>
      <c r="O600" s="2">
        <v>44493</v>
      </c>
    </row>
    <row r="601" spans="1:15" ht="43.2" x14ac:dyDescent="0.3">
      <c r="A601" s="1" t="s">
        <v>30934</v>
      </c>
      <c r="B601" s="1" t="str">
        <f>"Sean Savage Sean Savage Agricultural Contractor"</f>
        <v>Sean Savage Sean Savage Agricultural Contractor</v>
      </c>
      <c r="C601" s="1" t="s">
        <v>30935</v>
      </c>
      <c r="D601" s="1" t="s">
        <v>30936</v>
      </c>
      <c r="F601" s="1" t="s">
        <v>438</v>
      </c>
      <c r="H601" s="1" t="s">
        <v>30937</v>
      </c>
      <c r="I601" s="1" t="s">
        <v>5</v>
      </c>
      <c r="J601" s="1" t="s">
        <v>6</v>
      </c>
      <c r="K601" s="1" t="s">
        <v>24</v>
      </c>
      <c r="M601" s="2">
        <v>43398</v>
      </c>
      <c r="N601" s="1" t="s">
        <v>8</v>
      </c>
      <c r="O601" s="2">
        <v>44493</v>
      </c>
    </row>
    <row r="602" spans="1:15" ht="28.8" x14ac:dyDescent="0.3">
      <c r="A602" s="1" t="s">
        <v>30941</v>
      </c>
      <c r="B602" s="1" t="str">
        <f>"William Hughes Civil Engineering"</f>
        <v>William Hughes Civil Engineering</v>
      </c>
      <c r="C602" s="1" t="s">
        <v>30942</v>
      </c>
      <c r="D602" s="1" t="s">
        <v>30943</v>
      </c>
      <c r="E602" s="1" t="s">
        <v>30944</v>
      </c>
      <c r="F602" s="1" t="s">
        <v>678</v>
      </c>
      <c r="G602" s="1" t="s">
        <v>679</v>
      </c>
      <c r="H602" s="1" t="s">
        <v>3531</v>
      </c>
      <c r="I602" s="1" t="s">
        <v>19</v>
      </c>
      <c r="J602" s="1" t="s">
        <v>6</v>
      </c>
      <c r="K602" s="1" t="s">
        <v>34</v>
      </c>
      <c r="L602" s="1">
        <v>1112626</v>
      </c>
      <c r="M602" s="2">
        <v>43398</v>
      </c>
      <c r="N602" s="1" t="s">
        <v>8</v>
      </c>
      <c r="O602" s="2">
        <v>44493</v>
      </c>
    </row>
    <row r="603" spans="1:15" ht="28.8" x14ac:dyDescent="0.3">
      <c r="A603" s="1" t="s">
        <v>30945</v>
      </c>
      <c r="B603" s="1" t="str">
        <f>"South Wales Plumbing &amp; Heating Ltd"</f>
        <v>South Wales Plumbing &amp; Heating Ltd</v>
      </c>
      <c r="C603" s="1" t="s">
        <v>8532</v>
      </c>
      <c r="F603" s="1" t="s">
        <v>156</v>
      </c>
      <c r="G603" s="1" t="s">
        <v>156</v>
      </c>
      <c r="H603" s="1" t="s">
        <v>8534</v>
      </c>
      <c r="I603" s="1" t="s">
        <v>19</v>
      </c>
      <c r="J603" s="1" t="s">
        <v>6</v>
      </c>
      <c r="K603" s="1" t="s">
        <v>34</v>
      </c>
      <c r="L603" s="1">
        <v>11415697</v>
      </c>
      <c r="M603" s="2">
        <v>43398</v>
      </c>
      <c r="N603" s="1" t="s">
        <v>8</v>
      </c>
      <c r="O603" s="2">
        <v>44493</v>
      </c>
    </row>
    <row r="604" spans="1:15" ht="28.8" x14ac:dyDescent="0.3">
      <c r="A604" s="1" t="s">
        <v>30946</v>
      </c>
      <c r="B604" s="1" t="str">
        <f>"Kelvin Owen"</f>
        <v>Kelvin Owen</v>
      </c>
      <c r="C604" s="1" t="s">
        <v>30947</v>
      </c>
      <c r="D604" s="1" t="s">
        <v>30948</v>
      </c>
      <c r="F604" s="1" t="s">
        <v>710</v>
      </c>
      <c r="G604" s="1" t="s">
        <v>3</v>
      </c>
      <c r="H604" s="1" t="s">
        <v>30949</v>
      </c>
      <c r="I604" s="1" t="s">
        <v>5</v>
      </c>
      <c r="J604" s="1" t="s">
        <v>6</v>
      </c>
      <c r="K604" s="1" t="s">
        <v>34</v>
      </c>
      <c r="M604" s="2">
        <v>43398</v>
      </c>
      <c r="N604" s="1" t="s">
        <v>8</v>
      </c>
      <c r="O604" s="2">
        <v>44493</v>
      </c>
    </row>
    <row r="605" spans="1:15" ht="28.8" x14ac:dyDescent="0.3">
      <c r="A605" s="1" t="s">
        <v>30952</v>
      </c>
      <c r="B605" s="1" t="str">
        <f>"Affordable Warmth LTD"</f>
        <v>Affordable Warmth LTD</v>
      </c>
      <c r="C605" s="1" t="s">
        <v>30953</v>
      </c>
      <c r="D605" s="1" t="s">
        <v>18618</v>
      </c>
      <c r="F605" s="1" t="s">
        <v>123</v>
      </c>
      <c r="G605" s="1" t="s">
        <v>27</v>
      </c>
      <c r="H605" s="1" t="s">
        <v>30954</v>
      </c>
      <c r="I605" s="1" t="s">
        <v>19</v>
      </c>
      <c r="J605" s="1" t="s">
        <v>6</v>
      </c>
      <c r="K605" s="1" t="s">
        <v>24</v>
      </c>
      <c r="L605" s="1">
        <v>11490632</v>
      </c>
      <c r="M605" s="2">
        <v>43398</v>
      </c>
      <c r="N605" s="1" t="s">
        <v>8</v>
      </c>
      <c r="O605" s="2">
        <v>44493</v>
      </c>
    </row>
    <row r="606" spans="1:15" ht="43.2" x14ac:dyDescent="0.3">
      <c r="A606" s="1" t="s">
        <v>30955</v>
      </c>
      <c r="B606" s="1" t="str">
        <f>"Ian Costin"</f>
        <v>Ian Costin</v>
      </c>
      <c r="C606" s="1" t="s">
        <v>30956</v>
      </c>
      <c r="F606" s="1" t="s">
        <v>230</v>
      </c>
      <c r="G606" s="1" t="s">
        <v>231</v>
      </c>
      <c r="H606" s="1" t="s">
        <v>30957</v>
      </c>
      <c r="I606" s="1" t="s">
        <v>5</v>
      </c>
      <c r="J606" s="1" t="s">
        <v>67</v>
      </c>
      <c r="K606" s="1" t="s">
        <v>24</v>
      </c>
      <c r="M606" s="2">
        <v>43398</v>
      </c>
      <c r="N606" s="1" t="s">
        <v>8</v>
      </c>
      <c r="O606" s="1" t="s">
        <v>68</v>
      </c>
    </row>
    <row r="607" spans="1:15" ht="43.2" x14ac:dyDescent="0.3">
      <c r="A607" s="1" t="s">
        <v>30958</v>
      </c>
      <c r="B607" s="1" t="str">
        <f>"LINKS ELECTRICAL SUPPLIES LTD"</f>
        <v>LINKS ELECTRICAL SUPPLIES LTD</v>
      </c>
      <c r="C607" s="1" t="s">
        <v>30959</v>
      </c>
      <c r="D607" s="1" t="s">
        <v>955</v>
      </c>
      <c r="F607" s="1" t="s">
        <v>445</v>
      </c>
      <c r="H607" s="1" t="s">
        <v>1374</v>
      </c>
      <c r="I607" s="1" t="s">
        <v>19</v>
      </c>
      <c r="J607" s="1" t="s">
        <v>67</v>
      </c>
      <c r="K607" s="1" t="s">
        <v>24</v>
      </c>
      <c r="L607" s="1">
        <v>4113354</v>
      </c>
      <c r="M607" s="2">
        <v>43398</v>
      </c>
      <c r="N607" s="1" t="s">
        <v>8</v>
      </c>
      <c r="O607" s="1" t="s">
        <v>68</v>
      </c>
    </row>
    <row r="608" spans="1:15" x14ac:dyDescent="0.3">
      <c r="A608" s="1" t="s">
        <v>30962</v>
      </c>
      <c r="B608" s="1" t="str">
        <f>"T.L + M.S.O. Evans"</f>
        <v>T.L + M.S.O. Evans</v>
      </c>
      <c r="C608" s="1" t="s">
        <v>30963</v>
      </c>
      <c r="D608" s="1" t="s">
        <v>30964</v>
      </c>
      <c r="F608" s="1" t="s">
        <v>2200</v>
      </c>
      <c r="G608" s="1" t="s">
        <v>51</v>
      </c>
      <c r="H608" s="1" t="s">
        <v>30965</v>
      </c>
      <c r="I608" s="1" t="s">
        <v>125</v>
      </c>
      <c r="J608" s="1" t="s">
        <v>6</v>
      </c>
      <c r="K608" s="1" t="s">
        <v>24</v>
      </c>
      <c r="M608" s="2">
        <v>43398</v>
      </c>
      <c r="N608" s="1" t="s">
        <v>8</v>
      </c>
      <c r="O608" s="2">
        <v>44493</v>
      </c>
    </row>
    <row r="609" spans="1:15" ht="28.8" x14ac:dyDescent="0.3">
      <c r="A609" s="1" t="s">
        <v>2728</v>
      </c>
      <c r="B609" s="1" t="str">
        <f>"TJH Builders Limited"</f>
        <v>TJH Builders Limited</v>
      </c>
      <c r="C609" s="1" t="s">
        <v>2729</v>
      </c>
      <c r="D609" s="1" t="s">
        <v>2730</v>
      </c>
      <c r="E609" s="1" t="s">
        <v>955</v>
      </c>
      <c r="F609" s="1" t="s">
        <v>358</v>
      </c>
      <c r="G609" s="1" t="s">
        <v>359</v>
      </c>
      <c r="H609" s="1" t="s">
        <v>2731</v>
      </c>
      <c r="I609" s="1" t="s">
        <v>19</v>
      </c>
      <c r="J609" s="1" t="s">
        <v>6</v>
      </c>
      <c r="K609" s="1" t="s">
        <v>24</v>
      </c>
      <c r="L609" s="1">
        <v>10009453</v>
      </c>
      <c r="M609" s="2">
        <v>43397</v>
      </c>
      <c r="N609" s="1" t="s">
        <v>8</v>
      </c>
      <c r="O609" s="2">
        <v>44492</v>
      </c>
    </row>
    <row r="610" spans="1:15" x14ac:dyDescent="0.3">
      <c r="A610" s="1" t="s">
        <v>2705</v>
      </c>
      <c r="B610" s="1" t="str">
        <f>"Aber Food Surplus"</f>
        <v>Aber Food Surplus</v>
      </c>
      <c r="C610" s="1" t="s">
        <v>2706</v>
      </c>
      <c r="F610" s="1" t="s">
        <v>37</v>
      </c>
      <c r="G610" s="1" t="s">
        <v>654</v>
      </c>
      <c r="H610" s="1" t="s">
        <v>2707</v>
      </c>
      <c r="I610" s="1" t="s">
        <v>19</v>
      </c>
      <c r="J610" s="1" t="s">
        <v>6</v>
      </c>
      <c r="K610" s="1" t="s">
        <v>24</v>
      </c>
      <c r="L610" s="1">
        <v>10697441</v>
      </c>
      <c r="M610" s="2">
        <v>43396</v>
      </c>
      <c r="N610" s="1" t="s">
        <v>8</v>
      </c>
      <c r="O610" s="2">
        <v>44491</v>
      </c>
    </row>
    <row r="611" spans="1:15" ht="43.2" x14ac:dyDescent="0.3">
      <c r="A611" s="1" t="s">
        <v>2716</v>
      </c>
      <c r="B611" s="1" t="str">
        <f>"Gavin Morris Gavin Morris Plumbing &amp; Heating"</f>
        <v>Gavin Morris Gavin Morris Plumbing &amp; Heating</v>
      </c>
      <c r="C611" s="1" t="s">
        <v>2717</v>
      </c>
      <c r="D611" s="1" t="s">
        <v>2718</v>
      </c>
      <c r="F611" s="1" t="s">
        <v>1097</v>
      </c>
      <c r="G611" s="1" t="s">
        <v>141</v>
      </c>
      <c r="H611" s="1" t="s">
        <v>2719</v>
      </c>
      <c r="I611" s="1" t="s">
        <v>5</v>
      </c>
      <c r="J611" s="1" t="s">
        <v>6</v>
      </c>
      <c r="K611" s="1" t="s">
        <v>34</v>
      </c>
      <c r="M611" s="2">
        <v>43396</v>
      </c>
      <c r="N611" s="1" t="s">
        <v>8</v>
      </c>
      <c r="O611" s="2">
        <v>44491</v>
      </c>
    </row>
    <row r="612" spans="1:15" ht="43.2" x14ac:dyDescent="0.3">
      <c r="A612" s="1" t="s">
        <v>2720</v>
      </c>
      <c r="B612" s="1" t="str">
        <f>"TROZ LTD"</f>
        <v>TROZ LTD</v>
      </c>
      <c r="C612" s="1" t="s">
        <v>2721</v>
      </c>
      <c r="F612" s="1" t="s">
        <v>2722</v>
      </c>
      <c r="G612" s="1" t="s">
        <v>2723</v>
      </c>
      <c r="H612" s="1" t="s">
        <v>2724</v>
      </c>
      <c r="I612" s="1" t="s">
        <v>125</v>
      </c>
      <c r="J612" s="1" t="s">
        <v>67</v>
      </c>
      <c r="K612" s="1" t="s">
        <v>24</v>
      </c>
      <c r="L612" s="1">
        <v>10427400</v>
      </c>
      <c r="M612" s="2">
        <v>43396</v>
      </c>
      <c r="N612" s="1" t="s">
        <v>8</v>
      </c>
      <c r="O612" s="1" t="s">
        <v>68</v>
      </c>
    </row>
    <row r="613" spans="1:15" ht="28.8" x14ac:dyDescent="0.3">
      <c r="A613" s="1" t="s">
        <v>2815</v>
      </c>
      <c r="B613" s="1" t="str">
        <f>"Stephen Saltiel Stephen Saltiel"</f>
        <v>Stephen Saltiel Stephen Saltiel</v>
      </c>
      <c r="C613" s="1" t="s">
        <v>2816</v>
      </c>
      <c r="F613" s="1" t="s">
        <v>2817</v>
      </c>
      <c r="H613" s="1" t="s">
        <v>2818</v>
      </c>
      <c r="I613" s="1" t="s">
        <v>5</v>
      </c>
      <c r="J613" s="1" t="s">
        <v>6</v>
      </c>
      <c r="K613" s="1" t="s">
        <v>24</v>
      </c>
      <c r="M613" s="2">
        <v>43396</v>
      </c>
      <c r="N613" s="1" t="s">
        <v>8</v>
      </c>
      <c r="O613" s="2">
        <v>44491</v>
      </c>
    </row>
    <row r="614" spans="1:15" ht="28.8" x14ac:dyDescent="0.3">
      <c r="A614" s="1" t="s">
        <v>30893</v>
      </c>
      <c r="B614" s="1" t="str">
        <f>"David edward Williams D&amp;J and Sons"</f>
        <v>David edward Williams D&amp;J and Sons</v>
      </c>
      <c r="C614" s="1" t="s">
        <v>30894</v>
      </c>
      <c r="D614" s="1" t="s">
        <v>1571</v>
      </c>
      <c r="F614" s="1" t="s">
        <v>156</v>
      </c>
      <c r="G614" s="1" t="s">
        <v>156</v>
      </c>
      <c r="H614" s="1" t="s">
        <v>8838</v>
      </c>
      <c r="I614" s="1" t="s">
        <v>5</v>
      </c>
      <c r="J614" s="1" t="s">
        <v>6</v>
      </c>
      <c r="K614" s="1" t="s">
        <v>34</v>
      </c>
      <c r="M614" s="2">
        <v>43396</v>
      </c>
      <c r="N614" s="1" t="s">
        <v>8</v>
      </c>
      <c r="O614" s="2">
        <v>44491</v>
      </c>
    </row>
    <row r="615" spans="1:15" ht="28.8" x14ac:dyDescent="0.3">
      <c r="A615" s="1" t="s">
        <v>30905</v>
      </c>
      <c r="B615" s="1" t="str">
        <f>"Maxwell Cleaning Solutions Ltd"</f>
        <v>Maxwell Cleaning Solutions Ltd</v>
      </c>
      <c r="C615" s="1" t="s">
        <v>30906</v>
      </c>
      <c r="D615" s="1" t="s">
        <v>30807</v>
      </c>
      <c r="F615" s="1" t="s">
        <v>123</v>
      </c>
      <c r="G615" s="1" t="s">
        <v>27</v>
      </c>
      <c r="H615" s="1" t="s">
        <v>30907</v>
      </c>
      <c r="I615" s="1" t="s">
        <v>19</v>
      </c>
      <c r="J615" s="1" t="s">
        <v>6</v>
      </c>
      <c r="K615" s="1" t="s">
        <v>24</v>
      </c>
      <c r="L615" s="1">
        <v>11597657</v>
      </c>
      <c r="M615" s="2">
        <v>43395</v>
      </c>
      <c r="N615" s="1" t="s">
        <v>8</v>
      </c>
      <c r="O615" s="2">
        <v>44490</v>
      </c>
    </row>
    <row r="616" spans="1:15" ht="28.8" x14ac:dyDescent="0.3">
      <c r="A616" s="1" t="s">
        <v>30908</v>
      </c>
      <c r="B616" s="1" t="str">
        <f>"Colin Piper"</f>
        <v>Colin Piper</v>
      </c>
      <c r="C616" s="1" t="s">
        <v>30909</v>
      </c>
      <c r="D616" s="1" t="s">
        <v>1351</v>
      </c>
      <c r="H616" s="1" t="s">
        <v>30910</v>
      </c>
      <c r="I616" s="1" t="s">
        <v>5</v>
      </c>
      <c r="J616" s="1" t="s">
        <v>6</v>
      </c>
      <c r="K616" s="1" t="s">
        <v>34</v>
      </c>
      <c r="M616" s="2">
        <v>43395</v>
      </c>
      <c r="N616" s="1" t="s">
        <v>8</v>
      </c>
      <c r="O616" s="2">
        <v>44490</v>
      </c>
    </row>
    <row r="617" spans="1:15" ht="28.8" x14ac:dyDescent="0.3">
      <c r="A617" s="1" t="s">
        <v>30915</v>
      </c>
      <c r="B617" s="1" t="str">
        <f>"Gary Hopkins S&amp;K Landscapes"</f>
        <v>Gary Hopkins S&amp;K Landscapes</v>
      </c>
      <c r="C617" s="1" t="s">
        <v>30916</v>
      </c>
      <c r="F617" s="1" t="s">
        <v>1093</v>
      </c>
      <c r="G617" s="1" t="s">
        <v>103</v>
      </c>
      <c r="H617" s="1" t="s">
        <v>26302</v>
      </c>
      <c r="I617" s="1" t="s">
        <v>5</v>
      </c>
      <c r="J617" s="1" t="s">
        <v>6</v>
      </c>
      <c r="K617" s="1" t="s">
        <v>24</v>
      </c>
      <c r="M617" s="2">
        <v>43395</v>
      </c>
      <c r="N617" s="1" t="s">
        <v>8</v>
      </c>
      <c r="O617" s="2">
        <v>44490</v>
      </c>
    </row>
    <row r="618" spans="1:15" ht="28.8" x14ac:dyDescent="0.3">
      <c r="A618" s="1" t="s">
        <v>30917</v>
      </c>
      <c r="B618" s="1" t="str">
        <f>"Merfyn Parry Glaslyn Windows"</f>
        <v>Merfyn Parry Glaslyn Windows</v>
      </c>
      <c r="C618" s="1" t="s">
        <v>30918</v>
      </c>
      <c r="F618" s="1" t="s">
        <v>2504</v>
      </c>
      <c r="G618" s="1" t="s">
        <v>3</v>
      </c>
      <c r="H618" s="1" t="s">
        <v>19141</v>
      </c>
      <c r="I618" s="1" t="s">
        <v>5</v>
      </c>
      <c r="J618" s="1" t="s">
        <v>6</v>
      </c>
      <c r="K618" s="1" t="s">
        <v>34</v>
      </c>
      <c r="M618" s="2">
        <v>43395</v>
      </c>
      <c r="N618" s="1" t="s">
        <v>8</v>
      </c>
      <c r="O618" s="2">
        <v>44490</v>
      </c>
    </row>
    <row r="619" spans="1:15" x14ac:dyDescent="0.3">
      <c r="A619" s="1" t="s">
        <v>30919</v>
      </c>
      <c r="B619" s="1" t="str">
        <f>"Christopher Stuhlfelder"</f>
        <v>Christopher Stuhlfelder</v>
      </c>
      <c r="C619" s="1" t="s">
        <v>30920</v>
      </c>
      <c r="D619" s="1" t="s">
        <v>710</v>
      </c>
      <c r="F619" s="1" t="s">
        <v>3</v>
      </c>
      <c r="H619" s="1" t="s">
        <v>21313</v>
      </c>
      <c r="I619" s="1" t="s">
        <v>5</v>
      </c>
      <c r="J619" s="1" t="s">
        <v>6</v>
      </c>
      <c r="K619" s="1" t="s">
        <v>24</v>
      </c>
      <c r="M619" s="2">
        <v>43395</v>
      </c>
      <c r="N619" s="1" t="s">
        <v>8</v>
      </c>
      <c r="O619" s="2">
        <v>44490</v>
      </c>
    </row>
    <row r="620" spans="1:15" ht="43.2" x14ac:dyDescent="0.3">
      <c r="A620" s="1" t="s">
        <v>32089</v>
      </c>
      <c r="B620" s="1" t="str">
        <f>"Joseph Taylor"</f>
        <v>Joseph Taylor</v>
      </c>
      <c r="C620" s="1" t="s">
        <v>32090</v>
      </c>
      <c r="D620" s="1" t="s">
        <v>32091</v>
      </c>
      <c r="F620" s="1" t="s">
        <v>32092</v>
      </c>
      <c r="G620" s="1" t="s">
        <v>32093</v>
      </c>
      <c r="H620" s="1" t="s">
        <v>32094</v>
      </c>
      <c r="I620" s="1" t="s">
        <v>5</v>
      </c>
      <c r="J620" s="1" t="s">
        <v>67</v>
      </c>
      <c r="K620" s="1" t="s">
        <v>24</v>
      </c>
      <c r="M620" s="2">
        <v>43393</v>
      </c>
      <c r="N620" s="1" t="s">
        <v>8</v>
      </c>
      <c r="O620" s="1" t="s">
        <v>68</v>
      </c>
    </row>
    <row r="621" spans="1:15" ht="28.8" x14ac:dyDescent="0.3">
      <c r="A621" s="1" t="s">
        <v>30848</v>
      </c>
      <c r="B621" s="1" t="str">
        <f>"Gareth Owen Gareth Owen Haulage"</f>
        <v>Gareth Owen Gareth Owen Haulage</v>
      </c>
      <c r="C621" s="1" t="s">
        <v>30849</v>
      </c>
      <c r="D621" s="1" t="s">
        <v>30850</v>
      </c>
      <c r="F621" s="1" t="s">
        <v>7543</v>
      </c>
      <c r="G621" s="1" t="s">
        <v>359</v>
      </c>
      <c r="H621" s="1" t="s">
        <v>30851</v>
      </c>
      <c r="I621" s="1" t="s">
        <v>5</v>
      </c>
      <c r="J621" s="1" t="s">
        <v>6</v>
      </c>
      <c r="K621" s="1" t="s">
        <v>24</v>
      </c>
      <c r="M621" s="2">
        <v>43392</v>
      </c>
      <c r="N621" s="1" t="s">
        <v>8</v>
      </c>
      <c r="O621" s="2">
        <v>44487</v>
      </c>
    </row>
    <row r="622" spans="1:15" x14ac:dyDescent="0.3">
      <c r="A622" s="1" t="s">
        <v>30852</v>
      </c>
      <c r="B622" s="1" t="str">
        <f>"Jason Boxall LTD"</f>
        <v>Jason Boxall LTD</v>
      </c>
      <c r="C622" s="1" t="s">
        <v>304</v>
      </c>
      <c r="D622" s="1" t="s">
        <v>955</v>
      </c>
      <c r="F622" s="1" t="s">
        <v>3465</v>
      </c>
      <c r="G622" s="1" t="s">
        <v>162</v>
      </c>
      <c r="H622" s="1" t="s">
        <v>30853</v>
      </c>
      <c r="I622" s="1" t="s">
        <v>19</v>
      </c>
      <c r="J622" s="1" t="s">
        <v>6</v>
      </c>
      <c r="K622" s="1" t="s">
        <v>24</v>
      </c>
      <c r="L622" s="1">
        <v>8466342</v>
      </c>
      <c r="M622" s="2">
        <v>43392</v>
      </c>
      <c r="N622" s="1" t="s">
        <v>8</v>
      </c>
      <c r="O622" s="2">
        <v>44487</v>
      </c>
    </row>
    <row r="623" spans="1:15" x14ac:dyDescent="0.3">
      <c r="A623" s="1" t="s">
        <v>30854</v>
      </c>
      <c r="B623" s="1" t="str">
        <f>"Ultimate Skips LTD"</f>
        <v>Ultimate Skips LTD</v>
      </c>
      <c r="C623" s="1" t="s">
        <v>30855</v>
      </c>
      <c r="D623" s="1" t="s">
        <v>30856</v>
      </c>
      <c r="F623" s="1" t="s">
        <v>42</v>
      </c>
      <c r="G623" s="1" t="s">
        <v>51</v>
      </c>
      <c r="H623" s="1" t="s">
        <v>30857</v>
      </c>
      <c r="I623" s="1" t="s">
        <v>19</v>
      </c>
      <c r="J623" s="1" t="s">
        <v>6</v>
      </c>
      <c r="K623" s="1" t="s">
        <v>24</v>
      </c>
      <c r="L623" s="1">
        <v>11399972</v>
      </c>
      <c r="M623" s="2">
        <v>43392</v>
      </c>
      <c r="N623" s="1" t="s">
        <v>8</v>
      </c>
      <c r="O623" s="2">
        <v>44487</v>
      </c>
    </row>
    <row r="624" spans="1:15" ht="28.8" x14ac:dyDescent="0.3">
      <c r="A624" s="1" t="s">
        <v>30858</v>
      </c>
      <c r="B624" s="1" t="str">
        <f>"Taylor Robinson"</f>
        <v>Taylor Robinson</v>
      </c>
      <c r="C624" s="1" t="s">
        <v>30859</v>
      </c>
      <c r="D624" s="1" t="s">
        <v>30860</v>
      </c>
      <c r="F624" s="1" t="s">
        <v>64</v>
      </c>
      <c r="G624" s="1" t="s">
        <v>65</v>
      </c>
      <c r="H624" s="1" t="s">
        <v>30861</v>
      </c>
      <c r="I624" s="1" t="s">
        <v>5</v>
      </c>
      <c r="J624" s="1" t="s">
        <v>6</v>
      </c>
      <c r="K624" s="1" t="s">
        <v>34</v>
      </c>
      <c r="M624" s="2">
        <v>43392</v>
      </c>
      <c r="N624" s="1" t="s">
        <v>8</v>
      </c>
      <c r="O624" s="2">
        <v>44487</v>
      </c>
    </row>
    <row r="625" spans="1:15" ht="28.8" x14ac:dyDescent="0.3">
      <c r="A625" s="1" t="s">
        <v>30864</v>
      </c>
      <c r="B625" s="1" t="str">
        <f>"Tommy Evans Accurate Roofing (Wales) LTD"</f>
        <v>Tommy Evans Accurate Roofing (Wales) LTD</v>
      </c>
      <c r="C625" s="1" t="s">
        <v>30865</v>
      </c>
      <c r="D625" s="1" t="s">
        <v>733</v>
      </c>
      <c r="F625" s="1" t="s">
        <v>1108</v>
      </c>
      <c r="G625" s="1" t="s">
        <v>679</v>
      </c>
      <c r="H625" s="1" t="s">
        <v>30866</v>
      </c>
      <c r="I625" s="1" t="s">
        <v>5</v>
      </c>
      <c r="J625" s="1" t="s">
        <v>6</v>
      </c>
      <c r="K625" s="1" t="s">
        <v>24</v>
      </c>
      <c r="M625" s="2">
        <v>43392</v>
      </c>
      <c r="N625" s="1" t="s">
        <v>8</v>
      </c>
      <c r="O625" s="2">
        <v>44487</v>
      </c>
    </row>
    <row r="626" spans="1:15" ht="28.8" x14ac:dyDescent="0.3">
      <c r="A626" s="1" t="s">
        <v>30867</v>
      </c>
      <c r="B626" s="1" t="str">
        <f>"MCW Clearance LTD"</f>
        <v>MCW Clearance LTD</v>
      </c>
      <c r="C626" s="1" t="s">
        <v>30868</v>
      </c>
      <c r="D626" s="1" t="s">
        <v>30869</v>
      </c>
      <c r="E626" s="1" t="s">
        <v>13961</v>
      </c>
      <c r="F626" s="1" t="s">
        <v>354</v>
      </c>
      <c r="H626" s="1" t="s">
        <v>26517</v>
      </c>
      <c r="I626" s="1" t="s">
        <v>19</v>
      </c>
      <c r="J626" s="1" t="s">
        <v>6</v>
      </c>
      <c r="K626" s="1" t="s">
        <v>34</v>
      </c>
      <c r="L626" s="1">
        <v>9751278</v>
      </c>
      <c r="M626" s="2">
        <v>43392</v>
      </c>
      <c r="N626" s="1" t="s">
        <v>8</v>
      </c>
      <c r="O626" s="2">
        <v>44487</v>
      </c>
    </row>
    <row r="627" spans="1:15" ht="28.8" x14ac:dyDescent="0.3">
      <c r="A627" s="1" t="s">
        <v>30873</v>
      </c>
      <c r="B627" s="1" t="str">
        <f>"Gower Enterprises Ltd"</f>
        <v>Gower Enterprises Ltd</v>
      </c>
      <c r="C627" s="1" t="s">
        <v>30874</v>
      </c>
      <c r="D627" s="1" t="s">
        <v>30875</v>
      </c>
      <c r="E627" s="1" t="s">
        <v>3287</v>
      </c>
      <c r="F627" s="1" t="s">
        <v>64</v>
      </c>
      <c r="H627" s="1" t="s">
        <v>9928</v>
      </c>
      <c r="I627" s="1" t="s">
        <v>19</v>
      </c>
      <c r="J627" s="1" t="s">
        <v>6</v>
      </c>
      <c r="K627" s="1" t="s">
        <v>24</v>
      </c>
      <c r="M627" s="2">
        <v>43392</v>
      </c>
      <c r="N627" s="1" t="s">
        <v>8</v>
      </c>
      <c r="O627" s="2">
        <v>44487</v>
      </c>
    </row>
    <row r="628" spans="1:15" ht="28.8" x14ac:dyDescent="0.3">
      <c r="A628" s="1" t="s">
        <v>30878</v>
      </c>
      <c r="B628" s="1" t="str">
        <f>"Karl Williams"</f>
        <v>Karl Williams</v>
      </c>
      <c r="C628" s="1" t="s">
        <v>30879</v>
      </c>
      <c r="F628" s="1" t="s">
        <v>532</v>
      </c>
      <c r="G628" s="1" t="s">
        <v>198</v>
      </c>
      <c r="H628" s="1" t="s">
        <v>14279</v>
      </c>
      <c r="I628" s="1" t="s">
        <v>5</v>
      </c>
      <c r="J628" s="1" t="s">
        <v>6</v>
      </c>
      <c r="K628" s="1" t="s">
        <v>34</v>
      </c>
      <c r="M628" s="2">
        <v>43392</v>
      </c>
      <c r="N628" s="1" t="s">
        <v>8</v>
      </c>
      <c r="O628" s="2">
        <v>44487</v>
      </c>
    </row>
    <row r="629" spans="1:15" x14ac:dyDescent="0.3">
      <c r="A629" s="1" t="s">
        <v>30889</v>
      </c>
      <c r="B629" s="1" t="str">
        <f>"Mark Rees and Sons ltd"</f>
        <v>Mark Rees and Sons ltd</v>
      </c>
      <c r="C629" s="1" t="s">
        <v>30890</v>
      </c>
      <c r="D629" s="1" t="s">
        <v>30891</v>
      </c>
      <c r="F629" s="1" t="s">
        <v>140</v>
      </c>
      <c r="H629" s="1" t="s">
        <v>30892</v>
      </c>
      <c r="I629" s="1" t="s">
        <v>19</v>
      </c>
      <c r="J629" s="1" t="s">
        <v>6</v>
      </c>
      <c r="K629" s="1" t="s">
        <v>24</v>
      </c>
      <c r="L629" s="1">
        <v>5724898</v>
      </c>
      <c r="M629" s="2">
        <v>43392</v>
      </c>
      <c r="N629" s="1" t="s">
        <v>8</v>
      </c>
      <c r="O629" s="2">
        <v>44487</v>
      </c>
    </row>
    <row r="630" spans="1:15" ht="43.2" x14ac:dyDescent="0.3">
      <c r="A630" s="1" t="s">
        <v>31954</v>
      </c>
      <c r="B630" s="1" t="str">
        <f>"Welsh Windows Systems"</f>
        <v>Welsh Windows Systems</v>
      </c>
      <c r="C630" s="1" t="s">
        <v>2786</v>
      </c>
      <c r="D630" s="1" t="s">
        <v>2787</v>
      </c>
      <c r="F630" s="1" t="s">
        <v>706</v>
      </c>
      <c r="G630" s="1" t="s">
        <v>211</v>
      </c>
      <c r="H630" s="1" t="s">
        <v>2788</v>
      </c>
      <c r="I630" s="1" t="s">
        <v>19</v>
      </c>
      <c r="J630" s="1" t="s">
        <v>67</v>
      </c>
      <c r="K630" s="1" t="s">
        <v>34</v>
      </c>
      <c r="L630" s="1">
        <v>5935189</v>
      </c>
      <c r="M630" s="2">
        <v>43392</v>
      </c>
      <c r="N630" s="1" t="s">
        <v>8</v>
      </c>
      <c r="O630" s="1" t="s">
        <v>68</v>
      </c>
    </row>
    <row r="631" spans="1:15" ht="43.2" x14ac:dyDescent="0.3">
      <c r="A631" s="1" t="s">
        <v>31955</v>
      </c>
      <c r="B631" s="1" t="str">
        <f>"Nicholas Cardinale Mamma's Place"</f>
        <v>Nicholas Cardinale Mamma's Place</v>
      </c>
      <c r="C631" s="1" t="s">
        <v>31956</v>
      </c>
      <c r="D631" s="1" t="s">
        <v>17048</v>
      </c>
      <c r="E631" s="1" t="s">
        <v>8834</v>
      </c>
      <c r="F631" s="1" t="s">
        <v>123</v>
      </c>
      <c r="G631" s="1" t="s">
        <v>27</v>
      </c>
      <c r="H631" s="1" t="s">
        <v>31957</v>
      </c>
      <c r="I631" s="1" t="s">
        <v>5</v>
      </c>
      <c r="J631" s="1" t="s">
        <v>67</v>
      </c>
      <c r="K631" s="1" t="s">
        <v>34</v>
      </c>
      <c r="M631" s="2">
        <v>43392</v>
      </c>
      <c r="N631" s="1" t="s">
        <v>8</v>
      </c>
      <c r="O631" s="1" t="s">
        <v>68</v>
      </c>
    </row>
    <row r="632" spans="1:15" ht="28.8" x14ac:dyDescent="0.3">
      <c r="A632" s="1" t="s">
        <v>30805</v>
      </c>
      <c r="B632" s="1" t="str">
        <f>"Francis Lee"</f>
        <v>Francis Lee</v>
      </c>
      <c r="C632" s="1" t="s">
        <v>30806</v>
      </c>
      <c r="D632" s="1" t="s">
        <v>30807</v>
      </c>
      <c r="F632" s="1" t="s">
        <v>123</v>
      </c>
      <c r="G632" s="1" t="s">
        <v>27</v>
      </c>
      <c r="H632" s="1" t="s">
        <v>30808</v>
      </c>
      <c r="I632" s="1" t="s">
        <v>5</v>
      </c>
      <c r="J632" s="1" t="s">
        <v>6</v>
      </c>
      <c r="K632" s="1" t="s">
        <v>34</v>
      </c>
      <c r="M632" s="2">
        <v>43391</v>
      </c>
      <c r="N632" s="1" t="s">
        <v>8</v>
      </c>
      <c r="O632" s="2">
        <v>44486</v>
      </c>
    </row>
    <row r="633" spans="1:15" ht="57.6" x14ac:dyDescent="0.3">
      <c r="A633" s="1" t="s">
        <v>30809</v>
      </c>
      <c r="B633" s="1" t="str">
        <f>"Matthew Morgan Briton Ferry Construction Services LTD."</f>
        <v>Matthew Morgan Briton Ferry Construction Services LTD.</v>
      </c>
      <c r="C633" s="1" t="s">
        <v>30810</v>
      </c>
      <c r="D633" s="1" t="s">
        <v>30811</v>
      </c>
      <c r="E633" s="1" t="s">
        <v>30812</v>
      </c>
      <c r="F633" s="1" t="s">
        <v>1351</v>
      </c>
      <c r="G633" s="1" t="s">
        <v>109</v>
      </c>
      <c r="H633" s="1" t="s">
        <v>29354</v>
      </c>
      <c r="I633" s="1" t="s">
        <v>5</v>
      </c>
      <c r="J633" s="1" t="s">
        <v>6</v>
      </c>
      <c r="K633" s="1" t="s">
        <v>34</v>
      </c>
      <c r="M633" s="2">
        <v>43391</v>
      </c>
      <c r="N633" s="1" t="s">
        <v>8</v>
      </c>
      <c r="O633" s="2">
        <v>44486</v>
      </c>
    </row>
    <row r="634" spans="1:15" ht="28.8" x14ac:dyDescent="0.3">
      <c r="A634" s="1" t="s">
        <v>30819</v>
      </c>
      <c r="B634" s="1" t="str">
        <f>"Terminal Data Destruction Limited"</f>
        <v>Terminal Data Destruction Limited</v>
      </c>
      <c r="C634" s="1" t="s">
        <v>1865</v>
      </c>
      <c r="D634" s="1" t="s">
        <v>3161</v>
      </c>
      <c r="F634" s="1" t="s">
        <v>56</v>
      </c>
      <c r="G634" s="1" t="s">
        <v>51</v>
      </c>
      <c r="H634" s="1" t="s">
        <v>3162</v>
      </c>
      <c r="I634" s="1" t="s">
        <v>19</v>
      </c>
      <c r="J634" s="1" t="s">
        <v>6</v>
      </c>
      <c r="K634" s="1" t="s">
        <v>34</v>
      </c>
      <c r="L634" s="1">
        <v>11227347</v>
      </c>
      <c r="M634" s="2">
        <v>43391</v>
      </c>
      <c r="N634" s="1" t="s">
        <v>8</v>
      </c>
      <c r="O634" s="2">
        <v>44486</v>
      </c>
    </row>
    <row r="635" spans="1:15" ht="28.8" x14ac:dyDescent="0.3">
      <c r="A635" s="1" t="s">
        <v>30820</v>
      </c>
      <c r="B635" s="1" t="str">
        <f>"Trade Direct Windows (NW) Ltd"</f>
        <v>Trade Direct Windows (NW) Ltd</v>
      </c>
      <c r="C635" s="1" t="s">
        <v>30701</v>
      </c>
      <c r="D635" s="1" t="s">
        <v>30821</v>
      </c>
      <c r="F635" s="1" t="s">
        <v>30822</v>
      </c>
      <c r="H635" s="1" t="s">
        <v>30823</v>
      </c>
      <c r="I635" s="1" t="s">
        <v>19</v>
      </c>
      <c r="J635" s="1" t="s">
        <v>6</v>
      </c>
      <c r="K635" s="1" t="s">
        <v>34</v>
      </c>
      <c r="L635" s="1">
        <v>10734598</v>
      </c>
      <c r="M635" s="2">
        <v>43391</v>
      </c>
      <c r="N635" s="1" t="s">
        <v>8</v>
      </c>
      <c r="O635" s="2">
        <v>44486</v>
      </c>
    </row>
    <row r="636" spans="1:15" ht="28.8" x14ac:dyDescent="0.3">
      <c r="A636" s="1" t="s">
        <v>30824</v>
      </c>
      <c r="B636" s="1" t="str">
        <f>"Ken Broad concret design"</f>
        <v>Ken Broad concret design</v>
      </c>
      <c r="C636" s="1" t="s">
        <v>30825</v>
      </c>
      <c r="F636" s="1" t="s">
        <v>298</v>
      </c>
      <c r="H636" s="1" t="s">
        <v>966</v>
      </c>
      <c r="I636" s="1" t="s">
        <v>5</v>
      </c>
      <c r="J636" s="1" t="s">
        <v>6</v>
      </c>
      <c r="K636" s="1" t="s">
        <v>34</v>
      </c>
      <c r="M636" s="2">
        <v>43391</v>
      </c>
      <c r="N636" s="1" t="s">
        <v>8</v>
      </c>
      <c r="O636" s="2">
        <v>44486</v>
      </c>
    </row>
    <row r="637" spans="1:15" x14ac:dyDescent="0.3">
      <c r="A637" s="1" t="s">
        <v>30826</v>
      </c>
      <c r="B637" s="1" t="str">
        <f>"Ricky Curtis R. Curtis"</f>
        <v>Ricky Curtis R. Curtis</v>
      </c>
      <c r="C637" s="1" t="s">
        <v>30827</v>
      </c>
      <c r="F637" s="1" t="s">
        <v>401</v>
      </c>
      <c r="G637" s="1" t="s">
        <v>231</v>
      </c>
      <c r="H637" s="1" t="s">
        <v>30828</v>
      </c>
      <c r="I637" s="1" t="s">
        <v>5</v>
      </c>
      <c r="J637" s="1" t="s">
        <v>6</v>
      </c>
      <c r="K637" s="1" t="s">
        <v>24</v>
      </c>
      <c r="M637" s="2">
        <v>43391</v>
      </c>
      <c r="N637" s="1" t="s">
        <v>8</v>
      </c>
      <c r="O637" s="2">
        <v>44486</v>
      </c>
    </row>
    <row r="638" spans="1:15" x14ac:dyDescent="0.3">
      <c r="A638" s="1" t="s">
        <v>30829</v>
      </c>
      <c r="B638" s="1" t="str">
        <f>"Karl Jones"</f>
        <v>Karl Jones</v>
      </c>
      <c r="C638" s="1" t="s">
        <v>30830</v>
      </c>
      <c r="F638" s="1" t="s">
        <v>5534</v>
      </c>
      <c r="G638" s="1" t="s">
        <v>679</v>
      </c>
      <c r="H638" s="1" t="s">
        <v>30831</v>
      </c>
      <c r="I638" s="1" t="s">
        <v>5</v>
      </c>
      <c r="J638" s="1" t="s">
        <v>6</v>
      </c>
      <c r="K638" s="1" t="s">
        <v>24</v>
      </c>
      <c r="M638" s="2">
        <v>43391</v>
      </c>
      <c r="N638" s="1" t="s">
        <v>8</v>
      </c>
      <c r="O638" s="2">
        <v>44486</v>
      </c>
    </row>
    <row r="639" spans="1:15" ht="28.8" x14ac:dyDescent="0.3">
      <c r="A639" s="1" t="s">
        <v>30832</v>
      </c>
      <c r="B639" s="1" t="str">
        <f>"Interior Systems (Wales) Ltd"</f>
        <v>Interior Systems (Wales) Ltd</v>
      </c>
      <c r="C639" s="1" t="s">
        <v>30833</v>
      </c>
      <c r="D639" s="1" t="s">
        <v>30834</v>
      </c>
      <c r="F639" s="1" t="s">
        <v>706</v>
      </c>
      <c r="G639" s="1" t="s">
        <v>211</v>
      </c>
      <c r="H639" s="1" t="s">
        <v>30835</v>
      </c>
      <c r="I639" s="1" t="s">
        <v>19</v>
      </c>
      <c r="J639" s="1" t="s">
        <v>6</v>
      </c>
      <c r="K639" s="1" t="s">
        <v>24</v>
      </c>
      <c r="L639" s="1">
        <v>6989354</v>
      </c>
      <c r="M639" s="2">
        <v>43391</v>
      </c>
      <c r="N639" s="1" t="s">
        <v>8</v>
      </c>
      <c r="O639" s="2">
        <v>44486</v>
      </c>
    </row>
    <row r="640" spans="1:15" ht="28.8" x14ac:dyDescent="0.3">
      <c r="A640" s="1" t="s">
        <v>30836</v>
      </c>
      <c r="B640" s="1" t="str">
        <f>"M.Delacey &amp; Sons (holdings) Limited"</f>
        <v>M.Delacey &amp; Sons (holdings) Limited</v>
      </c>
      <c r="C640" s="1" t="s">
        <v>30837</v>
      </c>
      <c r="D640" s="1" t="s">
        <v>7328</v>
      </c>
      <c r="E640" s="1" t="s">
        <v>1264</v>
      </c>
      <c r="F640" s="1" t="s">
        <v>556</v>
      </c>
      <c r="G640" s="1" t="s">
        <v>556</v>
      </c>
      <c r="H640" s="1" t="s">
        <v>7329</v>
      </c>
      <c r="I640" s="1" t="s">
        <v>19</v>
      </c>
      <c r="J640" s="1" t="s">
        <v>6</v>
      </c>
      <c r="K640" s="1" t="s">
        <v>24</v>
      </c>
      <c r="L640" s="1">
        <v>2989569</v>
      </c>
      <c r="M640" s="2">
        <v>43391</v>
      </c>
      <c r="N640" s="1" t="s">
        <v>8</v>
      </c>
      <c r="O640" s="2">
        <v>44486</v>
      </c>
    </row>
    <row r="641" spans="1:15" ht="43.2" x14ac:dyDescent="0.3">
      <c r="A641" s="1" t="s">
        <v>30838</v>
      </c>
      <c r="B641" s="1" t="str">
        <f>"Hydrainer Pump Hire Ltd"</f>
        <v>Hydrainer Pump Hire Ltd</v>
      </c>
      <c r="C641" s="1" t="s">
        <v>30839</v>
      </c>
      <c r="D641" s="1" t="s">
        <v>30840</v>
      </c>
      <c r="E641" s="1" t="s">
        <v>6518</v>
      </c>
      <c r="F641" s="1" t="s">
        <v>179</v>
      </c>
      <c r="G641" s="1" t="s">
        <v>180</v>
      </c>
      <c r="H641" s="1" t="s">
        <v>4951</v>
      </c>
      <c r="I641" s="1" t="s">
        <v>19</v>
      </c>
      <c r="J641" s="1" t="s">
        <v>67</v>
      </c>
      <c r="K641" s="1" t="s">
        <v>34</v>
      </c>
      <c r="L641" s="1">
        <v>1522204</v>
      </c>
      <c r="M641" s="2">
        <v>43391</v>
      </c>
      <c r="N641" s="1" t="s">
        <v>8</v>
      </c>
      <c r="O641" s="1" t="s">
        <v>68</v>
      </c>
    </row>
    <row r="642" spans="1:15" x14ac:dyDescent="0.3">
      <c r="A642" s="1" t="s">
        <v>30841</v>
      </c>
      <c r="B642" s="1" t="str">
        <f>"Morton and Jones Ltd"</f>
        <v>Morton and Jones Ltd</v>
      </c>
      <c r="C642" s="1" t="s">
        <v>30842</v>
      </c>
      <c r="D642" s="1" t="s">
        <v>30843</v>
      </c>
      <c r="F642" s="1" t="s">
        <v>198</v>
      </c>
      <c r="H642" s="1" t="s">
        <v>30844</v>
      </c>
      <c r="I642" s="1" t="s">
        <v>19</v>
      </c>
      <c r="J642" s="1" t="s">
        <v>6</v>
      </c>
      <c r="K642" s="1" t="s">
        <v>1859</v>
      </c>
      <c r="L642" s="1">
        <v>6572110</v>
      </c>
      <c r="M642" s="2">
        <v>43391</v>
      </c>
      <c r="N642" s="1" t="s">
        <v>8</v>
      </c>
      <c r="O642" s="2">
        <v>44486</v>
      </c>
    </row>
    <row r="643" spans="1:15" ht="28.8" x14ac:dyDescent="0.3">
      <c r="A643" s="1" t="s">
        <v>31958</v>
      </c>
      <c r="B643" s="1" t="str">
        <f>"Accurate Roofing Wales LTD"</f>
        <v>Accurate Roofing Wales LTD</v>
      </c>
      <c r="C643" s="1" t="s">
        <v>31959</v>
      </c>
      <c r="D643" s="1" t="s">
        <v>31960</v>
      </c>
      <c r="F643" s="1" t="s">
        <v>678</v>
      </c>
      <c r="G643" s="1" t="s">
        <v>679</v>
      </c>
      <c r="H643" s="1" t="s">
        <v>31961</v>
      </c>
      <c r="I643" s="1" t="s">
        <v>19</v>
      </c>
      <c r="J643" s="1" t="s">
        <v>6</v>
      </c>
      <c r="K643" s="1" t="s">
        <v>24</v>
      </c>
      <c r="L643" s="1">
        <v>5757251</v>
      </c>
      <c r="M643" s="2">
        <v>43391</v>
      </c>
      <c r="N643" s="1" t="s">
        <v>8</v>
      </c>
      <c r="O643" s="2">
        <v>44486</v>
      </c>
    </row>
    <row r="644" spans="1:15" ht="28.8" x14ac:dyDescent="0.3">
      <c r="A644" s="1" t="s">
        <v>2646</v>
      </c>
      <c r="B644" s="1" t="str">
        <f>"John Brady"</f>
        <v>John Brady</v>
      </c>
      <c r="C644" s="1" t="s">
        <v>2647</v>
      </c>
      <c r="F644" s="1" t="s">
        <v>156</v>
      </c>
      <c r="G644" s="1" t="s">
        <v>156</v>
      </c>
      <c r="H644" s="1" t="s">
        <v>2648</v>
      </c>
      <c r="I644" s="1" t="s">
        <v>5</v>
      </c>
      <c r="J644" s="1" t="s">
        <v>6</v>
      </c>
      <c r="K644" s="1" t="s">
        <v>34</v>
      </c>
      <c r="M644" s="2">
        <v>43390</v>
      </c>
      <c r="N644" s="1" t="s">
        <v>8</v>
      </c>
      <c r="O644" s="2">
        <v>44485</v>
      </c>
    </row>
    <row r="645" spans="1:15" ht="28.8" x14ac:dyDescent="0.3">
      <c r="A645" s="1" t="s">
        <v>2649</v>
      </c>
      <c r="B645" s="1" t="str">
        <f>"John Wisken G &amp; J Transport"</f>
        <v>John Wisken G &amp; J Transport</v>
      </c>
      <c r="C645" s="1" t="s">
        <v>2650</v>
      </c>
      <c r="D645" s="1" t="s">
        <v>2651</v>
      </c>
      <c r="E645" s="1" t="s">
        <v>2652</v>
      </c>
      <c r="F645" s="1" t="s">
        <v>374</v>
      </c>
      <c r="G645" s="1" t="s">
        <v>359</v>
      </c>
      <c r="H645" s="1" t="s">
        <v>2653</v>
      </c>
      <c r="I645" s="1" t="s">
        <v>5</v>
      </c>
      <c r="J645" s="1" t="s">
        <v>6</v>
      </c>
      <c r="K645" s="1" t="s">
        <v>34</v>
      </c>
      <c r="M645" s="2">
        <v>43390</v>
      </c>
      <c r="N645" s="1" t="s">
        <v>8</v>
      </c>
      <c r="O645" s="2">
        <v>44485</v>
      </c>
    </row>
    <row r="646" spans="1:15" ht="28.8" x14ac:dyDescent="0.3">
      <c r="A646" s="1" t="s">
        <v>2654</v>
      </c>
      <c r="B646" s="1" t="str">
        <f>"Thomas Williams Heatglow"</f>
        <v>Thomas Williams Heatglow</v>
      </c>
      <c r="C646" s="1" t="s">
        <v>2655</v>
      </c>
      <c r="D646" s="1" t="s">
        <v>2656</v>
      </c>
      <c r="F646" s="1" t="s">
        <v>123</v>
      </c>
      <c r="G646" s="1" t="s">
        <v>27</v>
      </c>
      <c r="H646" s="1" t="s">
        <v>2657</v>
      </c>
      <c r="I646" s="1" t="s">
        <v>5</v>
      </c>
      <c r="J646" s="1" t="s">
        <v>6</v>
      </c>
      <c r="K646" s="1" t="s">
        <v>34</v>
      </c>
      <c r="M646" s="2">
        <v>43390</v>
      </c>
      <c r="N646" s="1" t="s">
        <v>8</v>
      </c>
      <c r="O646" s="2">
        <v>44485</v>
      </c>
    </row>
    <row r="647" spans="1:15" x14ac:dyDescent="0.3">
      <c r="A647" s="1" t="s">
        <v>2661</v>
      </c>
      <c r="B647" s="1" t="str">
        <f>"Lee Smith"</f>
        <v>Lee Smith</v>
      </c>
      <c r="C647" s="1" t="s">
        <v>2662</v>
      </c>
      <c r="F647" s="1" t="s">
        <v>214</v>
      </c>
      <c r="G647" s="1" t="s">
        <v>73</v>
      </c>
      <c r="H647" s="1" t="s">
        <v>2663</v>
      </c>
      <c r="I647" s="1" t="s">
        <v>5</v>
      </c>
      <c r="J647" s="1" t="s">
        <v>6</v>
      </c>
      <c r="K647" s="1" t="s">
        <v>24</v>
      </c>
      <c r="M647" s="2">
        <v>43390</v>
      </c>
      <c r="N647" s="1" t="s">
        <v>8</v>
      </c>
      <c r="O647" s="2">
        <v>44485</v>
      </c>
    </row>
    <row r="648" spans="1:15" ht="28.8" x14ac:dyDescent="0.3">
      <c r="A648" s="1" t="s">
        <v>2668</v>
      </c>
      <c r="B648" s="1" t="str">
        <f>"R &amp; L Carpentry Penarth Ltd"</f>
        <v>R &amp; L Carpentry Penarth Ltd</v>
      </c>
      <c r="C648" s="1" t="s">
        <v>2669</v>
      </c>
      <c r="D648" s="1" t="s">
        <v>2670</v>
      </c>
      <c r="E648" s="1" t="s">
        <v>2671</v>
      </c>
      <c r="F648" s="1" t="s">
        <v>123</v>
      </c>
      <c r="G648" s="1" t="s">
        <v>27</v>
      </c>
      <c r="H648" s="1" t="s">
        <v>2672</v>
      </c>
      <c r="I648" s="1" t="s">
        <v>19</v>
      </c>
      <c r="J648" s="1" t="s">
        <v>6</v>
      </c>
      <c r="K648" s="1" t="s">
        <v>34</v>
      </c>
      <c r="L648" s="1">
        <v>10918948</v>
      </c>
      <c r="M648" s="2">
        <v>43390</v>
      </c>
      <c r="N648" s="1" t="s">
        <v>8</v>
      </c>
      <c r="O648" s="2">
        <v>44485</v>
      </c>
    </row>
    <row r="649" spans="1:15" x14ac:dyDescent="0.3">
      <c r="A649" s="1" t="s">
        <v>2673</v>
      </c>
      <c r="B649" s="1" t="str">
        <f>"George Lane"</f>
        <v>George Lane</v>
      </c>
      <c r="C649" s="1" t="s">
        <v>2674</v>
      </c>
      <c r="D649" s="1" t="s">
        <v>2675</v>
      </c>
      <c r="F649" s="1" t="s">
        <v>64</v>
      </c>
      <c r="G649" s="1" t="s">
        <v>65</v>
      </c>
      <c r="H649" s="1" t="s">
        <v>2676</v>
      </c>
      <c r="I649" s="1" t="s">
        <v>5</v>
      </c>
      <c r="J649" s="1" t="s">
        <v>6</v>
      </c>
      <c r="K649" s="1" t="s">
        <v>24</v>
      </c>
      <c r="M649" s="2">
        <v>43390</v>
      </c>
      <c r="N649" s="1" t="s">
        <v>8</v>
      </c>
      <c r="O649" s="2">
        <v>44485</v>
      </c>
    </row>
    <row r="650" spans="1:15" ht="28.8" x14ac:dyDescent="0.3">
      <c r="A650" s="1" t="s">
        <v>2683</v>
      </c>
      <c r="B650" s="1" t="str">
        <f>"D Lawlor Services (Crane Hire) Limited"</f>
        <v>D Lawlor Services (Crane Hire) Limited</v>
      </c>
      <c r="C650" s="1" t="s">
        <v>2684</v>
      </c>
      <c r="D650" s="1" t="s">
        <v>2685</v>
      </c>
      <c r="F650" s="1" t="s">
        <v>2686</v>
      </c>
      <c r="G650" s="1" t="s">
        <v>324</v>
      </c>
      <c r="H650" s="1" t="s">
        <v>2687</v>
      </c>
      <c r="I650" s="1" t="s">
        <v>19</v>
      </c>
      <c r="J650" s="1" t="s">
        <v>6</v>
      </c>
      <c r="K650" s="1" t="s">
        <v>34</v>
      </c>
      <c r="L650" s="1">
        <v>5013704</v>
      </c>
      <c r="M650" s="2">
        <v>43390</v>
      </c>
      <c r="N650" s="1" t="s">
        <v>8</v>
      </c>
      <c r="O650" s="2">
        <v>44485</v>
      </c>
    </row>
    <row r="651" spans="1:15" ht="28.8" x14ac:dyDescent="0.3">
      <c r="A651" s="1" t="s">
        <v>2688</v>
      </c>
      <c r="B651" s="1" t="str">
        <f>"Christopher Plaister"</f>
        <v>Christopher Plaister</v>
      </c>
      <c r="C651" s="1" t="s">
        <v>2689</v>
      </c>
      <c r="D651" s="1" t="s">
        <v>2690</v>
      </c>
      <c r="E651" s="1" t="s">
        <v>2691</v>
      </c>
      <c r="F651" s="1" t="s">
        <v>156</v>
      </c>
      <c r="H651" s="1" t="s">
        <v>926</v>
      </c>
      <c r="I651" s="1" t="s">
        <v>5</v>
      </c>
      <c r="J651" s="1" t="s">
        <v>6</v>
      </c>
      <c r="K651" s="1" t="s">
        <v>34</v>
      </c>
      <c r="M651" s="2">
        <v>43390</v>
      </c>
      <c r="N651" s="1" t="s">
        <v>8</v>
      </c>
      <c r="O651" s="2">
        <v>44485</v>
      </c>
    </row>
    <row r="652" spans="1:15" ht="28.8" x14ac:dyDescent="0.3">
      <c r="A652" s="1" t="s">
        <v>2696</v>
      </c>
      <c r="B652" s="1" t="str">
        <f>"Robert Pritchard Primeline Transport"</f>
        <v>Robert Pritchard Primeline Transport</v>
      </c>
      <c r="C652" s="1" t="s">
        <v>2697</v>
      </c>
      <c r="F652" s="1" t="s">
        <v>198</v>
      </c>
      <c r="H652" s="1" t="s">
        <v>2698</v>
      </c>
      <c r="I652" s="1" t="s">
        <v>5</v>
      </c>
      <c r="J652" s="1" t="s">
        <v>6</v>
      </c>
      <c r="K652" s="1" t="s">
        <v>34</v>
      </c>
      <c r="M652" s="2">
        <v>43390</v>
      </c>
      <c r="N652" s="1" t="s">
        <v>8</v>
      </c>
      <c r="O652" s="2">
        <v>44485</v>
      </c>
    </row>
    <row r="653" spans="1:15" x14ac:dyDescent="0.3">
      <c r="A653" s="1" t="s">
        <v>2699</v>
      </c>
      <c r="B653" s="1" t="str">
        <f>"Outlooks Property"</f>
        <v>Outlooks Property</v>
      </c>
      <c r="D653" s="1" t="s">
        <v>2700</v>
      </c>
      <c r="F653" s="1" t="s">
        <v>2686</v>
      </c>
      <c r="G653" s="1" t="s">
        <v>324</v>
      </c>
      <c r="H653" s="1" t="s">
        <v>2701</v>
      </c>
      <c r="I653" s="1" t="s">
        <v>125</v>
      </c>
      <c r="J653" s="1" t="s">
        <v>6</v>
      </c>
      <c r="K653" s="1" t="s">
        <v>24</v>
      </c>
      <c r="M653" s="2">
        <v>43390</v>
      </c>
      <c r="N653" s="1" t="s">
        <v>8</v>
      </c>
      <c r="O653" s="2">
        <v>44485</v>
      </c>
    </row>
    <row r="654" spans="1:15" ht="43.2" x14ac:dyDescent="0.3">
      <c r="A654" s="1" t="s">
        <v>31939</v>
      </c>
      <c r="B654" s="1" t="str">
        <f>"Chris Burridge Christopher David Burridge"</f>
        <v>Chris Burridge Christopher David Burridge</v>
      </c>
      <c r="C654" s="1" t="s">
        <v>31940</v>
      </c>
      <c r="F654" s="1" t="s">
        <v>123</v>
      </c>
      <c r="G654" s="1" t="s">
        <v>27</v>
      </c>
      <c r="H654" s="1" t="s">
        <v>31941</v>
      </c>
      <c r="I654" s="1" t="s">
        <v>5</v>
      </c>
      <c r="J654" s="1" t="s">
        <v>6</v>
      </c>
      <c r="K654" s="1" t="s">
        <v>34</v>
      </c>
      <c r="M654" s="2">
        <v>43390</v>
      </c>
      <c r="N654" s="1" t="s">
        <v>8</v>
      </c>
      <c r="O654" s="2">
        <v>44485</v>
      </c>
    </row>
    <row r="655" spans="1:15" ht="28.8" x14ac:dyDescent="0.3">
      <c r="A655" s="1" t="s">
        <v>31942</v>
      </c>
      <c r="B655" s="1" t="str">
        <f>"G &amp; T Transport Ltd"</f>
        <v>G &amp; T Transport Ltd</v>
      </c>
      <c r="C655" s="1" t="s">
        <v>31943</v>
      </c>
      <c r="D655" s="1" t="s">
        <v>31944</v>
      </c>
      <c r="E655" s="1" t="s">
        <v>7788</v>
      </c>
      <c r="F655" s="1" t="s">
        <v>64</v>
      </c>
      <c r="G655" s="1" t="s">
        <v>65</v>
      </c>
      <c r="H655" s="1" t="s">
        <v>2524</v>
      </c>
      <c r="I655" s="1" t="s">
        <v>19</v>
      </c>
      <c r="J655" s="1" t="s">
        <v>6</v>
      </c>
      <c r="K655" s="1" t="s">
        <v>34</v>
      </c>
      <c r="L655" s="1">
        <v>4077581</v>
      </c>
      <c r="M655" s="2">
        <v>43390</v>
      </c>
      <c r="N655" s="1" t="s">
        <v>8</v>
      </c>
      <c r="O655" s="2">
        <v>44485</v>
      </c>
    </row>
    <row r="656" spans="1:15" ht="28.8" x14ac:dyDescent="0.3">
      <c r="A656" s="1" t="s">
        <v>2586</v>
      </c>
      <c r="B656" s="1" t="str">
        <f>"Meyrick Estate Management LTD"</f>
        <v>Meyrick Estate Management LTD</v>
      </c>
      <c r="C656" s="1" t="s">
        <v>2587</v>
      </c>
      <c r="D656" s="1" t="s">
        <v>2588</v>
      </c>
      <c r="F656" s="1" t="s">
        <v>2589</v>
      </c>
      <c r="G656" s="1" t="s">
        <v>679</v>
      </c>
      <c r="H656" s="1" t="s">
        <v>2590</v>
      </c>
      <c r="I656" s="1" t="s">
        <v>19</v>
      </c>
      <c r="J656" s="1" t="s">
        <v>6</v>
      </c>
      <c r="K656" s="1" t="s">
        <v>24</v>
      </c>
      <c r="L656" s="1">
        <v>958684</v>
      </c>
      <c r="M656" s="2">
        <v>43389</v>
      </c>
      <c r="N656" s="1" t="s">
        <v>8</v>
      </c>
      <c r="O656" s="2">
        <v>44484</v>
      </c>
    </row>
    <row r="657" spans="1:15" x14ac:dyDescent="0.3">
      <c r="A657" s="1" t="s">
        <v>2598</v>
      </c>
      <c r="B657" s="1" t="str">
        <f>"LJV Construction LTD"</f>
        <v>LJV Construction LTD</v>
      </c>
      <c r="C657" s="1" t="s">
        <v>2599</v>
      </c>
      <c r="D657" s="1" t="s">
        <v>2600</v>
      </c>
      <c r="E657" s="1" t="s">
        <v>2601</v>
      </c>
      <c r="F657" s="1" t="s">
        <v>37</v>
      </c>
      <c r="G657" s="1" t="s">
        <v>654</v>
      </c>
      <c r="H657" s="1" t="s">
        <v>2602</v>
      </c>
      <c r="I657" s="1" t="s">
        <v>19</v>
      </c>
      <c r="J657" s="1" t="s">
        <v>6</v>
      </c>
      <c r="K657" s="1" t="s">
        <v>24</v>
      </c>
      <c r="L657" s="1">
        <v>8265926</v>
      </c>
      <c r="M657" s="2">
        <v>43389</v>
      </c>
      <c r="N657" s="1" t="s">
        <v>8</v>
      </c>
      <c r="O657" s="2">
        <v>44484</v>
      </c>
    </row>
    <row r="658" spans="1:15" ht="28.8" x14ac:dyDescent="0.3">
      <c r="A658" s="1" t="s">
        <v>2603</v>
      </c>
      <c r="B658" s="1" t="str">
        <f>"CDH Contractors LTD"</f>
        <v>CDH Contractors LTD</v>
      </c>
      <c r="C658" s="1" t="s">
        <v>2604</v>
      </c>
      <c r="D658" s="1" t="s">
        <v>2605</v>
      </c>
      <c r="E658" s="1" t="s">
        <v>2606</v>
      </c>
      <c r="F658" s="1" t="s">
        <v>1093</v>
      </c>
      <c r="G658" s="1" t="s">
        <v>103</v>
      </c>
      <c r="H658" s="1" t="s">
        <v>2607</v>
      </c>
      <c r="I658" s="1" t="s">
        <v>19</v>
      </c>
      <c r="J658" s="1" t="s">
        <v>6</v>
      </c>
      <c r="K658" s="1" t="s">
        <v>24</v>
      </c>
      <c r="L658" s="1">
        <v>11104335</v>
      </c>
      <c r="M658" s="2">
        <v>43389</v>
      </c>
      <c r="N658" s="1" t="s">
        <v>8</v>
      </c>
      <c r="O658" s="2">
        <v>44484</v>
      </c>
    </row>
    <row r="659" spans="1:15" ht="28.8" x14ac:dyDescent="0.3">
      <c r="A659" s="1" t="s">
        <v>2633</v>
      </c>
      <c r="B659" s="1" t="str">
        <f>"Saints Property Services LTD"</f>
        <v>Saints Property Services LTD</v>
      </c>
      <c r="C659" s="1" t="s">
        <v>2634</v>
      </c>
      <c r="D659" s="1" t="s">
        <v>2635</v>
      </c>
      <c r="F659" s="1" t="s">
        <v>64</v>
      </c>
      <c r="G659" s="1" t="s">
        <v>65</v>
      </c>
      <c r="H659" s="1" t="s">
        <v>2636</v>
      </c>
      <c r="I659" s="1" t="s">
        <v>19</v>
      </c>
      <c r="J659" s="1" t="s">
        <v>6</v>
      </c>
      <c r="K659" s="1" t="s">
        <v>24</v>
      </c>
      <c r="L659" s="1">
        <v>9811677</v>
      </c>
      <c r="M659" s="2">
        <v>43389</v>
      </c>
      <c r="N659" s="1" t="s">
        <v>8</v>
      </c>
      <c r="O659" s="2">
        <v>44484</v>
      </c>
    </row>
    <row r="660" spans="1:15" ht="28.8" x14ac:dyDescent="0.3">
      <c r="A660" s="1" t="s">
        <v>2641</v>
      </c>
      <c r="B660" s="1" t="str">
        <f>"Ian Evans"</f>
        <v>Ian Evans</v>
      </c>
      <c r="C660" s="1" t="s">
        <v>2642</v>
      </c>
      <c r="D660" s="1" t="s">
        <v>2643</v>
      </c>
      <c r="E660" s="1" t="s">
        <v>2644</v>
      </c>
      <c r="F660" s="1" t="s">
        <v>2580</v>
      </c>
      <c r="G660" s="1" t="s">
        <v>162</v>
      </c>
      <c r="H660" s="1" t="s">
        <v>2645</v>
      </c>
      <c r="I660" s="1" t="s">
        <v>5</v>
      </c>
      <c r="J660" s="1" t="s">
        <v>6</v>
      </c>
      <c r="K660" s="1" t="s">
        <v>34</v>
      </c>
      <c r="M660" s="2">
        <v>43389</v>
      </c>
      <c r="N660" s="1" t="s">
        <v>8</v>
      </c>
      <c r="O660" s="2">
        <v>44484</v>
      </c>
    </row>
    <row r="661" spans="1:15" ht="28.8" x14ac:dyDescent="0.3">
      <c r="A661" s="1" t="s">
        <v>31927</v>
      </c>
      <c r="B661" s="1" t="str">
        <f>"Taylor Robinson"</f>
        <v>Taylor Robinson</v>
      </c>
      <c r="C661" s="1" t="s">
        <v>31928</v>
      </c>
      <c r="E661" s="1" t="s">
        <v>31929</v>
      </c>
      <c r="F661" s="1" t="s">
        <v>31930</v>
      </c>
      <c r="G661" s="1" t="s">
        <v>3</v>
      </c>
      <c r="H661" s="1" t="s">
        <v>31931</v>
      </c>
      <c r="I661" s="1" t="s">
        <v>5</v>
      </c>
      <c r="J661" s="1" t="s">
        <v>6</v>
      </c>
      <c r="K661" s="1" t="s">
        <v>34</v>
      </c>
      <c r="M661" s="2">
        <v>43389</v>
      </c>
      <c r="N661" s="1" t="s">
        <v>8</v>
      </c>
      <c r="O661" s="2">
        <v>44484</v>
      </c>
    </row>
    <row r="662" spans="1:15" ht="28.8" x14ac:dyDescent="0.3">
      <c r="A662" s="1" t="s">
        <v>31932</v>
      </c>
      <c r="B662" s="1" t="str">
        <f>"Kurt Fernandez K &amp; K Gardening Cymru"</f>
        <v>Kurt Fernandez K &amp; K Gardening Cymru</v>
      </c>
      <c r="C662" s="1" t="s">
        <v>31933</v>
      </c>
      <c r="D662" s="1" t="s">
        <v>31934</v>
      </c>
      <c r="F662" s="1" t="s">
        <v>37</v>
      </c>
      <c r="G662" s="1" t="s">
        <v>654</v>
      </c>
      <c r="H662" s="1" t="s">
        <v>15412</v>
      </c>
      <c r="I662" s="1" t="s">
        <v>5</v>
      </c>
      <c r="J662" s="1" t="s">
        <v>6</v>
      </c>
      <c r="K662" s="1" t="s">
        <v>34</v>
      </c>
      <c r="M662" s="2">
        <v>43389</v>
      </c>
      <c r="N662" s="1" t="s">
        <v>8</v>
      </c>
      <c r="O662" s="2">
        <v>44484</v>
      </c>
    </row>
    <row r="663" spans="1:15" ht="28.8" x14ac:dyDescent="0.3">
      <c r="A663" s="1" t="s">
        <v>30803</v>
      </c>
      <c r="B663" s="1" t="str">
        <f>"Rob Morris Groundworks LTD"</f>
        <v>Rob Morris Groundworks LTD</v>
      </c>
      <c r="C663" s="1">
        <v>24</v>
      </c>
      <c r="D663" s="1" t="s">
        <v>15529</v>
      </c>
      <c r="F663" s="1" t="s">
        <v>156</v>
      </c>
      <c r="G663" s="1" t="s">
        <v>156</v>
      </c>
      <c r="H663" s="1" t="s">
        <v>30804</v>
      </c>
      <c r="I663" s="1" t="s">
        <v>19</v>
      </c>
      <c r="J663" s="1" t="s">
        <v>6</v>
      </c>
      <c r="K663" s="1" t="s">
        <v>34</v>
      </c>
      <c r="L663" s="1">
        <v>8628961</v>
      </c>
      <c r="M663" s="2">
        <v>43388</v>
      </c>
      <c r="N663" s="1" t="s">
        <v>8</v>
      </c>
      <c r="O663" s="2">
        <v>44483</v>
      </c>
    </row>
    <row r="664" spans="1:15" ht="28.8" x14ac:dyDescent="0.3">
      <c r="A664" s="1" t="s">
        <v>31893</v>
      </c>
      <c r="B664" s="1" t="str">
        <f>"Sandhams Utility Contractors LTD"</f>
        <v>Sandhams Utility Contractors LTD</v>
      </c>
      <c r="C664" s="1" t="s">
        <v>31894</v>
      </c>
      <c r="D664" s="1" t="s">
        <v>31895</v>
      </c>
      <c r="F664" s="1" t="s">
        <v>4645</v>
      </c>
      <c r="G664" s="1" t="s">
        <v>324</v>
      </c>
      <c r="H664" s="1" t="s">
        <v>31896</v>
      </c>
      <c r="I664" s="1" t="s">
        <v>19</v>
      </c>
      <c r="J664" s="1" t="s">
        <v>6</v>
      </c>
      <c r="K664" s="1" t="s">
        <v>34</v>
      </c>
      <c r="L664" s="1">
        <v>8993965</v>
      </c>
      <c r="M664" s="2">
        <v>43388</v>
      </c>
      <c r="N664" s="1" t="s">
        <v>8</v>
      </c>
      <c r="O664" s="2">
        <v>44483</v>
      </c>
    </row>
    <row r="665" spans="1:15" ht="28.8" x14ac:dyDescent="0.3">
      <c r="A665" s="1" t="s">
        <v>31897</v>
      </c>
      <c r="B665" s="1" t="str">
        <f>"W2 Construction Ltd"</f>
        <v>W2 Construction Ltd</v>
      </c>
      <c r="C665" s="1" t="s">
        <v>31898</v>
      </c>
      <c r="D665" s="1" t="s">
        <v>31899</v>
      </c>
      <c r="E665" s="1" t="s">
        <v>31900</v>
      </c>
      <c r="F665" s="1" t="s">
        <v>277</v>
      </c>
      <c r="G665" s="1" t="s">
        <v>141</v>
      </c>
      <c r="H665" s="1" t="s">
        <v>31901</v>
      </c>
      <c r="I665" s="1" t="s">
        <v>19</v>
      </c>
      <c r="J665" s="1" t="s">
        <v>6</v>
      </c>
      <c r="K665" s="1" t="s">
        <v>34</v>
      </c>
      <c r="L665" s="1">
        <v>11343524</v>
      </c>
      <c r="M665" s="2">
        <v>43388</v>
      </c>
      <c r="N665" s="1" t="s">
        <v>8</v>
      </c>
      <c r="O665" s="2">
        <v>44483</v>
      </c>
    </row>
    <row r="666" spans="1:15" ht="28.8" x14ac:dyDescent="0.3">
      <c r="A666" s="1" t="s">
        <v>31905</v>
      </c>
      <c r="B666" s="1" t="str">
        <f>"James Evison"</f>
        <v>James Evison</v>
      </c>
      <c r="C666" s="1" t="s">
        <v>31906</v>
      </c>
      <c r="D666" s="1" t="s">
        <v>31907</v>
      </c>
      <c r="F666" s="1" t="s">
        <v>3465</v>
      </c>
      <c r="G666" s="1" t="s">
        <v>162</v>
      </c>
      <c r="H666" s="1" t="s">
        <v>15216</v>
      </c>
      <c r="I666" s="1" t="s">
        <v>5</v>
      </c>
      <c r="J666" s="1" t="s">
        <v>6</v>
      </c>
      <c r="K666" s="1" t="s">
        <v>34</v>
      </c>
      <c r="M666" s="2">
        <v>43388</v>
      </c>
      <c r="N666" s="1" t="s">
        <v>8</v>
      </c>
      <c r="O666" s="2">
        <v>44483</v>
      </c>
    </row>
    <row r="667" spans="1:15" ht="28.8" x14ac:dyDescent="0.3">
      <c r="A667" s="1" t="s">
        <v>31908</v>
      </c>
      <c r="B667" s="1" t="str">
        <f>"Bulwark House Ltd"</f>
        <v>Bulwark House Ltd</v>
      </c>
      <c r="C667" s="1" t="s">
        <v>5447</v>
      </c>
      <c r="D667" s="1" t="s">
        <v>1206</v>
      </c>
      <c r="F667" s="1" t="s">
        <v>162</v>
      </c>
      <c r="H667" s="1" t="s">
        <v>5448</v>
      </c>
      <c r="I667" s="1" t="s">
        <v>19</v>
      </c>
      <c r="J667" s="1" t="s">
        <v>6</v>
      </c>
      <c r="K667" s="1" t="s">
        <v>34</v>
      </c>
      <c r="L667" s="1">
        <v>3924524</v>
      </c>
      <c r="M667" s="2">
        <v>43388</v>
      </c>
      <c r="N667" s="1" t="s">
        <v>8</v>
      </c>
      <c r="O667" s="2">
        <v>44483</v>
      </c>
    </row>
    <row r="668" spans="1:15" ht="43.2" x14ac:dyDescent="0.3">
      <c r="A668" s="1" t="s">
        <v>31909</v>
      </c>
      <c r="B668" s="1" t="str">
        <f>"Red Property Development &amp; Maintenance Ltd"</f>
        <v>Red Property Development &amp; Maintenance Ltd</v>
      </c>
      <c r="C668" s="1" t="s">
        <v>31910</v>
      </c>
      <c r="D668" s="1" t="s">
        <v>20687</v>
      </c>
      <c r="E668" s="1" t="s">
        <v>2169</v>
      </c>
      <c r="F668" s="1" t="s">
        <v>179</v>
      </c>
      <c r="G668" s="1" t="s">
        <v>180</v>
      </c>
      <c r="H668" s="1" t="s">
        <v>31911</v>
      </c>
      <c r="I668" s="1" t="s">
        <v>19</v>
      </c>
      <c r="J668" s="1" t="s">
        <v>6</v>
      </c>
      <c r="K668" s="1" t="s">
        <v>34</v>
      </c>
      <c r="L668" s="1">
        <v>7252279</v>
      </c>
      <c r="M668" s="2">
        <v>43388</v>
      </c>
      <c r="N668" s="1" t="s">
        <v>8</v>
      </c>
      <c r="O668" s="2">
        <v>44483</v>
      </c>
    </row>
    <row r="669" spans="1:15" ht="43.2" x14ac:dyDescent="0.3">
      <c r="A669" s="1" t="s">
        <v>31912</v>
      </c>
      <c r="B669" s="1" t="str">
        <f>"MSS CONSULTING LIMITED"</f>
        <v>MSS CONSULTING LIMITED</v>
      </c>
      <c r="C669" s="1" t="s">
        <v>17815</v>
      </c>
      <c r="D669" s="1" t="s">
        <v>17816</v>
      </c>
      <c r="F669" s="1" t="s">
        <v>123</v>
      </c>
      <c r="H669" s="1" t="s">
        <v>5306</v>
      </c>
      <c r="I669" s="1" t="s">
        <v>19</v>
      </c>
      <c r="J669" s="1" t="s">
        <v>67</v>
      </c>
      <c r="K669" s="1" t="s">
        <v>24</v>
      </c>
      <c r="L669" s="1">
        <v>5554672</v>
      </c>
      <c r="M669" s="2">
        <v>43388</v>
      </c>
      <c r="N669" s="1" t="s">
        <v>8</v>
      </c>
      <c r="O669" s="1" t="s">
        <v>68</v>
      </c>
    </row>
    <row r="670" spans="1:15" ht="43.2" x14ac:dyDescent="0.3">
      <c r="A670" s="1" t="s">
        <v>31913</v>
      </c>
      <c r="B670" s="1" t="str">
        <f>"Josh Amies Tree Services Ltd"</f>
        <v>Josh Amies Tree Services Ltd</v>
      </c>
      <c r="C670" s="1" t="s">
        <v>31914</v>
      </c>
      <c r="F670" s="1" t="s">
        <v>7543</v>
      </c>
      <c r="G670" s="1" t="s">
        <v>359</v>
      </c>
      <c r="H670" s="1" t="s">
        <v>31915</v>
      </c>
      <c r="I670" s="1" t="s">
        <v>19</v>
      </c>
      <c r="J670" s="1" t="s">
        <v>67</v>
      </c>
      <c r="K670" s="1" t="s">
        <v>24</v>
      </c>
      <c r="L670" s="1">
        <v>11497017</v>
      </c>
      <c r="M670" s="2">
        <v>43388</v>
      </c>
      <c r="N670" s="1" t="s">
        <v>8</v>
      </c>
      <c r="O670" s="1" t="s">
        <v>68</v>
      </c>
    </row>
    <row r="671" spans="1:15" ht="43.2" x14ac:dyDescent="0.3">
      <c r="A671" s="1" t="s">
        <v>31916</v>
      </c>
      <c r="B671" s="1" t="str">
        <f>"A.D.Wheeler Removals &amp; Deliveries"</f>
        <v>A.D.Wheeler Removals &amp; Deliveries</v>
      </c>
      <c r="C671" s="1" t="s">
        <v>31917</v>
      </c>
      <c r="D671" s="1" t="s">
        <v>31918</v>
      </c>
      <c r="F671" s="1" t="s">
        <v>532</v>
      </c>
      <c r="G671" s="1" t="s">
        <v>198</v>
      </c>
      <c r="H671" s="1" t="s">
        <v>31919</v>
      </c>
      <c r="I671" s="1" t="s">
        <v>19</v>
      </c>
      <c r="J671" s="1" t="s">
        <v>67</v>
      </c>
      <c r="K671" s="1" t="s">
        <v>24</v>
      </c>
      <c r="L671" s="1">
        <v>8527318</v>
      </c>
      <c r="M671" s="2">
        <v>43388</v>
      </c>
      <c r="N671" s="1" t="s">
        <v>8</v>
      </c>
      <c r="O671" s="1" t="s">
        <v>68</v>
      </c>
    </row>
    <row r="672" spans="1:15" ht="43.2" x14ac:dyDescent="0.3">
      <c r="A672" s="1" t="s">
        <v>31920</v>
      </c>
      <c r="B672" s="1" t="str">
        <f>"julian hinam"</f>
        <v>julian hinam</v>
      </c>
      <c r="C672" s="1" t="s">
        <v>22970</v>
      </c>
      <c r="F672" s="1" t="s">
        <v>298</v>
      </c>
      <c r="H672" s="1" t="s">
        <v>22971</v>
      </c>
      <c r="I672" s="1" t="s">
        <v>5</v>
      </c>
      <c r="J672" s="1" t="s">
        <v>67</v>
      </c>
      <c r="K672" s="1" t="s">
        <v>24</v>
      </c>
      <c r="M672" s="2">
        <v>43388</v>
      </c>
      <c r="N672" s="1" t="s">
        <v>8</v>
      </c>
      <c r="O672" s="1" t="s">
        <v>68</v>
      </c>
    </row>
    <row r="673" spans="1:15" ht="28.8" x14ac:dyDescent="0.3">
      <c r="A673" s="1" t="s">
        <v>2560</v>
      </c>
      <c r="B673" s="1" t="str">
        <f>"Michael Mcneill Cardiff Grab Hire"</f>
        <v>Michael Mcneill Cardiff Grab Hire</v>
      </c>
      <c r="C673" s="1" t="s">
        <v>2561</v>
      </c>
      <c r="D673" s="1" t="s">
        <v>464</v>
      </c>
      <c r="E673" s="1" t="s">
        <v>465</v>
      </c>
      <c r="F673" s="1" t="s">
        <v>123</v>
      </c>
      <c r="G673" s="1" t="s">
        <v>156</v>
      </c>
      <c r="H673" s="1" t="s">
        <v>466</v>
      </c>
      <c r="I673" s="1" t="s">
        <v>5</v>
      </c>
      <c r="J673" s="1" t="s">
        <v>6</v>
      </c>
      <c r="K673" s="1" t="s">
        <v>1859</v>
      </c>
      <c r="M673" s="2">
        <v>43387</v>
      </c>
      <c r="N673" s="1" t="s">
        <v>8</v>
      </c>
      <c r="O673" s="2">
        <v>44482</v>
      </c>
    </row>
    <row r="674" spans="1:15" x14ac:dyDescent="0.3">
      <c r="A674" s="1" t="s">
        <v>2570</v>
      </c>
      <c r="B674" s="1" t="str">
        <f>"Terence Hughes"</f>
        <v>Terence Hughes</v>
      </c>
      <c r="C674" s="1" t="s">
        <v>2571</v>
      </c>
      <c r="F674" s="1" t="s">
        <v>532</v>
      </c>
      <c r="G674" s="1" t="s">
        <v>198</v>
      </c>
      <c r="H674" s="1" t="s">
        <v>2572</v>
      </c>
      <c r="I674" s="1" t="s">
        <v>5</v>
      </c>
      <c r="J674" s="1" t="s">
        <v>6</v>
      </c>
      <c r="K674" s="1" t="s">
        <v>24</v>
      </c>
      <c r="M674" s="2">
        <v>43387</v>
      </c>
      <c r="N674" s="1" t="s">
        <v>8</v>
      </c>
      <c r="O674" s="2">
        <v>44482</v>
      </c>
    </row>
    <row r="675" spans="1:15" ht="28.8" x14ac:dyDescent="0.3">
      <c r="A675" s="1" t="s">
        <v>2576</v>
      </c>
      <c r="B675" s="1" t="str">
        <f>"Rcs Wales Ltd."</f>
        <v>Rcs Wales Ltd.</v>
      </c>
      <c r="C675" s="1" t="s">
        <v>2577</v>
      </c>
      <c r="D675" s="1" t="s">
        <v>2578</v>
      </c>
      <c r="E675" s="1" t="s">
        <v>2579</v>
      </c>
      <c r="F675" s="1" t="s">
        <v>2580</v>
      </c>
      <c r="G675" s="1" t="s">
        <v>162</v>
      </c>
      <c r="H675" s="1" t="s">
        <v>2581</v>
      </c>
      <c r="I675" s="1" t="s">
        <v>19</v>
      </c>
      <c r="J675" s="1" t="s">
        <v>6</v>
      </c>
      <c r="K675" s="1" t="s">
        <v>24</v>
      </c>
      <c r="L675" s="1">
        <v>5968951</v>
      </c>
      <c r="M675" s="2">
        <v>43387</v>
      </c>
      <c r="N675" s="1" t="s">
        <v>8</v>
      </c>
      <c r="O675" s="2">
        <v>44482</v>
      </c>
    </row>
    <row r="676" spans="1:15" ht="28.8" x14ac:dyDescent="0.3">
      <c r="A676" s="1" t="s">
        <v>30757</v>
      </c>
      <c r="B676" s="1" t="str">
        <f>"Jonathan Williams J2R Demolition limited"</f>
        <v>Jonathan Williams J2R Demolition limited</v>
      </c>
      <c r="C676" s="1" t="s">
        <v>30758</v>
      </c>
      <c r="D676" s="1" t="s">
        <v>30759</v>
      </c>
      <c r="E676" s="1" t="s">
        <v>30760</v>
      </c>
      <c r="F676" s="1" t="s">
        <v>1341</v>
      </c>
      <c r="H676" s="1" t="s">
        <v>30761</v>
      </c>
      <c r="I676" s="1" t="s">
        <v>5</v>
      </c>
      <c r="J676" s="1" t="s">
        <v>6</v>
      </c>
      <c r="K676" s="1" t="s">
        <v>34</v>
      </c>
      <c r="M676" s="2">
        <v>43386</v>
      </c>
      <c r="N676" s="1" t="s">
        <v>8</v>
      </c>
      <c r="O676" s="2">
        <v>44481</v>
      </c>
    </row>
    <row r="677" spans="1:15" ht="28.8" x14ac:dyDescent="0.3">
      <c r="A677" s="1" t="s">
        <v>31886</v>
      </c>
      <c r="B677" s="1" t="str">
        <f>"Benjamin Murray"</f>
        <v>Benjamin Murray</v>
      </c>
      <c r="C677" s="1" t="s">
        <v>31887</v>
      </c>
      <c r="F677" s="1" t="s">
        <v>123</v>
      </c>
      <c r="G677" s="1" t="s">
        <v>27</v>
      </c>
      <c r="H677" s="1" t="s">
        <v>31888</v>
      </c>
      <c r="I677" s="1" t="s">
        <v>5</v>
      </c>
      <c r="J677" s="1" t="s">
        <v>6</v>
      </c>
      <c r="K677" s="1" t="s">
        <v>34</v>
      </c>
      <c r="M677" s="2">
        <v>43385</v>
      </c>
      <c r="N677" s="1" t="s">
        <v>8</v>
      </c>
      <c r="O677" s="2">
        <v>44480</v>
      </c>
    </row>
    <row r="678" spans="1:15" ht="43.2" x14ac:dyDescent="0.3">
      <c r="A678" s="1" t="s">
        <v>31889</v>
      </c>
      <c r="B678" s="1" t="str">
        <f>"Upper Cefn-Carnau"</f>
        <v>Upper Cefn-Carnau</v>
      </c>
      <c r="C678" s="1" t="s">
        <v>31890</v>
      </c>
      <c r="D678" s="1" t="s">
        <v>31891</v>
      </c>
      <c r="F678" s="1" t="s">
        <v>2066</v>
      </c>
      <c r="G678" s="1" t="s">
        <v>231</v>
      </c>
      <c r="H678" s="1" t="s">
        <v>31892</v>
      </c>
      <c r="I678" s="1" t="s">
        <v>125</v>
      </c>
      <c r="J678" s="1" t="s">
        <v>67</v>
      </c>
      <c r="K678" s="1" t="s">
        <v>34</v>
      </c>
      <c r="M678" s="2">
        <v>43385</v>
      </c>
      <c r="N678" s="1" t="s">
        <v>8</v>
      </c>
      <c r="O678" s="1" t="s">
        <v>68</v>
      </c>
    </row>
    <row r="679" spans="1:15" x14ac:dyDescent="0.3">
      <c r="A679" s="1" t="s">
        <v>2811</v>
      </c>
      <c r="B679" s="1" t="str">
        <f>"P. H. Willams Ltd"</f>
        <v>P. H. Willams Ltd</v>
      </c>
      <c r="C679" s="1" t="s">
        <v>2812</v>
      </c>
      <c r="D679" s="1" t="s">
        <v>2813</v>
      </c>
      <c r="E679" s="1" t="s">
        <v>374</v>
      </c>
      <c r="G679" s="1" t="s">
        <v>359</v>
      </c>
      <c r="H679" s="1" t="s">
        <v>2814</v>
      </c>
      <c r="I679" s="1" t="s">
        <v>19</v>
      </c>
      <c r="J679" s="1" t="s">
        <v>6</v>
      </c>
      <c r="K679" s="1" t="s">
        <v>24</v>
      </c>
      <c r="M679" s="2">
        <v>43384</v>
      </c>
      <c r="N679" s="1" t="s">
        <v>8</v>
      </c>
      <c r="O679" s="2">
        <v>44479</v>
      </c>
    </row>
    <row r="680" spans="1:15" ht="28.8" x14ac:dyDescent="0.3">
      <c r="A680" s="1" t="s">
        <v>31849</v>
      </c>
      <c r="B680" s="1" t="str">
        <f>"Taylor Robinson"</f>
        <v>Taylor Robinson</v>
      </c>
      <c r="C680" s="1" t="s">
        <v>31850</v>
      </c>
      <c r="F680" s="1" t="s">
        <v>123</v>
      </c>
      <c r="G680" s="1" t="s">
        <v>27</v>
      </c>
      <c r="H680" s="1" t="s">
        <v>31851</v>
      </c>
      <c r="I680" s="1" t="s">
        <v>5</v>
      </c>
      <c r="J680" s="1" t="s">
        <v>6</v>
      </c>
      <c r="K680" s="1" t="s">
        <v>34</v>
      </c>
      <c r="M680" s="2">
        <v>43384</v>
      </c>
      <c r="N680" s="1" t="s">
        <v>8</v>
      </c>
      <c r="O680" s="2">
        <v>44479</v>
      </c>
    </row>
    <row r="681" spans="1:15" ht="28.8" x14ac:dyDescent="0.3">
      <c r="A681" s="1" t="s">
        <v>31852</v>
      </c>
      <c r="B681" s="1" t="str">
        <f>"Steven Dean Vaughan"</f>
        <v>Steven Dean Vaughan</v>
      </c>
      <c r="C681" s="1" t="s">
        <v>31853</v>
      </c>
      <c r="F681" s="1" t="s">
        <v>364</v>
      </c>
      <c r="G681" s="1" t="s">
        <v>103</v>
      </c>
      <c r="H681" s="1" t="s">
        <v>31854</v>
      </c>
      <c r="I681" s="1" t="s">
        <v>125</v>
      </c>
      <c r="J681" s="1" t="s">
        <v>6</v>
      </c>
      <c r="K681" s="1" t="s">
        <v>34</v>
      </c>
      <c r="M681" s="2">
        <v>43384</v>
      </c>
      <c r="N681" s="1" t="s">
        <v>8</v>
      </c>
      <c r="O681" s="2">
        <v>44479</v>
      </c>
    </row>
    <row r="682" spans="1:15" ht="28.8" x14ac:dyDescent="0.3">
      <c r="A682" s="1" t="s">
        <v>31855</v>
      </c>
      <c r="B682" s="1" t="str">
        <f>"Stephen Williams SDW Plumbing &amp; Heating"</f>
        <v>Stephen Williams SDW Plumbing &amp; Heating</v>
      </c>
      <c r="C682" s="1" t="s">
        <v>31856</v>
      </c>
      <c r="D682" s="1" t="s">
        <v>5169</v>
      </c>
      <c r="F682" s="1" t="s">
        <v>32</v>
      </c>
      <c r="G682" s="1" t="s">
        <v>109</v>
      </c>
      <c r="H682" s="1" t="s">
        <v>31857</v>
      </c>
      <c r="I682" s="1" t="s">
        <v>5</v>
      </c>
      <c r="J682" s="1" t="s">
        <v>6</v>
      </c>
      <c r="K682" s="1" t="s">
        <v>34</v>
      </c>
      <c r="M682" s="2">
        <v>43384</v>
      </c>
      <c r="N682" s="1" t="s">
        <v>8</v>
      </c>
      <c r="O682" s="2">
        <v>44479</v>
      </c>
    </row>
    <row r="683" spans="1:15" ht="28.8" x14ac:dyDescent="0.3">
      <c r="A683" s="1" t="s">
        <v>31865</v>
      </c>
      <c r="B683" s="1" t="str">
        <f>"Bridgend Biomass Products Ltd"</f>
        <v>Bridgend Biomass Products Ltd</v>
      </c>
      <c r="C683" s="1" t="s">
        <v>31866</v>
      </c>
      <c r="D683" s="1" t="s">
        <v>31867</v>
      </c>
      <c r="E683" s="1" t="s">
        <v>18782</v>
      </c>
      <c r="F683" s="1" t="s">
        <v>179</v>
      </c>
      <c r="G683" s="1" t="s">
        <v>180</v>
      </c>
      <c r="H683" s="1" t="s">
        <v>9381</v>
      </c>
      <c r="I683" s="1" t="s">
        <v>19</v>
      </c>
      <c r="J683" s="1" t="s">
        <v>6</v>
      </c>
      <c r="K683" s="1" t="s">
        <v>34</v>
      </c>
      <c r="L683" s="1">
        <v>9040043</v>
      </c>
      <c r="M683" s="2">
        <v>43384</v>
      </c>
      <c r="N683" s="1" t="s">
        <v>8</v>
      </c>
      <c r="O683" s="2">
        <v>44479</v>
      </c>
    </row>
    <row r="684" spans="1:15" ht="28.8" x14ac:dyDescent="0.3">
      <c r="A684" s="1" t="s">
        <v>31868</v>
      </c>
      <c r="B684" s="1" t="str">
        <f>"Charles Chan"</f>
        <v>Charles Chan</v>
      </c>
      <c r="C684" s="1" t="s">
        <v>31869</v>
      </c>
      <c r="D684" s="1" t="s">
        <v>31870</v>
      </c>
      <c r="F684" s="1" t="s">
        <v>32</v>
      </c>
      <c r="G684" s="1" t="s">
        <v>109</v>
      </c>
      <c r="H684" s="1" t="s">
        <v>31871</v>
      </c>
      <c r="I684" s="1" t="s">
        <v>5</v>
      </c>
      <c r="J684" s="1" t="s">
        <v>6</v>
      </c>
      <c r="K684" s="1" t="s">
        <v>34</v>
      </c>
      <c r="M684" s="2">
        <v>43384</v>
      </c>
      <c r="N684" s="1" t="s">
        <v>8</v>
      </c>
      <c r="O684" s="2">
        <v>44479</v>
      </c>
    </row>
    <row r="685" spans="1:15" x14ac:dyDescent="0.3">
      <c r="A685" s="1" t="s">
        <v>31876</v>
      </c>
      <c r="B685" s="1" t="str">
        <f>"Cartrefi Limited"</f>
        <v>Cartrefi Limited</v>
      </c>
      <c r="C685" s="1" t="s">
        <v>31877</v>
      </c>
      <c r="D685" s="1" t="s">
        <v>31878</v>
      </c>
      <c r="F685" s="1" t="s">
        <v>277</v>
      </c>
      <c r="G685" s="1" t="s">
        <v>141</v>
      </c>
      <c r="H685" s="1" t="s">
        <v>31879</v>
      </c>
      <c r="I685" s="1" t="s">
        <v>19</v>
      </c>
      <c r="J685" s="1" t="s">
        <v>6</v>
      </c>
      <c r="K685" s="1" t="s">
        <v>24</v>
      </c>
      <c r="L685" s="1">
        <v>11085028</v>
      </c>
      <c r="M685" s="2">
        <v>43384</v>
      </c>
      <c r="N685" s="1" t="s">
        <v>8</v>
      </c>
      <c r="O685" s="2">
        <v>44479</v>
      </c>
    </row>
    <row r="686" spans="1:15" ht="43.2" x14ac:dyDescent="0.3">
      <c r="A686" s="1" t="s">
        <v>32885</v>
      </c>
      <c r="B686" s="1" t="str">
        <f>"Hotbinz LTD"</f>
        <v>Hotbinz LTD</v>
      </c>
      <c r="C686" s="1" t="s">
        <v>32886</v>
      </c>
      <c r="D686" s="1" t="s">
        <v>32887</v>
      </c>
      <c r="E686" s="1" t="s">
        <v>1875</v>
      </c>
      <c r="F686" s="1" t="s">
        <v>532</v>
      </c>
      <c r="G686" s="1" t="s">
        <v>198</v>
      </c>
      <c r="H686" s="1" t="s">
        <v>7646</v>
      </c>
      <c r="I686" s="1" t="s">
        <v>19</v>
      </c>
      <c r="J686" s="1" t="s">
        <v>67</v>
      </c>
      <c r="K686" s="1" t="s">
        <v>24</v>
      </c>
      <c r="L686" s="1">
        <v>11609053</v>
      </c>
      <c r="M686" s="2">
        <v>43384</v>
      </c>
      <c r="N686" s="1" t="s">
        <v>8</v>
      </c>
      <c r="O686" s="1" t="s">
        <v>68</v>
      </c>
    </row>
    <row r="687" spans="1:15" ht="43.2" x14ac:dyDescent="0.3">
      <c r="A687" s="1" t="s">
        <v>32888</v>
      </c>
      <c r="B687" s="1" t="str">
        <f>"Secured Alarm Systems Ltd"</f>
        <v>Secured Alarm Systems Ltd</v>
      </c>
      <c r="C687" s="1" t="s">
        <v>32889</v>
      </c>
      <c r="D687" s="1" t="s">
        <v>2041</v>
      </c>
      <c r="F687" s="1" t="s">
        <v>64</v>
      </c>
      <c r="G687" s="1" t="s">
        <v>65</v>
      </c>
      <c r="H687" s="1" t="s">
        <v>32890</v>
      </c>
      <c r="I687" s="1" t="s">
        <v>19</v>
      </c>
      <c r="J687" s="1" t="s">
        <v>67</v>
      </c>
      <c r="K687" s="1" t="s">
        <v>24</v>
      </c>
      <c r="L687" s="1">
        <v>7184577</v>
      </c>
      <c r="M687" s="2">
        <v>43384</v>
      </c>
      <c r="N687" s="1" t="s">
        <v>8</v>
      </c>
      <c r="O687" s="1" t="s">
        <v>68</v>
      </c>
    </row>
    <row r="688" spans="1:15" ht="28.8" x14ac:dyDescent="0.3">
      <c r="A688" s="1" t="s">
        <v>31830</v>
      </c>
      <c r="B688" s="1" t="str">
        <f>"Mathew Lewis Lewis Rubbish Removals"</f>
        <v>Mathew Lewis Lewis Rubbish Removals</v>
      </c>
      <c r="C688" s="1" t="s">
        <v>31831</v>
      </c>
      <c r="D688" s="1" t="s">
        <v>946</v>
      </c>
      <c r="F688" s="1" t="s">
        <v>32</v>
      </c>
      <c r="G688" s="1" t="s">
        <v>109</v>
      </c>
      <c r="H688" s="1" t="s">
        <v>947</v>
      </c>
      <c r="I688" s="1" t="s">
        <v>5</v>
      </c>
      <c r="J688" s="1" t="s">
        <v>6</v>
      </c>
      <c r="K688" s="1" t="s">
        <v>34</v>
      </c>
      <c r="M688" s="2">
        <v>43383</v>
      </c>
      <c r="N688" s="1" t="s">
        <v>8</v>
      </c>
      <c r="O688" s="2">
        <v>44478</v>
      </c>
    </row>
    <row r="689" spans="1:15" ht="28.8" x14ac:dyDescent="0.3">
      <c r="A689" s="1" t="s">
        <v>31832</v>
      </c>
      <c r="B689" s="1" t="str">
        <f>"J R S MECHANICAL SERVICES LTD"</f>
        <v>J R S MECHANICAL SERVICES LTD</v>
      </c>
      <c r="C689" s="1" t="s">
        <v>31833</v>
      </c>
      <c r="D689" s="1" t="s">
        <v>30701</v>
      </c>
      <c r="E689" s="1" t="s">
        <v>31834</v>
      </c>
      <c r="F689" s="1" t="s">
        <v>374</v>
      </c>
      <c r="G689" s="1" t="s">
        <v>359</v>
      </c>
      <c r="H689" s="1" t="s">
        <v>17190</v>
      </c>
      <c r="I689" s="1" t="s">
        <v>19</v>
      </c>
      <c r="J689" s="1" t="s">
        <v>6</v>
      </c>
      <c r="K689" s="1" t="s">
        <v>34</v>
      </c>
      <c r="L689" s="1">
        <v>2719196</v>
      </c>
      <c r="M689" s="2">
        <v>43383</v>
      </c>
      <c r="N689" s="1" t="s">
        <v>8</v>
      </c>
      <c r="O689" s="2">
        <v>44478</v>
      </c>
    </row>
    <row r="690" spans="1:15" ht="28.8" x14ac:dyDescent="0.3">
      <c r="A690" s="1" t="s">
        <v>31835</v>
      </c>
      <c r="B690" s="1" t="str">
        <f>"Andrew Hole Andrew's Garden Magic"</f>
        <v>Andrew Hole Andrew's Garden Magic</v>
      </c>
      <c r="C690" s="1" t="s">
        <v>31836</v>
      </c>
      <c r="D690" s="1" t="s">
        <v>18297</v>
      </c>
      <c r="F690" s="1" t="s">
        <v>1351</v>
      </c>
      <c r="G690" s="1" t="s">
        <v>109</v>
      </c>
      <c r="H690" s="1" t="s">
        <v>31837</v>
      </c>
      <c r="I690" s="1" t="s">
        <v>5</v>
      </c>
      <c r="J690" s="1" t="s">
        <v>6</v>
      </c>
      <c r="K690" s="1" t="s">
        <v>34</v>
      </c>
      <c r="M690" s="2">
        <v>43383</v>
      </c>
      <c r="N690" s="1" t="s">
        <v>8</v>
      </c>
      <c r="O690" s="2">
        <v>44478</v>
      </c>
    </row>
    <row r="691" spans="1:15" ht="28.8" x14ac:dyDescent="0.3">
      <c r="A691" s="1" t="s">
        <v>31841</v>
      </c>
      <c r="B691" s="1" t="str">
        <f>"D G Heath (Timber Products) Ltd"</f>
        <v>D G Heath (Timber Products) Ltd</v>
      </c>
      <c r="C691" s="1" t="s">
        <v>31842</v>
      </c>
      <c r="D691" s="1" t="s">
        <v>31843</v>
      </c>
      <c r="E691" s="1" t="s">
        <v>596</v>
      </c>
      <c r="F691" s="1" t="s">
        <v>64</v>
      </c>
      <c r="G691" s="1" t="s">
        <v>65</v>
      </c>
      <c r="H691" s="1" t="s">
        <v>4489</v>
      </c>
      <c r="I691" s="1" t="s">
        <v>19</v>
      </c>
      <c r="J691" s="1" t="s">
        <v>6</v>
      </c>
      <c r="K691" s="1" t="s">
        <v>34</v>
      </c>
      <c r="L691" s="1">
        <v>1876867</v>
      </c>
      <c r="M691" s="2">
        <v>43383</v>
      </c>
      <c r="N691" s="1" t="s">
        <v>8</v>
      </c>
      <c r="O691" s="2">
        <v>44478</v>
      </c>
    </row>
    <row r="692" spans="1:15" ht="28.8" x14ac:dyDescent="0.3">
      <c r="A692" s="1" t="s">
        <v>31844</v>
      </c>
      <c r="B692" s="1" t="str">
        <f>"Drake Services Ltd"</f>
        <v>Drake Services Ltd</v>
      </c>
      <c r="C692" s="1" t="s">
        <v>31845</v>
      </c>
      <c r="D692" s="1" t="s">
        <v>1350</v>
      </c>
      <c r="F692" s="1" t="s">
        <v>1351</v>
      </c>
      <c r="G692" s="1" t="s">
        <v>109</v>
      </c>
      <c r="H692" s="1" t="s">
        <v>31846</v>
      </c>
      <c r="I692" s="1" t="s">
        <v>19</v>
      </c>
      <c r="J692" s="1" t="s">
        <v>6</v>
      </c>
      <c r="K692" s="1" t="s">
        <v>34</v>
      </c>
      <c r="L692" s="1">
        <v>11385581</v>
      </c>
      <c r="M692" s="2">
        <v>43383</v>
      </c>
      <c r="N692" s="1" t="s">
        <v>8</v>
      </c>
      <c r="O692" s="2">
        <v>44478</v>
      </c>
    </row>
    <row r="693" spans="1:15" ht="28.8" x14ac:dyDescent="0.3">
      <c r="A693" s="1" t="s">
        <v>31847</v>
      </c>
      <c r="B693" s="1" t="str">
        <f>"Greens Recycling (Wales) Ltd"</f>
        <v>Greens Recycling (Wales) Ltd</v>
      </c>
      <c r="C693" s="1" t="s">
        <v>31848</v>
      </c>
      <c r="D693" s="1" t="s">
        <v>23131</v>
      </c>
      <c r="E693" s="1" t="s">
        <v>10958</v>
      </c>
      <c r="F693" s="1" t="s">
        <v>487</v>
      </c>
      <c r="G693" s="1" t="s">
        <v>141</v>
      </c>
      <c r="H693" s="1" t="s">
        <v>10959</v>
      </c>
      <c r="I693" s="1" t="s">
        <v>19</v>
      </c>
      <c r="J693" s="1" t="s">
        <v>6</v>
      </c>
      <c r="K693" s="1" t="s">
        <v>34</v>
      </c>
      <c r="L693" s="1">
        <v>8795994</v>
      </c>
      <c r="M693" s="2">
        <v>43383</v>
      </c>
      <c r="N693" s="1" t="s">
        <v>8</v>
      </c>
      <c r="O693" s="2">
        <v>44478</v>
      </c>
    </row>
    <row r="694" spans="1:15" ht="43.2" x14ac:dyDescent="0.3">
      <c r="A694" s="1" t="s">
        <v>32866</v>
      </c>
      <c r="B694" s="1" t="str">
        <f>"Marle Cold Stores"</f>
        <v>Marle Cold Stores</v>
      </c>
      <c r="C694" s="1" t="s">
        <v>32867</v>
      </c>
      <c r="D694" s="1" t="s">
        <v>32868</v>
      </c>
      <c r="E694" s="1" t="s">
        <v>32869</v>
      </c>
      <c r="F694" s="1" t="s">
        <v>3052</v>
      </c>
      <c r="G694" s="1" t="s">
        <v>359</v>
      </c>
      <c r="H694" s="1" t="s">
        <v>32870</v>
      </c>
      <c r="I694" s="1" t="s">
        <v>125</v>
      </c>
      <c r="J694" s="1" t="s">
        <v>67</v>
      </c>
      <c r="K694" s="1" t="s">
        <v>24</v>
      </c>
      <c r="M694" s="2">
        <v>43383</v>
      </c>
      <c r="N694" s="1" t="s">
        <v>8</v>
      </c>
      <c r="O694" s="1" t="s">
        <v>68</v>
      </c>
    </row>
    <row r="695" spans="1:15" ht="43.2" x14ac:dyDescent="0.3">
      <c r="A695" s="1" t="s">
        <v>32871</v>
      </c>
      <c r="B695" s="1" t="str">
        <f>"Altron Communications Equipment Ltd"</f>
        <v>Altron Communications Equipment Ltd</v>
      </c>
      <c r="C695" s="1" t="s">
        <v>32872</v>
      </c>
      <c r="D695" s="1" t="s">
        <v>32729</v>
      </c>
      <c r="E695" s="1" t="s">
        <v>665</v>
      </c>
      <c r="F695" s="1" t="s">
        <v>307</v>
      </c>
      <c r="H695" s="1" t="s">
        <v>2163</v>
      </c>
      <c r="I695" s="1" t="s">
        <v>19</v>
      </c>
      <c r="J695" s="1" t="s">
        <v>67</v>
      </c>
      <c r="K695" s="1" t="s">
        <v>24</v>
      </c>
      <c r="L695" s="1">
        <v>1024800</v>
      </c>
      <c r="M695" s="2">
        <v>43383</v>
      </c>
      <c r="N695" s="1" t="s">
        <v>8</v>
      </c>
      <c r="O695" s="1" t="s">
        <v>68</v>
      </c>
    </row>
    <row r="696" spans="1:15" ht="43.2" x14ac:dyDescent="0.3">
      <c r="A696" s="1" t="s">
        <v>32873</v>
      </c>
      <c r="B696" s="1" t="str">
        <f>"Paul Thursfield"</f>
        <v>Paul Thursfield</v>
      </c>
      <c r="C696" s="1" t="s">
        <v>32874</v>
      </c>
      <c r="D696" s="1" t="s">
        <v>32875</v>
      </c>
      <c r="E696" s="1" t="s">
        <v>1010</v>
      </c>
      <c r="F696" s="1" t="s">
        <v>2859</v>
      </c>
      <c r="G696" s="1" t="s">
        <v>162</v>
      </c>
      <c r="H696" s="1" t="s">
        <v>22649</v>
      </c>
      <c r="I696" s="1" t="s">
        <v>5</v>
      </c>
      <c r="J696" s="1" t="s">
        <v>67</v>
      </c>
      <c r="K696" s="1" t="s">
        <v>24</v>
      </c>
      <c r="M696" s="2">
        <v>43383</v>
      </c>
      <c r="N696" s="1" t="s">
        <v>8</v>
      </c>
      <c r="O696" s="1" t="s">
        <v>68</v>
      </c>
    </row>
    <row r="697" spans="1:15" ht="43.2" x14ac:dyDescent="0.3">
      <c r="A697" s="1" t="s">
        <v>32876</v>
      </c>
      <c r="B697" s="1" t="str">
        <f>"Ian Preece"</f>
        <v>Ian Preece</v>
      </c>
      <c r="C697" s="1" t="s">
        <v>32877</v>
      </c>
      <c r="D697" s="1" t="s">
        <v>2579</v>
      </c>
      <c r="E697" s="1" t="s">
        <v>2580</v>
      </c>
      <c r="H697" s="1" t="s">
        <v>32878</v>
      </c>
      <c r="I697" s="1" t="s">
        <v>5</v>
      </c>
      <c r="J697" s="1" t="s">
        <v>67</v>
      </c>
      <c r="K697" s="1" t="s">
        <v>24</v>
      </c>
      <c r="M697" s="2">
        <v>43383</v>
      </c>
      <c r="N697" s="1" t="s">
        <v>8</v>
      </c>
      <c r="O697" s="1" t="s">
        <v>68</v>
      </c>
    </row>
    <row r="698" spans="1:15" ht="43.2" x14ac:dyDescent="0.3">
      <c r="A698" s="1" t="s">
        <v>32879</v>
      </c>
      <c r="B698" s="1" t="str">
        <f>"Pelican Healthcare Limited"</f>
        <v>Pelican Healthcare Limited</v>
      </c>
      <c r="C698" s="1" t="s">
        <v>32880</v>
      </c>
      <c r="D698" s="1" t="s">
        <v>1042</v>
      </c>
      <c r="F698" s="1" t="s">
        <v>123</v>
      </c>
      <c r="G698" s="1" t="s">
        <v>2826</v>
      </c>
      <c r="H698" s="1" t="s">
        <v>32881</v>
      </c>
      <c r="I698" s="1" t="s">
        <v>19</v>
      </c>
      <c r="J698" s="1" t="s">
        <v>67</v>
      </c>
      <c r="K698" s="1" t="s">
        <v>24</v>
      </c>
      <c r="L698" s="1">
        <v>2648823</v>
      </c>
      <c r="M698" s="2">
        <v>43383</v>
      </c>
      <c r="N698" s="1" t="s">
        <v>8</v>
      </c>
      <c r="O698" s="1" t="s">
        <v>68</v>
      </c>
    </row>
    <row r="699" spans="1:15" ht="43.2" x14ac:dyDescent="0.3">
      <c r="A699" s="1" t="s">
        <v>2543</v>
      </c>
      <c r="B699" s="1" t="str">
        <f>"Prichard Rail LTD"</f>
        <v>Prichard Rail LTD</v>
      </c>
      <c r="C699" s="1" t="s">
        <v>2544</v>
      </c>
      <c r="D699" s="1" t="s">
        <v>2545</v>
      </c>
      <c r="E699" s="1" t="s">
        <v>733</v>
      </c>
      <c r="F699" s="1" t="s">
        <v>767</v>
      </c>
      <c r="G699" s="1" t="s">
        <v>141</v>
      </c>
      <c r="H699" s="1" t="s">
        <v>734</v>
      </c>
      <c r="I699" s="1" t="s">
        <v>19</v>
      </c>
      <c r="J699" s="1" t="s">
        <v>6</v>
      </c>
      <c r="K699" s="1" t="s">
        <v>34</v>
      </c>
      <c r="L699" s="1">
        <v>11531687</v>
      </c>
      <c r="M699" s="2">
        <v>43382</v>
      </c>
      <c r="N699" s="1" t="s">
        <v>8</v>
      </c>
      <c r="O699" s="2">
        <v>44477</v>
      </c>
    </row>
    <row r="700" spans="1:15" ht="43.2" x14ac:dyDescent="0.3">
      <c r="A700" s="1" t="s">
        <v>30796</v>
      </c>
      <c r="B700" s="1" t="str">
        <f>"A &amp; K Styles Ltd"</f>
        <v>A &amp; K Styles Ltd</v>
      </c>
      <c r="C700" s="1" t="s">
        <v>30797</v>
      </c>
      <c r="D700" s="1" t="s">
        <v>4151</v>
      </c>
      <c r="F700" s="1" t="s">
        <v>720</v>
      </c>
      <c r="G700" s="1" t="s">
        <v>324</v>
      </c>
      <c r="H700" s="1" t="s">
        <v>30798</v>
      </c>
      <c r="I700" s="1" t="s">
        <v>19</v>
      </c>
      <c r="J700" s="1" t="s">
        <v>67</v>
      </c>
      <c r="K700" s="1" t="s">
        <v>24</v>
      </c>
      <c r="L700" s="1">
        <v>11363910</v>
      </c>
      <c r="M700" s="2">
        <v>43382</v>
      </c>
      <c r="N700" s="1" t="s">
        <v>8</v>
      </c>
      <c r="O700" s="1" t="s">
        <v>68</v>
      </c>
    </row>
    <row r="701" spans="1:15" ht="43.2" x14ac:dyDescent="0.3">
      <c r="A701" s="1" t="s">
        <v>30799</v>
      </c>
      <c r="B701" s="1" t="str">
        <f>"Window-Rite LTD"</f>
        <v>Window-Rite LTD</v>
      </c>
      <c r="C701" s="1" t="s">
        <v>30800</v>
      </c>
      <c r="D701" s="1" t="s">
        <v>30801</v>
      </c>
      <c r="E701" s="1" t="s">
        <v>21772</v>
      </c>
      <c r="F701" s="1" t="s">
        <v>1058</v>
      </c>
      <c r="G701" s="1" t="s">
        <v>381</v>
      </c>
      <c r="H701" s="1" t="s">
        <v>30802</v>
      </c>
      <c r="I701" s="1" t="s">
        <v>19</v>
      </c>
      <c r="J701" s="1" t="s">
        <v>67</v>
      </c>
      <c r="K701" s="1" t="s">
        <v>24</v>
      </c>
      <c r="L701" s="1">
        <v>7915305</v>
      </c>
      <c r="M701" s="2">
        <v>43382</v>
      </c>
      <c r="N701" s="1" t="s">
        <v>8</v>
      </c>
      <c r="O701" s="1" t="s">
        <v>68</v>
      </c>
    </row>
    <row r="702" spans="1:15" ht="28.8" x14ac:dyDescent="0.3">
      <c r="A702" s="1" t="s">
        <v>2514</v>
      </c>
      <c r="B702" s="1" t="str">
        <f>"ET &amp; S Construction LTD"</f>
        <v>ET &amp; S Construction LTD</v>
      </c>
      <c r="C702" s="1" t="s">
        <v>2515</v>
      </c>
      <c r="F702" s="1" t="s">
        <v>825</v>
      </c>
      <c r="G702" s="1" t="s">
        <v>180</v>
      </c>
      <c r="H702" s="1" t="s">
        <v>2516</v>
      </c>
      <c r="I702" s="1" t="s">
        <v>19</v>
      </c>
      <c r="J702" s="1" t="s">
        <v>6</v>
      </c>
      <c r="K702" s="1" t="s">
        <v>24</v>
      </c>
      <c r="L702" s="1">
        <v>3294549</v>
      </c>
      <c r="M702" s="2">
        <v>43381</v>
      </c>
      <c r="N702" s="1" t="s">
        <v>8</v>
      </c>
      <c r="O702" s="2">
        <v>44476</v>
      </c>
    </row>
    <row r="703" spans="1:15" ht="28.8" x14ac:dyDescent="0.3">
      <c r="A703" s="1" t="s">
        <v>2537</v>
      </c>
      <c r="B703" s="1" t="str">
        <f>"Mark Hall"</f>
        <v>Mark Hall</v>
      </c>
      <c r="C703" s="1" t="s">
        <v>2538</v>
      </c>
      <c r="F703" s="1" t="s">
        <v>32</v>
      </c>
      <c r="G703" s="1" t="s">
        <v>109</v>
      </c>
      <c r="H703" s="1" t="s">
        <v>2539</v>
      </c>
      <c r="I703" s="1" t="s">
        <v>5</v>
      </c>
      <c r="J703" s="1" t="s">
        <v>6</v>
      </c>
      <c r="K703" s="1" t="s">
        <v>34</v>
      </c>
      <c r="M703" s="2">
        <v>43381</v>
      </c>
      <c r="N703" s="1" t="s">
        <v>8</v>
      </c>
      <c r="O703" s="2">
        <v>44476</v>
      </c>
    </row>
    <row r="704" spans="1:15" ht="28.8" x14ac:dyDescent="0.3">
      <c r="A704" s="1" t="s">
        <v>2501</v>
      </c>
      <c r="B704" s="1" t="str">
        <f>"Maybank Renovation Limited"</f>
        <v>Maybank Renovation Limited</v>
      </c>
      <c r="C704" s="1" t="s">
        <v>2502</v>
      </c>
      <c r="D704" s="1" t="s">
        <v>2503</v>
      </c>
      <c r="F704" s="1" t="s">
        <v>2504</v>
      </c>
      <c r="G704" s="1" t="s">
        <v>3</v>
      </c>
      <c r="H704" s="1" t="s">
        <v>2505</v>
      </c>
      <c r="I704" s="1" t="s">
        <v>19</v>
      </c>
      <c r="J704" s="1" t="s">
        <v>6</v>
      </c>
      <c r="K704" s="1" t="s">
        <v>34</v>
      </c>
      <c r="L704" s="1">
        <v>7281906</v>
      </c>
      <c r="M704" s="2">
        <v>43380</v>
      </c>
      <c r="N704" s="1" t="s">
        <v>8</v>
      </c>
      <c r="O704" s="2">
        <v>44475</v>
      </c>
    </row>
    <row r="705" spans="1:15" ht="43.2" x14ac:dyDescent="0.3">
      <c r="A705" s="1" t="s">
        <v>2506</v>
      </c>
      <c r="B705" s="1" t="str">
        <f>"Heath Gazzi HF Gizzi &amp; Son Buisling Contractors"</f>
        <v>Heath Gazzi HF Gizzi &amp; Son Buisling Contractors</v>
      </c>
      <c r="C705" s="1" t="s">
        <v>2507</v>
      </c>
      <c r="D705" s="1" t="s">
        <v>2508</v>
      </c>
      <c r="E705" s="1" t="s">
        <v>2509</v>
      </c>
      <c r="F705" s="1" t="s">
        <v>374</v>
      </c>
      <c r="G705" s="1" t="s">
        <v>359</v>
      </c>
      <c r="H705" s="1" t="s">
        <v>2510</v>
      </c>
      <c r="I705" s="1" t="s">
        <v>5</v>
      </c>
      <c r="J705" s="1" t="s">
        <v>6</v>
      </c>
      <c r="K705" s="1" t="s">
        <v>34</v>
      </c>
      <c r="M705" s="2">
        <v>43380</v>
      </c>
      <c r="N705" s="1" t="s">
        <v>8</v>
      </c>
      <c r="O705" s="2">
        <v>44475</v>
      </c>
    </row>
    <row r="706" spans="1:15" ht="28.8" x14ac:dyDescent="0.3">
      <c r="A706" s="1" t="s">
        <v>2511</v>
      </c>
      <c r="B706" s="1" t="str">
        <f>"Larry Smith"</f>
        <v>Larry Smith</v>
      </c>
      <c r="C706" s="1" t="s">
        <v>2512</v>
      </c>
      <c r="F706" s="1" t="s">
        <v>782</v>
      </c>
      <c r="G706" s="1" t="s">
        <v>211</v>
      </c>
      <c r="H706" s="1" t="s">
        <v>2513</v>
      </c>
      <c r="I706" s="1" t="s">
        <v>5</v>
      </c>
      <c r="J706" s="1" t="s">
        <v>6</v>
      </c>
      <c r="K706" s="1" t="s">
        <v>34</v>
      </c>
      <c r="M706" s="2">
        <v>43380</v>
      </c>
      <c r="N706" s="1" t="s">
        <v>8</v>
      </c>
      <c r="O706" s="2">
        <v>44475</v>
      </c>
    </row>
    <row r="707" spans="1:15" ht="57.6" x14ac:dyDescent="0.3">
      <c r="A707" s="1" t="s">
        <v>30781</v>
      </c>
      <c r="B707" s="1" t="str">
        <f>"Gweithdy kampala workshop cy N/a Gweithdy kampala workshop cy"</f>
        <v>Gweithdy kampala workshop cy N/a Gweithdy kampala workshop cy</v>
      </c>
      <c r="C707" s="1" t="s">
        <v>15423</v>
      </c>
      <c r="D707" s="1" t="s">
        <v>30782</v>
      </c>
      <c r="E707" s="1" t="s">
        <v>496</v>
      </c>
      <c r="F707" s="1" t="s">
        <v>790</v>
      </c>
      <c r="G707" s="1" t="s">
        <v>3</v>
      </c>
      <c r="H707" s="1" t="s">
        <v>30783</v>
      </c>
      <c r="I707" s="1" t="s">
        <v>5</v>
      </c>
      <c r="J707" s="1" t="s">
        <v>6</v>
      </c>
      <c r="K707" s="1" t="s">
        <v>24</v>
      </c>
      <c r="M707" s="2">
        <v>43378</v>
      </c>
      <c r="N707" s="1" t="s">
        <v>8</v>
      </c>
      <c r="O707" s="2">
        <v>44473</v>
      </c>
    </row>
    <row r="708" spans="1:15" ht="28.8" x14ac:dyDescent="0.3">
      <c r="A708" s="1" t="s">
        <v>2499</v>
      </c>
      <c r="B708" s="1" t="str">
        <f>"Iain Woods Kia Cleaning"</f>
        <v>Iain Woods Kia Cleaning</v>
      </c>
      <c r="C708" s="1" t="s">
        <v>2500</v>
      </c>
      <c r="D708" s="1" t="s">
        <v>437</v>
      </c>
      <c r="F708" s="1" t="s">
        <v>1776</v>
      </c>
      <c r="G708" s="1" t="s">
        <v>115</v>
      </c>
      <c r="H708" s="1" t="s">
        <v>439</v>
      </c>
      <c r="I708" s="1" t="s">
        <v>5</v>
      </c>
      <c r="J708" s="1" t="s">
        <v>6</v>
      </c>
      <c r="K708" s="1" t="s">
        <v>24</v>
      </c>
      <c r="M708" s="2">
        <v>43377</v>
      </c>
      <c r="N708" s="1" t="s">
        <v>8</v>
      </c>
      <c r="O708" s="2">
        <v>44472</v>
      </c>
    </row>
    <row r="709" spans="1:15" ht="43.2" x14ac:dyDescent="0.3">
      <c r="A709" s="1" t="s">
        <v>30769</v>
      </c>
      <c r="B709" s="1" t="str">
        <f>"PLUMBRIGHT HEATING AND PLUMBING SERVICES LTD"</f>
        <v>PLUMBRIGHT HEATING AND PLUMBING SERVICES LTD</v>
      </c>
      <c r="C709" s="1" t="s">
        <v>30770</v>
      </c>
      <c r="D709" s="1" t="s">
        <v>400</v>
      </c>
      <c r="F709" s="1" t="s">
        <v>401</v>
      </c>
      <c r="G709" s="1" t="s">
        <v>231</v>
      </c>
      <c r="H709" s="1" t="s">
        <v>30771</v>
      </c>
      <c r="I709" s="1" t="s">
        <v>19</v>
      </c>
      <c r="J709" s="1" t="s">
        <v>6</v>
      </c>
      <c r="K709" s="1" t="s">
        <v>34</v>
      </c>
      <c r="L709" s="1">
        <v>7289042</v>
      </c>
      <c r="M709" s="2">
        <v>43377</v>
      </c>
      <c r="N709" s="1" t="s">
        <v>8</v>
      </c>
      <c r="O709" s="2">
        <v>44472</v>
      </c>
    </row>
    <row r="710" spans="1:15" ht="43.2" x14ac:dyDescent="0.3">
      <c r="A710" s="1" t="s">
        <v>31823</v>
      </c>
      <c r="B710" s="1" t="str">
        <f>"A &amp; S Trading"</f>
        <v>A &amp; S Trading</v>
      </c>
      <c r="C710" s="1" t="s">
        <v>31824</v>
      </c>
      <c r="D710" s="1" t="s">
        <v>31825</v>
      </c>
      <c r="E710" s="1" t="s">
        <v>31826</v>
      </c>
      <c r="F710" s="1" t="s">
        <v>1341</v>
      </c>
      <c r="G710" s="1" t="s">
        <v>103</v>
      </c>
      <c r="H710" s="1" t="s">
        <v>4155</v>
      </c>
      <c r="I710" s="1" t="s">
        <v>19</v>
      </c>
      <c r="J710" s="1" t="s">
        <v>67</v>
      </c>
      <c r="K710" s="1" t="s">
        <v>24</v>
      </c>
      <c r="L710" s="1">
        <v>6692842</v>
      </c>
      <c r="M710" s="2">
        <v>43377</v>
      </c>
      <c r="N710" s="1" t="s">
        <v>8</v>
      </c>
      <c r="O710" s="1" t="s">
        <v>68</v>
      </c>
    </row>
    <row r="711" spans="1:15" ht="28.8" x14ac:dyDescent="0.3">
      <c r="A711" s="1" t="s">
        <v>30742</v>
      </c>
      <c r="B711" s="1" t="str">
        <f>"John Heard"</f>
        <v>John Heard</v>
      </c>
      <c r="C711" s="1" t="s">
        <v>30743</v>
      </c>
      <c r="F711" s="1" t="s">
        <v>156</v>
      </c>
      <c r="G711" s="1" t="s">
        <v>156</v>
      </c>
      <c r="H711" s="1" t="s">
        <v>30744</v>
      </c>
      <c r="I711" s="1" t="s">
        <v>5</v>
      </c>
      <c r="J711" s="1" t="s">
        <v>6</v>
      </c>
      <c r="K711" s="1" t="s">
        <v>34</v>
      </c>
      <c r="M711" s="2">
        <v>43376</v>
      </c>
      <c r="N711" s="1" t="s">
        <v>8</v>
      </c>
      <c r="O711" s="2">
        <v>44471</v>
      </c>
    </row>
    <row r="712" spans="1:15" ht="28.8" x14ac:dyDescent="0.3">
      <c r="A712" s="1" t="s">
        <v>30751</v>
      </c>
      <c r="B712" s="1" t="str">
        <f>"Dee Tech Services Limited"</f>
        <v>Dee Tech Services Limited</v>
      </c>
      <c r="C712" s="1" t="s">
        <v>30752</v>
      </c>
      <c r="D712" s="1" t="s">
        <v>17436</v>
      </c>
      <c r="E712" s="1" t="s">
        <v>30753</v>
      </c>
      <c r="F712" s="1" t="s">
        <v>323</v>
      </c>
      <c r="G712" s="1" t="s">
        <v>324</v>
      </c>
      <c r="H712" s="1" t="s">
        <v>6490</v>
      </c>
      <c r="I712" s="1" t="s">
        <v>19</v>
      </c>
      <c r="J712" s="1" t="s">
        <v>6</v>
      </c>
      <c r="K712" s="1" t="s">
        <v>34</v>
      </c>
      <c r="L712" s="1">
        <v>3592571</v>
      </c>
      <c r="M712" s="2">
        <v>43376</v>
      </c>
      <c r="N712" s="1" t="s">
        <v>8</v>
      </c>
      <c r="O712" s="2">
        <v>44471</v>
      </c>
    </row>
    <row r="713" spans="1:15" ht="43.2" x14ac:dyDescent="0.3">
      <c r="A713" s="1" t="s">
        <v>31818</v>
      </c>
      <c r="B713" s="1" t="str">
        <f>"Monmouthshire County Council"</f>
        <v>Monmouthshire County Council</v>
      </c>
      <c r="C713" s="1" t="s">
        <v>344</v>
      </c>
      <c r="D713" s="1" t="s">
        <v>2065</v>
      </c>
      <c r="F713" s="1" t="s">
        <v>123</v>
      </c>
      <c r="H713" s="1" t="s">
        <v>31663</v>
      </c>
      <c r="I713" s="1" t="s">
        <v>188</v>
      </c>
      <c r="J713" s="1" t="s">
        <v>67</v>
      </c>
      <c r="K713" s="1" t="s">
        <v>34</v>
      </c>
      <c r="M713" s="2">
        <v>43376</v>
      </c>
      <c r="N713" s="1" t="s">
        <v>8</v>
      </c>
      <c r="O713" s="1" t="s">
        <v>68</v>
      </c>
    </row>
    <row r="714" spans="1:15" x14ac:dyDescent="0.3">
      <c r="A714" s="1" t="s">
        <v>31819</v>
      </c>
      <c r="B714" s="1" t="str">
        <f>"Chris Phelps"</f>
        <v>Chris Phelps</v>
      </c>
      <c r="C714" s="1" t="s">
        <v>31820</v>
      </c>
      <c r="D714" s="1" t="s">
        <v>31821</v>
      </c>
      <c r="E714" s="1" t="s">
        <v>31822</v>
      </c>
      <c r="F714" s="1" t="s">
        <v>230</v>
      </c>
      <c r="G714" s="1" t="s">
        <v>231</v>
      </c>
      <c r="H714" s="1" t="s">
        <v>3393</v>
      </c>
      <c r="I714" s="1" t="s">
        <v>5</v>
      </c>
      <c r="J714" s="1" t="s">
        <v>6</v>
      </c>
      <c r="K714" s="1" t="s">
        <v>24</v>
      </c>
      <c r="M714" s="2">
        <v>43376</v>
      </c>
      <c r="N714" s="1" t="s">
        <v>8</v>
      </c>
      <c r="O714" s="2">
        <v>44471</v>
      </c>
    </row>
    <row r="715" spans="1:15" ht="43.2" x14ac:dyDescent="0.3">
      <c r="A715" s="1" t="s">
        <v>32854</v>
      </c>
      <c r="B715" s="1" t="str">
        <f>"Miles Egford"</f>
        <v>Miles Egford</v>
      </c>
      <c r="C715" s="1" t="s">
        <v>32855</v>
      </c>
      <c r="D715" s="1" t="s">
        <v>32856</v>
      </c>
      <c r="F715" s="1" t="s">
        <v>1058</v>
      </c>
      <c r="G715" s="1" t="s">
        <v>231</v>
      </c>
      <c r="H715" s="1" t="s">
        <v>32857</v>
      </c>
      <c r="I715" s="1" t="s">
        <v>5</v>
      </c>
      <c r="J715" s="1" t="s">
        <v>67</v>
      </c>
      <c r="K715" s="1" t="s">
        <v>24</v>
      </c>
      <c r="M715" s="2">
        <v>43375</v>
      </c>
      <c r="N715" s="1" t="s">
        <v>8</v>
      </c>
      <c r="O715" s="1" t="s">
        <v>68</v>
      </c>
    </row>
    <row r="716" spans="1:15" ht="43.2" x14ac:dyDescent="0.3">
      <c r="A716" s="1" t="s">
        <v>32858</v>
      </c>
      <c r="B716" s="1" t="str">
        <f>"Peter Maggs"</f>
        <v>Peter Maggs</v>
      </c>
      <c r="C716" s="1" t="s">
        <v>32859</v>
      </c>
      <c r="D716" s="1" t="s">
        <v>32860</v>
      </c>
      <c r="F716" s="1" t="s">
        <v>243</v>
      </c>
      <c r="G716" s="1" t="s">
        <v>231</v>
      </c>
      <c r="H716" s="1" t="s">
        <v>32861</v>
      </c>
      <c r="I716" s="1" t="s">
        <v>5</v>
      </c>
      <c r="J716" s="1" t="s">
        <v>67</v>
      </c>
      <c r="K716" s="1" t="s">
        <v>24</v>
      </c>
      <c r="M716" s="2">
        <v>43375</v>
      </c>
      <c r="N716" s="1" t="s">
        <v>8</v>
      </c>
      <c r="O716" s="1" t="s">
        <v>68</v>
      </c>
    </row>
    <row r="717" spans="1:15" ht="43.2" x14ac:dyDescent="0.3">
      <c r="A717" s="1" t="s">
        <v>32862</v>
      </c>
      <c r="B717" s="1" t="str">
        <f>"Box of Delights"</f>
        <v>Box of Delights</v>
      </c>
      <c r="C717" s="1" t="s">
        <v>32863</v>
      </c>
      <c r="D717" s="1" t="s">
        <v>32864</v>
      </c>
      <c r="F717" s="1" t="s">
        <v>3081</v>
      </c>
      <c r="G717" s="1" t="s">
        <v>654</v>
      </c>
      <c r="H717" s="1" t="s">
        <v>32865</v>
      </c>
      <c r="I717" s="1" t="s">
        <v>125</v>
      </c>
      <c r="J717" s="1" t="s">
        <v>67</v>
      </c>
      <c r="K717" s="1" t="s">
        <v>24</v>
      </c>
      <c r="M717" s="2">
        <v>43375</v>
      </c>
      <c r="N717" s="1" t="s">
        <v>8</v>
      </c>
      <c r="O717" s="1" t="s">
        <v>68</v>
      </c>
    </row>
    <row r="718" spans="1:15" ht="57.6" x14ac:dyDescent="0.3">
      <c r="A718" s="1" t="s">
        <v>2485</v>
      </c>
      <c r="B718" s="1" t="str">
        <f>"Kristian Howells K Howells Plumming and Heating Installations LTD"</f>
        <v>Kristian Howells K Howells Plumming and Heating Installations LTD</v>
      </c>
      <c r="C718" s="1" t="s">
        <v>2486</v>
      </c>
      <c r="D718" s="1" t="s">
        <v>2487</v>
      </c>
      <c r="E718" s="1" t="s">
        <v>2488</v>
      </c>
      <c r="F718" s="1" t="s">
        <v>2489</v>
      </c>
      <c r="G718" s="1" t="s">
        <v>141</v>
      </c>
      <c r="H718" s="1" t="s">
        <v>2490</v>
      </c>
      <c r="I718" s="1" t="s">
        <v>5</v>
      </c>
      <c r="J718" s="1" t="s">
        <v>6</v>
      </c>
      <c r="K718" s="1" t="s">
        <v>24</v>
      </c>
      <c r="M718" s="2">
        <v>43374</v>
      </c>
      <c r="N718" s="1" t="s">
        <v>8</v>
      </c>
      <c r="O718" s="2">
        <v>44469</v>
      </c>
    </row>
    <row r="719" spans="1:15" ht="43.2" x14ac:dyDescent="0.3">
      <c r="A719" s="1" t="s">
        <v>30740</v>
      </c>
      <c r="B719" s="1" t="str">
        <f>"A Way With Clutter"</f>
        <v>A Way With Clutter</v>
      </c>
      <c r="C719" s="1" t="s">
        <v>30741</v>
      </c>
      <c r="F719" s="1" t="s">
        <v>1239</v>
      </c>
      <c r="G719" s="1" t="s">
        <v>231</v>
      </c>
      <c r="H719" s="1" t="s">
        <v>27063</v>
      </c>
      <c r="I719" s="1" t="s">
        <v>125</v>
      </c>
      <c r="J719" s="1" t="s">
        <v>67</v>
      </c>
      <c r="K719" s="1" t="s">
        <v>34</v>
      </c>
      <c r="M719" s="2">
        <v>43374</v>
      </c>
      <c r="N719" s="1" t="s">
        <v>8</v>
      </c>
      <c r="O719" s="1" t="s">
        <v>68</v>
      </c>
    </row>
    <row r="720" spans="1:15" ht="28.8" x14ac:dyDescent="0.3">
      <c r="A720" s="1" t="s">
        <v>32833</v>
      </c>
      <c r="B720" s="1" t="str">
        <f>"Calibre Contracting Ltd."</f>
        <v>Calibre Contracting Ltd.</v>
      </c>
      <c r="C720" s="1" t="s">
        <v>32834</v>
      </c>
      <c r="F720" s="1" t="s">
        <v>277</v>
      </c>
      <c r="H720" s="1" t="s">
        <v>32835</v>
      </c>
      <c r="I720" s="1" t="s">
        <v>19</v>
      </c>
      <c r="J720" s="1" t="s">
        <v>6</v>
      </c>
      <c r="K720" s="1" t="s">
        <v>34</v>
      </c>
      <c r="L720" s="1">
        <v>4688108</v>
      </c>
      <c r="M720" s="2">
        <v>43374</v>
      </c>
      <c r="N720" s="1" t="s">
        <v>8</v>
      </c>
      <c r="O720" s="2">
        <v>44469</v>
      </c>
    </row>
    <row r="721" spans="1:15" ht="28.8" x14ac:dyDescent="0.3">
      <c r="A721" s="1" t="s">
        <v>32836</v>
      </c>
      <c r="B721" s="1" t="str">
        <f>"TOPSTAK LTD"</f>
        <v>TOPSTAK LTD</v>
      </c>
      <c r="C721" s="1" t="s">
        <v>32837</v>
      </c>
      <c r="D721" s="1" t="s">
        <v>14526</v>
      </c>
      <c r="F721" s="1" t="s">
        <v>786</v>
      </c>
      <c r="H721" s="1" t="s">
        <v>4030</v>
      </c>
      <c r="I721" s="1" t="s">
        <v>19</v>
      </c>
      <c r="J721" s="1" t="s">
        <v>6</v>
      </c>
      <c r="K721" s="1" t="s">
        <v>34</v>
      </c>
      <c r="L721" s="1">
        <v>3781865</v>
      </c>
      <c r="M721" s="2">
        <v>43374</v>
      </c>
      <c r="N721" s="1" t="s">
        <v>8</v>
      </c>
      <c r="O721" s="2">
        <v>44469</v>
      </c>
    </row>
    <row r="722" spans="1:15" ht="28.8" x14ac:dyDescent="0.3">
      <c r="A722" s="1" t="s">
        <v>32838</v>
      </c>
      <c r="B722" s="1" t="str">
        <f>"Total Ground Care Ltd"</f>
        <v>Total Ground Care Ltd</v>
      </c>
      <c r="C722" s="1" t="s">
        <v>32839</v>
      </c>
      <c r="D722" s="1" t="s">
        <v>32840</v>
      </c>
      <c r="F722" s="1" t="s">
        <v>1351</v>
      </c>
      <c r="G722" s="1" t="s">
        <v>6536</v>
      </c>
      <c r="H722" s="1" t="s">
        <v>32841</v>
      </c>
      <c r="I722" s="1" t="s">
        <v>19</v>
      </c>
      <c r="J722" s="1" t="s">
        <v>6</v>
      </c>
      <c r="K722" s="1" t="s">
        <v>34</v>
      </c>
      <c r="L722" s="1">
        <v>4392695</v>
      </c>
      <c r="M722" s="2">
        <v>43374</v>
      </c>
      <c r="N722" s="1" t="s">
        <v>8</v>
      </c>
      <c r="O722" s="2">
        <v>44469</v>
      </c>
    </row>
    <row r="723" spans="1:15" ht="43.2" x14ac:dyDescent="0.3">
      <c r="A723" s="1" t="s">
        <v>32842</v>
      </c>
      <c r="B723" s="1" t="str">
        <f>"Energist Ltd"</f>
        <v>Energist Ltd</v>
      </c>
      <c r="C723" s="1" t="s">
        <v>32843</v>
      </c>
      <c r="D723" s="1" t="s">
        <v>32844</v>
      </c>
      <c r="E723" s="1" t="s">
        <v>258</v>
      </c>
      <c r="F723" s="1" t="s">
        <v>64</v>
      </c>
      <c r="G723" s="1" t="s">
        <v>65</v>
      </c>
      <c r="H723" s="1" t="s">
        <v>32845</v>
      </c>
      <c r="I723" s="1" t="s">
        <v>19</v>
      </c>
      <c r="J723" s="1" t="s">
        <v>67</v>
      </c>
      <c r="K723" s="1" t="s">
        <v>24</v>
      </c>
      <c r="L723" s="1">
        <v>4838458</v>
      </c>
      <c r="M723" s="2">
        <v>43374</v>
      </c>
      <c r="N723" s="1" t="s">
        <v>8</v>
      </c>
      <c r="O723" s="1" t="s">
        <v>68</v>
      </c>
    </row>
    <row r="724" spans="1:15" ht="43.2" x14ac:dyDescent="0.3">
      <c r="A724" s="1" t="s">
        <v>32846</v>
      </c>
      <c r="B724" s="1" t="str">
        <f>"Gavin Jacob"</f>
        <v>Gavin Jacob</v>
      </c>
      <c r="C724" s="1" t="s">
        <v>32847</v>
      </c>
      <c r="D724" s="1" t="s">
        <v>32848</v>
      </c>
      <c r="F724" s="1" t="s">
        <v>3242</v>
      </c>
      <c r="G724" s="1" t="s">
        <v>359</v>
      </c>
      <c r="H724" s="1" t="s">
        <v>8888</v>
      </c>
      <c r="I724" s="1" t="s">
        <v>5</v>
      </c>
      <c r="J724" s="1" t="s">
        <v>67</v>
      </c>
      <c r="K724" s="1" t="s">
        <v>24</v>
      </c>
      <c r="M724" s="2">
        <v>43374</v>
      </c>
      <c r="N724" s="1" t="s">
        <v>8</v>
      </c>
      <c r="O724" s="1" t="s">
        <v>68</v>
      </c>
    </row>
    <row r="725" spans="1:15" ht="43.2" x14ac:dyDescent="0.3">
      <c r="A725" s="1" t="s">
        <v>32849</v>
      </c>
      <c r="B725" s="1" t="str">
        <f>"Leanne Williams"</f>
        <v>Leanne Williams</v>
      </c>
      <c r="C725" s="1" t="s">
        <v>32850</v>
      </c>
      <c r="D725" s="1" t="s">
        <v>32851</v>
      </c>
      <c r="E725" s="1" t="s">
        <v>32852</v>
      </c>
      <c r="F725" s="1" t="s">
        <v>2459</v>
      </c>
      <c r="G725" s="1" t="s">
        <v>162</v>
      </c>
      <c r="H725" s="1" t="s">
        <v>32853</v>
      </c>
      <c r="I725" s="1" t="s">
        <v>5</v>
      </c>
      <c r="J725" s="1" t="s">
        <v>67</v>
      </c>
      <c r="K725" s="1" t="s">
        <v>24</v>
      </c>
      <c r="M725" s="2">
        <v>43374</v>
      </c>
      <c r="N725" s="1" t="s">
        <v>8</v>
      </c>
      <c r="O725" s="1" t="s">
        <v>68</v>
      </c>
    </row>
    <row r="726" spans="1:15" ht="28.8" x14ac:dyDescent="0.3">
      <c r="A726" s="1" t="s">
        <v>31805</v>
      </c>
      <c r="B726" s="1" t="str">
        <f>"Paul Roberts Paul A Roberts Plumbing"</f>
        <v>Paul Roberts Paul A Roberts Plumbing</v>
      </c>
      <c r="C726" s="1" t="s">
        <v>31806</v>
      </c>
      <c r="D726" s="1" t="s">
        <v>7222</v>
      </c>
      <c r="F726" s="1" t="s">
        <v>359</v>
      </c>
      <c r="G726" s="1" t="s">
        <v>359</v>
      </c>
      <c r="H726" s="1" t="s">
        <v>31807</v>
      </c>
      <c r="I726" s="1" t="s">
        <v>5</v>
      </c>
      <c r="J726" s="1" t="s">
        <v>6</v>
      </c>
      <c r="K726" s="1" t="s">
        <v>34</v>
      </c>
      <c r="M726" s="2">
        <v>43373</v>
      </c>
      <c r="N726" s="1" t="s">
        <v>8</v>
      </c>
      <c r="O726" s="2">
        <v>44468</v>
      </c>
    </row>
    <row r="727" spans="1:15" ht="28.8" x14ac:dyDescent="0.3">
      <c r="A727" s="1" t="s">
        <v>31808</v>
      </c>
      <c r="B727" s="1" t="str">
        <f>"BRAYBROOKE CONSTRUCTION LTD"</f>
        <v>BRAYBROOKE CONSTRUCTION LTD</v>
      </c>
      <c r="C727" s="1" t="s">
        <v>31809</v>
      </c>
      <c r="D727" s="1" t="s">
        <v>31810</v>
      </c>
      <c r="F727" s="1" t="s">
        <v>1511</v>
      </c>
      <c r="H727" s="1" t="s">
        <v>31811</v>
      </c>
      <c r="I727" s="1" t="s">
        <v>19</v>
      </c>
      <c r="J727" s="1" t="s">
        <v>6</v>
      </c>
      <c r="K727" s="1" t="s">
        <v>24</v>
      </c>
      <c r="L727" s="1">
        <v>4884710</v>
      </c>
      <c r="M727" s="2">
        <v>43373</v>
      </c>
      <c r="N727" s="1" t="s">
        <v>8</v>
      </c>
      <c r="O727" s="2">
        <v>44468</v>
      </c>
    </row>
    <row r="728" spans="1:15" ht="43.2" x14ac:dyDescent="0.3">
      <c r="A728" s="1" t="s">
        <v>30737</v>
      </c>
      <c r="B728" s="1" t="str">
        <f>"Ryan paul Evans"</f>
        <v>Ryan paul Evans</v>
      </c>
      <c r="C728" s="1" t="s">
        <v>30738</v>
      </c>
      <c r="D728" s="1" t="s">
        <v>1264</v>
      </c>
      <c r="F728" s="1" t="s">
        <v>556</v>
      </c>
      <c r="G728" s="1" t="s">
        <v>556</v>
      </c>
      <c r="H728" s="1" t="s">
        <v>30739</v>
      </c>
      <c r="I728" s="1" t="s">
        <v>5</v>
      </c>
      <c r="J728" s="1" t="s">
        <v>67</v>
      </c>
      <c r="K728" s="1" t="s">
        <v>34</v>
      </c>
      <c r="M728" s="2">
        <v>43371</v>
      </c>
      <c r="N728" s="1" t="s">
        <v>8</v>
      </c>
      <c r="O728" s="1" t="s">
        <v>68</v>
      </c>
    </row>
    <row r="729" spans="1:15" ht="28.8" x14ac:dyDescent="0.3">
      <c r="A729" s="1" t="s">
        <v>32820</v>
      </c>
      <c r="B729" s="1" t="str">
        <f>"Lanes of Abergavenny"</f>
        <v>Lanes of Abergavenny</v>
      </c>
      <c r="C729" s="1" t="s">
        <v>11236</v>
      </c>
      <c r="F729" s="1" t="s">
        <v>230</v>
      </c>
      <c r="H729" s="1" t="s">
        <v>3393</v>
      </c>
      <c r="I729" s="1" t="s">
        <v>19</v>
      </c>
      <c r="J729" s="1" t="s">
        <v>6</v>
      </c>
      <c r="K729" s="1" t="s">
        <v>34</v>
      </c>
      <c r="L729" s="1">
        <v>7928809</v>
      </c>
      <c r="M729" s="2">
        <v>43371</v>
      </c>
      <c r="N729" s="1" t="s">
        <v>8</v>
      </c>
      <c r="O729" s="2">
        <v>44466</v>
      </c>
    </row>
    <row r="730" spans="1:15" x14ac:dyDescent="0.3">
      <c r="A730" s="1" t="s">
        <v>32821</v>
      </c>
      <c r="B730" s="1" t="str">
        <f>"Tai Ceredigion"</f>
        <v>Tai Ceredigion</v>
      </c>
      <c r="C730" s="1" t="s">
        <v>377</v>
      </c>
      <c r="D730" s="1" t="s">
        <v>32822</v>
      </c>
      <c r="E730" s="1" t="s">
        <v>32823</v>
      </c>
      <c r="F730" s="1" t="s">
        <v>1385</v>
      </c>
      <c r="G730" s="1" t="s">
        <v>1983</v>
      </c>
      <c r="H730" s="1" t="s">
        <v>31162</v>
      </c>
      <c r="I730" s="1" t="s">
        <v>125</v>
      </c>
      <c r="J730" s="1" t="s">
        <v>6</v>
      </c>
      <c r="K730" s="1" t="s">
        <v>24</v>
      </c>
      <c r="M730" s="2">
        <v>43371</v>
      </c>
      <c r="N730" s="1" t="s">
        <v>8</v>
      </c>
      <c r="O730" s="2">
        <v>44466</v>
      </c>
    </row>
    <row r="731" spans="1:15" ht="43.2" x14ac:dyDescent="0.3">
      <c r="A731" s="1" t="s">
        <v>32824</v>
      </c>
      <c r="B731" s="1" t="str">
        <f>"John Collins"</f>
        <v>John Collins</v>
      </c>
      <c r="C731" s="1" t="s">
        <v>32825</v>
      </c>
      <c r="D731" s="1" t="s">
        <v>32826</v>
      </c>
      <c r="E731" s="1" t="s">
        <v>32827</v>
      </c>
      <c r="F731" s="1" t="s">
        <v>64</v>
      </c>
      <c r="G731" s="1" t="s">
        <v>65</v>
      </c>
      <c r="H731" s="1" t="s">
        <v>32828</v>
      </c>
      <c r="I731" s="1" t="s">
        <v>5</v>
      </c>
      <c r="J731" s="1" t="s">
        <v>67</v>
      </c>
      <c r="K731" s="1" t="s">
        <v>24</v>
      </c>
      <c r="M731" s="2">
        <v>43371</v>
      </c>
      <c r="N731" s="1" t="s">
        <v>8</v>
      </c>
      <c r="O731" s="1" t="s">
        <v>68</v>
      </c>
    </row>
    <row r="732" spans="1:15" ht="43.2" x14ac:dyDescent="0.3">
      <c r="A732" s="1" t="s">
        <v>32829</v>
      </c>
      <c r="B732" s="1" t="str">
        <f>"Joe Sivers"</f>
        <v>Joe Sivers</v>
      </c>
      <c r="C732" s="1" t="s">
        <v>32830</v>
      </c>
      <c r="D732" s="1" t="s">
        <v>32831</v>
      </c>
      <c r="F732" s="1" t="s">
        <v>798</v>
      </c>
      <c r="G732" s="1" t="s">
        <v>162</v>
      </c>
      <c r="H732" s="1" t="s">
        <v>32832</v>
      </c>
      <c r="I732" s="1" t="s">
        <v>5</v>
      </c>
      <c r="J732" s="1" t="s">
        <v>67</v>
      </c>
      <c r="K732" s="1" t="s">
        <v>24</v>
      </c>
      <c r="M732" s="2">
        <v>43371</v>
      </c>
      <c r="N732" s="1" t="s">
        <v>8</v>
      </c>
      <c r="O732" s="1" t="s">
        <v>68</v>
      </c>
    </row>
    <row r="733" spans="1:15" ht="43.2" x14ac:dyDescent="0.3">
      <c r="A733" s="1" t="s">
        <v>2475</v>
      </c>
      <c r="B733" s="1" t="str">
        <f>"CCR Services"</f>
        <v>CCR Services</v>
      </c>
      <c r="C733" s="1" t="s">
        <v>1994</v>
      </c>
      <c r="D733" s="1" t="s">
        <v>1995</v>
      </c>
      <c r="E733" s="1" t="s">
        <v>896</v>
      </c>
      <c r="F733" s="1" t="s">
        <v>897</v>
      </c>
      <c r="G733" s="1" t="s">
        <v>73</v>
      </c>
      <c r="H733" s="1" t="s">
        <v>898</v>
      </c>
      <c r="I733" s="1" t="s">
        <v>19</v>
      </c>
      <c r="J733" s="1" t="s">
        <v>67</v>
      </c>
      <c r="K733" s="1" t="s">
        <v>24</v>
      </c>
      <c r="L733" s="1">
        <v>4707145</v>
      </c>
      <c r="M733" s="2">
        <v>43370</v>
      </c>
      <c r="N733" s="1" t="s">
        <v>8</v>
      </c>
      <c r="O733" s="1" t="s">
        <v>68</v>
      </c>
    </row>
    <row r="734" spans="1:15" ht="28.8" x14ac:dyDescent="0.3">
      <c r="A734" s="1" t="s">
        <v>2453</v>
      </c>
      <c r="B734" s="1" t="str">
        <f>"Mohammad Ali"</f>
        <v>Mohammad Ali</v>
      </c>
      <c r="C734" s="1" t="s">
        <v>2454</v>
      </c>
      <c r="F734" s="1" t="s">
        <v>123</v>
      </c>
      <c r="G734" s="1" t="s">
        <v>27</v>
      </c>
      <c r="H734" s="1" t="s">
        <v>2455</v>
      </c>
      <c r="I734" s="1" t="s">
        <v>5</v>
      </c>
      <c r="J734" s="1" t="s">
        <v>6</v>
      </c>
      <c r="K734" s="1" t="s">
        <v>34</v>
      </c>
      <c r="M734" s="2">
        <v>43369</v>
      </c>
      <c r="N734" s="1" t="s">
        <v>8</v>
      </c>
      <c r="O734" s="2">
        <v>44464</v>
      </c>
    </row>
    <row r="735" spans="1:15" ht="43.2" x14ac:dyDescent="0.3">
      <c r="A735" s="1" t="s">
        <v>2456</v>
      </c>
      <c r="B735" s="1" t="str">
        <f>"Adrian Webb"</f>
        <v>Adrian Webb</v>
      </c>
      <c r="C735" s="1" t="s">
        <v>2457</v>
      </c>
      <c r="D735" s="1" t="s">
        <v>2458</v>
      </c>
      <c r="F735" s="1" t="s">
        <v>2459</v>
      </c>
      <c r="G735" s="1" t="s">
        <v>162</v>
      </c>
      <c r="H735" s="1" t="s">
        <v>2460</v>
      </c>
      <c r="I735" s="1" t="s">
        <v>5</v>
      </c>
      <c r="J735" s="1" t="s">
        <v>67</v>
      </c>
      <c r="K735" s="1" t="s">
        <v>24</v>
      </c>
      <c r="M735" s="2">
        <v>43369</v>
      </c>
      <c r="N735" s="1" t="s">
        <v>8</v>
      </c>
      <c r="O735" s="1" t="s">
        <v>68</v>
      </c>
    </row>
    <row r="736" spans="1:15" ht="43.2" x14ac:dyDescent="0.3">
      <c r="A736" s="1" t="s">
        <v>2461</v>
      </c>
      <c r="B736" s="1" t="str">
        <f>"Vantage Systems Group Ltd"</f>
        <v>Vantage Systems Group Ltd</v>
      </c>
      <c r="C736" s="1" t="s">
        <v>2462</v>
      </c>
      <c r="D736" s="1" t="s">
        <v>2463</v>
      </c>
      <c r="E736" s="1" t="s">
        <v>2464</v>
      </c>
      <c r="F736" s="1" t="s">
        <v>380</v>
      </c>
      <c r="G736" s="1" t="s">
        <v>381</v>
      </c>
      <c r="H736" s="1" t="s">
        <v>2465</v>
      </c>
      <c r="I736" s="1" t="s">
        <v>19</v>
      </c>
      <c r="J736" s="1" t="s">
        <v>67</v>
      </c>
      <c r="K736" s="1" t="s">
        <v>34</v>
      </c>
      <c r="L736" s="1">
        <v>9729055</v>
      </c>
      <c r="M736" s="2">
        <v>43369</v>
      </c>
      <c r="N736" s="1" t="s">
        <v>8</v>
      </c>
      <c r="O736" s="1" t="s">
        <v>68</v>
      </c>
    </row>
    <row r="737" spans="1:15" ht="43.2" x14ac:dyDescent="0.3">
      <c r="A737" s="1" t="s">
        <v>2466</v>
      </c>
      <c r="B737" s="1" t="str">
        <f>"Kidz castle"</f>
        <v>Kidz castle</v>
      </c>
      <c r="C737" s="1" t="s">
        <v>2467</v>
      </c>
      <c r="D737" s="1" t="s">
        <v>2468</v>
      </c>
      <c r="E737" s="1" t="s">
        <v>2469</v>
      </c>
      <c r="F737" s="1" t="s">
        <v>556</v>
      </c>
      <c r="G737" s="1" t="s">
        <v>556</v>
      </c>
      <c r="H737" s="1" t="s">
        <v>740</v>
      </c>
      <c r="I737" s="1" t="s">
        <v>19</v>
      </c>
      <c r="J737" s="1" t="s">
        <v>67</v>
      </c>
      <c r="K737" s="1" t="s">
        <v>24</v>
      </c>
      <c r="L737" s="1">
        <v>11443243</v>
      </c>
      <c r="M737" s="2">
        <v>43369</v>
      </c>
      <c r="N737" s="1" t="s">
        <v>8</v>
      </c>
      <c r="O737" s="1" t="s">
        <v>68</v>
      </c>
    </row>
    <row r="738" spans="1:15" ht="43.2" x14ac:dyDescent="0.3">
      <c r="A738" s="1" t="s">
        <v>2443</v>
      </c>
      <c r="B738" s="1" t="str">
        <f>"Avicenna Medical Centre"</f>
        <v>Avicenna Medical Centre</v>
      </c>
      <c r="C738" s="1" t="s">
        <v>2444</v>
      </c>
      <c r="D738" s="1" t="s">
        <v>1676</v>
      </c>
      <c r="F738" s="1" t="s">
        <v>1341</v>
      </c>
      <c r="H738" s="1" t="s">
        <v>2445</v>
      </c>
      <c r="I738" s="1" t="s">
        <v>125</v>
      </c>
      <c r="J738" s="1" t="s">
        <v>67</v>
      </c>
      <c r="K738" s="1" t="s">
        <v>14</v>
      </c>
      <c r="M738" s="2">
        <v>43368</v>
      </c>
      <c r="N738" s="1" t="s">
        <v>8</v>
      </c>
      <c r="O738" s="1" t="s">
        <v>68</v>
      </c>
    </row>
    <row r="739" spans="1:15" ht="43.2" x14ac:dyDescent="0.3">
      <c r="A739" s="1" t="s">
        <v>2446</v>
      </c>
      <c r="B739" s="1" t="str">
        <f>"Rebecca Rudall"</f>
        <v>Rebecca Rudall</v>
      </c>
      <c r="C739" s="1" t="s">
        <v>2447</v>
      </c>
      <c r="F739" s="1" t="s">
        <v>2066</v>
      </c>
      <c r="G739" s="1" t="s">
        <v>231</v>
      </c>
      <c r="H739" s="1" t="s">
        <v>2448</v>
      </c>
      <c r="I739" s="1" t="s">
        <v>5</v>
      </c>
      <c r="J739" s="1" t="s">
        <v>67</v>
      </c>
      <c r="K739" s="1" t="s">
        <v>14</v>
      </c>
      <c r="M739" s="2">
        <v>43368</v>
      </c>
      <c r="N739" s="1" t="s">
        <v>8</v>
      </c>
      <c r="O739" s="1" t="s">
        <v>68</v>
      </c>
    </row>
    <row r="740" spans="1:15" ht="43.2" x14ac:dyDescent="0.3">
      <c r="A740" s="1" t="s">
        <v>2449</v>
      </c>
      <c r="B740" s="1" t="str">
        <f>"Carl Lee"</f>
        <v>Carl Lee</v>
      </c>
      <c r="C740" s="1" t="s">
        <v>2450</v>
      </c>
      <c r="D740" s="1" t="s">
        <v>2451</v>
      </c>
      <c r="F740" s="1" t="s">
        <v>277</v>
      </c>
      <c r="G740" s="1" t="s">
        <v>141</v>
      </c>
      <c r="H740" s="1" t="s">
        <v>2452</v>
      </c>
      <c r="I740" s="1" t="s">
        <v>5</v>
      </c>
      <c r="J740" s="1" t="s">
        <v>67</v>
      </c>
      <c r="K740" s="1" t="s">
        <v>14</v>
      </c>
      <c r="M740" s="2">
        <v>43368</v>
      </c>
      <c r="N740" s="1" t="s">
        <v>8</v>
      </c>
      <c r="O740" s="1" t="s">
        <v>68</v>
      </c>
    </row>
    <row r="741" spans="1:15" ht="43.2" x14ac:dyDescent="0.3">
      <c r="A741" s="1" t="s">
        <v>30726</v>
      </c>
      <c r="B741" s="1" t="str">
        <f>"CPC (New Quay) LTD"</f>
        <v>CPC (New Quay) LTD</v>
      </c>
      <c r="C741" s="1" t="s">
        <v>30727</v>
      </c>
      <c r="F741" s="1" t="s">
        <v>2527</v>
      </c>
      <c r="G741" s="1" t="s">
        <v>654</v>
      </c>
      <c r="H741" s="1" t="s">
        <v>30728</v>
      </c>
      <c r="I741" s="1" t="s">
        <v>19</v>
      </c>
      <c r="J741" s="1" t="s">
        <v>67</v>
      </c>
      <c r="K741" s="1" t="s">
        <v>24</v>
      </c>
      <c r="L741" s="1">
        <v>9632159</v>
      </c>
      <c r="M741" s="2">
        <v>43367</v>
      </c>
      <c r="N741" s="1" t="s">
        <v>8</v>
      </c>
      <c r="O741" s="1" t="s">
        <v>68</v>
      </c>
    </row>
    <row r="742" spans="1:15" ht="43.2" x14ac:dyDescent="0.3">
      <c r="A742" s="1" t="s">
        <v>30729</v>
      </c>
      <c r="B742" s="1" t="str">
        <f>"M Saeed &amp; Co Limited"</f>
        <v>M Saeed &amp; Co Limited</v>
      </c>
      <c r="D742" s="1" t="s">
        <v>30730</v>
      </c>
      <c r="F742" s="1" t="s">
        <v>17453</v>
      </c>
      <c r="G742" s="1" t="s">
        <v>30731</v>
      </c>
      <c r="H742" s="1" t="s">
        <v>30732</v>
      </c>
      <c r="I742" s="1" t="s">
        <v>19</v>
      </c>
      <c r="J742" s="1" t="s">
        <v>67</v>
      </c>
      <c r="K742" s="1" t="s">
        <v>24</v>
      </c>
      <c r="L742" s="1" t="s">
        <v>30733</v>
      </c>
      <c r="M742" s="2">
        <v>43367</v>
      </c>
      <c r="N742" s="1" t="s">
        <v>8</v>
      </c>
      <c r="O742" s="1" t="s">
        <v>68</v>
      </c>
    </row>
    <row r="743" spans="1:15" x14ac:dyDescent="0.3">
      <c r="A743" s="1" t="s">
        <v>2436</v>
      </c>
      <c r="B743" s="1" t="str">
        <f>"J A hamer"</f>
        <v>J A hamer</v>
      </c>
      <c r="C743" s="1" t="s">
        <v>2437</v>
      </c>
      <c r="D743" s="1" t="s">
        <v>2438</v>
      </c>
      <c r="F743" s="1" t="s">
        <v>156</v>
      </c>
      <c r="G743" s="1" t="s">
        <v>156</v>
      </c>
      <c r="H743" s="1" t="s">
        <v>2439</v>
      </c>
      <c r="I743" s="1" t="s">
        <v>5</v>
      </c>
      <c r="J743" s="1" t="s">
        <v>6</v>
      </c>
      <c r="K743" s="1" t="s">
        <v>24</v>
      </c>
      <c r="M743" s="2">
        <v>43364</v>
      </c>
      <c r="N743" s="1" t="s">
        <v>8</v>
      </c>
      <c r="O743" s="2">
        <v>44459</v>
      </c>
    </row>
    <row r="744" spans="1:15" ht="43.2" x14ac:dyDescent="0.3">
      <c r="A744" s="1" t="s">
        <v>2440</v>
      </c>
      <c r="B744" s="1" t="str">
        <f>"Michael brian Miller"</f>
        <v>Michael brian Miller</v>
      </c>
      <c r="C744" s="1" t="s">
        <v>2441</v>
      </c>
      <c r="F744" s="1" t="s">
        <v>123</v>
      </c>
      <c r="G744" s="1" t="s">
        <v>27</v>
      </c>
      <c r="H744" s="1" t="s">
        <v>2442</v>
      </c>
      <c r="I744" s="1" t="s">
        <v>5</v>
      </c>
      <c r="J744" s="1" t="s">
        <v>67</v>
      </c>
      <c r="K744" s="1" t="s">
        <v>24</v>
      </c>
      <c r="M744" s="2">
        <v>43364</v>
      </c>
      <c r="N744" s="1" t="s">
        <v>8</v>
      </c>
      <c r="O744" s="1" t="s">
        <v>68</v>
      </c>
    </row>
    <row r="745" spans="1:15" ht="43.2" x14ac:dyDescent="0.3">
      <c r="A745" s="1" t="s">
        <v>30720</v>
      </c>
      <c r="B745" s="1" t="str">
        <f>"Barry Robinson"</f>
        <v>Barry Robinson</v>
      </c>
      <c r="C745" s="1" t="s">
        <v>30721</v>
      </c>
      <c r="D745" s="1" t="s">
        <v>2438</v>
      </c>
      <c r="F745" s="1" t="s">
        <v>156</v>
      </c>
      <c r="G745" s="1" t="s">
        <v>156</v>
      </c>
      <c r="H745" s="1" t="s">
        <v>30722</v>
      </c>
      <c r="I745" s="1" t="s">
        <v>5</v>
      </c>
      <c r="J745" s="1" t="s">
        <v>67</v>
      </c>
      <c r="K745" s="1" t="s">
        <v>14</v>
      </c>
      <c r="M745" s="2">
        <v>43363</v>
      </c>
      <c r="N745" s="1" t="s">
        <v>8</v>
      </c>
      <c r="O745" s="1" t="s">
        <v>68</v>
      </c>
    </row>
    <row r="746" spans="1:15" ht="43.2" x14ac:dyDescent="0.3">
      <c r="A746" s="1" t="s">
        <v>30723</v>
      </c>
      <c r="B746" s="1" t="str">
        <f>"Thomas Davies"</f>
        <v>Thomas Davies</v>
      </c>
      <c r="C746" s="1" t="s">
        <v>30724</v>
      </c>
      <c r="D746" s="1" t="s">
        <v>726</v>
      </c>
      <c r="F746" s="1" t="s">
        <v>2200</v>
      </c>
      <c r="G746" s="1" t="s">
        <v>51</v>
      </c>
      <c r="H746" s="1" t="s">
        <v>30725</v>
      </c>
      <c r="I746" s="1" t="s">
        <v>5</v>
      </c>
      <c r="J746" s="1" t="s">
        <v>67</v>
      </c>
      <c r="K746" s="1" t="s">
        <v>14</v>
      </c>
      <c r="M746" s="2">
        <v>43363</v>
      </c>
      <c r="N746" s="1" t="s">
        <v>8</v>
      </c>
      <c r="O746" s="1" t="s">
        <v>68</v>
      </c>
    </row>
    <row r="747" spans="1:15" ht="28.8" x14ac:dyDescent="0.3">
      <c r="A747" s="1" t="s">
        <v>31774</v>
      </c>
      <c r="B747" s="1" t="str">
        <f>"MAN COED VM LTD"</f>
        <v>MAN COED VM LTD</v>
      </c>
      <c r="C747" s="1" t="s">
        <v>31775</v>
      </c>
      <c r="D747" s="1" t="s">
        <v>959</v>
      </c>
      <c r="E747" s="1" t="s">
        <v>746</v>
      </c>
      <c r="F747" s="1" t="s">
        <v>323</v>
      </c>
      <c r="G747" s="1" t="s">
        <v>324</v>
      </c>
      <c r="H747" s="1" t="s">
        <v>960</v>
      </c>
      <c r="I747" s="1" t="s">
        <v>19</v>
      </c>
      <c r="J747" s="1" t="s">
        <v>6</v>
      </c>
      <c r="K747" s="1" t="s">
        <v>34</v>
      </c>
      <c r="L747" s="1">
        <v>9576481</v>
      </c>
      <c r="M747" s="2">
        <v>43363</v>
      </c>
      <c r="N747" s="1" t="s">
        <v>8</v>
      </c>
      <c r="O747" s="2">
        <v>44458</v>
      </c>
    </row>
    <row r="748" spans="1:15" ht="28.8" x14ac:dyDescent="0.3">
      <c r="A748" s="1" t="s">
        <v>31778</v>
      </c>
      <c r="B748" s="1" t="str">
        <f>"Richard Treuethan"</f>
        <v>Richard Treuethan</v>
      </c>
      <c r="C748" s="1" t="s">
        <v>31779</v>
      </c>
      <c r="D748" s="1" t="s">
        <v>31780</v>
      </c>
      <c r="E748" s="1" t="s">
        <v>1174</v>
      </c>
      <c r="F748" s="1" t="s">
        <v>1058</v>
      </c>
      <c r="G748" s="1" t="s">
        <v>381</v>
      </c>
      <c r="H748" s="1" t="s">
        <v>31781</v>
      </c>
      <c r="I748" s="1" t="s">
        <v>5</v>
      </c>
      <c r="J748" s="1" t="s">
        <v>6</v>
      </c>
      <c r="K748" s="1" t="s">
        <v>34</v>
      </c>
      <c r="M748" s="2">
        <v>43363</v>
      </c>
      <c r="N748" s="1" t="s">
        <v>8</v>
      </c>
      <c r="O748" s="2">
        <v>44458</v>
      </c>
    </row>
    <row r="749" spans="1:15" ht="43.2" x14ac:dyDescent="0.3">
      <c r="A749" s="1" t="s">
        <v>32816</v>
      </c>
      <c r="B749" s="1" t="str">
        <f>"Alwyn Morris-jones"</f>
        <v>Alwyn Morris-jones</v>
      </c>
      <c r="C749" s="1" t="s">
        <v>30792</v>
      </c>
      <c r="D749" s="1" t="s">
        <v>30423</v>
      </c>
      <c r="F749" s="1" t="s">
        <v>3081</v>
      </c>
      <c r="G749" s="1" t="s">
        <v>654</v>
      </c>
      <c r="H749" s="1" t="s">
        <v>30793</v>
      </c>
      <c r="I749" s="1" t="s">
        <v>5</v>
      </c>
      <c r="J749" s="1" t="s">
        <v>67</v>
      </c>
      <c r="K749" s="1" t="s">
        <v>14</v>
      </c>
      <c r="M749" s="2">
        <v>43362</v>
      </c>
      <c r="N749" s="1" t="s">
        <v>8</v>
      </c>
      <c r="O749" s="1" t="s">
        <v>68</v>
      </c>
    </row>
    <row r="750" spans="1:15" ht="43.2" x14ac:dyDescent="0.3">
      <c r="A750" s="1" t="s">
        <v>32817</v>
      </c>
      <c r="B750" s="1" t="str">
        <f>"Pedal Power"</f>
        <v>Pedal Power</v>
      </c>
      <c r="C750" s="1" t="s">
        <v>32818</v>
      </c>
      <c r="F750" s="1" t="s">
        <v>123</v>
      </c>
      <c r="H750" s="1" t="s">
        <v>32819</v>
      </c>
      <c r="I750" s="1" t="s">
        <v>125</v>
      </c>
      <c r="J750" s="1" t="s">
        <v>67</v>
      </c>
      <c r="K750" s="1" t="s">
        <v>14</v>
      </c>
      <c r="M750" s="2">
        <v>43362</v>
      </c>
      <c r="N750" s="1" t="s">
        <v>8</v>
      </c>
      <c r="O750" s="1" t="s">
        <v>68</v>
      </c>
    </row>
    <row r="751" spans="1:15" ht="28.8" x14ac:dyDescent="0.3">
      <c r="A751" s="1" t="s">
        <v>30788</v>
      </c>
      <c r="B751" s="1" t="str">
        <f>"MAC Construction + Grandworks LTD"</f>
        <v>MAC Construction + Grandworks LTD</v>
      </c>
      <c r="C751" s="1" t="s">
        <v>30789</v>
      </c>
      <c r="D751" s="1" t="s">
        <v>101</v>
      </c>
      <c r="F751" s="1" t="s">
        <v>102</v>
      </c>
      <c r="G751" s="1" t="s">
        <v>103</v>
      </c>
      <c r="H751" s="1" t="s">
        <v>30790</v>
      </c>
      <c r="I751" s="1" t="s">
        <v>19</v>
      </c>
      <c r="J751" s="1" t="s">
        <v>6</v>
      </c>
      <c r="K751" s="1" t="s">
        <v>24</v>
      </c>
      <c r="L751" s="1">
        <v>11523568</v>
      </c>
      <c r="M751" s="2">
        <v>43361</v>
      </c>
      <c r="N751" s="1" t="s">
        <v>8</v>
      </c>
      <c r="O751" s="2">
        <v>44456</v>
      </c>
    </row>
    <row r="752" spans="1:15" ht="28.8" x14ac:dyDescent="0.3">
      <c r="A752" s="1" t="s">
        <v>30791</v>
      </c>
      <c r="B752" s="1" t="str">
        <f>"Alwyn Morris-jones Mr A Morris Jones"</f>
        <v>Alwyn Morris-jones Mr A Morris Jones</v>
      </c>
      <c r="C752" s="1" t="s">
        <v>30792</v>
      </c>
      <c r="D752" s="1" t="s">
        <v>30423</v>
      </c>
      <c r="F752" s="1" t="s">
        <v>3081</v>
      </c>
      <c r="G752" s="1" t="s">
        <v>654</v>
      </c>
      <c r="H752" s="1" t="s">
        <v>30793</v>
      </c>
      <c r="I752" s="1" t="s">
        <v>5</v>
      </c>
      <c r="J752" s="1" t="s">
        <v>6</v>
      </c>
      <c r="K752" s="1" t="s">
        <v>34</v>
      </c>
      <c r="M752" s="2">
        <v>43361</v>
      </c>
      <c r="N752" s="1" t="s">
        <v>8</v>
      </c>
      <c r="O752" s="2">
        <v>44456</v>
      </c>
    </row>
    <row r="753" spans="1:15" ht="28.8" x14ac:dyDescent="0.3">
      <c r="A753" s="1" t="s">
        <v>30794</v>
      </c>
      <c r="B753" s="1" t="str">
        <f>"Philip Roberts P. Roberts Cars"</f>
        <v>Philip Roberts P. Roberts Cars</v>
      </c>
      <c r="C753" s="1" t="s">
        <v>30795</v>
      </c>
      <c r="D753" s="1" t="s">
        <v>21205</v>
      </c>
      <c r="F753" s="1" t="s">
        <v>532</v>
      </c>
      <c r="G753" s="1" t="s">
        <v>198</v>
      </c>
      <c r="H753" s="1" t="s">
        <v>21206</v>
      </c>
      <c r="I753" s="1" t="s">
        <v>5</v>
      </c>
      <c r="J753" s="1" t="s">
        <v>6</v>
      </c>
      <c r="K753" s="1" t="s">
        <v>24</v>
      </c>
      <c r="M753" s="2">
        <v>43361</v>
      </c>
      <c r="N753" s="1" t="s">
        <v>8</v>
      </c>
      <c r="O753" s="2">
        <v>44456</v>
      </c>
    </row>
    <row r="754" spans="1:15" ht="43.2" x14ac:dyDescent="0.3">
      <c r="A754" s="1" t="s">
        <v>31750</v>
      </c>
      <c r="B754" s="1" t="str">
        <f>"SPE Energy Ltd"</f>
        <v>SPE Energy Ltd</v>
      </c>
      <c r="C754" s="1" t="s">
        <v>8856</v>
      </c>
      <c r="D754" s="1" t="s">
        <v>31751</v>
      </c>
      <c r="E754" s="1" t="s">
        <v>546</v>
      </c>
      <c r="F754" s="1" t="s">
        <v>156</v>
      </c>
      <c r="H754" s="1" t="s">
        <v>8857</v>
      </c>
      <c r="I754" s="1" t="s">
        <v>19</v>
      </c>
      <c r="J754" s="1" t="s">
        <v>67</v>
      </c>
      <c r="K754" s="1" t="s">
        <v>14</v>
      </c>
      <c r="L754" s="1" t="s">
        <v>31752</v>
      </c>
      <c r="M754" s="2">
        <v>43361</v>
      </c>
      <c r="N754" s="1" t="s">
        <v>8</v>
      </c>
      <c r="O754" s="1" t="s">
        <v>68</v>
      </c>
    </row>
    <row r="755" spans="1:15" ht="43.2" x14ac:dyDescent="0.3">
      <c r="A755" s="1" t="s">
        <v>31753</v>
      </c>
      <c r="B755" s="1" t="str">
        <f>"Llwynhendy Health Centre"</f>
        <v>Llwynhendy Health Centre</v>
      </c>
      <c r="C755" s="1" t="s">
        <v>31754</v>
      </c>
      <c r="D755" s="1" t="s">
        <v>31755</v>
      </c>
      <c r="F755" s="1" t="s">
        <v>42</v>
      </c>
      <c r="G755" s="1" t="s">
        <v>307</v>
      </c>
      <c r="H755" s="1" t="s">
        <v>31756</v>
      </c>
      <c r="I755" s="1" t="s">
        <v>125</v>
      </c>
      <c r="J755" s="1" t="s">
        <v>67</v>
      </c>
      <c r="K755" s="1" t="s">
        <v>14</v>
      </c>
      <c r="M755" s="2">
        <v>43361</v>
      </c>
      <c r="N755" s="1" t="s">
        <v>8</v>
      </c>
      <c r="O755" s="1" t="s">
        <v>68</v>
      </c>
    </row>
    <row r="756" spans="1:15" ht="43.2" x14ac:dyDescent="0.3">
      <c r="A756" s="1" t="s">
        <v>31757</v>
      </c>
      <c r="B756" s="1" t="str">
        <f>"Llanilar Health Centre"</f>
        <v>Llanilar Health Centre</v>
      </c>
      <c r="C756" s="1" t="s">
        <v>31758</v>
      </c>
      <c r="D756" s="1" t="s">
        <v>31759</v>
      </c>
      <c r="F756" s="1" t="s">
        <v>37</v>
      </c>
      <c r="H756" s="1" t="s">
        <v>31760</v>
      </c>
      <c r="I756" s="1" t="s">
        <v>125</v>
      </c>
      <c r="J756" s="1" t="s">
        <v>67</v>
      </c>
      <c r="K756" s="1" t="s">
        <v>14</v>
      </c>
      <c r="M756" s="2">
        <v>43361</v>
      </c>
      <c r="N756" s="1" t="s">
        <v>8</v>
      </c>
      <c r="O756" s="1" t="s">
        <v>68</v>
      </c>
    </row>
    <row r="757" spans="1:15" ht="43.2" x14ac:dyDescent="0.3">
      <c r="A757" s="1" t="s">
        <v>31761</v>
      </c>
      <c r="B757" s="1" t="str">
        <f>"Ashton Distributors Carpets LTD"</f>
        <v>Ashton Distributors Carpets LTD</v>
      </c>
      <c r="C757" s="1" t="s">
        <v>31762</v>
      </c>
      <c r="D757" s="1" t="s">
        <v>31763</v>
      </c>
      <c r="E757" s="1" t="s">
        <v>702</v>
      </c>
      <c r="F757" s="1" t="s">
        <v>64</v>
      </c>
      <c r="G757" s="1" t="s">
        <v>65</v>
      </c>
      <c r="H757" s="1" t="s">
        <v>703</v>
      </c>
      <c r="I757" s="1" t="s">
        <v>19</v>
      </c>
      <c r="J757" s="1" t="s">
        <v>67</v>
      </c>
      <c r="K757" s="1" t="s">
        <v>14</v>
      </c>
      <c r="L757" s="1">
        <v>1392694</v>
      </c>
      <c r="M757" s="2">
        <v>43361</v>
      </c>
      <c r="N757" s="1" t="s">
        <v>8</v>
      </c>
      <c r="O757" s="1" t="s">
        <v>68</v>
      </c>
    </row>
    <row r="758" spans="1:15" ht="43.2" x14ac:dyDescent="0.3">
      <c r="A758" s="1" t="s">
        <v>31764</v>
      </c>
      <c r="B758" s="1" t="str">
        <f>"Paul Bowen"</f>
        <v>Paul Bowen</v>
      </c>
      <c r="C758" s="1" t="s">
        <v>31765</v>
      </c>
      <c r="D758" s="1" t="s">
        <v>12970</v>
      </c>
      <c r="F758" s="1" t="s">
        <v>364</v>
      </c>
      <c r="G758" s="1" t="s">
        <v>103</v>
      </c>
      <c r="H758" s="1" t="s">
        <v>31766</v>
      </c>
      <c r="I758" s="1" t="s">
        <v>5</v>
      </c>
      <c r="J758" s="1" t="s">
        <v>67</v>
      </c>
      <c r="K758" s="1" t="s">
        <v>34</v>
      </c>
      <c r="M758" s="2">
        <v>43361</v>
      </c>
      <c r="N758" s="1" t="s">
        <v>8</v>
      </c>
      <c r="O758" s="1" t="s">
        <v>68</v>
      </c>
    </row>
    <row r="759" spans="1:15" ht="43.2" x14ac:dyDescent="0.3">
      <c r="A759" s="1" t="s">
        <v>31767</v>
      </c>
      <c r="B759" s="1" t="str">
        <f>"Martin Redmond"</f>
        <v>Martin Redmond</v>
      </c>
      <c r="C759" s="1" t="s">
        <v>31768</v>
      </c>
      <c r="D759" s="1" t="s">
        <v>31769</v>
      </c>
      <c r="F759" s="1" t="s">
        <v>32</v>
      </c>
      <c r="G759" s="1" t="s">
        <v>109</v>
      </c>
      <c r="H759" s="1" t="s">
        <v>31770</v>
      </c>
      <c r="I759" s="1" t="s">
        <v>5</v>
      </c>
      <c r="J759" s="1" t="s">
        <v>67</v>
      </c>
      <c r="K759" s="1" t="s">
        <v>14</v>
      </c>
      <c r="M759" s="2">
        <v>43361</v>
      </c>
      <c r="N759" s="1" t="s">
        <v>8</v>
      </c>
      <c r="O759" s="1" t="s">
        <v>68</v>
      </c>
    </row>
    <row r="760" spans="1:15" ht="43.2" x14ac:dyDescent="0.3">
      <c r="A760" s="1" t="s">
        <v>31771</v>
      </c>
      <c r="B760" s="1" t="str">
        <f>"Grosvenor Aptec Ltd "</f>
        <v xml:space="preserve">Grosvenor Aptec Ltd </v>
      </c>
      <c r="C760" s="1" t="s">
        <v>31772</v>
      </c>
      <c r="D760" s="1" t="s">
        <v>31773</v>
      </c>
      <c r="F760" s="1" t="s">
        <v>198</v>
      </c>
      <c r="H760" s="1" t="s">
        <v>5522</v>
      </c>
      <c r="I760" s="1" t="s">
        <v>19</v>
      </c>
      <c r="J760" s="1" t="s">
        <v>67</v>
      </c>
      <c r="K760" s="1" t="s">
        <v>14</v>
      </c>
      <c r="L760" s="1">
        <v>2765275</v>
      </c>
      <c r="M760" s="2">
        <v>43361</v>
      </c>
      <c r="N760" s="1" t="s">
        <v>8</v>
      </c>
      <c r="O760" s="1" t="s">
        <v>68</v>
      </c>
    </row>
    <row r="761" spans="1:15" ht="28.8" x14ac:dyDescent="0.3">
      <c r="A761" s="1" t="s">
        <v>2426</v>
      </c>
      <c r="B761" s="1" t="str">
        <f>"Stephen Alderman"</f>
        <v>Stephen Alderman</v>
      </c>
      <c r="C761" s="1" t="s">
        <v>2427</v>
      </c>
      <c r="F761" s="1" t="s">
        <v>123</v>
      </c>
      <c r="G761" s="1" t="s">
        <v>27</v>
      </c>
      <c r="H761" s="1" t="s">
        <v>2428</v>
      </c>
      <c r="I761" s="1" t="s">
        <v>5</v>
      </c>
      <c r="J761" s="1" t="s">
        <v>6</v>
      </c>
      <c r="K761" s="1" t="s">
        <v>34</v>
      </c>
      <c r="M761" s="2">
        <v>43360</v>
      </c>
      <c r="N761" s="1" t="s">
        <v>8</v>
      </c>
      <c r="O761" s="2">
        <v>44455</v>
      </c>
    </row>
    <row r="762" spans="1:15" ht="28.8" x14ac:dyDescent="0.3">
      <c r="A762" s="1" t="s">
        <v>2429</v>
      </c>
      <c r="B762" s="1" t="str">
        <f>"Riverside Skips Limited"</f>
        <v>Riverside Skips Limited</v>
      </c>
      <c r="C762" s="1" t="s">
        <v>2430</v>
      </c>
      <c r="D762" s="1" t="s">
        <v>2431</v>
      </c>
      <c r="E762" s="1" t="s">
        <v>2432</v>
      </c>
      <c r="F762" s="1" t="s">
        <v>2433</v>
      </c>
      <c r="G762" s="1" t="s">
        <v>2434</v>
      </c>
      <c r="H762" s="1" t="s">
        <v>2435</v>
      </c>
      <c r="I762" s="1" t="s">
        <v>19</v>
      </c>
      <c r="J762" s="1" t="s">
        <v>6</v>
      </c>
      <c r="K762" s="1" t="s">
        <v>34</v>
      </c>
      <c r="L762" s="1">
        <v>11426990</v>
      </c>
      <c r="M762" s="2">
        <v>43360</v>
      </c>
      <c r="N762" s="1" t="s">
        <v>8</v>
      </c>
      <c r="O762" s="2">
        <v>44455</v>
      </c>
    </row>
    <row r="763" spans="1:15" ht="43.2" x14ac:dyDescent="0.3">
      <c r="A763" s="1" t="s">
        <v>30661</v>
      </c>
      <c r="B763" s="1" t="str">
        <f>"Brynderwen Surgery"</f>
        <v>Brynderwen Surgery</v>
      </c>
      <c r="C763" s="1" t="s">
        <v>30662</v>
      </c>
      <c r="D763" s="1" t="s">
        <v>30663</v>
      </c>
      <c r="E763" s="1" t="s">
        <v>10372</v>
      </c>
      <c r="F763" s="1" t="s">
        <v>27</v>
      </c>
      <c r="H763" s="1" t="s">
        <v>5190</v>
      </c>
      <c r="I763" s="1" t="s">
        <v>125</v>
      </c>
      <c r="J763" s="1" t="s">
        <v>67</v>
      </c>
      <c r="K763" s="1" t="s">
        <v>14</v>
      </c>
      <c r="M763" s="2">
        <v>43360</v>
      </c>
      <c r="N763" s="1" t="s">
        <v>8</v>
      </c>
      <c r="O763" s="1" t="s">
        <v>68</v>
      </c>
    </row>
    <row r="764" spans="1:15" ht="28.8" x14ac:dyDescent="0.3">
      <c r="A764" s="1" t="s">
        <v>30667</v>
      </c>
      <c r="B764" s="1" t="str">
        <f>"Mark Eggerton Mark Eggerton"</f>
        <v>Mark Eggerton Mark Eggerton</v>
      </c>
      <c r="C764" s="1" t="s">
        <v>30668</v>
      </c>
      <c r="D764" s="1" t="s">
        <v>2551</v>
      </c>
      <c r="F764" s="1" t="s">
        <v>798</v>
      </c>
      <c r="G764" s="1" t="s">
        <v>162</v>
      </c>
      <c r="H764" s="1" t="s">
        <v>30669</v>
      </c>
      <c r="I764" s="1" t="s">
        <v>5</v>
      </c>
      <c r="J764" s="1" t="s">
        <v>6</v>
      </c>
      <c r="K764" s="1" t="s">
        <v>34</v>
      </c>
      <c r="M764" s="2">
        <v>43360</v>
      </c>
      <c r="N764" s="1" t="s">
        <v>8</v>
      </c>
      <c r="O764" s="2">
        <v>44455</v>
      </c>
    </row>
    <row r="765" spans="1:15" x14ac:dyDescent="0.3">
      <c r="A765" s="1" t="s">
        <v>30700</v>
      </c>
      <c r="B765" s="1" t="str">
        <f>"BL Construction"</f>
        <v>BL Construction</v>
      </c>
      <c r="C765" s="1" t="s">
        <v>30701</v>
      </c>
      <c r="D765" s="1" t="s">
        <v>5030</v>
      </c>
      <c r="F765" s="1" t="s">
        <v>324</v>
      </c>
      <c r="H765" s="1" t="s">
        <v>4508</v>
      </c>
      <c r="I765" s="1" t="s">
        <v>19</v>
      </c>
      <c r="J765" s="1" t="s">
        <v>6</v>
      </c>
      <c r="K765" s="1" t="s">
        <v>14</v>
      </c>
      <c r="L765" s="1">
        <v>10689418</v>
      </c>
      <c r="M765" s="2">
        <v>43360</v>
      </c>
      <c r="N765" s="1" t="s">
        <v>8</v>
      </c>
      <c r="O765" s="2">
        <v>44455</v>
      </c>
    </row>
    <row r="766" spans="1:15" ht="43.2" x14ac:dyDescent="0.3">
      <c r="A766" s="1" t="s">
        <v>30705</v>
      </c>
      <c r="B766" s="1" t="str">
        <f>"Michael Scott"</f>
        <v>Michael Scott</v>
      </c>
      <c r="C766" s="1" t="s">
        <v>30706</v>
      </c>
      <c r="F766" s="1" t="s">
        <v>2152</v>
      </c>
      <c r="G766" s="1" t="s">
        <v>211</v>
      </c>
      <c r="H766" s="1" t="s">
        <v>30707</v>
      </c>
      <c r="I766" s="1" t="s">
        <v>5</v>
      </c>
      <c r="J766" s="1" t="s">
        <v>67</v>
      </c>
      <c r="K766" s="1" t="s">
        <v>14</v>
      </c>
      <c r="M766" s="2">
        <v>43360</v>
      </c>
      <c r="N766" s="1" t="s">
        <v>8</v>
      </c>
      <c r="O766" s="1" t="s">
        <v>68</v>
      </c>
    </row>
    <row r="767" spans="1:15" ht="43.2" x14ac:dyDescent="0.3">
      <c r="A767" s="1" t="s">
        <v>30708</v>
      </c>
      <c r="B767" s="1" t="str">
        <f>"CAMPBELL GRINDLAY ENGINEERING LTD"</f>
        <v>CAMPBELL GRINDLAY ENGINEERING LTD</v>
      </c>
      <c r="C767" s="1" t="s">
        <v>30709</v>
      </c>
      <c r="F767" s="1" t="s">
        <v>678</v>
      </c>
      <c r="H767" s="1" t="s">
        <v>30710</v>
      </c>
      <c r="I767" s="1" t="s">
        <v>19</v>
      </c>
      <c r="J767" s="1" t="s">
        <v>67</v>
      </c>
      <c r="K767" s="1" t="s">
        <v>14</v>
      </c>
      <c r="L767" s="1">
        <v>5630228</v>
      </c>
      <c r="M767" s="2">
        <v>43360</v>
      </c>
      <c r="N767" s="1" t="s">
        <v>8</v>
      </c>
      <c r="O767" s="1" t="s">
        <v>68</v>
      </c>
    </row>
    <row r="768" spans="1:15" ht="43.2" x14ac:dyDescent="0.3">
      <c r="A768" s="1" t="s">
        <v>30711</v>
      </c>
      <c r="B768" s="1" t="str">
        <f>"Four Seasons Garden Services"</f>
        <v>Four Seasons Garden Services</v>
      </c>
      <c r="C768" s="1" t="s">
        <v>30712</v>
      </c>
      <c r="D768" s="1" t="s">
        <v>30713</v>
      </c>
      <c r="F768" s="1" t="s">
        <v>64</v>
      </c>
      <c r="G768" s="1" t="s">
        <v>65</v>
      </c>
      <c r="H768" s="1" t="s">
        <v>30714</v>
      </c>
      <c r="I768" s="1" t="s">
        <v>19</v>
      </c>
      <c r="J768" s="1" t="s">
        <v>67</v>
      </c>
      <c r="K768" s="1" t="s">
        <v>14</v>
      </c>
      <c r="L768" s="1">
        <v>10364193</v>
      </c>
      <c r="M768" s="2">
        <v>43360</v>
      </c>
      <c r="N768" s="1" t="s">
        <v>8</v>
      </c>
      <c r="O768" s="1" t="s">
        <v>68</v>
      </c>
    </row>
    <row r="769" spans="1:15" ht="28.8" x14ac:dyDescent="0.3">
      <c r="A769" s="1" t="s">
        <v>30784</v>
      </c>
      <c r="B769" s="1" t="str">
        <f>"Solo Service Group Ltd"</f>
        <v>Solo Service Group Ltd</v>
      </c>
      <c r="C769" s="1" t="s">
        <v>30785</v>
      </c>
      <c r="D769" s="1" t="s">
        <v>30786</v>
      </c>
      <c r="E769" s="1" t="s">
        <v>30787</v>
      </c>
      <c r="F769" s="1" t="s">
        <v>64</v>
      </c>
      <c r="G769" s="1" t="s">
        <v>65</v>
      </c>
      <c r="H769" s="1" t="s">
        <v>1215</v>
      </c>
      <c r="I769" s="1" t="s">
        <v>19</v>
      </c>
      <c r="J769" s="1" t="s">
        <v>6</v>
      </c>
      <c r="K769" s="1" t="s">
        <v>34</v>
      </c>
      <c r="L769" s="1">
        <v>2626708</v>
      </c>
      <c r="M769" s="2">
        <v>43360</v>
      </c>
      <c r="N769" s="1" t="s">
        <v>8</v>
      </c>
      <c r="O769" s="2">
        <v>44455</v>
      </c>
    </row>
    <row r="770" spans="1:15" ht="28.8" x14ac:dyDescent="0.3">
      <c r="A770" s="1" t="s">
        <v>31744</v>
      </c>
      <c r="B770" s="1" t="str">
        <f>"Atlantic Property &amp; Marine Ltd"</f>
        <v>Atlantic Property &amp; Marine Ltd</v>
      </c>
      <c r="C770" s="1" t="s">
        <v>31745</v>
      </c>
      <c r="D770" s="1" t="s">
        <v>8931</v>
      </c>
      <c r="F770" s="1" t="s">
        <v>64</v>
      </c>
      <c r="G770" s="1" t="s">
        <v>65</v>
      </c>
      <c r="H770" s="1" t="s">
        <v>31746</v>
      </c>
      <c r="I770" s="1" t="s">
        <v>19</v>
      </c>
      <c r="J770" s="1" t="s">
        <v>6</v>
      </c>
      <c r="K770" s="1" t="s">
        <v>24</v>
      </c>
      <c r="L770" s="1">
        <v>8833986</v>
      </c>
      <c r="M770" s="2">
        <v>43360</v>
      </c>
      <c r="N770" s="1" t="s">
        <v>8</v>
      </c>
      <c r="O770" s="2">
        <v>44455</v>
      </c>
    </row>
    <row r="771" spans="1:15" ht="28.8" x14ac:dyDescent="0.3">
      <c r="A771" s="1" t="s">
        <v>32811</v>
      </c>
      <c r="B771" s="1" t="str">
        <f>"Cloke Heating Solutions Ltd"</f>
        <v>Cloke Heating Solutions Ltd</v>
      </c>
      <c r="C771" s="1" t="s">
        <v>32812</v>
      </c>
      <c r="D771" s="1" t="s">
        <v>27558</v>
      </c>
      <c r="F771" s="1" t="s">
        <v>556</v>
      </c>
      <c r="G771" s="1" t="s">
        <v>556</v>
      </c>
      <c r="H771" s="1" t="s">
        <v>32813</v>
      </c>
      <c r="I771" s="1" t="s">
        <v>19</v>
      </c>
      <c r="J771" s="1" t="s">
        <v>6</v>
      </c>
      <c r="K771" s="1" t="s">
        <v>24</v>
      </c>
      <c r="L771" s="1">
        <v>11233838</v>
      </c>
      <c r="M771" s="2">
        <v>43360</v>
      </c>
      <c r="N771" s="1" t="s">
        <v>8</v>
      </c>
      <c r="O771" s="2">
        <v>44455</v>
      </c>
    </row>
    <row r="772" spans="1:15" ht="28.8" x14ac:dyDescent="0.3">
      <c r="A772" s="1" t="s">
        <v>32814</v>
      </c>
      <c r="B772" s="1" t="str">
        <f>"Mcgills Car and Commercial Limited"</f>
        <v>Mcgills Car and Commercial Limited</v>
      </c>
      <c r="C772" s="1" t="s">
        <v>32815</v>
      </c>
      <c r="D772" s="1" t="s">
        <v>344</v>
      </c>
      <c r="E772" s="1" t="s">
        <v>10090</v>
      </c>
      <c r="F772" s="1" t="s">
        <v>4645</v>
      </c>
      <c r="G772" s="1" t="s">
        <v>324</v>
      </c>
      <c r="H772" s="1" t="s">
        <v>7290</v>
      </c>
      <c r="I772" s="1" t="s">
        <v>19</v>
      </c>
      <c r="J772" s="1" t="s">
        <v>6</v>
      </c>
      <c r="K772" s="1" t="s">
        <v>34</v>
      </c>
      <c r="L772" s="1">
        <v>6684869</v>
      </c>
      <c r="M772" s="2">
        <v>43360</v>
      </c>
      <c r="N772" s="1" t="s">
        <v>8</v>
      </c>
      <c r="O772" s="2">
        <v>44455</v>
      </c>
    </row>
    <row r="773" spans="1:15" ht="43.2" x14ac:dyDescent="0.3">
      <c r="A773" s="1" t="s">
        <v>30655</v>
      </c>
      <c r="B773" s="1" t="str">
        <f>"A R Drainage Solutions"</f>
        <v>A R Drainage Solutions</v>
      </c>
      <c r="C773" s="1" t="s">
        <v>30656</v>
      </c>
      <c r="D773" s="1" t="s">
        <v>30657</v>
      </c>
      <c r="E773" s="1" t="s">
        <v>30658</v>
      </c>
      <c r="F773" s="1" t="s">
        <v>1093</v>
      </c>
      <c r="G773" s="1" t="s">
        <v>103</v>
      </c>
      <c r="H773" s="1" t="s">
        <v>9842</v>
      </c>
      <c r="I773" s="1" t="s">
        <v>19</v>
      </c>
      <c r="J773" s="1" t="s">
        <v>6</v>
      </c>
      <c r="K773" s="1" t="s">
        <v>34</v>
      </c>
      <c r="L773" s="1">
        <v>8780190</v>
      </c>
      <c r="M773" s="2">
        <v>43359</v>
      </c>
      <c r="N773" s="1" t="s">
        <v>8</v>
      </c>
      <c r="O773" s="2">
        <v>44454</v>
      </c>
    </row>
    <row r="774" spans="1:15" ht="28.8" x14ac:dyDescent="0.3">
      <c r="A774" s="1" t="s">
        <v>30677</v>
      </c>
      <c r="B774" s="1" t="str">
        <f>"Rhys Vranch"</f>
        <v>Rhys Vranch</v>
      </c>
      <c r="C774" s="1" t="s">
        <v>30678</v>
      </c>
      <c r="D774" s="1" t="s">
        <v>5444</v>
      </c>
      <c r="F774" s="1" t="s">
        <v>555</v>
      </c>
      <c r="G774" s="1" t="s">
        <v>556</v>
      </c>
      <c r="H774" s="1" t="s">
        <v>30679</v>
      </c>
      <c r="I774" s="1" t="s">
        <v>5</v>
      </c>
      <c r="J774" s="1" t="s">
        <v>6</v>
      </c>
      <c r="K774" s="1" t="s">
        <v>34</v>
      </c>
      <c r="M774" s="2">
        <v>43359</v>
      </c>
      <c r="N774" s="1" t="s">
        <v>8</v>
      </c>
      <c r="O774" s="2">
        <v>44454</v>
      </c>
    </row>
    <row r="775" spans="1:15" x14ac:dyDescent="0.3">
      <c r="A775" s="1" t="s">
        <v>30683</v>
      </c>
      <c r="B775" s="1" t="str">
        <f>"GMC (CONCRETE) LTD"</f>
        <v>GMC (CONCRETE) LTD</v>
      </c>
      <c r="C775" s="1" t="s">
        <v>30684</v>
      </c>
      <c r="F775" s="1" t="s">
        <v>1278</v>
      </c>
      <c r="H775" s="1" t="s">
        <v>30685</v>
      </c>
      <c r="I775" s="1" t="s">
        <v>19</v>
      </c>
      <c r="J775" s="1" t="s">
        <v>6</v>
      </c>
      <c r="K775" s="1" t="s">
        <v>14</v>
      </c>
      <c r="L775" s="1">
        <v>4443346</v>
      </c>
      <c r="M775" s="2">
        <v>43359</v>
      </c>
      <c r="N775" s="1" t="s">
        <v>8</v>
      </c>
      <c r="O775" s="2">
        <v>44454</v>
      </c>
    </row>
    <row r="776" spans="1:15" ht="28.8" x14ac:dyDescent="0.3">
      <c r="A776" s="1" t="s">
        <v>30688</v>
      </c>
      <c r="B776" s="1" t="str">
        <f>"R Matthews Contracting Ltd"</f>
        <v>R Matthews Contracting Ltd</v>
      </c>
      <c r="C776" s="1" t="s">
        <v>30689</v>
      </c>
      <c r="D776" s="1" t="s">
        <v>6513</v>
      </c>
      <c r="E776" s="1" t="s">
        <v>6514</v>
      </c>
      <c r="F776" s="1" t="s">
        <v>123</v>
      </c>
      <c r="G776" s="1" t="s">
        <v>211</v>
      </c>
      <c r="H776" s="1" t="s">
        <v>6515</v>
      </c>
      <c r="I776" s="1" t="s">
        <v>19</v>
      </c>
      <c r="J776" s="1" t="s">
        <v>6</v>
      </c>
      <c r="K776" s="1" t="s">
        <v>34</v>
      </c>
      <c r="M776" s="2">
        <v>43359</v>
      </c>
      <c r="N776" s="1" t="s">
        <v>8</v>
      </c>
      <c r="O776" s="2">
        <v>44454</v>
      </c>
    </row>
    <row r="777" spans="1:15" ht="28.8" x14ac:dyDescent="0.3">
      <c r="A777" s="1" t="s">
        <v>30690</v>
      </c>
      <c r="B777" s="1" t="str">
        <f>"AIR CONTROL VENTILATION LIMITED"</f>
        <v>AIR CONTROL VENTILATION LIMITED</v>
      </c>
      <c r="C777" s="1" t="s">
        <v>30691</v>
      </c>
      <c r="D777" s="1" t="s">
        <v>18594</v>
      </c>
      <c r="F777" s="1" t="s">
        <v>1093</v>
      </c>
      <c r="G777" s="1" t="s">
        <v>103</v>
      </c>
      <c r="H777" s="1" t="s">
        <v>30692</v>
      </c>
      <c r="I777" s="1" t="s">
        <v>19</v>
      </c>
      <c r="J777" s="1" t="s">
        <v>6</v>
      </c>
      <c r="K777" s="1" t="s">
        <v>34</v>
      </c>
      <c r="L777" s="1">
        <v>8766559</v>
      </c>
      <c r="M777" s="2">
        <v>43359</v>
      </c>
      <c r="N777" s="1" t="s">
        <v>8</v>
      </c>
      <c r="O777" s="2">
        <v>44454</v>
      </c>
    </row>
    <row r="778" spans="1:15" ht="28.8" x14ac:dyDescent="0.3">
      <c r="A778" s="1" t="s">
        <v>30693</v>
      </c>
      <c r="B778" s="1" t="str">
        <f>"Mark Barrier"</f>
        <v>Mark Barrier</v>
      </c>
      <c r="C778" s="1" t="s">
        <v>30694</v>
      </c>
      <c r="D778" s="1" t="s">
        <v>30695</v>
      </c>
      <c r="E778" s="1" t="s">
        <v>27807</v>
      </c>
      <c r="F778" s="1" t="s">
        <v>230</v>
      </c>
      <c r="G778" s="1" t="s">
        <v>231</v>
      </c>
      <c r="H778" s="1" t="s">
        <v>30696</v>
      </c>
      <c r="I778" s="1" t="s">
        <v>5</v>
      </c>
      <c r="J778" s="1" t="s">
        <v>6</v>
      </c>
      <c r="K778" s="1" t="s">
        <v>34</v>
      </c>
      <c r="M778" s="2">
        <v>43359</v>
      </c>
      <c r="N778" s="1" t="s">
        <v>8</v>
      </c>
      <c r="O778" s="2">
        <v>44454</v>
      </c>
    </row>
    <row r="779" spans="1:15" x14ac:dyDescent="0.3">
      <c r="A779" s="1" t="s">
        <v>30697</v>
      </c>
      <c r="B779" s="1" t="str">
        <f>"Jeannette Lewis"</f>
        <v>Jeannette Lewis</v>
      </c>
      <c r="C779" s="1" t="s">
        <v>30698</v>
      </c>
      <c r="F779" s="1" t="s">
        <v>64</v>
      </c>
      <c r="G779" s="1" t="s">
        <v>65</v>
      </c>
      <c r="H779" s="1" t="s">
        <v>30699</v>
      </c>
      <c r="I779" s="1" t="s">
        <v>5</v>
      </c>
      <c r="J779" s="1" t="s">
        <v>6</v>
      </c>
      <c r="K779" s="1" t="s">
        <v>14</v>
      </c>
      <c r="M779" s="2">
        <v>43359</v>
      </c>
      <c r="N779" s="1" t="s">
        <v>8</v>
      </c>
      <c r="O779" s="2">
        <v>44454</v>
      </c>
    </row>
    <row r="780" spans="1:15" ht="43.2" x14ac:dyDescent="0.3">
      <c r="A780" s="1" t="s">
        <v>30703</v>
      </c>
      <c r="B780" s="1" t="str">
        <f>"William's Building &amp; Property Maintenance LTD"</f>
        <v>William's Building &amp; Property Maintenance LTD</v>
      </c>
      <c r="C780" s="1" t="s">
        <v>30704</v>
      </c>
      <c r="D780" s="1" t="s">
        <v>2041</v>
      </c>
      <c r="F780" s="1" t="s">
        <v>64</v>
      </c>
      <c r="G780" s="1" t="s">
        <v>65</v>
      </c>
      <c r="H780" s="1" t="s">
        <v>2886</v>
      </c>
      <c r="I780" s="1" t="s">
        <v>19</v>
      </c>
      <c r="J780" s="1" t="s">
        <v>6</v>
      </c>
      <c r="K780" s="1" t="s">
        <v>34</v>
      </c>
      <c r="L780" s="1">
        <v>6501752</v>
      </c>
      <c r="M780" s="2">
        <v>43359</v>
      </c>
      <c r="N780" s="1" t="s">
        <v>8</v>
      </c>
      <c r="O780" s="2">
        <v>44454</v>
      </c>
    </row>
    <row r="781" spans="1:15" ht="43.2" x14ac:dyDescent="0.3">
      <c r="A781" s="1" t="s">
        <v>2370</v>
      </c>
      <c r="B781" s="1" t="str">
        <f>"Owen Davies"</f>
        <v>Owen Davies</v>
      </c>
      <c r="C781" s="1" t="s">
        <v>2371</v>
      </c>
      <c r="F781" s="1" t="s">
        <v>42</v>
      </c>
      <c r="G781" s="1" t="s">
        <v>51</v>
      </c>
      <c r="H781" s="1" t="s">
        <v>2372</v>
      </c>
      <c r="I781" s="1" t="s">
        <v>5</v>
      </c>
      <c r="J781" s="1" t="s">
        <v>67</v>
      </c>
      <c r="K781" s="1" t="s">
        <v>14</v>
      </c>
      <c r="M781" s="2">
        <v>43357</v>
      </c>
      <c r="N781" s="1" t="s">
        <v>8</v>
      </c>
      <c r="O781" s="1" t="s">
        <v>68</v>
      </c>
    </row>
    <row r="782" spans="1:15" ht="43.2" x14ac:dyDescent="0.3">
      <c r="A782" s="1" t="s">
        <v>2373</v>
      </c>
      <c r="B782" s="1" t="str">
        <f>"Rollingson's Garden Maintenance &amp; Landscaping LTD"</f>
        <v>Rollingson's Garden Maintenance &amp; Landscaping LTD</v>
      </c>
      <c r="C782" s="1" t="s">
        <v>2374</v>
      </c>
      <c r="F782" s="1" t="s">
        <v>2200</v>
      </c>
      <c r="G782" s="1" t="s">
        <v>51</v>
      </c>
      <c r="H782" s="1" t="s">
        <v>2375</v>
      </c>
      <c r="I782" s="1" t="s">
        <v>19</v>
      </c>
      <c r="J782" s="1" t="s">
        <v>67</v>
      </c>
      <c r="K782" s="1" t="s">
        <v>14</v>
      </c>
      <c r="L782" s="1">
        <v>10747001</v>
      </c>
      <c r="M782" s="2">
        <v>43357</v>
      </c>
      <c r="N782" s="1" t="s">
        <v>8</v>
      </c>
      <c r="O782" s="1" t="s">
        <v>68</v>
      </c>
    </row>
    <row r="783" spans="1:15" ht="43.2" x14ac:dyDescent="0.3">
      <c r="A783" s="1" t="s">
        <v>2376</v>
      </c>
      <c r="B783" s="1" t="str">
        <f>"Wrexham Glyndwr University"</f>
        <v>Wrexham Glyndwr University</v>
      </c>
      <c r="C783" s="1" t="s">
        <v>2377</v>
      </c>
      <c r="D783" s="1" t="s">
        <v>2378</v>
      </c>
      <c r="E783" s="1" t="s">
        <v>530</v>
      </c>
      <c r="F783" s="1" t="s">
        <v>532</v>
      </c>
      <c r="G783" s="1" t="s">
        <v>198</v>
      </c>
      <c r="H783" s="1" t="s">
        <v>2379</v>
      </c>
      <c r="I783" s="1" t="s">
        <v>188</v>
      </c>
      <c r="J783" s="1" t="s">
        <v>67</v>
      </c>
      <c r="K783" s="1" t="s">
        <v>14</v>
      </c>
      <c r="M783" s="2">
        <v>43357</v>
      </c>
      <c r="N783" s="1" t="s">
        <v>8</v>
      </c>
      <c r="O783" s="1" t="s">
        <v>68</v>
      </c>
    </row>
    <row r="784" spans="1:15" ht="43.2" x14ac:dyDescent="0.3">
      <c r="A784" s="1" t="s">
        <v>2380</v>
      </c>
      <c r="B784" s="1" t="str">
        <f>"Pest Control (Mid and South Wales)"</f>
        <v>Pest Control (Mid and South Wales)</v>
      </c>
      <c r="C784" s="1" t="s">
        <v>2381</v>
      </c>
      <c r="F784" s="1" t="s">
        <v>541</v>
      </c>
      <c r="G784" s="1" t="s">
        <v>51</v>
      </c>
      <c r="H784" s="1" t="s">
        <v>2382</v>
      </c>
      <c r="I784" s="1" t="s">
        <v>19</v>
      </c>
      <c r="J784" s="1" t="s">
        <v>67</v>
      </c>
      <c r="K784" s="1" t="s">
        <v>14</v>
      </c>
      <c r="L784" s="1">
        <v>11204962</v>
      </c>
      <c r="M784" s="2">
        <v>43357</v>
      </c>
      <c r="N784" s="1" t="s">
        <v>8</v>
      </c>
      <c r="O784" s="1" t="s">
        <v>68</v>
      </c>
    </row>
    <row r="785" spans="1:15" ht="43.2" x14ac:dyDescent="0.3">
      <c r="A785" s="1" t="s">
        <v>2383</v>
      </c>
      <c r="B785" s="1" t="str">
        <f>"Nigel Booth"</f>
        <v>Nigel Booth</v>
      </c>
      <c r="C785" s="1" t="s">
        <v>2384</v>
      </c>
      <c r="D785" s="1" t="s">
        <v>2385</v>
      </c>
      <c r="F785" s="1" t="s">
        <v>706</v>
      </c>
      <c r="G785" s="1" t="s">
        <v>211</v>
      </c>
      <c r="H785" s="1" t="s">
        <v>2386</v>
      </c>
      <c r="I785" s="1" t="s">
        <v>5</v>
      </c>
      <c r="J785" s="1" t="s">
        <v>67</v>
      </c>
      <c r="K785" s="1" t="s">
        <v>14</v>
      </c>
      <c r="M785" s="2">
        <v>43357</v>
      </c>
      <c r="N785" s="1" t="s">
        <v>8</v>
      </c>
      <c r="O785" s="1" t="s">
        <v>68</v>
      </c>
    </row>
    <row r="786" spans="1:15" ht="43.2" x14ac:dyDescent="0.3">
      <c r="A786" s="1" t="s">
        <v>2387</v>
      </c>
      <c r="B786" s="1" t="str">
        <f>"Stripes Lawn Care Limited"</f>
        <v>Stripes Lawn Care Limited</v>
      </c>
      <c r="C786" s="1" t="s">
        <v>2388</v>
      </c>
      <c r="D786" s="1" t="s">
        <v>2389</v>
      </c>
      <c r="E786" s="1" t="s">
        <v>2390</v>
      </c>
      <c r="F786" s="1" t="s">
        <v>380</v>
      </c>
      <c r="G786" s="1" t="s">
        <v>381</v>
      </c>
      <c r="H786" s="1" t="s">
        <v>2391</v>
      </c>
      <c r="I786" s="1" t="s">
        <v>19</v>
      </c>
      <c r="J786" s="1" t="s">
        <v>67</v>
      </c>
      <c r="K786" s="1" t="s">
        <v>14</v>
      </c>
      <c r="L786" s="1">
        <v>11251110</v>
      </c>
      <c r="M786" s="2">
        <v>43357</v>
      </c>
      <c r="N786" s="1" t="s">
        <v>8</v>
      </c>
      <c r="O786" s="1" t="s">
        <v>68</v>
      </c>
    </row>
    <row r="787" spans="1:15" ht="43.2" x14ac:dyDescent="0.3">
      <c r="A787" s="1" t="s">
        <v>2392</v>
      </c>
      <c r="B787" s="1" t="str">
        <f>"Dafydd Price"</f>
        <v>Dafydd Price</v>
      </c>
      <c r="C787" s="1" t="s">
        <v>2393</v>
      </c>
      <c r="D787" s="1" t="s">
        <v>2394</v>
      </c>
      <c r="E787" s="1" t="s">
        <v>2395</v>
      </c>
      <c r="F787" s="1" t="s">
        <v>1776</v>
      </c>
      <c r="G787" s="1" t="s">
        <v>115</v>
      </c>
      <c r="H787" s="1" t="s">
        <v>2396</v>
      </c>
      <c r="I787" s="1" t="s">
        <v>5</v>
      </c>
      <c r="J787" s="1" t="s">
        <v>67</v>
      </c>
      <c r="K787" s="1" t="s">
        <v>14</v>
      </c>
      <c r="M787" s="2">
        <v>43357</v>
      </c>
      <c r="N787" s="1" t="s">
        <v>8</v>
      </c>
      <c r="O787" s="1" t="s">
        <v>68</v>
      </c>
    </row>
    <row r="788" spans="1:15" ht="43.2" x14ac:dyDescent="0.3">
      <c r="A788" s="1" t="s">
        <v>2397</v>
      </c>
      <c r="B788" s="1" t="str">
        <f>"John Peace"</f>
        <v>John Peace</v>
      </c>
      <c r="C788" s="1" t="s">
        <v>2398</v>
      </c>
      <c r="D788" s="1" t="s">
        <v>2399</v>
      </c>
      <c r="F788" s="1" t="s">
        <v>56</v>
      </c>
      <c r="G788" s="1" t="s">
        <v>51</v>
      </c>
      <c r="H788" s="1" t="s">
        <v>2400</v>
      </c>
      <c r="I788" s="1" t="s">
        <v>5</v>
      </c>
      <c r="J788" s="1" t="s">
        <v>67</v>
      </c>
      <c r="K788" s="1" t="s">
        <v>14</v>
      </c>
      <c r="M788" s="2">
        <v>43357</v>
      </c>
      <c r="N788" s="1" t="s">
        <v>8</v>
      </c>
      <c r="O788" s="1" t="s">
        <v>68</v>
      </c>
    </row>
    <row r="789" spans="1:15" ht="43.2" x14ac:dyDescent="0.3">
      <c r="A789" s="1" t="s">
        <v>2401</v>
      </c>
      <c r="B789" s="1" t="str">
        <f>"Kevin Williams"</f>
        <v>Kevin Williams</v>
      </c>
      <c r="C789" s="1" t="s">
        <v>2402</v>
      </c>
      <c r="F789" s="1" t="s">
        <v>1058</v>
      </c>
      <c r="G789" s="1" t="s">
        <v>381</v>
      </c>
      <c r="H789" s="1" t="s">
        <v>2403</v>
      </c>
      <c r="I789" s="1" t="s">
        <v>5</v>
      </c>
      <c r="J789" s="1" t="s">
        <v>67</v>
      </c>
      <c r="K789" s="1" t="s">
        <v>14</v>
      </c>
      <c r="M789" s="2">
        <v>43357</v>
      </c>
      <c r="N789" s="1" t="s">
        <v>8</v>
      </c>
      <c r="O789" s="1" t="s">
        <v>68</v>
      </c>
    </row>
    <row r="790" spans="1:15" ht="43.2" x14ac:dyDescent="0.3">
      <c r="A790" s="1" t="s">
        <v>2404</v>
      </c>
      <c r="B790" s="1" t="str">
        <f>"T Williams"</f>
        <v>T Williams</v>
      </c>
      <c r="C790" s="1" t="s">
        <v>2405</v>
      </c>
      <c r="D790" s="1" t="s">
        <v>2406</v>
      </c>
      <c r="E790" s="1" t="s">
        <v>2407</v>
      </c>
      <c r="F790" s="1" t="s">
        <v>720</v>
      </c>
      <c r="G790" s="1" t="s">
        <v>324</v>
      </c>
      <c r="H790" s="1" t="s">
        <v>2408</v>
      </c>
      <c r="I790" s="1" t="s">
        <v>5</v>
      </c>
      <c r="J790" s="1" t="s">
        <v>67</v>
      </c>
      <c r="K790" s="1" t="s">
        <v>34</v>
      </c>
      <c r="M790" s="2">
        <v>43357</v>
      </c>
      <c r="N790" s="1" t="s">
        <v>8</v>
      </c>
      <c r="O790" s="1" t="s">
        <v>68</v>
      </c>
    </row>
    <row r="791" spans="1:15" ht="43.2" x14ac:dyDescent="0.3">
      <c r="A791" s="1" t="s">
        <v>2409</v>
      </c>
      <c r="B791" s="1" t="str">
        <f>"Alex Price"</f>
        <v>Alex Price</v>
      </c>
      <c r="C791" s="1" t="s">
        <v>2410</v>
      </c>
      <c r="F791" s="1" t="s">
        <v>491</v>
      </c>
      <c r="G791" s="1" t="s">
        <v>115</v>
      </c>
      <c r="H791" s="1" t="s">
        <v>2411</v>
      </c>
      <c r="I791" s="1" t="s">
        <v>5</v>
      </c>
      <c r="J791" s="1" t="s">
        <v>67</v>
      </c>
      <c r="K791" s="1" t="s">
        <v>14</v>
      </c>
      <c r="M791" s="2">
        <v>43357</v>
      </c>
      <c r="N791" s="1" t="s">
        <v>8</v>
      </c>
      <c r="O791" s="1" t="s">
        <v>68</v>
      </c>
    </row>
    <row r="792" spans="1:15" ht="43.2" x14ac:dyDescent="0.3">
      <c r="A792" s="1" t="s">
        <v>2412</v>
      </c>
      <c r="B792" s="1" t="str">
        <f>"A &amp; S Contractors NW Ltd"</f>
        <v>A &amp; S Contractors NW Ltd</v>
      </c>
      <c r="C792" s="1" t="s">
        <v>2413</v>
      </c>
      <c r="D792" s="1" t="s">
        <v>2414</v>
      </c>
      <c r="E792" s="1" t="s">
        <v>2415</v>
      </c>
      <c r="F792" s="1" t="s">
        <v>585</v>
      </c>
      <c r="G792" s="1" t="s">
        <v>2416</v>
      </c>
      <c r="H792" s="1" t="s">
        <v>2417</v>
      </c>
      <c r="I792" s="1" t="s">
        <v>19</v>
      </c>
      <c r="J792" s="1" t="s">
        <v>67</v>
      </c>
      <c r="K792" s="1" t="s">
        <v>14</v>
      </c>
      <c r="L792" s="1">
        <v>9089138</v>
      </c>
      <c r="M792" s="2">
        <v>43357</v>
      </c>
      <c r="N792" s="1" t="s">
        <v>8</v>
      </c>
      <c r="O792" s="1" t="s">
        <v>68</v>
      </c>
    </row>
    <row r="793" spans="1:15" ht="28.8" x14ac:dyDescent="0.3">
      <c r="A793" s="1" t="s">
        <v>30775</v>
      </c>
      <c r="B793" s="1" t="str">
        <f>"Andrew Collins"</f>
        <v>Andrew Collins</v>
      </c>
      <c r="C793" s="1" t="s">
        <v>30776</v>
      </c>
      <c r="D793" s="1" t="s">
        <v>18297</v>
      </c>
      <c r="F793" s="1" t="s">
        <v>1351</v>
      </c>
      <c r="G793" s="1" t="s">
        <v>109</v>
      </c>
      <c r="H793" s="1" t="s">
        <v>30777</v>
      </c>
      <c r="I793" s="1" t="s">
        <v>5</v>
      </c>
      <c r="J793" s="1" t="s">
        <v>6</v>
      </c>
      <c r="K793" s="1" t="s">
        <v>24</v>
      </c>
      <c r="M793" s="2">
        <v>43357</v>
      </c>
      <c r="N793" s="1" t="s">
        <v>8</v>
      </c>
      <c r="O793" s="2">
        <v>44452</v>
      </c>
    </row>
    <row r="794" spans="1:15" ht="43.2" x14ac:dyDescent="0.3">
      <c r="A794" s="1" t="s">
        <v>30778</v>
      </c>
      <c r="B794" s="1" t="str">
        <f>"Chris Farley Chris Farley Carpentry &amp; Construction"</f>
        <v>Chris Farley Chris Farley Carpentry &amp; Construction</v>
      </c>
      <c r="C794" s="1" t="s">
        <v>30779</v>
      </c>
      <c r="D794" s="1" t="s">
        <v>578</v>
      </c>
      <c r="F794" s="1" t="s">
        <v>64</v>
      </c>
      <c r="G794" s="1" t="s">
        <v>65</v>
      </c>
      <c r="H794" s="1" t="s">
        <v>30780</v>
      </c>
      <c r="I794" s="1" t="s">
        <v>5</v>
      </c>
      <c r="J794" s="1" t="s">
        <v>6</v>
      </c>
      <c r="K794" s="1" t="s">
        <v>24</v>
      </c>
      <c r="M794" s="2">
        <v>43357</v>
      </c>
      <c r="N794" s="1" t="s">
        <v>8</v>
      </c>
      <c r="O794" s="2">
        <v>44452</v>
      </c>
    </row>
    <row r="795" spans="1:15" ht="28.8" x14ac:dyDescent="0.3">
      <c r="A795" s="1" t="s">
        <v>2491</v>
      </c>
      <c r="B795" s="1" t="str">
        <f>"David Hawkins One Zone Removals"</f>
        <v>David Hawkins One Zone Removals</v>
      </c>
      <c r="C795" s="1" t="s">
        <v>2492</v>
      </c>
      <c r="D795" s="1" t="s">
        <v>2493</v>
      </c>
      <c r="F795" s="1" t="s">
        <v>123</v>
      </c>
      <c r="G795" s="1" t="s">
        <v>27</v>
      </c>
      <c r="H795" s="1" t="s">
        <v>2494</v>
      </c>
      <c r="I795" s="1" t="s">
        <v>5</v>
      </c>
      <c r="J795" s="1" t="s">
        <v>6</v>
      </c>
      <c r="K795" s="1" t="s">
        <v>34</v>
      </c>
      <c r="M795" s="2">
        <v>43356</v>
      </c>
      <c r="N795" s="1" t="s">
        <v>8</v>
      </c>
      <c r="O795" s="2">
        <v>44451</v>
      </c>
    </row>
    <row r="796" spans="1:15" ht="43.2" x14ac:dyDescent="0.3">
      <c r="A796" s="1" t="s">
        <v>2495</v>
      </c>
      <c r="B796" s="1" t="str">
        <f>"Dennis Reynolds Your Environment"</f>
        <v>Dennis Reynolds Your Environment</v>
      </c>
      <c r="C796" s="1" t="s">
        <v>2496</v>
      </c>
      <c r="F796" s="1" t="s">
        <v>1928</v>
      </c>
      <c r="G796" s="1" t="s">
        <v>2497</v>
      </c>
      <c r="H796" s="1" t="s">
        <v>2498</v>
      </c>
      <c r="I796" s="1" t="s">
        <v>5</v>
      </c>
      <c r="J796" s="1" t="s">
        <v>6</v>
      </c>
      <c r="K796" s="1" t="s">
        <v>34</v>
      </c>
      <c r="M796" s="2">
        <v>43356</v>
      </c>
      <c r="N796" s="1" t="s">
        <v>8</v>
      </c>
      <c r="O796" s="2">
        <v>44451</v>
      </c>
    </row>
    <row r="797" spans="1:15" ht="28.8" x14ac:dyDescent="0.3">
      <c r="A797" s="1" t="s">
        <v>30762</v>
      </c>
      <c r="B797" s="1" t="str">
        <f>"Madog Sustainable Restorations"</f>
        <v>Madog Sustainable Restorations</v>
      </c>
      <c r="C797" s="1" t="s">
        <v>30763</v>
      </c>
      <c r="D797" s="1" t="s">
        <v>30764</v>
      </c>
      <c r="F797" s="1" t="s">
        <v>123</v>
      </c>
      <c r="G797" s="1" t="s">
        <v>27</v>
      </c>
      <c r="H797" s="1" t="s">
        <v>30765</v>
      </c>
      <c r="I797" s="1" t="s">
        <v>19</v>
      </c>
      <c r="J797" s="1" t="s">
        <v>6</v>
      </c>
      <c r="K797" s="1" t="s">
        <v>24</v>
      </c>
      <c r="M797" s="2">
        <v>43356</v>
      </c>
      <c r="N797" s="1" t="s">
        <v>8</v>
      </c>
      <c r="O797" s="2">
        <v>44451</v>
      </c>
    </row>
    <row r="798" spans="1:15" ht="43.2" x14ac:dyDescent="0.3">
      <c r="A798" s="1" t="s">
        <v>30766</v>
      </c>
      <c r="B798" s="1" t="str">
        <f>"Christopher Davies HD Building and Landscaping"</f>
        <v>Christopher Davies HD Building and Landscaping</v>
      </c>
      <c r="C798" s="1" t="s">
        <v>30767</v>
      </c>
      <c r="F798" s="1" t="s">
        <v>3242</v>
      </c>
      <c r="G798" s="1" t="s">
        <v>359</v>
      </c>
      <c r="H798" s="1" t="s">
        <v>30768</v>
      </c>
      <c r="I798" s="1" t="s">
        <v>5</v>
      </c>
      <c r="J798" s="1" t="s">
        <v>6</v>
      </c>
      <c r="K798" s="1" t="s">
        <v>34</v>
      </c>
      <c r="M798" s="2">
        <v>43356</v>
      </c>
      <c r="N798" s="1" t="s">
        <v>8</v>
      </c>
      <c r="O798" s="2">
        <v>44451</v>
      </c>
    </row>
    <row r="799" spans="1:15" ht="28.8" x14ac:dyDescent="0.3">
      <c r="A799" s="1" t="s">
        <v>30772</v>
      </c>
      <c r="B799" s="1" t="str">
        <f>"John Price ST Brides Bay Cottages"</f>
        <v>John Price ST Brides Bay Cottages</v>
      </c>
      <c r="C799" s="1" t="s">
        <v>2759</v>
      </c>
      <c r="D799" s="1" t="s">
        <v>30773</v>
      </c>
      <c r="E799" s="1" t="s">
        <v>30774</v>
      </c>
      <c r="F799" s="1" t="s">
        <v>1776</v>
      </c>
      <c r="G799" s="1" t="s">
        <v>115</v>
      </c>
      <c r="H799" s="1" t="s">
        <v>26308</v>
      </c>
      <c r="I799" s="1" t="s">
        <v>5</v>
      </c>
      <c r="J799" s="1" t="s">
        <v>6</v>
      </c>
      <c r="K799" s="1" t="s">
        <v>34</v>
      </c>
      <c r="M799" s="2">
        <v>43356</v>
      </c>
      <c r="N799" s="1" t="s">
        <v>8</v>
      </c>
      <c r="O799" s="2">
        <v>44451</v>
      </c>
    </row>
    <row r="800" spans="1:15" ht="43.2" x14ac:dyDescent="0.3">
      <c r="A800" s="1" t="s">
        <v>31664</v>
      </c>
      <c r="B800" s="1" t="str">
        <f>"Thomas michael Jones"</f>
        <v>Thomas michael Jones</v>
      </c>
      <c r="C800" s="1" t="s">
        <v>31665</v>
      </c>
      <c r="D800" s="1" t="s">
        <v>31666</v>
      </c>
      <c r="F800" s="1" t="s">
        <v>64</v>
      </c>
      <c r="G800" s="1" t="s">
        <v>65</v>
      </c>
      <c r="H800" s="1" t="s">
        <v>31667</v>
      </c>
      <c r="I800" s="1" t="s">
        <v>5</v>
      </c>
      <c r="J800" s="1" t="s">
        <v>67</v>
      </c>
      <c r="K800" s="1" t="s">
        <v>14</v>
      </c>
      <c r="M800" s="2">
        <v>43356</v>
      </c>
      <c r="N800" s="1" t="s">
        <v>8</v>
      </c>
      <c r="O800" s="1" t="s">
        <v>68</v>
      </c>
    </row>
    <row r="801" spans="1:15" ht="43.2" x14ac:dyDescent="0.3">
      <c r="A801" s="1" t="s">
        <v>31668</v>
      </c>
      <c r="B801" s="1" t="str">
        <f>"Andrew Metcalfe"</f>
        <v>Andrew Metcalfe</v>
      </c>
      <c r="C801" s="1" t="s">
        <v>31669</v>
      </c>
      <c r="D801" s="1" t="s">
        <v>611</v>
      </c>
      <c r="F801" s="1" t="s">
        <v>64</v>
      </c>
      <c r="G801" s="1" t="s">
        <v>65</v>
      </c>
      <c r="H801" s="1" t="s">
        <v>31670</v>
      </c>
      <c r="I801" s="1" t="s">
        <v>5</v>
      </c>
      <c r="J801" s="1" t="s">
        <v>67</v>
      </c>
      <c r="K801" s="1" t="s">
        <v>14</v>
      </c>
      <c r="M801" s="2">
        <v>43356</v>
      </c>
      <c r="N801" s="1" t="s">
        <v>8</v>
      </c>
      <c r="O801" s="1" t="s">
        <v>68</v>
      </c>
    </row>
    <row r="802" spans="1:15" ht="43.2" x14ac:dyDescent="0.3">
      <c r="A802" s="1" t="s">
        <v>31671</v>
      </c>
      <c r="B802" s="1" t="str">
        <f>"Catheralls Industrial Estate"</f>
        <v>Catheralls Industrial Estate</v>
      </c>
      <c r="C802" s="1" t="s">
        <v>31672</v>
      </c>
      <c r="D802" s="1" t="s">
        <v>31673</v>
      </c>
      <c r="E802" s="1" t="s">
        <v>7022</v>
      </c>
      <c r="F802" s="1" t="s">
        <v>1479</v>
      </c>
      <c r="G802" s="1" t="s">
        <v>324</v>
      </c>
      <c r="H802" s="1" t="s">
        <v>3748</v>
      </c>
      <c r="I802" s="1" t="s">
        <v>19</v>
      </c>
      <c r="J802" s="1" t="s">
        <v>67</v>
      </c>
      <c r="K802" s="1" t="s">
        <v>14</v>
      </c>
      <c r="L802" s="1">
        <v>1476869</v>
      </c>
      <c r="M802" s="2">
        <v>43356</v>
      </c>
      <c r="N802" s="1" t="s">
        <v>8</v>
      </c>
      <c r="O802" s="1" t="s">
        <v>68</v>
      </c>
    </row>
    <row r="803" spans="1:15" ht="43.2" x14ac:dyDescent="0.3">
      <c r="A803" s="1" t="s">
        <v>31674</v>
      </c>
      <c r="B803" s="1" t="str">
        <f>"Julie  Westwood"</f>
        <v>Julie  Westwood</v>
      </c>
      <c r="C803" s="1" t="s">
        <v>31675</v>
      </c>
      <c r="D803" s="1" t="s">
        <v>31676</v>
      </c>
      <c r="E803" s="1" t="s">
        <v>31677</v>
      </c>
      <c r="F803" s="1" t="s">
        <v>4401</v>
      </c>
      <c r="G803" s="1" t="s">
        <v>1240</v>
      </c>
      <c r="H803" s="1" t="s">
        <v>31678</v>
      </c>
      <c r="I803" s="1" t="s">
        <v>5</v>
      </c>
      <c r="J803" s="1" t="s">
        <v>67</v>
      </c>
      <c r="K803" s="1" t="s">
        <v>14</v>
      </c>
      <c r="M803" s="2">
        <v>43356</v>
      </c>
      <c r="N803" s="1" t="s">
        <v>8</v>
      </c>
      <c r="O803" s="1" t="s">
        <v>68</v>
      </c>
    </row>
    <row r="804" spans="1:15" ht="43.2" x14ac:dyDescent="0.3">
      <c r="A804" s="1" t="s">
        <v>31679</v>
      </c>
      <c r="B804" s="1" t="str">
        <f>"Hebron Hall Limited"</f>
        <v>Hebron Hall Limited</v>
      </c>
      <c r="C804" s="1" t="s">
        <v>31680</v>
      </c>
      <c r="D804" s="1" t="s">
        <v>31681</v>
      </c>
      <c r="F804" s="1" t="s">
        <v>2152</v>
      </c>
      <c r="G804" s="1" t="s">
        <v>211</v>
      </c>
      <c r="H804" s="1" t="s">
        <v>31682</v>
      </c>
      <c r="I804" s="1" t="s">
        <v>19</v>
      </c>
      <c r="J804" s="1" t="s">
        <v>67</v>
      </c>
      <c r="K804" s="1" t="s">
        <v>14</v>
      </c>
      <c r="L804" s="1">
        <v>1739222</v>
      </c>
      <c r="M804" s="2">
        <v>43356</v>
      </c>
      <c r="N804" s="1" t="s">
        <v>8</v>
      </c>
      <c r="O804" s="1" t="s">
        <v>68</v>
      </c>
    </row>
    <row r="805" spans="1:15" ht="43.2" x14ac:dyDescent="0.3">
      <c r="A805" s="1" t="s">
        <v>31683</v>
      </c>
      <c r="B805" s="1" t="str">
        <f>"David Chambers David Chambers"</f>
        <v>David Chambers David Chambers</v>
      </c>
      <c r="C805" s="1" t="s">
        <v>26771</v>
      </c>
      <c r="F805" s="1" t="s">
        <v>91</v>
      </c>
      <c r="H805" s="1" t="s">
        <v>26772</v>
      </c>
      <c r="I805" s="1" t="s">
        <v>5</v>
      </c>
      <c r="J805" s="1" t="s">
        <v>67</v>
      </c>
      <c r="K805" s="1" t="s">
        <v>14</v>
      </c>
      <c r="M805" s="2">
        <v>43356</v>
      </c>
      <c r="N805" s="1" t="s">
        <v>8</v>
      </c>
      <c r="O805" s="1" t="s">
        <v>68</v>
      </c>
    </row>
    <row r="806" spans="1:15" ht="43.2" x14ac:dyDescent="0.3">
      <c r="A806" s="1" t="s">
        <v>31684</v>
      </c>
      <c r="B806" s="1" t="str">
        <f>"Rhys james Lloyd thomas"</f>
        <v>Rhys james Lloyd thomas</v>
      </c>
      <c r="C806" s="1" t="s">
        <v>31685</v>
      </c>
      <c r="D806" s="1" t="s">
        <v>31686</v>
      </c>
      <c r="F806" s="1" t="s">
        <v>50</v>
      </c>
      <c r="G806" s="1" t="s">
        <v>654</v>
      </c>
      <c r="H806" s="1" t="s">
        <v>31687</v>
      </c>
      <c r="I806" s="1" t="s">
        <v>5</v>
      </c>
      <c r="J806" s="1" t="s">
        <v>67</v>
      </c>
      <c r="K806" s="1" t="s">
        <v>34</v>
      </c>
      <c r="M806" s="2">
        <v>43356</v>
      </c>
      <c r="N806" s="1" t="s">
        <v>8</v>
      </c>
      <c r="O806" s="1" t="s">
        <v>68</v>
      </c>
    </row>
    <row r="807" spans="1:15" ht="43.2" x14ac:dyDescent="0.3">
      <c r="A807" s="1" t="s">
        <v>31688</v>
      </c>
      <c r="B807" s="1" t="str">
        <f>"Lewis Jenkins"</f>
        <v>Lewis Jenkins</v>
      </c>
      <c r="C807" s="1" t="s">
        <v>31689</v>
      </c>
      <c r="F807" s="1" t="s">
        <v>2342</v>
      </c>
      <c r="G807" s="1" t="s">
        <v>51</v>
      </c>
      <c r="H807" s="1" t="s">
        <v>31690</v>
      </c>
      <c r="I807" s="1" t="s">
        <v>5</v>
      </c>
      <c r="J807" s="1" t="s">
        <v>67</v>
      </c>
      <c r="K807" s="1" t="s">
        <v>34</v>
      </c>
      <c r="M807" s="2">
        <v>43356</v>
      </c>
      <c r="N807" s="1" t="s">
        <v>8</v>
      </c>
      <c r="O807" s="1" t="s">
        <v>68</v>
      </c>
    </row>
    <row r="808" spans="1:15" ht="43.2" x14ac:dyDescent="0.3">
      <c r="A808" s="1" t="s">
        <v>31691</v>
      </c>
      <c r="B808" s="1" t="str">
        <f>"Paul Birdsall"</f>
        <v>Paul Birdsall</v>
      </c>
      <c r="C808" s="1" t="s">
        <v>31692</v>
      </c>
      <c r="F808" s="1" t="s">
        <v>42</v>
      </c>
      <c r="G808" s="1" t="s">
        <v>51</v>
      </c>
      <c r="H808" s="1" t="s">
        <v>31693</v>
      </c>
      <c r="I808" s="1" t="s">
        <v>5</v>
      </c>
      <c r="J808" s="1" t="s">
        <v>67</v>
      </c>
      <c r="K808" s="1" t="s">
        <v>14</v>
      </c>
      <c r="M808" s="2">
        <v>43356</v>
      </c>
      <c r="N808" s="1" t="s">
        <v>8</v>
      </c>
      <c r="O808" s="1" t="s">
        <v>68</v>
      </c>
    </row>
    <row r="809" spans="1:15" ht="43.2" x14ac:dyDescent="0.3">
      <c r="A809" s="1" t="s">
        <v>31694</v>
      </c>
      <c r="B809" s="1" t="str">
        <f>"Arctic Climate Engineering Ltd"</f>
        <v>Arctic Climate Engineering Ltd</v>
      </c>
      <c r="C809" s="1" t="s">
        <v>31695</v>
      </c>
      <c r="D809" s="1" t="s">
        <v>30807</v>
      </c>
      <c r="F809" s="1" t="s">
        <v>123</v>
      </c>
      <c r="H809" s="1" t="s">
        <v>31696</v>
      </c>
      <c r="I809" s="1" t="s">
        <v>19</v>
      </c>
      <c r="J809" s="1" t="s">
        <v>67</v>
      </c>
      <c r="K809" s="1" t="s">
        <v>1859</v>
      </c>
      <c r="M809" s="2">
        <v>43356</v>
      </c>
      <c r="N809" s="1" t="s">
        <v>8</v>
      </c>
      <c r="O809" s="1" t="s">
        <v>68</v>
      </c>
    </row>
    <row r="810" spans="1:15" ht="43.2" x14ac:dyDescent="0.3">
      <c r="A810" s="1" t="s">
        <v>31697</v>
      </c>
      <c r="B810" s="1" t="str">
        <f>"Spencer John"</f>
        <v>Spencer John</v>
      </c>
      <c r="C810" s="1" t="s">
        <v>30532</v>
      </c>
      <c r="D810" s="1" t="s">
        <v>30533</v>
      </c>
      <c r="F810" s="1" t="s">
        <v>64</v>
      </c>
      <c r="G810" s="1" t="s">
        <v>65</v>
      </c>
      <c r="H810" s="1" t="s">
        <v>30534</v>
      </c>
      <c r="I810" s="1" t="s">
        <v>5</v>
      </c>
      <c r="J810" s="1" t="s">
        <v>67</v>
      </c>
      <c r="K810" s="1" t="s">
        <v>14</v>
      </c>
      <c r="M810" s="2">
        <v>43356</v>
      </c>
      <c r="N810" s="1" t="s">
        <v>8</v>
      </c>
      <c r="O810" s="1" t="s">
        <v>68</v>
      </c>
    </row>
    <row r="811" spans="1:15" ht="43.2" x14ac:dyDescent="0.3">
      <c r="A811" s="1" t="s">
        <v>31698</v>
      </c>
      <c r="B811" s="1" t="str">
        <f>"South East Wales Rivers Trust"</f>
        <v>South East Wales Rivers Trust</v>
      </c>
      <c r="C811" s="1" t="s">
        <v>31699</v>
      </c>
      <c r="D811" s="1" t="s">
        <v>31700</v>
      </c>
      <c r="F811" s="1" t="s">
        <v>555</v>
      </c>
      <c r="G811" s="1" t="s">
        <v>556</v>
      </c>
      <c r="H811" s="1" t="s">
        <v>31701</v>
      </c>
      <c r="I811" s="1" t="s">
        <v>1872</v>
      </c>
      <c r="J811" s="1" t="s">
        <v>67</v>
      </c>
      <c r="K811" s="1" t="s">
        <v>14</v>
      </c>
      <c r="M811" s="2">
        <v>43356</v>
      </c>
      <c r="N811" s="1" t="s">
        <v>8</v>
      </c>
      <c r="O811" s="1" t="s">
        <v>68</v>
      </c>
    </row>
    <row r="812" spans="1:15" ht="43.2" x14ac:dyDescent="0.3">
      <c r="A812" s="1" t="s">
        <v>31702</v>
      </c>
      <c r="B812" s="1" t="str">
        <f>"Brian Davies"</f>
        <v>Brian Davies</v>
      </c>
      <c r="C812" s="1" t="s">
        <v>31703</v>
      </c>
      <c r="D812" s="1" t="s">
        <v>31704</v>
      </c>
      <c r="F812" s="1" t="s">
        <v>32</v>
      </c>
      <c r="G812" s="1" t="s">
        <v>109</v>
      </c>
      <c r="H812" s="1" t="s">
        <v>31705</v>
      </c>
      <c r="I812" s="1" t="s">
        <v>5</v>
      </c>
      <c r="J812" s="1" t="s">
        <v>67</v>
      </c>
      <c r="K812" s="1" t="s">
        <v>14</v>
      </c>
      <c r="M812" s="2">
        <v>43356</v>
      </c>
      <c r="N812" s="1" t="s">
        <v>8</v>
      </c>
      <c r="O812" s="1" t="s">
        <v>68</v>
      </c>
    </row>
    <row r="813" spans="1:15" ht="43.2" x14ac:dyDescent="0.3">
      <c r="A813" s="1" t="s">
        <v>31706</v>
      </c>
      <c r="B813" s="1" t="str">
        <f>"Torfaen Leisure Trust Ltd"</f>
        <v>Torfaen Leisure Trust Ltd</v>
      </c>
      <c r="C813" s="1" t="s">
        <v>31707</v>
      </c>
      <c r="D813" s="1" t="s">
        <v>31708</v>
      </c>
      <c r="F813" s="1" t="s">
        <v>380</v>
      </c>
      <c r="G813" s="1" t="s">
        <v>381</v>
      </c>
      <c r="H813" s="1" t="s">
        <v>31709</v>
      </c>
      <c r="I813" s="1" t="s">
        <v>19</v>
      </c>
      <c r="J813" s="1" t="s">
        <v>67</v>
      </c>
      <c r="K813" s="1" t="s">
        <v>14</v>
      </c>
      <c r="L813" s="1">
        <v>8524186</v>
      </c>
      <c r="M813" s="2">
        <v>43356</v>
      </c>
      <c r="N813" s="1" t="s">
        <v>8</v>
      </c>
      <c r="O813" s="1" t="s">
        <v>68</v>
      </c>
    </row>
    <row r="814" spans="1:15" ht="43.2" x14ac:dyDescent="0.3">
      <c r="A814" s="1" t="s">
        <v>31710</v>
      </c>
      <c r="B814" s="1" t="str">
        <f>"Kevin Richards Cleancut Lawn &amp; Garden Services"</f>
        <v>Kevin Richards Cleancut Lawn &amp; Garden Services</v>
      </c>
      <c r="C814" s="1" t="s">
        <v>31711</v>
      </c>
      <c r="F814" s="1" t="s">
        <v>65</v>
      </c>
      <c r="H814" s="1" t="s">
        <v>31712</v>
      </c>
      <c r="I814" s="1" t="s">
        <v>5</v>
      </c>
      <c r="J814" s="1" t="s">
        <v>67</v>
      </c>
      <c r="K814" s="1" t="s">
        <v>14</v>
      </c>
      <c r="M814" s="2">
        <v>43356</v>
      </c>
      <c r="N814" s="1" t="s">
        <v>8</v>
      </c>
      <c r="O814" s="1" t="s">
        <v>68</v>
      </c>
    </row>
    <row r="815" spans="1:15" ht="43.2" x14ac:dyDescent="0.3">
      <c r="A815" s="1" t="s">
        <v>31713</v>
      </c>
      <c r="B815" s="1" t="str">
        <f>"Janice Rhodes"</f>
        <v>Janice Rhodes</v>
      </c>
      <c r="C815" s="1" t="s">
        <v>31714</v>
      </c>
      <c r="D815" s="1" t="s">
        <v>31715</v>
      </c>
      <c r="F815" s="1" t="s">
        <v>1776</v>
      </c>
      <c r="G815" s="1" t="s">
        <v>115</v>
      </c>
      <c r="H815" s="1" t="s">
        <v>31716</v>
      </c>
      <c r="I815" s="1" t="s">
        <v>5</v>
      </c>
      <c r="J815" s="1" t="s">
        <v>67</v>
      </c>
      <c r="K815" s="1" t="s">
        <v>14</v>
      </c>
      <c r="M815" s="2">
        <v>43356</v>
      </c>
      <c r="N815" s="1" t="s">
        <v>8</v>
      </c>
      <c r="O815" s="1" t="s">
        <v>68</v>
      </c>
    </row>
    <row r="816" spans="1:15" ht="43.2" x14ac:dyDescent="0.3">
      <c r="A816" s="1" t="s">
        <v>31717</v>
      </c>
      <c r="B816" s="1" t="str">
        <f>"David Evans"</f>
        <v>David Evans</v>
      </c>
      <c r="C816" s="1" t="s">
        <v>31718</v>
      </c>
      <c r="D816" s="1" t="s">
        <v>1583</v>
      </c>
      <c r="F816" s="1" t="s">
        <v>1584</v>
      </c>
      <c r="G816" s="1" t="s">
        <v>359</v>
      </c>
      <c r="H816" s="1" t="s">
        <v>31719</v>
      </c>
      <c r="I816" s="1" t="s">
        <v>5</v>
      </c>
      <c r="J816" s="1" t="s">
        <v>67</v>
      </c>
      <c r="K816" s="1" t="s">
        <v>14</v>
      </c>
      <c r="M816" s="2">
        <v>43356</v>
      </c>
      <c r="N816" s="1" t="s">
        <v>8</v>
      </c>
      <c r="O816" s="1" t="s">
        <v>68</v>
      </c>
    </row>
    <row r="817" spans="1:15" ht="43.2" x14ac:dyDescent="0.3">
      <c r="A817" s="1" t="s">
        <v>31720</v>
      </c>
      <c r="B817" s="1" t="str">
        <f>"Viraj Gopaul"</f>
        <v>Viraj Gopaul</v>
      </c>
      <c r="C817" s="1" t="s">
        <v>31721</v>
      </c>
      <c r="D817" s="1" t="s">
        <v>31722</v>
      </c>
      <c r="E817" s="1" t="s">
        <v>15932</v>
      </c>
      <c r="F817" s="1" t="s">
        <v>10122</v>
      </c>
      <c r="G817" s="1" t="s">
        <v>642</v>
      </c>
      <c r="H817" s="1" t="s">
        <v>31723</v>
      </c>
      <c r="I817" s="1" t="s">
        <v>5</v>
      </c>
      <c r="J817" s="1" t="s">
        <v>67</v>
      </c>
      <c r="K817" s="1" t="s">
        <v>14</v>
      </c>
      <c r="M817" s="2">
        <v>43356</v>
      </c>
      <c r="N817" s="1" t="s">
        <v>8</v>
      </c>
      <c r="O817" s="1" t="s">
        <v>68</v>
      </c>
    </row>
    <row r="818" spans="1:15" ht="43.2" x14ac:dyDescent="0.3">
      <c r="A818" s="1" t="s">
        <v>31724</v>
      </c>
      <c r="B818" s="1" t="str">
        <f>"Neil Richards Painting &amp; Decorating Ltd"</f>
        <v>Neil Richards Painting &amp; Decorating Ltd</v>
      </c>
      <c r="C818" s="1" t="s">
        <v>31725</v>
      </c>
      <c r="F818" s="1" t="s">
        <v>156</v>
      </c>
      <c r="G818" s="1" t="s">
        <v>156</v>
      </c>
      <c r="H818" s="1" t="s">
        <v>31726</v>
      </c>
      <c r="I818" s="1" t="s">
        <v>19</v>
      </c>
      <c r="J818" s="1" t="s">
        <v>67</v>
      </c>
      <c r="K818" s="1" t="s">
        <v>14</v>
      </c>
      <c r="L818" s="1">
        <v>4797451</v>
      </c>
      <c r="M818" s="2">
        <v>43356</v>
      </c>
      <c r="N818" s="1" t="s">
        <v>8</v>
      </c>
      <c r="O818" s="1" t="s">
        <v>68</v>
      </c>
    </row>
    <row r="819" spans="1:15" ht="43.2" x14ac:dyDescent="0.3">
      <c r="A819" s="1" t="s">
        <v>31727</v>
      </c>
      <c r="B819" s="1" t="str">
        <f>"Roofbase Ltd"</f>
        <v>Roofbase Ltd</v>
      </c>
      <c r="C819" s="1" t="s">
        <v>31728</v>
      </c>
      <c r="D819" s="1" t="s">
        <v>31729</v>
      </c>
      <c r="E819" s="1" t="s">
        <v>31730</v>
      </c>
      <c r="F819" s="1" t="s">
        <v>64</v>
      </c>
      <c r="G819" s="1" t="s">
        <v>65</v>
      </c>
      <c r="H819" s="1" t="s">
        <v>5618</v>
      </c>
      <c r="I819" s="1" t="s">
        <v>19</v>
      </c>
      <c r="J819" s="1" t="s">
        <v>67</v>
      </c>
      <c r="K819" s="1" t="s">
        <v>1632</v>
      </c>
      <c r="L819" s="1">
        <v>10429072</v>
      </c>
      <c r="M819" s="2">
        <v>43356</v>
      </c>
      <c r="N819" s="1" t="s">
        <v>8</v>
      </c>
      <c r="O819" s="1" t="s">
        <v>68</v>
      </c>
    </row>
    <row r="820" spans="1:15" ht="43.2" x14ac:dyDescent="0.3">
      <c r="A820" s="1" t="s">
        <v>31731</v>
      </c>
      <c r="B820" s="1" t="str">
        <f>"D &amp; N Couriers Ltd"</f>
        <v>D &amp; N Couriers Ltd</v>
      </c>
      <c r="C820" s="1" t="s">
        <v>31732</v>
      </c>
      <c r="D820" s="1" t="s">
        <v>449</v>
      </c>
      <c r="F820" s="1" t="s">
        <v>42</v>
      </c>
      <c r="G820" s="1" t="s">
        <v>51</v>
      </c>
      <c r="H820" s="1" t="s">
        <v>31733</v>
      </c>
      <c r="I820" s="1" t="s">
        <v>19</v>
      </c>
      <c r="J820" s="1" t="s">
        <v>67</v>
      </c>
      <c r="K820" s="1" t="s">
        <v>14</v>
      </c>
      <c r="L820" s="1">
        <v>6907661</v>
      </c>
      <c r="M820" s="2">
        <v>43356</v>
      </c>
      <c r="N820" s="1" t="s">
        <v>8</v>
      </c>
      <c r="O820" s="1" t="s">
        <v>68</v>
      </c>
    </row>
    <row r="821" spans="1:15" ht="43.2" x14ac:dyDescent="0.3">
      <c r="A821" s="1" t="s">
        <v>31734</v>
      </c>
      <c r="B821" s="1" t="str">
        <f>"Thomas Williams"</f>
        <v>Thomas Williams</v>
      </c>
      <c r="C821" s="1" t="s">
        <v>31735</v>
      </c>
      <c r="F821" s="1" t="s">
        <v>401</v>
      </c>
      <c r="G821" s="1" t="s">
        <v>231</v>
      </c>
      <c r="H821" s="1" t="s">
        <v>21157</v>
      </c>
      <c r="I821" s="1" t="s">
        <v>5</v>
      </c>
      <c r="J821" s="1" t="s">
        <v>67</v>
      </c>
      <c r="K821" s="1" t="s">
        <v>14</v>
      </c>
      <c r="M821" s="2">
        <v>43356</v>
      </c>
      <c r="N821" s="1" t="s">
        <v>8</v>
      </c>
      <c r="O821" s="1" t="s">
        <v>68</v>
      </c>
    </row>
    <row r="822" spans="1:15" ht="43.2" x14ac:dyDescent="0.3">
      <c r="A822" s="1" t="s">
        <v>31736</v>
      </c>
      <c r="B822" s="1" t="str">
        <f>"Silverstone Green Energy"</f>
        <v>Silverstone Green Energy</v>
      </c>
      <c r="C822" s="1" t="s">
        <v>31737</v>
      </c>
      <c r="D822" s="1" t="s">
        <v>11906</v>
      </c>
      <c r="F822" s="1" t="s">
        <v>9838</v>
      </c>
      <c r="H822" s="1" t="s">
        <v>11907</v>
      </c>
      <c r="I822" s="1" t="s">
        <v>19</v>
      </c>
      <c r="J822" s="1" t="s">
        <v>67</v>
      </c>
      <c r="K822" s="1" t="s">
        <v>14</v>
      </c>
      <c r="L822" s="1">
        <v>7389297</v>
      </c>
      <c r="M822" s="2">
        <v>43356</v>
      </c>
      <c r="N822" s="1" t="s">
        <v>8</v>
      </c>
      <c r="O822" s="1" t="s">
        <v>68</v>
      </c>
    </row>
    <row r="823" spans="1:15" ht="43.2" x14ac:dyDescent="0.3">
      <c r="A823" s="1" t="s">
        <v>31738</v>
      </c>
      <c r="B823" s="1" t="str">
        <f>"Carl Hopkins C.S.H.  Garden Services"</f>
        <v>Carl Hopkins C.S.H.  Garden Services</v>
      </c>
      <c r="C823" s="1" t="s">
        <v>31739</v>
      </c>
      <c r="F823" s="1" t="s">
        <v>930</v>
      </c>
      <c r="G823" s="1" t="s">
        <v>211</v>
      </c>
      <c r="H823" s="1" t="s">
        <v>31740</v>
      </c>
      <c r="I823" s="1" t="s">
        <v>5</v>
      </c>
      <c r="J823" s="1" t="s">
        <v>67</v>
      </c>
      <c r="K823" s="1" t="s">
        <v>14</v>
      </c>
      <c r="M823" s="2">
        <v>43356</v>
      </c>
      <c r="N823" s="1" t="s">
        <v>8</v>
      </c>
      <c r="O823" s="1" t="s">
        <v>68</v>
      </c>
    </row>
    <row r="824" spans="1:15" ht="28.8" x14ac:dyDescent="0.3">
      <c r="A824" s="1" t="s">
        <v>32742</v>
      </c>
      <c r="B824" s="1" t="str">
        <f>"Treharne Homes Ltd"</f>
        <v>Treharne Homes Ltd</v>
      </c>
      <c r="C824" s="1" t="s">
        <v>32743</v>
      </c>
      <c r="D824" s="1" t="s">
        <v>30397</v>
      </c>
      <c r="F824" s="1" t="s">
        <v>42</v>
      </c>
      <c r="G824" s="1" t="s">
        <v>51</v>
      </c>
      <c r="H824" s="1" t="s">
        <v>32744</v>
      </c>
      <c r="I824" s="1" t="s">
        <v>19</v>
      </c>
      <c r="J824" s="1" t="s">
        <v>6</v>
      </c>
      <c r="K824" s="1" t="s">
        <v>34</v>
      </c>
      <c r="L824" s="1">
        <v>6541452</v>
      </c>
      <c r="M824" s="2">
        <v>43356</v>
      </c>
      <c r="N824" s="1" t="s">
        <v>8</v>
      </c>
      <c r="O824" s="2">
        <v>44451</v>
      </c>
    </row>
    <row r="825" spans="1:15" ht="28.8" x14ac:dyDescent="0.3">
      <c r="A825" s="1" t="s">
        <v>32745</v>
      </c>
      <c r="B825" s="1" t="str">
        <f>"David Chambers David Chambers"</f>
        <v>David Chambers David Chambers</v>
      </c>
      <c r="C825" s="1" t="s">
        <v>32746</v>
      </c>
      <c r="D825" s="1" t="s">
        <v>32747</v>
      </c>
      <c r="F825" s="1" t="s">
        <v>156</v>
      </c>
      <c r="G825" s="1" t="s">
        <v>156</v>
      </c>
      <c r="H825" s="1" t="s">
        <v>26772</v>
      </c>
      <c r="I825" s="1" t="s">
        <v>5</v>
      </c>
      <c r="J825" s="1" t="s">
        <v>6</v>
      </c>
      <c r="K825" s="1" t="s">
        <v>34</v>
      </c>
      <c r="M825" s="2">
        <v>43356</v>
      </c>
      <c r="N825" s="1" t="s">
        <v>8</v>
      </c>
      <c r="O825" s="2">
        <v>44451</v>
      </c>
    </row>
    <row r="826" spans="1:15" ht="28.8" x14ac:dyDescent="0.3">
      <c r="A826" s="1" t="s">
        <v>32748</v>
      </c>
      <c r="B826" s="1" t="str">
        <f>"David Ace Bloomfield Property Maintenance"</f>
        <v>David Ace Bloomfield Property Maintenance</v>
      </c>
      <c r="C826" s="1" t="s">
        <v>32749</v>
      </c>
      <c r="D826" s="1" t="s">
        <v>6191</v>
      </c>
      <c r="F826" s="1" t="s">
        <v>64</v>
      </c>
      <c r="G826" s="1" t="s">
        <v>65</v>
      </c>
      <c r="H826" s="1" t="s">
        <v>32750</v>
      </c>
      <c r="I826" s="1" t="s">
        <v>5</v>
      </c>
      <c r="J826" s="1" t="s">
        <v>6</v>
      </c>
      <c r="K826" s="1" t="s">
        <v>34</v>
      </c>
      <c r="M826" s="2">
        <v>43356</v>
      </c>
      <c r="N826" s="1" t="s">
        <v>8</v>
      </c>
      <c r="O826" s="2">
        <v>44451</v>
      </c>
    </row>
    <row r="827" spans="1:15" ht="28.8" x14ac:dyDescent="0.3">
      <c r="A827" s="1" t="s">
        <v>32755</v>
      </c>
      <c r="B827" s="1" t="str">
        <f>"Andrew Matthews AG Matthews"</f>
        <v>Andrew Matthews AG Matthews</v>
      </c>
      <c r="C827" s="1" t="s">
        <v>32756</v>
      </c>
      <c r="D827" s="1" t="s">
        <v>32757</v>
      </c>
      <c r="F827" s="1" t="s">
        <v>1206</v>
      </c>
      <c r="G827" s="1" t="s">
        <v>162</v>
      </c>
      <c r="H827" s="1" t="s">
        <v>32758</v>
      </c>
      <c r="I827" s="1" t="s">
        <v>5</v>
      </c>
      <c r="J827" s="1" t="s">
        <v>6</v>
      </c>
      <c r="K827" s="1" t="s">
        <v>34</v>
      </c>
      <c r="M827" s="2">
        <v>43356</v>
      </c>
      <c r="N827" s="1" t="s">
        <v>8</v>
      </c>
      <c r="O827" s="2">
        <v>44451</v>
      </c>
    </row>
    <row r="828" spans="1:15" ht="28.8" x14ac:dyDescent="0.3">
      <c r="A828" s="1" t="s">
        <v>32768</v>
      </c>
      <c r="B828" s="1" t="str">
        <f>"Dig It Plant Hire Ltd"</f>
        <v>Dig It Plant Hire Ltd</v>
      </c>
      <c r="C828" s="1" t="s">
        <v>32769</v>
      </c>
      <c r="D828" s="1" t="s">
        <v>32770</v>
      </c>
      <c r="F828" s="1" t="s">
        <v>374</v>
      </c>
      <c r="G828" s="1" t="s">
        <v>359</v>
      </c>
      <c r="H828" s="1" t="s">
        <v>32771</v>
      </c>
      <c r="I828" s="1" t="s">
        <v>19</v>
      </c>
      <c r="J828" s="1" t="s">
        <v>6</v>
      </c>
      <c r="K828" s="1" t="s">
        <v>34</v>
      </c>
      <c r="L828" s="1">
        <v>4549633</v>
      </c>
      <c r="M828" s="2">
        <v>43356</v>
      </c>
      <c r="N828" s="1" t="s">
        <v>8</v>
      </c>
      <c r="O828" s="2">
        <v>44451</v>
      </c>
    </row>
    <row r="829" spans="1:15" ht="28.8" x14ac:dyDescent="0.3">
      <c r="A829" s="1" t="s">
        <v>32773</v>
      </c>
      <c r="B829" s="1" t="str">
        <f>"Kelvin Davies The Property People"</f>
        <v>Kelvin Davies The Property People</v>
      </c>
      <c r="C829" s="1" t="s">
        <v>32774</v>
      </c>
      <c r="F829" s="1" t="s">
        <v>1351</v>
      </c>
      <c r="G829" s="1" t="s">
        <v>109</v>
      </c>
      <c r="H829" s="1" t="s">
        <v>32775</v>
      </c>
      <c r="I829" s="1" t="s">
        <v>5</v>
      </c>
      <c r="J829" s="1" t="s">
        <v>6</v>
      </c>
      <c r="K829" s="1" t="s">
        <v>34</v>
      </c>
      <c r="M829" s="2">
        <v>43356</v>
      </c>
      <c r="N829" s="1" t="s">
        <v>8</v>
      </c>
      <c r="O829" s="2">
        <v>44451</v>
      </c>
    </row>
    <row r="830" spans="1:15" ht="28.8" x14ac:dyDescent="0.3">
      <c r="A830" s="1" t="s">
        <v>32776</v>
      </c>
      <c r="B830" s="1" t="str">
        <f>"Andrew Lloyd Williams A I Williams"</f>
        <v>Andrew Lloyd Williams A I Williams</v>
      </c>
      <c r="C830" s="1" t="s">
        <v>32777</v>
      </c>
      <c r="D830" s="1" t="s">
        <v>32778</v>
      </c>
      <c r="F830" s="1" t="s">
        <v>1888</v>
      </c>
      <c r="G830" s="1" t="s">
        <v>73</v>
      </c>
      <c r="H830" s="1" t="s">
        <v>32779</v>
      </c>
      <c r="I830" s="1" t="s">
        <v>5</v>
      </c>
      <c r="J830" s="1" t="s">
        <v>6</v>
      </c>
      <c r="K830" s="1" t="s">
        <v>34</v>
      </c>
      <c r="M830" s="2">
        <v>43356</v>
      </c>
      <c r="N830" s="1" t="s">
        <v>8</v>
      </c>
      <c r="O830" s="2">
        <v>44451</v>
      </c>
    </row>
    <row r="831" spans="1:15" ht="28.8" x14ac:dyDescent="0.3">
      <c r="A831" s="1" t="s">
        <v>32785</v>
      </c>
      <c r="B831" s="1" t="str">
        <f>"OIL FACILITIES LTD"</f>
        <v>OIL FACILITIES LTD</v>
      </c>
      <c r="C831" s="1" t="s">
        <v>32786</v>
      </c>
      <c r="D831" s="1" t="s">
        <v>10812</v>
      </c>
      <c r="E831" s="1" t="s">
        <v>781</v>
      </c>
      <c r="F831" s="1" t="s">
        <v>782</v>
      </c>
      <c r="G831" s="1" t="s">
        <v>211</v>
      </c>
      <c r="H831" s="1" t="s">
        <v>4030</v>
      </c>
      <c r="I831" s="1" t="s">
        <v>19</v>
      </c>
      <c r="J831" s="1" t="s">
        <v>6</v>
      </c>
      <c r="K831" s="1" t="s">
        <v>34</v>
      </c>
      <c r="L831" s="1">
        <v>6360712</v>
      </c>
      <c r="M831" s="2">
        <v>43356</v>
      </c>
      <c r="N831" s="1" t="s">
        <v>8</v>
      </c>
      <c r="O831" s="2">
        <v>44451</v>
      </c>
    </row>
    <row r="832" spans="1:15" ht="28.8" x14ac:dyDescent="0.3">
      <c r="A832" s="1" t="s">
        <v>2327</v>
      </c>
      <c r="B832" s="1" t="str">
        <f>"SAFER SURFACING LTD"</f>
        <v>SAFER SURFACING LTD</v>
      </c>
      <c r="C832" s="1" t="s">
        <v>2328</v>
      </c>
      <c r="D832" s="1" t="s">
        <v>2329</v>
      </c>
      <c r="E832" s="1" t="s">
        <v>746</v>
      </c>
      <c r="F832" s="1" t="s">
        <v>323</v>
      </c>
      <c r="G832" s="1" t="s">
        <v>324</v>
      </c>
      <c r="H832" s="1" t="s">
        <v>960</v>
      </c>
      <c r="I832" s="1" t="s">
        <v>19</v>
      </c>
      <c r="J832" s="1" t="s">
        <v>6</v>
      </c>
      <c r="K832" s="1" t="s">
        <v>34</v>
      </c>
      <c r="L832" s="1">
        <v>8154182</v>
      </c>
      <c r="M832" s="2">
        <v>43355</v>
      </c>
      <c r="N832" s="1" t="s">
        <v>8</v>
      </c>
      <c r="O832" s="2">
        <v>44450</v>
      </c>
    </row>
    <row r="833" spans="1:15" ht="28.8" x14ac:dyDescent="0.3">
      <c r="A833" s="1" t="s">
        <v>2330</v>
      </c>
      <c r="B833" s="1" t="str">
        <f>"SAFER SURFACING LTD"</f>
        <v>SAFER SURFACING LTD</v>
      </c>
      <c r="C833" s="1" t="s">
        <v>2331</v>
      </c>
      <c r="F833" s="1" t="s">
        <v>323</v>
      </c>
      <c r="G833" s="1" t="s">
        <v>324</v>
      </c>
      <c r="H833" s="1" t="s">
        <v>960</v>
      </c>
      <c r="I833" s="1" t="s">
        <v>19</v>
      </c>
      <c r="J833" s="1" t="s">
        <v>6</v>
      </c>
      <c r="K833" s="1" t="s">
        <v>34</v>
      </c>
      <c r="L833" s="1">
        <v>8154182</v>
      </c>
      <c r="M833" s="2">
        <v>43355</v>
      </c>
      <c r="N833" s="1" t="s">
        <v>8</v>
      </c>
      <c r="O833" s="2">
        <v>44450</v>
      </c>
    </row>
    <row r="834" spans="1:15" ht="28.8" x14ac:dyDescent="0.3">
      <c r="A834" s="1" t="s">
        <v>2332</v>
      </c>
      <c r="B834" s="1" t="str">
        <f>"Jeffrey Stevens  E Waste Recycling"</f>
        <v>Jeffrey Stevens  E Waste Recycling</v>
      </c>
      <c r="C834" s="1" t="s">
        <v>2333</v>
      </c>
      <c r="F834" s="1" t="s">
        <v>179</v>
      </c>
      <c r="G834" s="1" t="s">
        <v>180</v>
      </c>
      <c r="H834" s="1" t="s">
        <v>2334</v>
      </c>
      <c r="I834" s="1" t="s">
        <v>5</v>
      </c>
      <c r="J834" s="1" t="s">
        <v>6</v>
      </c>
      <c r="K834" s="1" t="s">
        <v>34</v>
      </c>
      <c r="M834" s="2">
        <v>43355</v>
      </c>
      <c r="N834" s="1" t="s">
        <v>8</v>
      </c>
      <c r="O834" s="2">
        <v>44450</v>
      </c>
    </row>
    <row r="835" spans="1:15" ht="28.8" x14ac:dyDescent="0.3">
      <c r="A835" s="1" t="s">
        <v>2344</v>
      </c>
      <c r="B835" s="1" t="str">
        <f>"I H &amp; D J Davies"</f>
        <v>I H &amp; D J Davies</v>
      </c>
      <c r="C835" s="1" t="s">
        <v>2345</v>
      </c>
      <c r="F835" s="1" t="s">
        <v>1638</v>
      </c>
      <c r="G835" s="1" t="s">
        <v>51</v>
      </c>
      <c r="H835" s="1" t="s">
        <v>2346</v>
      </c>
      <c r="I835" s="1" t="s">
        <v>125</v>
      </c>
      <c r="J835" s="1" t="s">
        <v>6</v>
      </c>
      <c r="K835" s="1" t="s">
        <v>34</v>
      </c>
      <c r="M835" s="2">
        <v>43355</v>
      </c>
      <c r="N835" s="1" t="s">
        <v>8</v>
      </c>
      <c r="O835" s="2">
        <v>44450</v>
      </c>
    </row>
    <row r="836" spans="1:15" ht="57.6" x14ac:dyDescent="0.3">
      <c r="A836" s="1" t="s">
        <v>2355</v>
      </c>
      <c r="B836" s="1" t="str">
        <f>"Simon robert Pritchard-green S Pritchard Green Carpentry &amp; Building Services"</f>
        <v>Simon robert Pritchard-green S Pritchard Green Carpentry &amp; Building Services</v>
      </c>
      <c r="C836" s="1" t="s">
        <v>2356</v>
      </c>
      <c r="D836" s="1" t="s">
        <v>761</v>
      </c>
      <c r="F836" s="1" t="s">
        <v>64</v>
      </c>
      <c r="G836" s="1" t="s">
        <v>65</v>
      </c>
      <c r="H836" s="1" t="s">
        <v>2357</v>
      </c>
      <c r="I836" s="1" t="s">
        <v>5</v>
      </c>
      <c r="J836" s="1" t="s">
        <v>6</v>
      </c>
      <c r="K836" s="1" t="s">
        <v>34</v>
      </c>
      <c r="M836" s="2">
        <v>43355</v>
      </c>
      <c r="N836" s="1" t="s">
        <v>8</v>
      </c>
      <c r="O836" s="2">
        <v>44450</v>
      </c>
    </row>
    <row r="837" spans="1:15" ht="28.8" x14ac:dyDescent="0.3">
      <c r="A837" s="1" t="s">
        <v>2358</v>
      </c>
      <c r="B837" s="1" t="str">
        <f>"Shapewright Services Limited"</f>
        <v>Shapewright Services Limited</v>
      </c>
      <c r="C837" s="1" t="s">
        <v>2359</v>
      </c>
      <c r="D837" s="1" t="s">
        <v>2360</v>
      </c>
      <c r="F837" s="1" t="s">
        <v>42</v>
      </c>
      <c r="G837" s="1" t="s">
        <v>51</v>
      </c>
      <c r="H837" s="1" t="s">
        <v>2361</v>
      </c>
      <c r="I837" s="1" t="s">
        <v>19</v>
      </c>
      <c r="J837" s="1" t="s">
        <v>6</v>
      </c>
      <c r="K837" s="1" t="s">
        <v>34</v>
      </c>
      <c r="L837" s="1">
        <v>6262359</v>
      </c>
      <c r="M837" s="2">
        <v>43355</v>
      </c>
      <c r="N837" s="1" t="s">
        <v>8</v>
      </c>
      <c r="O837" s="2">
        <v>44450</v>
      </c>
    </row>
    <row r="838" spans="1:15" ht="28.8" x14ac:dyDescent="0.3">
      <c r="A838" s="1" t="s">
        <v>2362</v>
      </c>
      <c r="B838" s="1" t="str">
        <f>"Elite Maintenance Solutions Ltd"</f>
        <v>Elite Maintenance Solutions Ltd</v>
      </c>
      <c r="C838" s="1" t="s">
        <v>2363</v>
      </c>
      <c r="D838" s="1" t="s">
        <v>2364</v>
      </c>
      <c r="E838" s="1" t="s">
        <v>2365</v>
      </c>
      <c r="F838" s="1" t="s">
        <v>42</v>
      </c>
      <c r="G838" s="1" t="s">
        <v>51</v>
      </c>
      <c r="H838" s="1" t="s">
        <v>2366</v>
      </c>
      <c r="I838" s="1" t="s">
        <v>19</v>
      </c>
      <c r="J838" s="1" t="s">
        <v>6</v>
      </c>
      <c r="K838" s="1" t="s">
        <v>34</v>
      </c>
      <c r="L838" s="1">
        <v>6551192</v>
      </c>
      <c r="M838" s="2">
        <v>43355</v>
      </c>
      <c r="N838" s="1" t="s">
        <v>8</v>
      </c>
      <c r="O838" s="2">
        <v>44450</v>
      </c>
    </row>
    <row r="839" spans="1:15" ht="43.2" x14ac:dyDescent="0.3">
      <c r="A839" s="1" t="s">
        <v>32738</v>
      </c>
      <c r="B839" s="1" t="str">
        <f>"Stephen Musto"</f>
        <v>Stephen Musto</v>
      </c>
      <c r="C839" s="1" t="s">
        <v>32739</v>
      </c>
      <c r="D839" s="1" t="s">
        <v>32740</v>
      </c>
      <c r="F839" s="1" t="s">
        <v>2066</v>
      </c>
      <c r="G839" s="1" t="s">
        <v>231</v>
      </c>
      <c r="H839" s="1" t="s">
        <v>32741</v>
      </c>
      <c r="I839" s="1" t="s">
        <v>5</v>
      </c>
      <c r="J839" s="1" t="s">
        <v>67</v>
      </c>
      <c r="K839" s="1" t="s">
        <v>14</v>
      </c>
      <c r="M839" s="2">
        <v>43355</v>
      </c>
      <c r="N839" s="1" t="s">
        <v>8</v>
      </c>
      <c r="O839" s="1" t="s">
        <v>68</v>
      </c>
    </row>
    <row r="840" spans="1:15" ht="28.8" x14ac:dyDescent="0.3">
      <c r="A840" s="1" t="s">
        <v>32787</v>
      </c>
      <c r="B840" s="1" t="str">
        <f>"Tomos Jones TA Jones Contracting"</f>
        <v>Tomos Jones TA Jones Contracting</v>
      </c>
      <c r="C840" s="1" t="s">
        <v>32788</v>
      </c>
      <c r="D840" s="1" t="s">
        <v>32552</v>
      </c>
      <c r="F840" s="1" t="s">
        <v>2757</v>
      </c>
      <c r="G840" s="1" t="s">
        <v>679</v>
      </c>
      <c r="H840" s="1" t="s">
        <v>32789</v>
      </c>
      <c r="I840" s="1" t="s">
        <v>5</v>
      </c>
      <c r="J840" s="1" t="s">
        <v>6</v>
      </c>
      <c r="K840" s="1" t="s">
        <v>24</v>
      </c>
      <c r="M840" s="2">
        <v>43355</v>
      </c>
      <c r="N840" s="1" t="s">
        <v>8</v>
      </c>
      <c r="O840" s="2">
        <v>44450</v>
      </c>
    </row>
    <row r="841" spans="1:15" x14ac:dyDescent="0.3">
      <c r="A841" s="1" t="s">
        <v>32790</v>
      </c>
      <c r="B841" s="1" t="str">
        <f>"S &amp; G Properties"</f>
        <v>S &amp; G Properties</v>
      </c>
      <c r="C841" s="1" t="s">
        <v>32791</v>
      </c>
      <c r="F841" s="1" t="s">
        <v>665</v>
      </c>
      <c r="G841" s="1" t="s">
        <v>51</v>
      </c>
      <c r="H841" s="1" t="s">
        <v>32792</v>
      </c>
      <c r="I841" s="1" t="s">
        <v>125</v>
      </c>
      <c r="J841" s="1" t="s">
        <v>6</v>
      </c>
      <c r="K841" s="1" t="s">
        <v>24</v>
      </c>
      <c r="M841" s="2">
        <v>43355</v>
      </c>
      <c r="N841" s="1" t="s">
        <v>8</v>
      </c>
      <c r="O841" s="2">
        <v>44450</v>
      </c>
    </row>
    <row r="842" spans="1:15" ht="28.8" x14ac:dyDescent="0.3">
      <c r="A842" s="1" t="s">
        <v>32793</v>
      </c>
      <c r="B842" s="1" t="str">
        <f>"Westward Energy Services Ltd."</f>
        <v>Westward Energy Services Ltd.</v>
      </c>
      <c r="C842" s="1" t="s">
        <v>32794</v>
      </c>
      <c r="D842" s="1" t="s">
        <v>108</v>
      </c>
      <c r="F842" s="1" t="s">
        <v>65</v>
      </c>
      <c r="H842" s="1" t="s">
        <v>31443</v>
      </c>
      <c r="I842" s="1" t="s">
        <v>19</v>
      </c>
      <c r="J842" s="1" t="s">
        <v>6</v>
      </c>
      <c r="K842" s="1" t="s">
        <v>34</v>
      </c>
      <c r="L842" s="1">
        <v>4214763</v>
      </c>
      <c r="M842" s="2">
        <v>43355</v>
      </c>
      <c r="N842" s="1" t="s">
        <v>8</v>
      </c>
      <c r="O842" s="2">
        <v>44450</v>
      </c>
    </row>
    <row r="843" spans="1:15" x14ac:dyDescent="0.3">
      <c r="A843" s="1" t="s">
        <v>32795</v>
      </c>
      <c r="B843" s="1" t="str">
        <f>"Prosser Plant Hire"</f>
        <v>Prosser Plant Hire</v>
      </c>
      <c r="C843" s="1" t="s">
        <v>32796</v>
      </c>
      <c r="D843" s="1" t="s">
        <v>31045</v>
      </c>
      <c r="E843" s="1" t="s">
        <v>3509</v>
      </c>
      <c r="F843" s="1" t="s">
        <v>42</v>
      </c>
      <c r="G843" s="1" t="s">
        <v>51</v>
      </c>
      <c r="H843" s="1" t="s">
        <v>32797</v>
      </c>
      <c r="I843" s="1" t="s">
        <v>125</v>
      </c>
      <c r="J843" s="1" t="s">
        <v>6</v>
      </c>
      <c r="K843" s="1" t="s">
        <v>24</v>
      </c>
      <c r="M843" s="2">
        <v>43355</v>
      </c>
      <c r="N843" s="1" t="s">
        <v>8</v>
      </c>
      <c r="O843" s="2">
        <v>44450</v>
      </c>
    </row>
    <row r="844" spans="1:15" ht="28.8" x14ac:dyDescent="0.3">
      <c r="A844" s="1" t="s">
        <v>32798</v>
      </c>
      <c r="B844" s="1" t="str">
        <f>"Taylor Robinson"</f>
        <v>Taylor Robinson</v>
      </c>
      <c r="C844" s="1" t="s">
        <v>32799</v>
      </c>
      <c r="D844" s="1" t="s">
        <v>32800</v>
      </c>
      <c r="E844" s="1" t="s">
        <v>19808</v>
      </c>
      <c r="F844" s="1" t="s">
        <v>4645</v>
      </c>
      <c r="G844" s="1" t="s">
        <v>324</v>
      </c>
      <c r="H844" s="1" t="s">
        <v>32801</v>
      </c>
      <c r="I844" s="1" t="s">
        <v>5</v>
      </c>
      <c r="J844" s="1" t="s">
        <v>6</v>
      </c>
      <c r="K844" s="1" t="s">
        <v>34</v>
      </c>
      <c r="M844" s="2">
        <v>43355</v>
      </c>
      <c r="N844" s="1" t="s">
        <v>8</v>
      </c>
      <c r="O844" s="2">
        <v>44450</v>
      </c>
    </row>
    <row r="845" spans="1:15" ht="28.8" x14ac:dyDescent="0.3">
      <c r="A845" s="1" t="s">
        <v>32808</v>
      </c>
      <c r="B845" s="1" t="str">
        <f>"TJ &amp; EJ Hughes and Sons"</f>
        <v>TJ &amp; EJ Hughes and Sons</v>
      </c>
      <c r="C845" s="1" t="s">
        <v>32809</v>
      </c>
      <c r="D845" s="1" t="s">
        <v>32810</v>
      </c>
      <c r="F845" s="1" t="s">
        <v>1108</v>
      </c>
      <c r="G845" s="1" t="s">
        <v>679</v>
      </c>
      <c r="H845" s="1" t="s">
        <v>3641</v>
      </c>
      <c r="I845" s="1" t="s">
        <v>125</v>
      </c>
      <c r="J845" s="1" t="s">
        <v>6</v>
      </c>
      <c r="K845" s="1" t="s">
        <v>24</v>
      </c>
      <c r="M845" s="2">
        <v>43355</v>
      </c>
      <c r="N845" s="1" t="s">
        <v>8</v>
      </c>
      <c r="O845" s="2">
        <v>44450</v>
      </c>
    </row>
    <row r="846" spans="1:15" ht="43.2" x14ac:dyDescent="0.3">
      <c r="A846" s="1" t="s">
        <v>30653</v>
      </c>
      <c r="B846" s="1" t="str">
        <f>"Cwmbran Fire Protection (SW) Ltd"</f>
        <v>Cwmbran Fire Protection (SW) Ltd</v>
      </c>
      <c r="C846" s="1" t="s">
        <v>876</v>
      </c>
      <c r="D846" s="1" t="s">
        <v>30654</v>
      </c>
      <c r="E846" s="1" t="s">
        <v>2464</v>
      </c>
      <c r="F846" s="1" t="s">
        <v>380</v>
      </c>
      <c r="G846" s="1" t="s">
        <v>381</v>
      </c>
      <c r="H846" s="1" t="s">
        <v>2465</v>
      </c>
      <c r="I846" s="1" t="s">
        <v>19</v>
      </c>
      <c r="J846" s="1" t="s">
        <v>67</v>
      </c>
      <c r="K846" s="1" t="s">
        <v>14</v>
      </c>
      <c r="L846" s="1">
        <v>5659894</v>
      </c>
      <c r="M846" s="2">
        <v>43354</v>
      </c>
      <c r="N846" s="1" t="s">
        <v>8</v>
      </c>
      <c r="O846" s="1" t="s">
        <v>68</v>
      </c>
    </row>
    <row r="847" spans="1:15" ht="43.2" x14ac:dyDescent="0.3">
      <c r="A847" s="1" t="s">
        <v>31662</v>
      </c>
      <c r="B847" s="1" t="str">
        <f>"Monmouthshire County Council"</f>
        <v>Monmouthshire County Council</v>
      </c>
      <c r="C847" s="1" t="s">
        <v>344</v>
      </c>
      <c r="D847" s="1" t="s">
        <v>2065</v>
      </c>
      <c r="F847" s="1" t="s">
        <v>123</v>
      </c>
      <c r="H847" s="1" t="s">
        <v>31663</v>
      </c>
      <c r="I847" s="1" t="s">
        <v>188</v>
      </c>
      <c r="J847" s="1" t="s">
        <v>67</v>
      </c>
      <c r="K847" s="1" t="s">
        <v>34</v>
      </c>
      <c r="M847" s="2">
        <v>43354</v>
      </c>
      <c r="N847" s="1" t="s">
        <v>8</v>
      </c>
      <c r="O847" s="1" t="s">
        <v>68</v>
      </c>
    </row>
    <row r="848" spans="1:15" ht="28.8" x14ac:dyDescent="0.3">
      <c r="A848" s="1" t="s">
        <v>32710</v>
      </c>
      <c r="B848" s="1" t="str">
        <f>"TANDEM TRANSPORT LTD"</f>
        <v>TANDEM TRANSPORT LTD</v>
      </c>
      <c r="C848" s="1" t="s">
        <v>32711</v>
      </c>
      <c r="D848" s="1" t="s">
        <v>32712</v>
      </c>
      <c r="E848" s="1" t="s">
        <v>32713</v>
      </c>
      <c r="F848" s="1" t="s">
        <v>364</v>
      </c>
      <c r="G848" s="1" t="s">
        <v>103</v>
      </c>
      <c r="H848" s="1" t="s">
        <v>3303</v>
      </c>
      <c r="I848" s="1" t="s">
        <v>19</v>
      </c>
      <c r="J848" s="1" t="s">
        <v>6</v>
      </c>
      <c r="K848" s="1" t="s">
        <v>34</v>
      </c>
      <c r="L848" s="1">
        <v>7104041</v>
      </c>
      <c r="M848" s="2">
        <v>43354</v>
      </c>
      <c r="N848" s="1" t="s">
        <v>8</v>
      </c>
      <c r="O848" s="2">
        <v>44449</v>
      </c>
    </row>
    <row r="849" spans="1:15" ht="28.8" x14ac:dyDescent="0.3">
      <c r="A849" s="1" t="s">
        <v>32714</v>
      </c>
      <c r="B849" s="1" t="str">
        <f>"Oliver Hopkins Down 2 Earth"</f>
        <v>Oliver Hopkins Down 2 Earth</v>
      </c>
      <c r="C849" s="1" t="s">
        <v>32715</v>
      </c>
      <c r="F849" s="1" t="s">
        <v>706</v>
      </c>
      <c r="G849" s="1" t="s">
        <v>211</v>
      </c>
      <c r="H849" s="1" t="s">
        <v>32716</v>
      </c>
      <c r="I849" s="1" t="s">
        <v>5</v>
      </c>
      <c r="J849" s="1" t="s">
        <v>6</v>
      </c>
      <c r="K849" s="1" t="s">
        <v>34</v>
      </c>
      <c r="M849" s="2">
        <v>43354</v>
      </c>
      <c r="N849" s="1" t="s">
        <v>8</v>
      </c>
      <c r="O849" s="2">
        <v>44449</v>
      </c>
    </row>
    <row r="850" spans="1:15" ht="43.2" x14ac:dyDescent="0.3">
      <c r="A850" s="1" t="s">
        <v>32735</v>
      </c>
      <c r="B850" s="1" t="str">
        <f>"John Davies Agricultural and Plant Contractor Limited"</f>
        <v>John Davies Agricultural and Plant Contractor Limited</v>
      </c>
      <c r="C850" s="1" t="s">
        <v>32736</v>
      </c>
      <c r="D850" s="1" t="s">
        <v>32737</v>
      </c>
      <c r="F850" s="1" t="s">
        <v>3992</v>
      </c>
      <c r="G850" s="1" t="s">
        <v>51</v>
      </c>
      <c r="H850" s="1" t="s">
        <v>7278</v>
      </c>
      <c r="I850" s="1" t="s">
        <v>19</v>
      </c>
      <c r="J850" s="1" t="s">
        <v>6</v>
      </c>
      <c r="K850" s="1" t="s">
        <v>34</v>
      </c>
      <c r="L850" s="1">
        <v>7959194</v>
      </c>
      <c r="M850" s="2">
        <v>43354</v>
      </c>
      <c r="N850" s="1" t="s">
        <v>8</v>
      </c>
      <c r="O850" s="2">
        <v>44449</v>
      </c>
    </row>
    <row r="851" spans="1:15" ht="43.2" x14ac:dyDescent="0.3">
      <c r="A851" s="1" t="s">
        <v>32662</v>
      </c>
      <c r="B851" s="1" t="str">
        <f>"Mumbles Flooring Ltd"</f>
        <v>Mumbles Flooring Ltd</v>
      </c>
      <c r="C851" s="1" t="s">
        <v>32663</v>
      </c>
      <c r="D851" s="1" t="s">
        <v>32664</v>
      </c>
      <c r="E851" s="1" t="s">
        <v>8931</v>
      </c>
      <c r="F851" s="1" t="s">
        <v>64</v>
      </c>
      <c r="G851" s="1" t="s">
        <v>65</v>
      </c>
      <c r="H851" s="1" t="s">
        <v>32665</v>
      </c>
      <c r="I851" s="1" t="s">
        <v>19</v>
      </c>
      <c r="J851" s="1" t="s">
        <v>67</v>
      </c>
      <c r="K851" s="1" t="s">
        <v>34</v>
      </c>
      <c r="L851" s="1">
        <v>7252847</v>
      </c>
      <c r="M851" s="2">
        <v>43353</v>
      </c>
      <c r="N851" s="1" t="s">
        <v>8</v>
      </c>
      <c r="O851" s="1" t="s">
        <v>68</v>
      </c>
    </row>
    <row r="852" spans="1:15" ht="28.8" x14ac:dyDescent="0.3">
      <c r="A852" s="1" t="s">
        <v>32666</v>
      </c>
      <c r="B852" s="1" t="str">
        <f>"Mold Development LTD"</f>
        <v>Mold Development LTD</v>
      </c>
      <c r="C852" s="1" t="s">
        <v>32667</v>
      </c>
      <c r="D852" s="1" t="s">
        <v>32668</v>
      </c>
      <c r="E852" s="1" t="s">
        <v>1219</v>
      </c>
      <c r="F852" s="1" t="s">
        <v>720</v>
      </c>
      <c r="G852" s="1" t="s">
        <v>324</v>
      </c>
      <c r="H852" s="1" t="s">
        <v>32669</v>
      </c>
      <c r="I852" s="1" t="s">
        <v>19</v>
      </c>
      <c r="J852" s="1" t="s">
        <v>6</v>
      </c>
      <c r="K852" s="1" t="s">
        <v>34</v>
      </c>
      <c r="L852" s="1">
        <v>1235144</v>
      </c>
      <c r="M852" s="2">
        <v>43353</v>
      </c>
      <c r="N852" s="1" t="s">
        <v>8</v>
      </c>
      <c r="O852" s="2">
        <v>44448</v>
      </c>
    </row>
    <row r="853" spans="1:15" ht="28.8" x14ac:dyDescent="0.3">
      <c r="A853" s="1" t="s">
        <v>32670</v>
      </c>
      <c r="B853" s="1" t="str">
        <f>"PAJ Industrial Roofing Ltd"</f>
        <v>PAJ Industrial Roofing Ltd</v>
      </c>
      <c r="C853" s="1" t="s">
        <v>32671</v>
      </c>
      <c r="D853" s="1" t="s">
        <v>424</v>
      </c>
      <c r="F853" s="1" t="s">
        <v>64</v>
      </c>
      <c r="G853" s="1" t="s">
        <v>65</v>
      </c>
      <c r="H853" s="1" t="s">
        <v>31817</v>
      </c>
      <c r="I853" s="1" t="s">
        <v>19</v>
      </c>
      <c r="J853" s="1" t="s">
        <v>6</v>
      </c>
      <c r="K853" s="1" t="s">
        <v>34</v>
      </c>
      <c r="L853" s="1">
        <v>4224208</v>
      </c>
      <c r="M853" s="2">
        <v>43353</v>
      </c>
      <c r="N853" s="1" t="s">
        <v>8</v>
      </c>
      <c r="O853" s="2">
        <v>44448</v>
      </c>
    </row>
    <row r="854" spans="1:15" ht="28.8" x14ac:dyDescent="0.3">
      <c r="A854" s="1" t="s">
        <v>32672</v>
      </c>
      <c r="B854" s="1" t="str">
        <f>"Talgarth Building Supplies Ltd"</f>
        <v>Talgarth Building Supplies Ltd</v>
      </c>
      <c r="C854" s="1" t="s">
        <v>32673</v>
      </c>
      <c r="D854" s="1" t="s">
        <v>32674</v>
      </c>
      <c r="E854" s="1" t="s">
        <v>5074</v>
      </c>
      <c r="F854" s="1" t="s">
        <v>1206</v>
      </c>
      <c r="G854" s="1" t="s">
        <v>162</v>
      </c>
      <c r="H854" s="1" t="s">
        <v>32675</v>
      </c>
      <c r="I854" s="1" t="s">
        <v>19</v>
      </c>
      <c r="J854" s="1" t="s">
        <v>6</v>
      </c>
      <c r="K854" s="1" t="s">
        <v>34</v>
      </c>
      <c r="L854" s="1">
        <v>10612790</v>
      </c>
      <c r="M854" s="2">
        <v>43353</v>
      </c>
      <c r="N854" s="1" t="s">
        <v>8</v>
      </c>
      <c r="O854" s="2">
        <v>44448</v>
      </c>
    </row>
    <row r="855" spans="1:15" ht="28.8" x14ac:dyDescent="0.3">
      <c r="A855" s="1" t="s">
        <v>32676</v>
      </c>
      <c r="B855" s="1" t="str">
        <f>"Kevin Price"</f>
        <v>Kevin Price</v>
      </c>
      <c r="C855" s="1" t="s">
        <v>32677</v>
      </c>
      <c r="D855" s="1" t="s">
        <v>2551</v>
      </c>
      <c r="F855" s="1" t="s">
        <v>798</v>
      </c>
      <c r="G855" s="1" t="s">
        <v>162</v>
      </c>
      <c r="H855" s="1" t="s">
        <v>30669</v>
      </c>
      <c r="I855" s="1" t="s">
        <v>5</v>
      </c>
      <c r="J855" s="1" t="s">
        <v>6</v>
      </c>
      <c r="K855" s="1" t="s">
        <v>34</v>
      </c>
      <c r="M855" s="2">
        <v>43353</v>
      </c>
      <c r="N855" s="1" t="s">
        <v>8</v>
      </c>
      <c r="O855" s="2">
        <v>44448</v>
      </c>
    </row>
    <row r="856" spans="1:15" ht="28.8" x14ac:dyDescent="0.3">
      <c r="A856" s="1" t="s">
        <v>32678</v>
      </c>
      <c r="B856" s="1" t="str">
        <f>"GD &amp; V Bebb"</f>
        <v>GD &amp; V Bebb</v>
      </c>
      <c r="C856" s="1" t="s">
        <v>32679</v>
      </c>
      <c r="D856" s="1" t="s">
        <v>3476</v>
      </c>
      <c r="F856" s="1" t="s">
        <v>3655</v>
      </c>
      <c r="G856" s="1" t="s">
        <v>162</v>
      </c>
      <c r="H856" s="1" t="s">
        <v>3478</v>
      </c>
      <c r="I856" s="1" t="s">
        <v>125</v>
      </c>
      <c r="J856" s="1" t="s">
        <v>6</v>
      </c>
      <c r="K856" s="1" t="s">
        <v>34</v>
      </c>
      <c r="M856" s="2">
        <v>43353</v>
      </c>
      <c r="N856" s="1" t="s">
        <v>8</v>
      </c>
      <c r="O856" s="2">
        <v>44448</v>
      </c>
    </row>
    <row r="857" spans="1:15" ht="28.8" x14ac:dyDescent="0.3">
      <c r="A857" s="1" t="s">
        <v>32680</v>
      </c>
      <c r="B857" s="1" t="str">
        <f>"DICK MANTEUFFEL &amp; SON LTD"</f>
        <v>DICK MANTEUFFEL &amp; SON LTD</v>
      </c>
      <c r="C857" s="1" t="s">
        <v>32681</v>
      </c>
      <c r="D857" s="1" t="s">
        <v>32682</v>
      </c>
      <c r="F857" s="1" t="s">
        <v>15441</v>
      </c>
      <c r="G857" s="1" t="s">
        <v>115</v>
      </c>
      <c r="H857" s="1" t="s">
        <v>32683</v>
      </c>
      <c r="I857" s="1" t="s">
        <v>19</v>
      </c>
      <c r="J857" s="1" t="s">
        <v>6</v>
      </c>
      <c r="K857" s="1" t="s">
        <v>34</v>
      </c>
      <c r="L857" s="1">
        <v>4552590</v>
      </c>
      <c r="M857" s="2">
        <v>43353</v>
      </c>
      <c r="N857" s="1" t="s">
        <v>8</v>
      </c>
      <c r="O857" s="2">
        <v>44448</v>
      </c>
    </row>
    <row r="858" spans="1:15" ht="28.8" x14ac:dyDescent="0.3">
      <c r="A858" s="1" t="s">
        <v>32684</v>
      </c>
      <c r="B858" s="1" t="str">
        <f>"Rhondda Developmnt Co Ltd"</f>
        <v>Rhondda Developmnt Co Ltd</v>
      </c>
      <c r="C858" s="1" t="s">
        <v>32685</v>
      </c>
      <c r="D858" s="1" t="s">
        <v>32686</v>
      </c>
      <c r="F858" s="1" t="s">
        <v>22</v>
      </c>
      <c r="G858" s="1" t="s">
        <v>141</v>
      </c>
      <c r="H858" s="1" t="s">
        <v>32687</v>
      </c>
      <c r="I858" s="1" t="s">
        <v>19</v>
      </c>
      <c r="J858" s="1" t="s">
        <v>6</v>
      </c>
      <c r="K858" s="1" t="s">
        <v>14</v>
      </c>
      <c r="L858" s="1">
        <v>1226708</v>
      </c>
      <c r="M858" s="2">
        <v>43353</v>
      </c>
      <c r="N858" s="1" t="s">
        <v>8</v>
      </c>
      <c r="O858" s="2">
        <v>44448</v>
      </c>
    </row>
    <row r="859" spans="1:15" ht="28.8" x14ac:dyDescent="0.3">
      <c r="A859" s="1" t="s">
        <v>32692</v>
      </c>
      <c r="B859" s="1" t="str">
        <f>"Leanne Hughes Mrs Sheen Commercial"</f>
        <v>Leanne Hughes Mrs Sheen Commercial</v>
      </c>
      <c r="C859" s="1" t="s">
        <v>32693</v>
      </c>
      <c r="D859" s="1" t="s">
        <v>938</v>
      </c>
      <c r="F859" s="1" t="s">
        <v>64</v>
      </c>
      <c r="G859" s="1" t="s">
        <v>65</v>
      </c>
      <c r="H859" s="1" t="s">
        <v>4102</v>
      </c>
      <c r="I859" s="1" t="s">
        <v>5</v>
      </c>
      <c r="J859" s="1" t="s">
        <v>6</v>
      </c>
      <c r="K859" s="1" t="s">
        <v>34</v>
      </c>
      <c r="M859" s="2">
        <v>43353</v>
      </c>
      <c r="N859" s="1" t="s">
        <v>8</v>
      </c>
      <c r="O859" s="2">
        <v>44448</v>
      </c>
    </row>
    <row r="860" spans="1:15" ht="28.8" x14ac:dyDescent="0.3">
      <c r="A860" s="1" t="s">
        <v>32656</v>
      </c>
      <c r="B860" s="1" t="str">
        <f>"Darren Smith"</f>
        <v>Darren Smith</v>
      </c>
      <c r="C860" s="1" t="s">
        <v>32657</v>
      </c>
      <c r="D860" s="1" t="s">
        <v>30533</v>
      </c>
      <c r="F860" s="1" t="s">
        <v>64</v>
      </c>
      <c r="G860" s="1" t="s">
        <v>65</v>
      </c>
      <c r="H860" s="1" t="s">
        <v>32658</v>
      </c>
      <c r="I860" s="1" t="s">
        <v>5</v>
      </c>
      <c r="J860" s="1" t="s">
        <v>6</v>
      </c>
      <c r="K860" s="1" t="s">
        <v>34</v>
      </c>
      <c r="M860" s="2">
        <v>43352</v>
      </c>
      <c r="N860" s="1" t="s">
        <v>8</v>
      </c>
      <c r="O860" s="2">
        <v>44447</v>
      </c>
    </row>
    <row r="861" spans="1:15" ht="28.8" x14ac:dyDescent="0.3">
      <c r="A861" s="1" t="s">
        <v>32694</v>
      </c>
      <c r="B861" s="1" t="str">
        <f>"Amos Edwards"</f>
        <v>Amos Edwards</v>
      </c>
      <c r="C861" s="1" t="s">
        <v>32695</v>
      </c>
      <c r="D861" s="1" t="s">
        <v>238</v>
      </c>
      <c r="F861" s="1" t="s">
        <v>42</v>
      </c>
      <c r="G861" s="1" t="s">
        <v>51</v>
      </c>
      <c r="H861" s="1" t="s">
        <v>32696</v>
      </c>
      <c r="I861" s="1" t="s">
        <v>5</v>
      </c>
      <c r="J861" s="1" t="s">
        <v>6</v>
      </c>
      <c r="K861" s="1" t="s">
        <v>34</v>
      </c>
      <c r="M861" s="2">
        <v>43352</v>
      </c>
      <c r="N861" s="1" t="s">
        <v>8</v>
      </c>
      <c r="O861" s="2">
        <v>44447</v>
      </c>
    </row>
    <row r="862" spans="1:15" ht="28.8" x14ac:dyDescent="0.3">
      <c r="A862" s="1" t="s">
        <v>32697</v>
      </c>
      <c r="B862" s="1" t="str">
        <f>"Draig Haulage LTD"</f>
        <v>Draig Haulage LTD</v>
      </c>
      <c r="C862" s="1" t="s">
        <v>32698</v>
      </c>
      <c r="D862" s="1" t="s">
        <v>28859</v>
      </c>
      <c r="F862" s="1" t="s">
        <v>556</v>
      </c>
      <c r="G862" s="1" t="s">
        <v>556</v>
      </c>
      <c r="H862" s="1" t="s">
        <v>32699</v>
      </c>
      <c r="I862" s="1" t="s">
        <v>19</v>
      </c>
      <c r="J862" s="1" t="s">
        <v>6</v>
      </c>
      <c r="K862" s="1" t="s">
        <v>34</v>
      </c>
      <c r="L862" s="1">
        <v>5300800</v>
      </c>
      <c r="M862" s="2">
        <v>43352</v>
      </c>
      <c r="N862" s="1" t="s">
        <v>8</v>
      </c>
      <c r="O862" s="2">
        <v>44447</v>
      </c>
    </row>
    <row r="863" spans="1:15" x14ac:dyDescent="0.3">
      <c r="A863" s="1" t="s">
        <v>32700</v>
      </c>
      <c r="B863" s="1" t="str">
        <f>"Mark Pask"</f>
        <v>Mark Pask</v>
      </c>
      <c r="C863" s="1" t="s">
        <v>32701</v>
      </c>
      <c r="D863" s="1" t="s">
        <v>2117</v>
      </c>
      <c r="F863" s="1" t="s">
        <v>179</v>
      </c>
      <c r="G863" s="1" t="s">
        <v>180</v>
      </c>
      <c r="H863" s="1" t="s">
        <v>32702</v>
      </c>
      <c r="I863" s="1" t="s">
        <v>5</v>
      </c>
      <c r="J863" s="1" t="s">
        <v>6</v>
      </c>
      <c r="K863" s="1" t="s">
        <v>24</v>
      </c>
      <c r="M863" s="2">
        <v>43352</v>
      </c>
      <c r="N863" s="1" t="s">
        <v>8</v>
      </c>
      <c r="O863" s="2">
        <v>44447</v>
      </c>
    </row>
    <row r="864" spans="1:15" ht="43.2" x14ac:dyDescent="0.3">
      <c r="A864" s="1" t="s">
        <v>2323</v>
      </c>
      <c r="B864" s="1" t="str">
        <f>"Ying Yang"</f>
        <v>Ying Yang</v>
      </c>
      <c r="C864" s="1" t="s">
        <v>2324</v>
      </c>
      <c r="D864" s="1" t="s">
        <v>2325</v>
      </c>
      <c r="F864" s="1" t="s">
        <v>706</v>
      </c>
      <c r="G864" s="1" t="s">
        <v>211</v>
      </c>
      <c r="H864" s="1" t="s">
        <v>2326</v>
      </c>
      <c r="I864" s="1" t="s">
        <v>19</v>
      </c>
      <c r="J864" s="1" t="s">
        <v>67</v>
      </c>
      <c r="K864" s="1" t="s">
        <v>24</v>
      </c>
      <c r="M864" s="2">
        <v>43350</v>
      </c>
      <c r="N864" s="1" t="s">
        <v>8</v>
      </c>
      <c r="O864" s="1" t="s">
        <v>68</v>
      </c>
    </row>
    <row r="865" spans="1:15" ht="28.8" x14ac:dyDescent="0.3">
      <c r="A865" s="1" t="s">
        <v>30582</v>
      </c>
      <c r="B865" s="1" t="str">
        <f>"P W &amp; T Windows"</f>
        <v>P W &amp; T Windows</v>
      </c>
      <c r="C865" s="1" t="s">
        <v>30583</v>
      </c>
      <c r="D865" s="1" t="s">
        <v>15423</v>
      </c>
      <c r="E865" s="1" t="s">
        <v>30584</v>
      </c>
      <c r="F865" s="1" t="s">
        <v>3052</v>
      </c>
      <c r="G865" s="1" t="s">
        <v>359</v>
      </c>
      <c r="H865" s="1" t="s">
        <v>30585</v>
      </c>
      <c r="I865" s="1" t="s">
        <v>125</v>
      </c>
      <c r="J865" s="1" t="s">
        <v>6</v>
      </c>
      <c r="K865" s="1" t="s">
        <v>34</v>
      </c>
      <c r="M865" s="2">
        <v>43350</v>
      </c>
      <c r="N865" s="1" t="s">
        <v>8</v>
      </c>
      <c r="O865" s="2">
        <v>44445</v>
      </c>
    </row>
    <row r="866" spans="1:15" ht="28.8" x14ac:dyDescent="0.3">
      <c r="A866" s="1" t="s">
        <v>30589</v>
      </c>
      <c r="B866" s="1" t="str">
        <f>"Towy Metals LTD"</f>
        <v>Towy Metals LTD</v>
      </c>
      <c r="C866" s="1" t="s">
        <v>30590</v>
      </c>
      <c r="D866" s="1" t="s">
        <v>30591</v>
      </c>
      <c r="E866" s="1" t="s">
        <v>2783</v>
      </c>
      <c r="F866" s="1" t="s">
        <v>2200</v>
      </c>
      <c r="G866" s="1" t="s">
        <v>51</v>
      </c>
      <c r="H866" s="1" t="s">
        <v>26296</v>
      </c>
      <c r="I866" s="1" t="s">
        <v>19</v>
      </c>
      <c r="J866" s="1" t="s">
        <v>6</v>
      </c>
      <c r="K866" s="1" t="s">
        <v>34</v>
      </c>
      <c r="M866" s="2">
        <v>43350</v>
      </c>
      <c r="N866" s="1" t="s">
        <v>8</v>
      </c>
      <c r="O866" s="2">
        <v>44445</v>
      </c>
    </row>
    <row r="867" spans="1:15" x14ac:dyDescent="0.3">
      <c r="A867" s="1" t="s">
        <v>30597</v>
      </c>
      <c r="B867" s="1" t="str">
        <f>"ADT Home Service Ltd"</f>
        <v>ADT Home Service Ltd</v>
      </c>
      <c r="C867" s="1" t="s">
        <v>30598</v>
      </c>
      <c r="D867" s="1" t="s">
        <v>2438</v>
      </c>
      <c r="F867" s="1" t="s">
        <v>156</v>
      </c>
      <c r="G867" s="1" t="s">
        <v>156</v>
      </c>
      <c r="H867" s="1" t="s">
        <v>30599</v>
      </c>
      <c r="I867" s="1" t="s">
        <v>19</v>
      </c>
      <c r="J867" s="1" t="s">
        <v>6</v>
      </c>
      <c r="K867" s="1" t="s">
        <v>24</v>
      </c>
      <c r="M867" s="2">
        <v>43350</v>
      </c>
      <c r="N867" s="1" t="s">
        <v>8</v>
      </c>
      <c r="O867" s="2">
        <v>44445</v>
      </c>
    </row>
    <row r="868" spans="1:15" ht="28.8" x14ac:dyDescent="0.3">
      <c r="A868" s="1" t="s">
        <v>30613</v>
      </c>
      <c r="B868" s="1" t="str">
        <f>"Adrian Griffiths Griffiths Transport"</f>
        <v>Adrian Griffiths Griffiths Transport</v>
      </c>
      <c r="C868" s="1" t="s">
        <v>30614</v>
      </c>
      <c r="F868" s="1" t="s">
        <v>5409</v>
      </c>
      <c r="G868" s="1" t="s">
        <v>162</v>
      </c>
      <c r="H868" s="1" t="s">
        <v>30615</v>
      </c>
      <c r="I868" s="1" t="s">
        <v>5</v>
      </c>
      <c r="J868" s="1" t="s">
        <v>6</v>
      </c>
      <c r="K868" s="1" t="s">
        <v>34</v>
      </c>
      <c r="M868" s="2">
        <v>43350</v>
      </c>
      <c r="N868" s="1" t="s">
        <v>8</v>
      </c>
      <c r="O868" s="2">
        <v>44445</v>
      </c>
    </row>
    <row r="869" spans="1:15" ht="28.8" x14ac:dyDescent="0.3">
      <c r="A869" s="1" t="s">
        <v>30624</v>
      </c>
      <c r="B869" s="1" t="str">
        <f>"John Doran Fountain Developments (Sileby)"</f>
        <v>John Doran Fountain Developments (Sileby)</v>
      </c>
      <c r="C869" s="1" t="s">
        <v>30625</v>
      </c>
      <c r="D869" s="1" t="s">
        <v>23097</v>
      </c>
      <c r="F869" s="1" t="s">
        <v>64</v>
      </c>
      <c r="G869" s="1" t="s">
        <v>51</v>
      </c>
      <c r="H869" s="1" t="s">
        <v>30626</v>
      </c>
      <c r="I869" s="1" t="s">
        <v>5</v>
      </c>
      <c r="J869" s="1" t="s">
        <v>6</v>
      </c>
      <c r="K869" s="1" t="s">
        <v>34</v>
      </c>
      <c r="M869" s="2">
        <v>43350</v>
      </c>
      <c r="N869" s="1" t="s">
        <v>8</v>
      </c>
      <c r="O869" s="2">
        <v>44445</v>
      </c>
    </row>
    <row r="870" spans="1:15" ht="28.8" x14ac:dyDescent="0.3">
      <c r="A870" s="1" t="s">
        <v>30556</v>
      </c>
      <c r="B870" s="1" t="str">
        <f>"Total Protective Solutions 360 Ltd"</f>
        <v>Total Protective Solutions 360 Ltd</v>
      </c>
      <c r="C870" s="1" t="s">
        <v>30557</v>
      </c>
      <c r="D870" s="1" t="s">
        <v>2079</v>
      </c>
      <c r="F870" s="1" t="s">
        <v>103</v>
      </c>
      <c r="H870" s="1" t="s">
        <v>2080</v>
      </c>
      <c r="I870" s="1" t="s">
        <v>19</v>
      </c>
      <c r="J870" s="1" t="s">
        <v>6</v>
      </c>
      <c r="K870" s="1" t="s">
        <v>24</v>
      </c>
      <c r="L870" s="1">
        <v>6748596</v>
      </c>
      <c r="M870" s="2">
        <v>43349</v>
      </c>
      <c r="N870" s="1" t="s">
        <v>8</v>
      </c>
      <c r="O870" s="2">
        <v>44444</v>
      </c>
    </row>
    <row r="871" spans="1:15" ht="28.8" x14ac:dyDescent="0.3">
      <c r="A871" s="1" t="s">
        <v>30558</v>
      </c>
      <c r="B871" s="1" t="str">
        <f>"Robert Boyle"</f>
        <v>Robert Boyle</v>
      </c>
      <c r="C871" s="1" t="s">
        <v>30559</v>
      </c>
      <c r="D871" s="1" t="s">
        <v>30560</v>
      </c>
      <c r="F871" s="1" t="s">
        <v>64</v>
      </c>
      <c r="G871" s="1" t="s">
        <v>65</v>
      </c>
      <c r="H871" s="1" t="s">
        <v>30561</v>
      </c>
      <c r="I871" s="1" t="s">
        <v>5</v>
      </c>
      <c r="J871" s="1" t="s">
        <v>6</v>
      </c>
      <c r="K871" s="1" t="s">
        <v>34</v>
      </c>
      <c r="M871" s="2">
        <v>43349</v>
      </c>
      <c r="N871" s="1" t="s">
        <v>8</v>
      </c>
      <c r="O871" s="2">
        <v>44444</v>
      </c>
    </row>
    <row r="872" spans="1:15" ht="28.8" x14ac:dyDescent="0.3">
      <c r="A872" s="1" t="s">
        <v>30563</v>
      </c>
      <c r="B872" s="1" t="str">
        <f>"Taylor Robinson"</f>
        <v>Taylor Robinson</v>
      </c>
      <c r="C872" s="1" t="s">
        <v>30564</v>
      </c>
      <c r="D872" s="1" t="s">
        <v>30565</v>
      </c>
      <c r="F872" s="1" t="s">
        <v>798</v>
      </c>
      <c r="G872" s="1" t="s">
        <v>162</v>
      </c>
      <c r="H872" s="1" t="s">
        <v>23449</v>
      </c>
      <c r="I872" s="1" t="s">
        <v>5</v>
      </c>
      <c r="J872" s="1" t="s">
        <v>6</v>
      </c>
      <c r="K872" s="1" t="s">
        <v>34</v>
      </c>
      <c r="M872" s="2">
        <v>43349</v>
      </c>
      <c r="N872" s="1" t="s">
        <v>8</v>
      </c>
      <c r="O872" s="2">
        <v>44444</v>
      </c>
    </row>
    <row r="873" spans="1:15" ht="28.8" x14ac:dyDescent="0.3">
      <c r="A873" s="1" t="s">
        <v>30566</v>
      </c>
      <c r="B873" s="1" t="str">
        <f>"Taylor Robinson"</f>
        <v>Taylor Robinson</v>
      </c>
      <c r="C873" s="1" t="s">
        <v>30567</v>
      </c>
      <c r="D873" s="1" t="s">
        <v>1655</v>
      </c>
      <c r="F873" s="1" t="s">
        <v>32</v>
      </c>
      <c r="G873" s="1" t="s">
        <v>109</v>
      </c>
      <c r="H873" s="1" t="s">
        <v>30568</v>
      </c>
      <c r="I873" s="1" t="s">
        <v>5</v>
      </c>
      <c r="J873" s="1" t="s">
        <v>6</v>
      </c>
      <c r="K873" s="1" t="s">
        <v>34</v>
      </c>
      <c r="M873" s="2">
        <v>43349</v>
      </c>
      <c r="N873" s="1" t="s">
        <v>8</v>
      </c>
      <c r="O873" s="2">
        <v>44444</v>
      </c>
    </row>
    <row r="874" spans="1:15" ht="28.8" x14ac:dyDescent="0.3">
      <c r="A874" s="1" t="s">
        <v>30569</v>
      </c>
      <c r="B874" s="1" t="str">
        <f>"Taylor Robinson"</f>
        <v>Taylor Robinson</v>
      </c>
      <c r="C874" s="1" t="s">
        <v>30570</v>
      </c>
      <c r="D874" s="1" t="s">
        <v>29621</v>
      </c>
      <c r="F874" s="1" t="s">
        <v>277</v>
      </c>
      <c r="G874" s="1" t="s">
        <v>141</v>
      </c>
      <c r="H874" s="1" t="s">
        <v>30571</v>
      </c>
      <c r="I874" s="1" t="s">
        <v>5</v>
      </c>
      <c r="J874" s="1" t="s">
        <v>6</v>
      </c>
      <c r="K874" s="1" t="s">
        <v>34</v>
      </c>
      <c r="M874" s="2">
        <v>43349</v>
      </c>
      <c r="N874" s="1" t="s">
        <v>8</v>
      </c>
      <c r="O874" s="2">
        <v>44444</v>
      </c>
    </row>
    <row r="875" spans="1:15" ht="28.8" x14ac:dyDescent="0.3">
      <c r="A875" s="1" t="s">
        <v>30572</v>
      </c>
      <c r="B875" s="1" t="str">
        <f>"Clanfern Properties"</f>
        <v>Clanfern Properties</v>
      </c>
      <c r="C875" s="1" t="s">
        <v>30573</v>
      </c>
      <c r="D875" s="1" t="s">
        <v>55</v>
      </c>
      <c r="F875" s="1" t="s">
        <v>64</v>
      </c>
      <c r="G875" s="1" t="s">
        <v>65</v>
      </c>
      <c r="H875" s="1" t="s">
        <v>30574</v>
      </c>
      <c r="I875" s="1" t="s">
        <v>19</v>
      </c>
      <c r="J875" s="1" t="s">
        <v>6</v>
      </c>
      <c r="K875" s="1" t="s">
        <v>34</v>
      </c>
      <c r="L875" s="1">
        <v>4179312</v>
      </c>
      <c r="M875" s="2">
        <v>43349</v>
      </c>
      <c r="N875" s="1" t="s">
        <v>8</v>
      </c>
      <c r="O875" s="2">
        <v>44444</v>
      </c>
    </row>
    <row r="876" spans="1:15" ht="28.8" x14ac:dyDescent="0.3">
      <c r="A876" s="1" t="s">
        <v>30575</v>
      </c>
      <c r="B876" s="1" t="str">
        <f>"Taylor Robinson"</f>
        <v>Taylor Robinson</v>
      </c>
      <c r="C876" s="1" t="s">
        <v>30576</v>
      </c>
      <c r="D876" s="1" t="s">
        <v>30577</v>
      </c>
      <c r="F876" s="1" t="s">
        <v>2504</v>
      </c>
      <c r="G876" s="1" t="s">
        <v>3</v>
      </c>
      <c r="H876" s="1" t="s">
        <v>30578</v>
      </c>
      <c r="I876" s="1" t="s">
        <v>5</v>
      </c>
      <c r="J876" s="1" t="s">
        <v>6</v>
      </c>
      <c r="K876" s="1" t="s">
        <v>34</v>
      </c>
      <c r="M876" s="2">
        <v>43349</v>
      </c>
      <c r="N876" s="1" t="s">
        <v>8</v>
      </c>
      <c r="O876" s="2">
        <v>44444</v>
      </c>
    </row>
    <row r="877" spans="1:15" ht="28.8" x14ac:dyDescent="0.3">
      <c r="A877" s="1" t="s">
        <v>30586</v>
      </c>
      <c r="B877" s="1" t="str">
        <f>"John Roberts"</f>
        <v>John Roberts</v>
      </c>
      <c r="C877" s="1" t="s">
        <v>30587</v>
      </c>
      <c r="D877" s="1" t="s">
        <v>30588</v>
      </c>
      <c r="E877" s="1" t="s">
        <v>4876</v>
      </c>
      <c r="F877" s="1" t="s">
        <v>476</v>
      </c>
      <c r="G877" s="1" t="s">
        <v>73</v>
      </c>
      <c r="H877" s="1" t="s">
        <v>4877</v>
      </c>
      <c r="I877" s="1" t="s">
        <v>5</v>
      </c>
      <c r="J877" s="1" t="s">
        <v>6</v>
      </c>
      <c r="K877" s="1" t="s">
        <v>24</v>
      </c>
      <c r="M877" s="2">
        <v>43349</v>
      </c>
      <c r="N877" s="1" t="s">
        <v>8</v>
      </c>
      <c r="O877" s="2">
        <v>44444</v>
      </c>
    </row>
    <row r="878" spans="1:15" ht="28.8" x14ac:dyDescent="0.3">
      <c r="A878" s="1" t="s">
        <v>30641</v>
      </c>
      <c r="B878" s="1" t="str">
        <f>"Thomas Jones"</f>
        <v>Thomas Jones</v>
      </c>
      <c r="C878" s="1" t="s">
        <v>30642</v>
      </c>
      <c r="D878" s="1" t="s">
        <v>1452</v>
      </c>
      <c r="E878" s="1" t="s">
        <v>4123</v>
      </c>
      <c r="F878" s="1" t="s">
        <v>42</v>
      </c>
      <c r="G878" s="1" t="s">
        <v>51</v>
      </c>
      <c r="H878" s="1" t="s">
        <v>30643</v>
      </c>
      <c r="I878" s="1" t="s">
        <v>5</v>
      </c>
      <c r="J878" s="1" t="s">
        <v>6</v>
      </c>
      <c r="K878" s="1" t="s">
        <v>34</v>
      </c>
      <c r="M878" s="2">
        <v>43349</v>
      </c>
      <c r="N878" s="1" t="s">
        <v>8</v>
      </c>
      <c r="O878" s="2">
        <v>44444</v>
      </c>
    </row>
    <row r="879" spans="1:15" ht="28.8" x14ac:dyDescent="0.3">
      <c r="A879" s="1" t="s">
        <v>30647</v>
      </c>
      <c r="B879" s="1" t="str">
        <f>"MP Lifting"</f>
        <v>MP Lifting</v>
      </c>
      <c r="C879" s="1" t="s">
        <v>30648</v>
      </c>
      <c r="F879" s="1" t="s">
        <v>922</v>
      </c>
      <c r="G879" s="1" t="s">
        <v>73</v>
      </c>
      <c r="H879" s="1" t="s">
        <v>30649</v>
      </c>
      <c r="I879" s="1" t="s">
        <v>125</v>
      </c>
      <c r="J879" s="1" t="s">
        <v>6</v>
      </c>
      <c r="K879" s="1" t="s">
        <v>34</v>
      </c>
      <c r="M879" s="2">
        <v>43349</v>
      </c>
      <c r="N879" s="1" t="s">
        <v>8</v>
      </c>
      <c r="O879" s="2">
        <v>44444</v>
      </c>
    </row>
    <row r="880" spans="1:15" x14ac:dyDescent="0.3">
      <c r="A880" s="1" t="s">
        <v>30650</v>
      </c>
      <c r="B880" s="1" t="str">
        <f>"Paul Smith"</f>
        <v>Paul Smith</v>
      </c>
      <c r="C880" s="1" t="s">
        <v>30651</v>
      </c>
      <c r="F880" s="1" t="s">
        <v>476</v>
      </c>
      <c r="G880" s="1" t="s">
        <v>73</v>
      </c>
      <c r="H880" s="1" t="s">
        <v>30652</v>
      </c>
      <c r="I880" s="1" t="s">
        <v>5</v>
      </c>
      <c r="J880" s="1" t="s">
        <v>6</v>
      </c>
      <c r="K880" s="1" t="s">
        <v>24</v>
      </c>
      <c r="M880" s="2">
        <v>43349</v>
      </c>
      <c r="N880" s="1" t="s">
        <v>8</v>
      </c>
      <c r="O880" s="2">
        <v>44444</v>
      </c>
    </row>
    <row r="881" spans="1:15" ht="43.2" x14ac:dyDescent="0.3">
      <c r="A881" s="1" t="s">
        <v>32651</v>
      </c>
      <c r="B881" s="1" t="str">
        <f>"Gary Brown"</f>
        <v>Gary Brown</v>
      </c>
      <c r="C881" s="1" t="s">
        <v>32652</v>
      </c>
      <c r="D881" s="1" t="s">
        <v>32653</v>
      </c>
      <c r="E881" s="1" t="s">
        <v>32654</v>
      </c>
      <c r="F881" s="1" t="s">
        <v>1385</v>
      </c>
      <c r="G881" s="1" t="s">
        <v>654</v>
      </c>
      <c r="H881" s="1" t="s">
        <v>32655</v>
      </c>
      <c r="I881" s="1" t="s">
        <v>5</v>
      </c>
      <c r="J881" s="1" t="s">
        <v>67</v>
      </c>
      <c r="K881" s="1" t="s">
        <v>24</v>
      </c>
      <c r="M881" s="2">
        <v>43346</v>
      </c>
      <c r="N881" s="1" t="s">
        <v>8</v>
      </c>
      <c r="O881" s="1" t="s">
        <v>68</v>
      </c>
    </row>
    <row r="882" spans="1:15" ht="28.8" x14ac:dyDescent="0.3">
      <c r="A882" s="1" t="s">
        <v>32647</v>
      </c>
      <c r="B882" s="1" t="str">
        <f>"Shaun Hughes"</f>
        <v>Shaun Hughes</v>
      </c>
      <c r="C882" s="1" t="s">
        <v>32648</v>
      </c>
      <c r="D882" s="1" t="s">
        <v>32649</v>
      </c>
      <c r="F882" s="1" t="s">
        <v>710</v>
      </c>
      <c r="G882" s="1" t="s">
        <v>3</v>
      </c>
      <c r="H882" s="1" t="s">
        <v>32650</v>
      </c>
      <c r="I882" s="1" t="s">
        <v>5</v>
      </c>
      <c r="J882" s="1" t="s">
        <v>6</v>
      </c>
      <c r="K882" s="1" t="s">
        <v>34</v>
      </c>
      <c r="M882" s="2">
        <v>43342</v>
      </c>
      <c r="N882" s="1" t="s">
        <v>8</v>
      </c>
      <c r="O882" s="2">
        <v>44437</v>
      </c>
    </row>
    <row r="883" spans="1:15" ht="28.8" x14ac:dyDescent="0.3">
      <c r="A883" s="1" t="s">
        <v>31650</v>
      </c>
      <c r="B883" s="1" t="str">
        <f>"David Smith"</f>
        <v>David Smith</v>
      </c>
      <c r="C883" s="1" t="s">
        <v>31651</v>
      </c>
      <c r="F883" s="1" t="s">
        <v>1351</v>
      </c>
      <c r="G883" s="1" t="s">
        <v>109</v>
      </c>
      <c r="H883" s="1" t="s">
        <v>31652</v>
      </c>
      <c r="I883" s="1" t="s">
        <v>5</v>
      </c>
      <c r="J883" s="1" t="s">
        <v>6</v>
      </c>
      <c r="K883" s="1" t="s">
        <v>34</v>
      </c>
      <c r="M883" s="2">
        <v>43341</v>
      </c>
      <c r="N883" s="1" t="s">
        <v>8</v>
      </c>
      <c r="O883" s="2">
        <v>44436</v>
      </c>
    </row>
    <row r="884" spans="1:15" x14ac:dyDescent="0.3">
      <c r="A884" s="1" t="s">
        <v>31653</v>
      </c>
      <c r="B884" s="1" t="str">
        <f>"Oliver Skinner"</f>
        <v>Oliver Skinner</v>
      </c>
      <c r="C884" s="1" t="s">
        <v>31654</v>
      </c>
      <c r="F884" s="1" t="s">
        <v>930</v>
      </c>
      <c r="G884" s="1" t="s">
        <v>211</v>
      </c>
      <c r="H884" s="1" t="s">
        <v>31655</v>
      </c>
      <c r="I884" s="1" t="s">
        <v>5</v>
      </c>
      <c r="J884" s="1" t="s">
        <v>6</v>
      </c>
      <c r="K884" s="1" t="s">
        <v>24</v>
      </c>
      <c r="M884" s="2">
        <v>43341</v>
      </c>
      <c r="N884" s="1" t="s">
        <v>8</v>
      </c>
      <c r="O884" s="2">
        <v>44436</v>
      </c>
    </row>
    <row r="885" spans="1:15" ht="28.8" x14ac:dyDescent="0.3">
      <c r="A885" s="1" t="s">
        <v>2316</v>
      </c>
      <c r="B885" s="1" t="str">
        <f>"Samuel Bowen"</f>
        <v>Samuel Bowen</v>
      </c>
      <c r="C885" s="1" t="s">
        <v>2317</v>
      </c>
      <c r="D885" s="1" t="s">
        <v>1933</v>
      </c>
      <c r="F885" s="1" t="s">
        <v>64</v>
      </c>
      <c r="G885" s="1" t="s">
        <v>65</v>
      </c>
      <c r="H885" s="1" t="s">
        <v>2318</v>
      </c>
      <c r="I885" s="1" t="s">
        <v>5</v>
      </c>
      <c r="J885" s="1" t="s">
        <v>6</v>
      </c>
      <c r="K885" s="1" t="s">
        <v>34</v>
      </c>
      <c r="M885" s="2">
        <v>43340</v>
      </c>
      <c r="N885" s="1" t="s">
        <v>8</v>
      </c>
      <c r="O885" s="2">
        <v>44435</v>
      </c>
    </row>
    <row r="886" spans="1:15" ht="28.8" x14ac:dyDescent="0.3">
      <c r="A886" s="1" t="s">
        <v>30528</v>
      </c>
      <c r="B886" s="1" t="str">
        <f>"Avaya Group LTD"</f>
        <v>Avaya Group LTD</v>
      </c>
      <c r="C886" s="1" t="s">
        <v>30529</v>
      </c>
      <c r="D886" s="1" t="s">
        <v>6218</v>
      </c>
      <c r="E886" s="1" t="s">
        <v>30530</v>
      </c>
      <c r="F886" s="1" t="s">
        <v>42</v>
      </c>
      <c r="G886" s="1" t="s">
        <v>51</v>
      </c>
      <c r="H886" s="1" t="s">
        <v>6220</v>
      </c>
      <c r="I886" s="1" t="s">
        <v>19</v>
      </c>
      <c r="J886" s="1" t="s">
        <v>6</v>
      </c>
      <c r="K886" s="1" t="s">
        <v>34</v>
      </c>
      <c r="L886" s="1">
        <v>11426520</v>
      </c>
      <c r="M886" s="2">
        <v>43340</v>
      </c>
      <c r="N886" s="1" t="s">
        <v>8</v>
      </c>
      <c r="O886" s="2">
        <v>44435</v>
      </c>
    </row>
    <row r="887" spans="1:15" ht="43.2" x14ac:dyDescent="0.3">
      <c r="A887" s="1" t="s">
        <v>30531</v>
      </c>
      <c r="B887" s="1" t="str">
        <f>"Spencer John"</f>
        <v>Spencer John</v>
      </c>
      <c r="C887" s="1" t="s">
        <v>30532</v>
      </c>
      <c r="D887" s="1" t="s">
        <v>30533</v>
      </c>
      <c r="F887" s="1" t="s">
        <v>64</v>
      </c>
      <c r="G887" s="1" t="s">
        <v>65</v>
      </c>
      <c r="H887" s="1" t="s">
        <v>30534</v>
      </c>
      <c r="I887" s="1" t="s">
        <v>5</v>
      </c>
      <c r="J887" s="1" t="s">
        <v>67</v>
      </c>
      <c r="K887" s="1" t="s">
        <v>24</v>
      </c>
      <c r="M887" s="2">
        <v>43340</v>
      </c>
      <c r="N887" s="1" t="s">
        <v>8</v>
      </c>
      <c r="O887" s="1" t="s">
        <v>68</v>
      </c>
    </row>
    <row r="888" spans="1:15" x14ac:dyDescent="0.3">
      <c r="A888" s="1" t="s">
        <v>30535</v>
      </c>
      <c r="B888" s="1" t="str">
        <f>"Brian E Jones"</f>
        <v>Brian E Jones</v>
      </c>
      <c r="C888" s="1" t="s">
        <v>30536</v>
      </c>
      <c r="F888" s="1" t="s">
        <v>4645</v>
      </c>
      <c r="G888" s="1" t="s">
        <v>324</v>
      </c>
      <c r="H888" s="1" t="s">
        <v>30537</v>
      </c>
      <c r="I888" s="1" t="s">
        <v>125</v>
      </c>
      <c r="J888" s="1" t="s">
        <v>6</v>
      </c>
      <c r="K888" s="1" t="s">
        <v>24</v>
      </c>
      <c r="M888" s="2">
        <v>43340</v>
      </c>
      <c r="N888" s="1" t="s">
        <v>8</v>
      </c>
      <c r="O888" s="2">
        <v>44435</v>
      </c>
    </row>
    <row r="889" spans="1:15" ht="28.8" x14ac:dyDescent="0.3">
      <c r="A889" s="1" t="s">
        <v>30538</v>
      </c>
      <c r="B889" s="1" t="str">
        <f>"Splash Plumbing &amp; Heating Engineers LTD"</f>
        <v>Splash Plumbing &amp; Heating Engineers LTD</v>
      </c>
      <c r="C889" s="1" t="s">
        <v>30539</v>
      </c>
      <c r="D889" s="1" t="s">
        <v>30540</v>
      </c>
      <c r="F889" s="1" t="s">
        <v>2459</v>
      </c>
      <c r="G889" s="1" t="s">
        <v>162</v>
      </c>
      <c r="H889" s="1" t="s">
        <v>30541</v>
      </c>
      <c r="I889" s="1" t="s">
        <v>19</v>
      </c>
      <c r="J889" s="1" t="s">
        <v>6</v>
      </c>
      <c r="K889" s="1" t="s">
        <v>34</v>
      </c>
      <c r="M889" s="2">
        <v>43340</v>
      </c>
      <c r="N889" s="1" t="s">
        <v>8</v>
      </c>
      <c r="O889" s="2">
        <v>44435</v>
      </c>
    </row>
    <row r="890" spans="1:15" x14ac:dyDescent="0.3">
      <c r="A890" s="1" t="s">
        <v>30542</v>
      </c>
      <c r="B890" s="1" t="str">
        <f>"Midwest Plant Limited"</f>
        <v>Midwest Plant Limited</v>
      </c>
      <c r="C890" s="1" t="s">
        <v>30543</v>
      </c>
      <c r="F890" s="1" t="s">
        <v>3415</v>
      </c>
      <c r="H890" s="1" t="s">
        <v>30544</v>
      </c>
      <c r="I890" s="1" t="s">
        <v>19</v>
      </c>
      <c r="J890" s="1" t="s">
        <v>6</v>
      </c>
      <c r="K890" s="1" t="s">
        <v>24</v>
      </c>
      <c r="L890" s="1">
        <v>7501036</v>
      </c>
      <c r="M890" s="2">
        <v>43340</v>
      </c>
      <c r="N890" s="1" t="s">
        <v>8</v>
      </c>
      <c r="O890" s="2">
        <v>44435</v>
      </c>
    </row>
    <row r="891" spans="1:15" ht="28.8" x14ac:dyDescent="0.3">
      <c r="A891" s="1" t="s">
        <v>30545</v>
      </c>
      <c r="B891" s="1" t="str">
        <f>"CS Landscaping &amp; Tree Services LTD"</f>
        <v>CS Landscaping &amp; Tree Services LTD</v>
      </c>
      <c r="C891" s="1" t="s">
        <v>30546</v>
      </c>
      <c r="D891" s="1" t="s">
        <v>30547</v>
      </c>
      <c r="F891" s="1" t="s">
        <v>230</v>
      </c>
      <c r="G891" s="1" t="s">
        <v>231</v>
      </c>
      <c r="H891" s="1" t="s">
        <v>30548</v>
      </c>
      <c r="I891" s="1" t="s">
        <v>19</v>
      </c>
      <c r="J891" s="1" t="s">
        <v>6</v>
      </c>
      <c r="K891" s="1" t="s">
        <v>34</v>
      </c>
      <c r="L891" s="1">
        <v>10410547</v>
      </c>
      <c r="M891" s="2">
        <v>43340</v>
      </c>
      <c r="N891" s="1" t="s">
        <v>8</v>
      </c>
      <c r="O891" s="2">
        <v>44435</v>
      </c>
    </row>
    <row r="892" spans="1:15" x14ac:dyDescent="0.3">
      <c r="A892" s="1" t="s">
        <v>30549</v>
      </c>
      <c r="B892" s="1" t="str">
        <f>"I and P Solutions"</f>
        <v>I and P Solutions</v>
      </c>
      <c r="C892" s="1" t="s">
        <v>30550</v>
      </c>
      <c r="D892" s="1" t="s">
        <v>15670</v>
      </c>
      <c r="F892" s="1" t="s">
        <v>323</v>
      </c>
      <c r="G892" s="1" t="s">
        <v>324</v>
      </c>
      <c r="H892" s="1" t="s">
        <v>30551</v>
      </c>
      <c r="I892" s="1" t="s">
        <v>125</v>
      </c>
      <c r="J892" s="1" t="s">
        <v>6</v>
      </c>
      <c r="K892" s="1" t="s">
        <v>24</v>
      </c>
      <c r="M892" s="2">
        <v>43340</v>
      </c>
      <c r="N892" s="1" t="s">
        <v>8</v>
      </c>
      <c r="O892" s="2">
        <v>44435</v>
      </c>
    </row>
    <row r="893" spans="1:15" ht="43.2" x14ac:dyDescent="0.3">
      <c r="A893" s="1" t="s">
        <v>32644</v>
      </c>
      <c r="B893" s="1" t="str">
        <f>"Dean Williams"</f>
        <v>Dean Williams</v>
      </c>
      <c r="C893" s="1" t="s">
        <v>32645</v>
      </c>
      <c r="D893" s="1" t="s">
        <v>3104</v>
      </c>
      <c r="F893" s="1" t="s">
        <v>767</v>
      </c>
      <c r="G893" s="1" t="s">
        <v>141</v>
      </c>
      <c r="H893" s="1" t="s">
        <v>32646</v>
      </c>
      <c r="I893" s="1" t="s">
        <v>5</v>
      </c>
      <c r="J893" s="1" t="s">
        <v>67</v>
      </c>
      <c r="K893" s="1" t="s">
        <v>24</v>
      </c>
      <c r="M893" s="2">
        <v>43340</v>
      </c>
      <c r="N893" s="1" t="s">
        <v>8</v>
      </c>
      <c r="O893" s="1" t="s">
        <v>68</v>
      </c>
    </row>
    <row r="894" spans="1:15" ht="28.8" x14ac:dyDescent="0.3">
      <c r="A894" s="1" t="s">
        <v>2296</v>
      </c>
      <c r="B894" s="1" t="str">
        <f>"Economic Timber Recycling"</f>
        <v>Economic Timber Recycling</v>
      </c>
      <c r="C894" s="1" t="s">
        <v>2297</v>
      </c>
      <c r="D894" s="1" t="s">
        <v>2298</v>
      </c>
      <c r="E894" s="1" t="s">
        <v>2299</v>
      </c>
      <c r="F894" s="1" t="s">
        <v>665</v>
      </c>
      <c r="G894" s="1" t="s">
        <v>51</v>
      </c>
      <c r="H894" s="1" t="s">
        <v>2300</v>
      </c>
      <c r="I894" s="1" t="s">
        <v>125</v>
      </c>
      <c r="J894" s="1" t="s">
        <v>6</v>
      </c>
      <c r="K894" s="1" t="s">
        <v>24</v>
      </c>
      <c r="M894" s="2">
        <v>43335</v>
      </c>
      <c r="N894" s="1" t="s">
        <v>8</v>
      </c>
      <c r="O894" s="2">
        <v>44430</v>
      </c>
    </row>
    <row r="895" spans="1:15" ht="28.8" x14ac:dyDescent="0.3">
      <c r="A895" s="1" t="s">
        <v>2301</v>
      </c>
      <c r="B895" s="1" t="str">
        <f>"Dennis Roberts"</f>
        <v>Dennis Roberts</v>
      </c>
      <c r="C895" s="1" t="s">
        <v>2302</v>
      </c>
      <c r="F895" s="1" t="s">
        <v>476</v>
      </c>
      <c r="G895" s="1" t="s">
        <v>73</v>
      </c>
      <c r="H895" s="1" t="s">
        <v>2303</v>
      </c>
      <c r="I895" s="1" t="s">
        <v>5</v>
      </c>
      <c r="J895" s="1" t="s">
        <v>6</v>
      </c>
      <c r="K895" s="1" t="s">
        <v>34</v>
      </c>
      <c r="M895" s="2">
        <v>43335</v>
      </c>
      <c r="N895" s="1" t="s">
        <v>8</v>
      </c>
      <c r="O895" s="2">
        <v>44430</v>
      </c>
    </row>
    <row r="896" spans="1:15" ht="28.8" x14ac:dyDescent="0.3">
      <c r="A896" s="1" t="s">
        <v>2304</v>
      </c>
      <c r="B896" s="1" t="str">
        <f>"Antur Teifi Cyf"</f>
        <v>Antur Teifi Cyf</v>
      </c>
      <c r="C896" s="1" t="s">
        <v>2305</v>
      </c>
      <c r="D896" s="1" t="s">
        <v>2306</v>
      </c>
      <c r="E896" s="1" t="s">
        <v>2307</v>
      </c>
      <c r="F896" s="1" t="s">
        <v>1021</v>
      </c>
      <c r="G896" s="1" t="s">
        <v>51</v>
      </c>
      <c r="H896" s="1" t="s">
        <v>2308</v>
      </c>
      <c r="I896" s="1" t="s">
        <v>19</v>
      </c>
      <c r="J896" s="1" t="s">
        <v>6</v>
      </c>
      <c r="K896" s="1" t="s">
        <v>24</v>
      </c>
      <c r="L896" s="1" t="s">
        <v>2309</v>
      </c>
      <c r="M896" s="2">
        <v>43335</v>
      </c>
      <c r="N896" s="1" t="s">
        <v>8</v>
      </c>
      <c r="O896" s="2">
        <v>44430</v>
      </c>
    </row>
    <row r="897" spans="1:15" x14ac:dyDescent="0.3">
      <c r="A897" s="1" t="s">
        <v>2310</v>
      </c>
      <c r="B897" s="1" t="str">
        <f>"Jamie Smith"</f>
        <v>Jamie Smith</v>
      </c>
      <c r="C897" s="1" t="s">
        <v>2311</v>
      </c>
      <c r="F897" s="1" t="s">
        <v>123</v>
      </c>
      <c r="G897" s="1" t="s">
        <v>27</v>
      </c>
      <c r="H897" s="1" t="s">
        <v>2312</v>
      </c>
      <c r="I897" s="1" t="s">
        <v>5</v>
      </c>
      <c r="J897" s="1" t="s">
        <v>6</v>
      </c>
      <c r="K897" s="1" t="s">
        <v>24</v>
      </c>
      <c r="M897" s="2">
        <v>43335</v>
      </c>
      <c r="N897" s="1" t="s">
        <v>8</v>
      </c>
      <c r="O897" s="2">
        <v>44430</v>
      </c>
    </row>
    <row r="898" spans="1:15" ht="28.8" x14ac:dyDescent="0.3">
      <c r="A898" s="1" t="s">
        <v>2313</v>
      </c>
      <c r="B898" s="1" t="str">
        <f>"Vincent Phillips"</f>
        <v>Vincent Phillips</v>
      </c>
      <c r="C898" s="1" t="s">
        <v>2314</v>
      </c>
      <c r="F898" s="1" t="s">
        <v>930</v>
      </c>
      <c r="G898" s="1" t="s">
        <v>211</v>
      </c>
      <c r="H898" s="1" t="s">
        <v>2315</v>
      </c>
      <c r="I898" s="1" t="s">
        <v>5</v>
      </c>
      <c r="J898" s="1" t="s">
        <v>6</v>
      </c>
      <c r="K898" s="1" t="s">
        <v>34</v>
      </c>
      <c r="M898" s="2">
        <v>43335</v>
      </c>
      <c r="N898" s="1" t="s">
        <v>8</v>
      </c>
      <c r="O898" s="2">
        <v>44430</v>
      </c>
    </row>
    <row r="899" spans="1:15" x14ac:dyDescent="0.3">
      <c r="A899" s="1" t="s">
        <v>31601</v>
      </c>
      <c r="B899" s="1" t="str">
        <f>"Anthony Gibbons"</f>
        <v>Anthony Gibbons</v>
      </c>
      <c r="C899" s="1" t="s">
        <v>31602</v>
      </c>
      <c r="D899" s="1" t="s">
        <v>31603</v>
      </c>
      <c r="F899" s="1" t="s">
        <v>156</v>
      </c>
      <c r="G899" s="1" t="s">
        <v>156</v>
      </c>
      <c r="H899" s="1" t="s">
        <v>9691</v>
      </c>
      <c r="I899" s="1" t="s">
        <v>5</v>
      </c>
      <c r="J899" s="1" t="s">
        <v>6</v>
      </c>
      <c r="K899" s="1" t="s">
        <v>24</v>
      </c>
      <c r="M899" s="2">
        <v>43334</v>
      </c>
      <c r="N899" s="1" t="s">
        <v>8</v>
      </c>
      <c r="O899" s="2">
        <v>44429</v>
      </c>
    </row>
    <row r="900" spans="1:15" ht="28.8" x14ac:dyDescent="0.3">
      <c r="A900" s="1" t="s">
        <v>31615</v>
      </c>
      <c r="B900" s="1" t="str">
        <f>"Green Leaf"</f>
        <v>Green Leaf</v>
      </c>
      <c r="C900" s="1" t="s">
        <v>31616</v>
      </c>
      <c r="F900" s="1" t="s">
        <v>123</v>
      </c>
      <c r="G900" s="1" t="s">
        <v>27</v>
      </c>
      <c r="H900" s="1" t="s">
        <v>31617</v>
      </c>
      <c r="I900" s="1" t="s">
        <v>125</v>
      </c>
      <c r="J900" s="1" t="s">
        <v>6</v>
      </c>
      <c r="K900" s="1" t="s">
        <v>24</v>
      </c>
      <c r="M900" s="2">
        <v>43334</v>
      </c>
      <c r="N900" s="1" t="s">
        <v>8</v>
      </c>
      <c r="O900" s="2">
        <v>44429</v>
      </c>
    </row>
    <row r="901" spans="1:15" ht="28.8" x14ac:dyDescent="0.3">
      <c r="A901" s="1" t="s">
        <v>31618</v>
      </c>
      <c r="B901" s="1" t="str">
        <f>"D Jones Roofing Contractors Limited"</f>
        <v>D Jones Roofing Contractors Limited</v>
      </c>
      <c r="C901" s="1" t="s">
        <v>31619</v>
      </c>
      <c r="D901" s="1" t="s">
        <v>31620</v>
      </c>
      <c r="F901" s="1" t="s">
        <v>710</v>
      </c>
      <c r="G901" s="1" t="s">
        <v>3</v>
      </c>
      <c r="H901" s="1" t="s">
        <v>9489</v>
      </c>
      <c r="I901" s="1" t="s">
        <v>19</v>
      </c>
      <c r="J901" s="1" t="s">
        <v>6</v>
      </c>
      <c r="K901" s="1" t="s">
        <v>24</v>
      </c>
      <c r="L901" s="1">
        <v>8243552</v>
      </c>
      <c r="M901" s="2">
        <v>43334</v>
      </c>
      <c r="N901" s="1" t="s">
        <v>8</v>
      </c>
      <c r="O901" s="2">
        <v>44429</v>
      </c>
    </row>
    <row r="902" spans="1:15" ht="28.8" x14ac:dyDescent="0.3">
      <c r="A902" s="1" t="s">
        <v>31630</v>
      </c>
      <c r="B902" s="1" t="str">
        <f>"Mark Worrall"</f>
        <v>Mark Worrall</v>
      </c>
      <c r="C902" s="1" t="s">
        <v>31631</v>
      </c>
      <c r="D902" s="1" t="s">
        <v>31632</v>
      </c>
      <c r="F902" s="1" t="s">
        <v>2961</v>
      </c>
      <c r="G902" s="1" t="s">
        <v>654</v>
      </c>
      <c r="H902" s="1" t="s">
        <v>31633</v>
      </c>
      <c r="I902" s="1" t="s">
        <v>5</v>
      </c>
      <c r="J902" s="1" t="s">
        <v>6</v>
      </c>
      <c r="K902" s="1" t="s">
        <v>34</v>
      </c>
      <c r="M902" s="2">
        <v>43334</v>
      </c>
      <c r="N902" s="1" t="s">
        <v>8</v>
      </c>
      <c r="O902" s="2">
        <v>44429</v>
      </c>
    </row>
    <row r="903" spans="1:15" ht="28.8" x14ac:dyDescent="0.3">
      <c r="A903" s="1" t="s">
        <v>30508</v>
      </c>
      <c r="B903" s="1" t="str">
        <f>"D &amp; C Grountec"</f>
        <v>D &amp; C Grountec</v>
      </c>
      <c r="C903" s="1" t="s">
        <v>30509</v>
      </c>
      <c r="F903" s="1" t="s">
        <v>1239</v>
      </c>
      <c r="G903" s="1" t="s">
        <v>231</v>
      </c>
      <c r="H903" s="1" t="s">
        <v>30510</v>
      </c>
      <c r="I903" s="1" t="s">
        <v>19</v>
      </c>
      <c r="J903" s="1" t="s">
        <v>6</v>
      </c>
      <c r="K903" s="1" t="s">
        <v>34</v>
      </c>
      <c r="L903" s="1">
        <v>9250947</v>
      </c>
      <c r="M903" s="2">
        <v>43333</v>
      </c>
      <c r="N903" s="1" t="s">
        <v>8</v>
      </c>
      <c r="O903" s="2">
        <v>44428</v>
      </c>
    </row>
    <row r="904" spans="1:15" ht="28.8" x14ac:dyDescent="0.3">
      <c r="A904" s="1" t="s">
        <v>30511</v>
      </c>
      <c r="B904" s="1" t="str">
        <f>"Charles James LTD"</f>
        <v>Charles James LTD</v>
      </c>
      <c r="C904" s="1" t="s">
        <v>30512</v>
      </c>
      <c r="D904" s="1" t="s">
        <v>2584</v>
      </c>
      <c r="F904" s="1" t="s">
        <v>123</v>
      </c>
      <c r="G904" s="1" t="s">
        <v>27</v>
      </c>
      <c r="H904" s="1" t="s">
        <v>30513</v>
      </c>
      <c r="I904" s="1" t="s">
        <v>19</v>
      </c>
      <c r="J904" s="1" t="s">
        <v>6</v>
      </c>
      <c r="K904" s="1" t="s">
        <v>34</v>
      </c>
      <c r="M904" s="2">
        <v>43333</v>
      </c>
      <c r="N904" s="1" t="s">
        <v>8</v>
      </c>
      <c r="O904" s="2">
        <v>44428</v>
      </c>
    </row>
    <row r="905" spans="1:15" ht="28.8" x14ac:dyDescent="0.3">
      <c r="A905" s="1" t="s">
        <v>30514</v>
      </c>
      <c r="B905" s="1" t="str">
        <f>"Second Circle Furniture Recycling Centre LTD"</f>
        <v>Second Circle Furniture Recycling Centre LTD</v>
      </c>
      <c r="C905" s="1" t="s">
        <v>30515</v>
      </c>
      <c r="D905" s="1" t="s">
        <v>8520</v>
      </c>
      <c r="E905" s="1" t="s">
        <v>2596</v>
      </c>
      <c r="F905" s="1" t="s">
        <v>532</v>
      </c>
      <c r="G905" s="1" t="s">
        <v>198</v>
      </c>
      <c r="H905" s="1" t="s">
        <v>30516</v>
      </c>
      <c r="I905" s="1" t="s">
        <v>19</v>
      </c>
      <c r="J905" s="1" t="s">
        <v>6</v>
      </c>
      <c r="K905" s="1" t="s">
        <v>34</v>
      </c>
      <c r="L905" s="1">
        <v>5831375</v>
      </c>
      <c r="M905" s="2">
        <v>43333</v>
      </c>
      <c r="N905" s="1" t="s">
        <v>8</v>
      </c>
      <c r="O905" s="2">
        <v>44428</v>
      </c>
    </row>
    <row r="906" spans="1:15" ht="28.8" x14ac:dyDescent="0.3">
      <c r="A906" s="1" t="s">
        <v>30517</v>
      </c>
      <c r="B906" s="1" t="str">
        <f>"Taylor Robinson"</f>
        <v>Taylor Robinson</v>
      </c>
      <c r="C906" s="1" t="s">
        <v>30518</v>
      </c>
      <c r="D906" s="1" t="s">
        <v>2250</v>
      </c>
      <c r="F906" s="1" t="s">
        <v>179</v>
      </c>
      <c r="G906" s="1" t="s">
        <v>180</v>
      </c>
      <c r="H906" s="1" t="s">
        <v>30519</v>
      </c>
      <c r="I906" s="1" t="s">
        <v>5</v>
      </c>
      <c r="J906" s="1" t="s">
        <v>6</v>
      </c>
      <c r="K906" s="1" t="s">
        <v>34</v>
      </c>
      <c r="M906" s="2">
        <v>43333</v>
      </c>
      <c r="N906" s="1" t="s">
        <v>8</v>
      </c>
      <c r="O906" s="2">
        <v>44428</v>
      </c>
    </row>
    <row r="907" spans="1:15" ht="28.8" x14ac:dyDescent="0.3">
      <c r="A907" s="1" t="s">
        <v>30520</v>
      </c>
      <c r="B907" s="1" t="str">
        <f>"Trefor Williams"</f>
        <v>Trefor Williams</v>
      </c>
      <c r="C907" s="1" t="s">
        <v>30521</v>
      </c>
      <c r="D907" s="1" t="s">
        <v>30522</v>
      </c>
      <c r="F907" s="1" t="s">
        <v>4645</v>
      </c>
      <c r="G907" s="1" t="s">
        <v>324</v>
      </c>
      <c r="H907" s="1" t="s">
        <v>30523</v>
      </c>
      <c r="I907" s="1" t="s">
        <v>5</v>
      </c>
      <c r="J907" s="1" t="s">
        <v>6</v>
      </c>
      <c r="K907" s="1" t="s">
        <v>34</v>
      </c>
      <c r="M907" s="2">
        <v>43333</v>
      </c>
      <c r="N907" s="1" t="s">
        <v>8</v>
      </c>
      <c r="O907" s="2">
        <v>44428</v>
      </c>
    </row>
    <row r="908" spans="1:15" ht="28.8" x14ac:dyDescent="0.3">
      <c r="A908" s="1" t="s">
        <v>31577</v>
      </c>
      <c r="B908" s="1" t="str">
        <f>"Sir Howy Construction (Blackwood) LTD"</f>
        <v>Sir Howy Construction (Blackwood) LTD</v>
      </c>
      <c r="C908" s="1" t="s">
        <v>31578</v>
      </c>
      <c r="D908" s="1" t="s">
        <v>1676</v>
      </c>
      <c r="F908" s="1" t="s">
        <v>1341</v>
      </c>
      <c r="G908" s="1" t="s">
        <v>103</v>
      </c>
      <c r="H908" s="1" t="s">
        <v>31579</v>
      </c>
      <c r="I908" s="1" t="s">
        <v>19</v>
      </c>
      <c r="J908" s="1" t="s">
        <v>6</v>
      </c>
      <c r="K908" s="1" t="s">
        <v>24</v>
      </c>
      <c r="L908" s="1">
        <v>9086092</v>
      </c>
      <c r="M908" s="2">
        <v>43332</v>
      </c>
      <c r="N908" s="1" t="s">
        <v>8</v>
      </c>
      <c r="O908" s="2">
        <v>44427</v>
      </c>
    </row>
    <row r="909" spans="1:15" ht="28.8" x14ac:dyDescent="0.3">
      <c r="A909" s="1" t="s">
        <v>31582</v>
      </c>
      <c r="B909" s="1" t="str">
        <f>"PETER FRANCIS AUCTIONEERS LTD"</f>
        <v>PETER FRANCIS AUCTIONEERS LTD</v>
      </c>
      <c r="C909" s="1" t="s">
        <v>31583</v>
      </c>
      <c r="F909" s="1" t="s">
        <v>56</v>
      </c>
      <c r="H909" s="1" t="s">
        <v>1614</v>
      </c>
      <c r="I909" s="1" t="s">
        <v>19</v>
      </c>
      <c r="J909" s="1" t="s">
        <v>6</v>
      </c>
      <c r="K909" s="1" t="s">
        <v>24</v>
      </c>
      <c r="L909" s="1">
        <v>6547684</v>
      </c>
      <c r="M909" s="2">
        <v>43332</v>
      </c>
      <c r="N909" s="1" t="s">
        <v>8</v>
      </c>
      <c r="O909" s="2">
        <v>44427</v>
      </c>
    </row>
    <row r="910" spans="1:15" x14ac:dyDescent="0.3">
      <c r="A910" s="1" t="s">
        <v>31587</v>
      </c>
      <c r="B910" s="1" t="str">
        <f>"Lee Davies"</f>
        <v>Lee Davies</v>
      </c>
      <c r="C910" s="1" t="s">
        <v>31588</v>
      </c>
      <c r="D910" s="1" t="s">
        <v>30604</v>
      </c>
      <c r="F910" s="1" t="s">
        <v>317</v>
      </c>
      <c r="G910" s="1" t="s">
        <v>103</v>
      </c>
      <c r="H910" s="1" t="s">
        <v>31589</v>
      </c>
      <c r="I910" s="1" t="s">
        <v>5</v>
      </c>
      <c r="J910" s="1" t="s">
        <v>6</v>
      </c>
      <c r="K910" s="1" t="s">
        <v>24</v>
      </c>
      <c r="M910" s="2">
        <v>43332</v>
      </c>
      <c r="N910" s="1" t="s">
        <v>8</v>
      </c>
      <c r="O910" s="2">
        <v>44427</v>
      </c>
    </row>
    <row r="911" spans="1:15" ht="28.8" x14ac:dyDescent="0.3">
      <c r="A911" s="1" t="s">
        <v>31590</v>
      </c>
      <c r="B911" s="1" t="str">
        <f>"M Roderick &amp; KS Roderick"</f>
        <v>M Roderick &amp; KS Roderick</v>
      </c>
      <c r="C911" s="1" t="s">
        <v>31591</v>
      </c>
      <c r="D911" s="1" t="s">
        <v>11846</v>
      </c>
      <c r="F911" s="1" t="s">
        <v>42</v>
      </c>
      <c r="G911" s="1" t="s">
        <v>51</v>
      </c>
      <c r="H911" s="1" t="s">
        <v>31592</v>
      </c>
      <c r="I911" s="1" t="s">
        <v>125</v>
      </c>
      <c r="J911" s="1" t="s">
        <v>6</v>
      </c>
      <c r="K911" s="1" t="s">
        <v>34</v>
      </c>
      <c r="M911" s="2">
        <v>43332</v>
      </c>
      <c r="N911" s="1" t="s">
        <v>8</v>
      </c>
      <c r="O911" s="2">
        <v>44427</v>
      </c>
    </row>
    <row r="912" spans="1:15" ht="28.8" x14ac:dyDescent="0.3">
      <c r="A912" s="1" t="s">
        <v>31593</v>
      </c>
      <c r="B912" s="1" t="str">
        <f>"Williams Ventilation LTD"</f>
        <v>Williams Ventilation LTD</v>
      </c>
      <c r="C912" s="1" t="s">
        <v>31594</v>
      </c>
      <c r="D912" s="1" t="s">
        <v>1038</v>
      </c>
      <c r="F912" s="1" t="s">
        <v>64</v>
      </c>
      <c r="G912" s="1" t="s">
        <v>65</v>
      </c>
      <c r="H912" s="1" t="s">
        <v>31595</v>
      </c>
      <c r="I912" s="1" t="s">
        <v>19</v>
      </c>
      <c r="J912" s="1" t="s">
        <v>6</v>
      </c>
      <c r="K912" s="1" t="s">
        <v>34</v>
      </c>
      <c r="L912" s="1">
        <v>8314199</v>
      </c>
      <c r="M912" s="2">
        <v>43332</v>
      </c>
      <c r="N912" s="1" t="s">
        <v>8</v>
      </c>
      <c r="O912" s="2">
        <v>44427</v>
      </c>
    </row>
    <row r="913" spans="1:15" ht="28.8" x14ac:dyDescent="0.3">
      <c r="A913" s="1" t="s">
        <v>31596</v>
      </c>
      <c r="B913" s="1" t="str">
        <f>"Taylor Robinson"</f>
        <v>Taylor Robinson</v>
      </c>
      <c r="C913" s="1" t="s">
        <v>31597</v>
      </c>
      <c r="F913" s="1" t="s">
        <v>179</v>
      </c>
      <c r="G913" s="1" t="s">
        <v>180</v>
      </c>
      <c r="H913" s="1" t="s">
        <v>31598</v>
      </c>
      <c r="I913" s="1" t="s">
        <v>5</v>
      </c>
      <c r="J913" s="1" t="s">
        <v>6</v>
      </c>
      <c r="K913" s="1" t="s">
        <v>34</v>
      </c>
      <c r="M913" s="2">
        <v>43332</v>
      </c>
      <c r="N913" s="1" t="s">
        <v>8</v>
      </c>
      <c r="O913" s="2">
        <v>44427</v>
      </c>
    </row>
    <row r="914" spans="1:15" ht="28.8" x14ac:dyDescent="0.3">
      <c r="A914" s="1" t="s">
        <v>32626</v>
      </c>
      <c r="B914" s="1" t="str">
        <f>"Taylor Robinson"</f>
        <v>Taylor Robinson</v>
      </c>
      <c r="C914" s="1" t="s">
        <v>32627</v>
      </c>
      <c r="F914" s="1" t="s">
        <v>271</v>
      </c>
      <c r="G914" s="1" t="s">
        <v>3</v>
      </c>
      <c r="H914" s="1" t="s">
        <v>32628</v>
      </c>
      <c r="I914" s="1" t="s">
        <v>5</v>
      </c>
      <c r="J914" s="1" t="s">
        <v>6</v>
      </c>
      <c r="K914" s="1" t="s">
        <v>34</v>
      </c>
      <c r="M914" s="2">
        <v>43331</v>
      </c>
      <c r="N914" s="1" t="s">
        <v>8</v>
      </c>
      <c r="O914" s="2">
        <v>44426</v>
      </c>
    </row>
    <row r="915" spans="1:15" ht="28.8" x14ac:dyDescent="0.3">
      <c r="A915" s="1" t="s">
        <v>32629</v>
      </c>
      <c r="B915" s="1" t="str">
        <f>"Darren Phillips"</f>
        <v>Darren Phillips</v>
      </c>
      <c r="C915" s="1" t="s">
        <v>32630</v>
      </c>
      <c r="D915" s="1" t="s">
        <v>938</v>
      </c>
      <c r="F915" s="1" t="s">
        <v>64</v>
      </c>
      <c r="G915" s="1" t="s">
        <v>65</v>
      </c>
      <c r="H915" s="1" t="s">
        <v>32631</v>
      </c>
      <c r="I915" s="1" t="s">
        <v>5</v>
      </c>
      <c r="J915" s="1" t="s">
        <v>6</v>
      </c>
      <c r="K915" s="1" t="s">
        <v>34</v>
      </c>
      <c r="M915" s="2">
        <v>43331</v>
      </c>
      <c r="N915" s="1" t="s">
        <v>8</v>
      </c>
      <c r="O915" s="2">
        <v>44426</v>
      </c>
    </row>
    <row r="916" spans="1:15" ht="28.8" x14ac:dyDescent="0.3">
      <c r="A916" s="1" t="s">
        <v>32632</v>
      </c>
      <c r="B916" s="1" t="str">
        <f>"Quantum Traffic Management Limited"</f>
        <v>Quantum Traffic Management Limited</v>
      </c>
      <c r="C916" s="1" t="s">
        <v>32633</v>
      </c>
      <c r="D916" s="1" t="s">
        <v>8520</v>
      </c>
      <c r="E916" s="1" t="s">
        <v>2596</v>
      </c>
      <c r="F916" s="1" t="s">
        <v>532</v>
      </c>
      <c r="G916" s="1" t="s">
        <v>198</v>
      </c>
      <c r="H916" s="1" t="s">
        <v>2597</v>
      </c>
      <c r="I916" s="1" t="s">
        <v>19</v>
      </c>
      <c r="J916" s="1" t="s">
        <v>6</v>
      </c>
      <c r="K916" s="1" t="s">
        <v>34</v>
      </c>
      <c r="M916" s="2">
        <v>43331</v>
      </c>
      <c r="N916" s="1" t="s">
        <v>8</v>
      </c>
      <c r="O916" s="2">
        <v>44426</v>
      </c>
    </row>
    <row r="917" spans="1:15" ht="43.2" x14ac:dyDescent="0.3">
      <c r="A917" s="1" t="s">
        <v>32639</v>
      </c>
      <c r="B917" s="1" t="str">
        <f>"South West Maintenance Services Limited"</f>
        <v>South West Maintenance Services Limited</v>
      </c>
      <c r="C917" s="1" t="s">
        <v>32640</v>
      </c>
      <c r="D917" s="1" t="s">
        <v>32641</v>
      </c>
      <c r="E917" s="1" t="s">
        <v>32642</v>
      </c>
      <c r="F917" s="1" t="s">
        <v>156</v>
      </c>
      <c r="G917" s="1" t="s">
        <v>156</v>
      </c>
      <c r="H917" s="1" t="s">
        <v>32643</v>
      </c>
      <c r="I917" s="1" t="s">
        <v>19</v>
      </c>
      <c r="J917" s="1" t="s">
        <v>6</v>
      </c>
      <c r="K917" s="1" t="s">
        <v>34</v>
      </c>
      <c r="M917" s="2">
        <v>43331</v>
      </c>
      <c r="N917" s="1" t="s">
        <v>8</v>
      </c>
      <c r="O917" s="2">
        <v>44426</v>
      </c>
    </row>
    <row r="918" spans="1:15" ht="43.2" x14ac:dyDescent="0.3">
      <c r="A918" s="1" t="s">
        <v>2293</v>
      </c>
      <c r="B918" s="1" t="str">
        <f>"John Blake"</f>
        <v>John Blake</v>
      </c>
      <c r="C918" s="1" t="s">
        <v>2294</v>
      </c>
      <c r="D918" s="1" t="s">
        <v>1005</v>
      </c>
      <c r="F918" s="1" t="s">
        <v>32</v>
      </c>
      <c r="G918" s="1" t="s">
        <v>109</v>
      </c>
      <c r="H918" s="1" t="s">
        <v>2295</v>
      </c>
      <c r="I918" s="1" t="s">
        <v>5</v>
      </c>
      <c r="J918" s="1" t="s">
        <v>67</v>
      </c>
      <c r="K918" s="1" t="s">
        <v>24</v>
      </c>
      <c r="M918" s="2">
        <v>43328</v>
      </c>
      <c r="N918" s="1" t="s">
        <v>8</v>
      </c>
      <c r="O918" s="1" t="s">
        <v>68</v>
      </c>
    </row>
    <row r="919" spans="1:15" ht="43.2" x14ac:dyDescent="0.3">
      <c r="A919" s="1" t="s">
        <v>32617</v>
      </c>
      <c r="B919" s="1" t="str">
        <f>"Gwyndaf Roberts"</f>
        <v>Gwyndaf Roberts</v>
      </c>
      <c r="C919" s="1" t="s">
        <v>32618</v>
      </c>
      <c r="F919" s="1" t="s">
        <v>1093</v>
      </c>
      <c r="G919" s="1" t="s">
        <v>103</v>
      </c>
      <c r="H919" s="1" t="s">
        <v>32619</v>
      </c>
      <c r="I919" s="1" t="s">
        <v>5</v>
      </c>
      <c r="J919" s="1" t="s">
        <v>67</v>
      </c>
      <c r="K919" s="1" t="s">
        <v>24</v>
      </c>
      <c r="M919" s="2">
        <v>43328</v>
      </c>
      <c r="N919" s="1" t="s">
        <v>8</v>
      </c>
      <c r="O919" s="1" t="s">
        <v>68</v>
      </c>
    </row>
    <row r="920" spans="1:15" ht="28.8" x14ac:dyDescent="0.3">
      <c r="A920" s="1" t="s">
        <v>32620</v>
      </c>
      <c r="B920" s="1" t="str">
        <f>"Dean Jones DRJ Building"</f>
        <v>Dean Jones DRJ Building</v>
      </c>
      <c r="C920" s="1" t="s">
        <v>32621</v>
      </c>
      <c r="F920" s="1" t="s">
        <v>103</v>
      </c>
      <c r="H920" s="1" t="s">
        <v>32622</v>
      </c>
      <c r="I920" s="1" t="s">
        <v>5</v>
      </c>
      <c r="J920" s="1" t="s">
        <v>6</v>
      </c>
      <c r="K920" s="1" t="s">
        <v>24</v>
      </c>
      <c r="M920" s="2">
        <v>43328</v>
      </c>
      <c r="N920" s="1" t="s">
        <v>8</v>
      </c>
      <c r="O920" s="2">
        <v>44423</v>
      </c>
    </row>
    <row r="921" spans="1:15" ht="28.8" x14ac:dyDescent="0.3">
      <c r="A921" s="1" t="s">
        <v>32623</v>
      </c>
      <c r="B921" s="1" t="str">
        <f>"Doyle Enterprises Limited"</f>
        <v>Doyle Enterprises Limited</v>
      </c>
      <c r="C921" s="1" t="s">
        <v>32624</v>
      </c>
      <c r="D921" s="1" t="s">
        <v>1571</v>
      </c>
      <c r="F921" s="1" t="s">
        <v>156</v>
      </c>
      <c r="G921" s="1" t="s">
        <v>156</v>
      </c>
      <c r="H921" s="1" t="s">
        <v>32625</v>
      </c>
      <c r="I921" s="1" t="s">
        <v>19</v>
      </c>
      <c r="J921" s="1" t="s">
        <v>6</v>
      </c>
      <c r="K921" s="1" t="s">
        <v>34</v>
      </c>
      <c r="L921" s="1">
        <v>11504573</v>
      </c>
      <c r="M921" s="2">
        <v>43328</v>
      </c>
      <c r="N921" s="1" t="s">
        <v>8</v>
      </c>
      <c r="O921" s="2">
        <v>44423</v>
      </c>
    </row>
    <row r="922" spans="1:15" ht="43.2" x14ac:dyDescent="0.3">
      <c r="A922" s="1" t="s">
        <v>30501</v>
      </c>
      <c r="B922" s="1" t="str">
        <f>"Jason Gunter"</f>
        <v>Jason Gunter</v>
      </c>
      <c r="C922" s="1" t="s">
        <v>30502</v>
      </c>
      <c r="F922" s="1" t="s">
        <v>179</v>
      </c>
      <c r="G922" s="1" t="s">
        <v>180</v>
      </c>
      <c r="H922" s="1" t="s">
        <v>30503</v>
      </c>
      <c r="I922" s="1" t="s">
        <v>5</v>
      </c>
      <c r="J922" s="1" t="s">
        <v>67</v>
      </c>
      <c r="K922" s="1" t="s">
        <v>14</v>
      </c>
      <c r="M922" s="2">
        <v>43326</v>
      </c>
      <c r="N922" s="1" t="s">
        <v>8</v>
      </c>
      <c r="O922" s="1" t="s">
        <v>68</v>
      </c>
    </row>
    <row r="923" spans="1:15" ht="43.2" x14ac:dyDescent="0.3">
      <c r="A923" s="1" t="s">
        <v>30504</v>
      </c>
      <c r="B923" s="1" t="str">
        <f>"Lowri James"</f>
        <v>Lowri James</v>
      </c>
      <c r="C923" s="1" t="s">
        <v>30505</v>
      </c>
      <c r="D923" s="1" t="s">
        <v>11903</v>
      </c>
      <c r="E923" s="1" t="s">
        <v>896</v>
      </c>
      <c r="F923" s="1" t="s">
        <v>897</v>
      </c>
      <c r="G923" s="1" t="s">
        <v>73</v>
      </c>
      <c r="H923" s="1" t="s">
        <v>4864</v>
      </c>
      <c r="I923" s="1" t="s">
        <v>5</v>
      </c>
      <c r="J923" s="1" t="s">
        <v>67</v>
      </c>
      <c r="K923" s="1" t="s">
        <v>24</v>
      </c>
      <c r="M923" s="2">
        <v>43326</v>
      </c>
      <c r="N923" s="1" t="s">
        <v>8</v>
      </c>
      <c r="O923" s="1" t="s">
        <v>68</v>
      </c>
    </row>
    <row r="924" spans="1:15" ht="43.2" x14ac:dyDescent="0.3">
      <c r="A924" s="1" t="s">
        <v>2283</v>
      </c>
      <c r="B924" s="1" t="str">
        <f>"AJW Construction"</f>
        <v>AJW Construction</v>
      </c>
      <c r="C924" s="1" t="s">
        <v>2284</v>
      </c>
      <c r="F924" s="1" t="s">
        <v>123</v>
      </c>
      <c r="G924" s="1" t="s">
        <v>27</v>
      </c>
      <c r="H924" s="1" t="s">
        <v>2285</v>
      </c>
      <c r="I924" s="1" t="s">
        <v>19</v>
      </c>
      <c r="J924" s="1" t="s">
        <v>67</v>
      </c>
      <c r="K924" s="1" t="s">
        <v>14</v>
      </c>
      <c r="M924" s="2">
        <v>43322</v>
      </c>
      <c r="N924" s="1" t="s">
        <v>8</v>
      </c>
      <c r="O924" s="1" t="s">
        <v>68</v>
      </c>
    </row>
    <row r="925" spans="1:15" ht="43.2" x14ac:dyDescent="0.3">
      <c r="A925" s="1" t="s">
        <v>2286</v>
      </c>
      <c r="B925" s="1" t="str">
        <f>"Taranjeet Misson"</f>
        <v>Taranjeet Misson</v>
      </c>
      <c r="C925" s="1" t="s">
        <v>2287</v>
      </c>
      <c r="D925" s="1" t="s">
        <v>2288</v>
      </c>
      <c r="F925" s="1" t="s">
        <v>156</v>
      </c>
      <c r="G925" s="1" t="s">
        <v>156</v>
      </c>
      <c r="H925" s="1" t="s">
        <v>2289</v>
      </c>
      <c r="I925" s="1" t="s">
        <v>5</v>
      </c>
      <c r="J925" s="1" t="s">
        <v>67</v>
      </c>
      <c r="K925" s="1" t="s">
        <v>24</v>
      </c>
      <c r="M925" s="2">
        <v>43322</v>
      </c>
      <c r="N925" s="1" t="s">
        <v>8</v>
      </c>
      <c r="O925" s="1" t="s">
        <v>68</v>
      </c>
    </row>
    <row r="926" spans="1:15" ht="43.2" x14ac:dyDescent="0.3">
      <c r="A926" s="1" t="s">
        <v>2290</v>
      </c>
      <c r="B926" s="1" t="str">
        <f>"Owen huw Morgan"</f>
        <v>Owen huw Morgan</v>
      </c>
      <c r="C926" s="1" t="s">
        <v>2291</v>
      </c>
      <c r="F926" s="1" t="s">
        <v>1556</v>
      </c>
      <c r="G926" s="1" t="s">
        <v>180</v>
      </c>
      <c r="H926" s="1" t="s">
        <v>2292</v>
      </c>
      <c r="I926" s="1" t="s">
        <v>5</v>
      </c>
      <c r="J926" s="1" t="s">
        <v>67</v>
      </c>
      <c r="K926" s="1" t="s">
        <v>24</v>
      </c>
      <c r="M926" s="2">
        <v>43322</v>
      </c>
      <c r="N926" s="1" t="s">
        <v>8</v>
      </c>
      <c r="O926" s="1" t="s">
        <v>68</v>
      </c>
    </row>
    <row r="927" spans="1:15" ht="43.2" x14ac:dyDescent="0.3">
      <c r="A927" s="1" t="s">
        <v>2275</v>
      </c>
      <c r="B927" s="1" t="str">
        <f>"Gem Discounts Ltd"</f>
        <v>Gem Discounts Ltd</v>
      </c>
      <c r="C927" s="1" t="s">
        <v>2276</v>
      </c>
      <c r="F927" s="1" t="s">
        <v>2277</v>
      </c>
      <c r="H927" s="1" t="s">
        <v>2278</v>
      </c>
      <c r="I927" s="1" t="s">
        <v>19</v>
      </c>
      <c r="J927" s="1" t="s">
        <v>67</v>
      </c>
      <c r="K927" s="1" t="s">
        <v>24</v>
      </c>
      <c r="M927" s="2">
        <v>43321</v>
      </c>
      <c r="N927" s="1" t="s">
        <v>8</v>
      </c>
      <c r="O927" s="1" t="s">
        <v>68</v>
      </c>
    </row>
    <row r="928" spans="1:15" ht="43.2" x14ac:dyDescent="0.3">
      <c r="A928" s="1" t="s">
        <v>2279</v>
      </c>
      <c r="B928" s="1" t="str">
        <f>"RWSF Ltd"</f>
        <v>RWSF Ltd</v>
      </c>
      <c r="C928" s="1" t="s">
        <v>2280</v>
      </c>
      <c r="F928" s="1" t="s">
        <v>2281</v>
      </c>
      <c r="H928" s="1" t="s">
        <v>2282</v>
      </c>
      <c r="I928" s="1" t="s">
        <v>19</v>
      </c>
      <c r="J928" s="1" t="s">
        <v>67</v>
      </c>
      <c r="K928" s="1" t="s">
        <v>24</v>
      </c>
      <c r="M928" s="2">
        <v>43321</v>
      </c>
      <c r="N928" s="1" t="s">
        <v>8</v>
      </c>
      <c r="O928" s="1" t="s">
        <v>68</v>
      </c>
    </row>
    <row r="929" spans="1:15" ht="43.2" x14ac:dyDescent="0.3">
      <c r="A929" s="1" t="s">
        <v>2264</v>
      </c>
      <c r="B929" s="1" t="str">
        <f>"Peter  Baldwin"</f>
        <v>Peter  Baldwin</v>
      </c>
      <c r="C929" s="1" t="s">
        <v>2265</v>
      </c>
      <c r="D929" s="1" t="s">
        <v>2266</v>
      </c>
      <c r="F929" s="1" t="s">
        <v>1239</v>
      </c>
      <c r="H929" s="1" t="s">
        <v>2267</v>
      </c>
      <c r="I929" s="1" t="s">
        <v>5</v>
      </c>
      <c r="J929" s="1" t="s">
        <v>67</v>
      </c>
      <c r="K929" s="1" t="s">
        <v>24</v>
      </c>
      <c r="M929" s="2">
        <v>43320</v>
      </c>
      <c r="N929" s="1" t="s">
        <v>8</v>
      </c>
      <c r="O929" s="1" t="s">
        <v>68</v>
      </c>
    </row>
    <row r="930" spans="1:15" ht="43.2" x14ac:dyDescent="0.3">
      <c r="A930" s="1" t="s">
        <v>2268</v>
      </c>
      <c r="B930" s="1" t="str">
        <f>"Phil Lewis"</f>
        <v>Phil Lewis</v>
      </c>
      <c r="C930" s="1" t="s">
        <v>2269</v>
      </c>
      <c r="D930" s="1" t="s">
        <v>2270</v>
      </c>
      <c r="F930" s="1" t="s">
        <v>1239</v>
      </c>
      <c r="G930" s="1" t="s">
        <v>231</v>
      </c>
      <c r="H930" s="1" t="s">
        <v>2271</v>
      </c>
      <c r="I930" s="1" t="s">
        <v>5</v>
      </c>
      <c r="J930" s="1" t="s">
        <v>67</v>
      </c>
      <c r="K930" s="1" t="s">
        <v>24</v>
      </c>
      <c r="M930" s="2">
        <v>43320</v>
      </c>
      <c r="N930" s="1" t="s">
        <v>8</v>
      </c>
      <c r="O930" s="1" t="s">
        <v>68</v>
      </c>
    </row>
    <row r="931" spans="1:15" ht="43.2" x14ac:dyDescent="0.3">
      <c r="A931" s="1" t="s">
        <v>30498</v>
      </c>
      <c r="B931" s="1" t="str">
        <f>"Will Stephens"</f>
        <v>Will Stephens</v>
      </c>
      <c r="C931" s="1" t="s">
        <v>30499</v>
      </c>
      <c r="F931" s="1" t="s">
        <v>476</v>
      </c>
      <c r="G931" s="1" t="s">
        <v>73</v>
      </c>
      <c r="H931" s="1" t="s">
        <v>30500</v>
      </c>
      <c r="I931" s="1" t="s">
        <v>5</v>
      </c>
      <c r="J931" s="1" t="s">
        <v>67</v>
      </c>
      <c r="K931" s="1" t="s">
        <v>24</v>
      </c>
      <c r="M931" s="2">
        <v>43320</v>
      </c>
      <c r="N931" s="1" t="s">
        <v>8</v>
      </c>
      <c r="O931" s="1" t="s">
        <v>68</v>
      </c>
    </row>
    <row r="932" spans="1:15" ht="43.2" x14ac:dyDescent="0.3">
      <c r="A932" s="1" t="s">
        <v>31565</v>
      </c>
      <c r="B932" s="1" t="str">
        <f>"Multicolour Cooperation"</f>
        <v>Multicolour Cooperation</v>
      </c>
      <c r="C932" s="1" t="s">
        <v>31566</v>
      </c>
      <c r="D932" s="1" t="s">
        <v>31567</v>
      </c>
      <c r="E932" s="1" t="s">
        <v>14616</v>
      </c>
      <c r="F932" s="1" t="s">
        <v>380</v>
      </c>
      <c r="G932" s="1" t="s">
        <v>381</v>
      </c>
      <c r="H932" s="1" t="s">
        <v>31568</v>
      </c>
      <c r="I932" s="1" t="s">
        <v>19</v>
      </c>
      <c r="J932" s="1" t="s">
        <v>67</v>
      </c>
      <c r="K932" s="1" t="s">
        <v>24</v>
      </c>
      <c r="M932" s="2">
        <v>43320</v>
      </c>
      <c r="N932" s="1" t="s">
        <v>8</v>
      </c>
      <c r="O932" s="1" t="s">
        <v>68</v>
      </c>
    </row>
    <row r="933" spans="1:15" ht="43.2" x14ac:dyDescent="0.3">
      <c r="A933" s="1" t="s">
        <v>31569</v>
      </c>
      <c r="B933" s="1" t="str">
        <f>"Roggie Rarebit"</f>
        <v>Roggie Rarebit</v>
      </c>
      <c r="C933" s="1" t="s">
        <v>31570</v>
      </c>
      <c r="D933" s="1" t="s">
        <v>31571</v>
      </c>
      <c r="E933" s="1" t="s">
        <v>2438</v>
      </c>
      <c r="F933" s="1" t="s">
        <v>156</v>
      </c>
      <c r="G933" s="1" t="s">
        <v>156</v>
      </c>
      <c r="H933" s="1" t="s">
        <v>520</v>
      </c>
      <c r="I933" s="1" t="s">
        <v>19</v>
      </c>
      <c r="J933" s="1" t="s">
        <v>67</v>
      </c>
      <c r="K933" s="1" t="s">
        <v>24</v>
      </c>
      <c r="M933" s="2">
        <v>43320</v>
      </c>
      <c r="N933" s="1" t="s">
        <v>8</v>
      </c>
      <c r="O933" s="1" t="s">
        <v>68</v>
      </c>
    </row>
    <row r="934" spans="1:15" ht="43.2" x14ac:dyDescent="0.3">
      <c r="A934" s="1" t="s">
        <v>2261</v>
      </c>
      <c r="B934" s="1" t="str">
        <f>"David Ryder"</f>
        <v>David Ryder</v>
      </c>
      <c r="C934" s="1" t="s">
        <v>2262</v>
      </c>
      <c r="F934" s="1" t="s">
        <v>123</v>
      </c>
      <c r="G934" s="1" t="s">
        <v>27</v>
      </c>
      <c r="H934" s="1" t="s">
        <v>2263</v>
      </c>
      <c r="I934" s="1" t="s">
        <v>5</v>
      </c>
      <c r="J934" s="1" t="s">
        <v>67</v>
      </c>
      <c r="K934" s="1" t="s">
        <v>24</v>
      </c>
      <c r="M934" s="2">
        <v>43319</v>
      </c>
      <c r="N934" s="1" t="s">
        <v>8</v>
      </c>
      <c r="O934" s="1" t="s">
        <v>68</v>
      </c>
    </row>
    <row r="935" spans="1:15" ht="28.8" x14ac:dyDescent="0.3">
      <c r="A935" s="1" t="s">
        <v>32615</v>
      </c>
      <c r="B935" s="1" t="str">
        <f>"Principality Building Society"</f>
        <v>Principality Building Society</v>
      </c>
      <c r="C935" s="1" t="s">
        <v>30490</v>
      </c>
      <c r="D935" s="1" t="s">
        <v>30491</v>
      </c>
      <c r="E935" s="1" t="s">
        <v>30492</v>
      </c>
      <c r="F935" s="1" t="s">
        <v>123</v>
      </c>
      <c r="G935" s="1" t="s">
        <v>27</v>
      </c>
      <c r="H935" s="1" t="s">
        <v>32616</v>
      </c>
      <c r="I935" s="1" t="s">
        <v>19</v>
      </c>
      <c r="J935" s="1" t="s">
        <v>6</v>
      </c>
      <c r="K935" s="1" t="s">
        <v>24</v>
      </c>
      <c r="L935" s="1">
        <v>3363851</v>
      </c>
      <c r="M935" s="2">
        <v>43319</v>
      </c>
      <c r="N935" s="1" t="s">
        <v>8</v>
      </c>
      <c r="O935" s="2">
        <v>44414</v>
      </c>
    </row>
    <row r="936" spans="1:15" ht="43.2" x14ac:dyDescent="0.3">
      <c r="A936" s="1" t="s">
        <v>2252</v>
      </c>
      <c r="B936" s="1" t="str">
        <f>"R&amp;MA Moffat"</f>
        <v>R&amp;MA Moffat</v>
      </c>
      <c r="C936" s="1" t="s">
        <v>2253</v>
      </c>
      <c r="D936" s="1" t="s">
        <v>2254</v>
      </c>
      <c r="E936" s="1" t="s">
        <v>2255</v>
      </c>
      <c r="F936" s="1" t="s">
        <v>1776</v>
      </c>
      <c r="G936" s="1" t="s">
        <v>115</v>
      </c>
      <c r="H936" s="1" t="s">
        <v>2256</v>
      </c>
      <c r="I936" s="1" t="s">
        <v>1872</v>
      </c>
      <c r="J936" s="1" t="s">
        <v>67</v>
      </c>
      <c r="K936" s="1" t="s">
        <v>24</v>
      </c>
      <c r="M936" s="2">
        <v>43318</v>
      </c>
      <c r="N936" s="1" t="s">
        <v>8</v>
      </c>
      <c r="O936" s="1" t="s">
        <v>68</v>
      </c>
    </row>
    <row r="937" spans="1:15" ht="43.2" x14ac:dyDescent="0.3">
      <c r="A937" s="1" t="s">
        <v>2257</v>
      </c>
      <c r="B937" s="1" t="str">
        <f>"Nigel Jenkins"</f>
        <v>Nigel Jenkins</v>
      </c>
      <c r="C937" s="1" t="s">
        <v>2258</v>
      </c>
      <c r="D937" s="1" t="s">
        <v>2259</v>
      </c>
      <c r="F937" s="1" t="s">
        <v>42</v>
      </c>
      <c r="H937" s="1" t="s">
        <v>2260</v>
      </c>
      <c r="I937" s="1" t="s">
        <v>5</v>
      </c>
      <c r="J937" s="1" t="s">
        <v>67</v>
      </c>
      <c r="K937" s="1" t="s">
        <v>24</v>
      </c>
      <c r="M937" s="2">
        <v>43318</v>
      </c>
      <c r="N937" s="1" t="s">
        <v>8</v>
      </c>
      <c r="O937" s="1" t="s">
        <v>68</v>
      </c>
    </row>
    <row r="938" spans="1:15" ht="28.8" x14ac:dyDescent="0.3">
      <c r="A938" s="1" t="s">
        <v>31560</v>
      </c>
      <c r="B938" s="1" t="str">
        <f>"Zion Energy Limited"</f>
        <v>Zion Energy Limited</v>
      </c>
      <c r="C938" s="1" t="s">
        <v>31561</v>
      </c>
      <c r="D938" s="1" t="s">
        <v>20720</v>
      </c>
      <c r="F938" s="1" t="s">
        <v>64</v>
      </c>
      <c r="G938" s="1" t="s">
        <v>162</v>
      </c>
      <c r="H938" s="1" t="s">
        <v>31562</v>
      </c>
      <c r="I938" s="1" t="s">
        <v>19</v>
      </c>
      <c r="J938" s="1" t="s">
        <v>6</v>
      </c>
      <c r="K938" s="1" t="s">
        <v>34</v>
      </c>
      <c r="L938" s="1">
        <v>8900102</v>
      </c>
      <c r="M938" s="2">
        <v>43317</v>
      </c>
      <c r="N938" s="1" t="s">
        <v>8</v>
      </c>
      <c r="O938" s="2">
        <v>44412</v>
      </c>
    </row>
    <row r="939" spans="1:15" ht="28.8" x14ac:dyDescent="0.3">
      <c r="A939" s="1" t="s">
        <v>31563</v>
      </c>
      <c r="B939" s="1" t="str">
        <f>"Heat Safe Cardiff Limited"</f>
        <v>Heat Safe Cardiff Limited</v>
      </c>
      <c r="C939" s="1" t="s">
        <v>31564</v>
      </c>
      <c r="F939" s="1" t="s">
        <v>123</v>
      </c>
      <c r="G939" s="1" t="s">
        <v>27</v>
      </c>
      <c r="H939" s="1" t="s">
        <v>2585</v>
      </c>
      <c r="I939" s="1" t="s">
        <v>19</v>
      </c>
      <c r="J939" s="1" t="s">
        <v>6</v>
      </c>
      <c r="K939" s="1" t="s">
        <v>24</v>
      </c>
      <c r="L939" s="1">
        <v>11409828</v>
      </c>
      <c r="M939" s="2">
        <v>43317</v>
      </c>
      <c r="N939" s="1" t="s">
        <v>8</v>
      </c>
      <c r="O939" s="2">
        <v>44412</v>
      </c>
    </row>
    <row r="940" spans="1:15" ht="43.2" x14ac:dyDescent="0.3">
      <c r="A940" s="1" t="s">
        <v>32582</v>
      </c>
      <c r="B940" s="1" t="str">
        <f>"Robert Lyons"</f>
        <v>Robert Lyons</v>
      </c>
      <c r="C940" s="1" t="s">
        <v>32583</v>
      </c>
      <c r="F940" s="1" t="s">
        <v>64</v>
      </c>
      <c r="G940" s="1" t="s">
        <v>65</v>
      </c>
      <c r="H940" s="1" t="s">
        <v>32584</v>
      </c>
      <c r="I940" s="1" t="s">
        <v>5</v>
      </c>
      <c r="J940" s="1" t="s">
        <v>67</v>
      </c>
      <c r="K940" s="1" t="s">
        <v>24</v>
      </c>
      <c r="M940" s="2">
        <v>43315</v>
      </c>
      <c r="N940" s="1" t="s">
        <v>8</v>
      </c>
      <c r="O940" s="1" t="s">
        <v>68</v>
      </c>
    </row>
    <row r="941" spans="1:15" ht="43.2" x14ac:dyDescent="0.3">
      <c r="A941" s="1" t="s">
        <v>32585</v>
      </c>
      <c r="B941" s="1" t="str">
        <f>"Coach and Horses Surgery"</f>
        <v>Coach and Horses Surgery</v>
      </c>
      <c r="C941" s="1" t="s">
        <v>32586</v>
      </c>
      <c r="D941" s="1" t="s">
        <v>32587</v>
      </c>
      <c r="E941" s="1" t="s">
        <v>8975</v>
      </c>
      <c r="F941" s="1" t="s">
        <v>56</v>
      </c>
      <c r="G941" s="1" t="s">
        <v>51</v>
      </c>
      <c r="H941" s="1" t="s">
        <v>13708</v>
      </c>
      <c r="I941" s="1" t="s">
        <v>188</v>
      </c>
      <c r="J941" s="1" t="s">
        <v>67</v>
      </c>
      <c r="K941" s="1" t="s">
        <v>24</v>
      </c>
      <c r="M941" s="2">
        <v>43315</v>
      </c>
      <c r="N941" s="1" t="s">
        <v>8</v>
      </c>
      <c r="O941" s="1" t="s">
        <v>68</v>
      </c>
    </row>
    <row r="942" spans="1:15" ht="43.2" x14ac:dyDescent="0.3">
      <c r="A942" s="1" t="s">
        <v>32588</v>
      </c>
      <c r="B942" s="1" t="str">
        <f>"Stoves and Stacks"</f>
        <v>Stoves and Stacks</v>
      </c>
      <c r="C942" s="1" t="s">
        <v>32589</v>
      </c>
      <c r="D942" s="1" t="s">
        <v>32590</v>
      </c>
      <c r="F942" s="1" t="s">
        <v>15211</v>
      </c>
      <c r="G942" s="1" t="s">
        <v>162</v>
      </c>
      <c r="H942" s="1" t="s">
        <v>32591</v>
      </c>
      <c r="I942" s="1" t="s">
        <v>125</v>
      </c>
      <c r="J942" s="1" t="s">
        <v>67</v>
      </c>
      <c r="K942" s="1" t="s">
        <v>24</v>
      </c>
      <c r="M942" s="2">
        <v>43315</v>
      </c>
      <c r="N942" s="1" t="s">
        <v>8</v>
      </c>
      <c r="O942" s="1" t="s">
        <v>68</v>
      </c>
    </row>
    <row r="943" spans="1:15" x14ac:dyDescent="0.3">
      <c r="A943" s="1" t="s">
        <v>32592</v>
      </c>
      <c r="B943" s="1" t="str">
        <f>"EvaBuild Ltd"</f>
        <v>EvaBuild Ltd</v>
      </c>
      <c r="C943" s="1" t="s">
        <v>32593</v>
      </c>
      <c r="D943" s="1" t="s">
        <v>32594</v>
      </c>
      <c r="E943" s="1" t="s">
        <v>17898</v>
      </c>
      <c r="F943" s="1" t="s">
        <v>445</v>
      </c>
      <c r="H943" s="1" t="s">
        <v>32595</v>
      </c>
      <c r="I943" s="1" t="s">
        <v>19</v>
      </c>
      <c r="J943" s="1" t="s">
        <v>6</v>
      </c>
      <c r="K943" s="1" t="s">
        <v>24</v>
      </c>
      <c r="M943" s="2">
        <v>43314</v>
      </c>
      <c r="N943" s="1" t="s">
        <v>8</v>
      </c>
      <c r="O943" s="2">
        <v>44409</v>
      </c>
    </row>
    <row r="944" spans="1:15" x14ac:dyDescent="0.3">
      <c r="A944" s="1" t="s">
        <v>32599</v>
      </c>
      <c r="B944" s="1" t="str">
        <f>"Copa Services Limited"</f>
        <v>Copa Services Limited</v>
      </c>
      <c r="C944" s="1" t="s">
        <v>32600</v>
      </c>
      <c r="F944" s="1" t="s">
        <v>123</v>
      </c>
      <c r="G944" s="1" t="s">
        <v>27</v>
      </c>
      <c r="H944" s="1" t="s">
        <v>32601</v>
      </c>
      <c r="I944" s="1" t="s">
        <v>19</v>
      </c>
      <c r="J944" s="1" t="s">
        <v>6</v>
      </c>
      <c r="K944" s="1" t="s">
        <v>24</v>
      </c>
      <c r="L944" s="1">
        <v>11448996</v>
      </c>
      <c r="M944" s="2">
        <v>43314</v>
      </c>
      <c r="N944" s="1" t="s">
        <v>8</v>
      </c>
      <c r="O944" s="2">
        <v>44409</v>
      </c>
    </row>
    <row r="945" spans="1:15" ht="28.8" x14ac:dyDescent="0.3">
      <c r="A945" s="1" t="s">
        <v>32602</v>
      </c>
      <c r="B945" s="1" t="str">
        <f>"Stephen Rushe Monmouth Clearance"</f>
        <v>Stephen Rushe Monmouth Clearance</v>
      </c>
      <c r="C945" s="1" t="s">
        <v>32603</v>
      </c>
      <c r="F945" s="1" t="s">
        <v>1239</v>
      </c>
      <c r="G945" s="1" t="s">
        <v>231</v>
      </c>
      <c r="H945" s="1" t="s">
        <v>32604</v>
      </c>
      <c r="I945" s="1" t="s">
        <v>5</v>
      </c>
      <c r="J945" s="1" t="s">
        <v>6</v>
      </c>
      <c r="K945" s="1" t="s">
        <v>24</v>
      </c>
      <c r="M945" s="2">
        <v>43314</v>
      </c>
      <c r="N945" s="1" t="s">
        <v>8</v>
      </c>
      <c r="O945" s="2">
        <v>44409</v>
      </c>
    </row>
    <row r="946" spans="1:15" x14ac:dyDescent="0.3">
      <c r="A946" s="1" t="s">
        <v>32605</v>
      </c>
      <c r="B946" s="1" t="str">
        <f>"David Lewis"</f>
        <v>David Lewis</v>
      </c>
      <c r="C946" s="1" t="s">
        <v>32606</v>
      </c>
      <c r="D946" s="1" t="s">
        <v>18078</v>
      </c>
      <c r="F946" s="1" t="s">
        <v>359</v>
      </c>
      <c r="G946" s="1" t="s">
        <v>359</v>
      </c>
      <c r="H946" s="1" t="s">
        <v>32607</v>
      </c>
      <c r="I946" s="1" t="s">
        <v>5</v>
      </c>
      <c r="J946" s="1" t="s">
        <v>6</v>
      </c>
      <c r="K946" s="1" t="s">
        <v>24</v>
      </c>
      <c r="M946" s="2">
        <v>43314</v>
      </c>
      <c r="N946" s="1" t="s">
        <v>8</v>
      </c>
      <c r="O946" s="2">
        <v>44409</v>
      </c>
    </row>
    <row r="947" spans="1:15" ht="28.8" x14ac:dyDescent="0.3">
      <c r="A947" s="1" t="s">
        <v>32608</v>
      </c>
      <c r="B947" s="1" t="str">
        <f>"Valleys to Coast Housing"</f>
        <v>Valleys to Coast Housing</v>
      </c>
      <c r="C947" s="1" t="s">
        <v>32609</v>
      </c>
      <c r="D947" s="1" t="s">
        <v>32610</v>
      </c>
      <c r="E947" s="1" t="s">
        <v>32611</v>
      </c>
      <c r="F947" s="1" t="s">
        <v>865</v>
      </c>
      <c r="G947" s="1" t="s">
        <v>179</v>
      </c>
      <c r="H947" s="1" t="s">
        <v>18037</v>
      </c>
      <c r="I947" s="1" t="s">
        <v>19</v>
      </c>
      <c r="J947" s="1" t="s">
        <v>6</v>
      </c>
      <c r="K947" s="1" t="s">
        <v>24</v>
      </c>
      <c r="M947" s="2">
        <v>43314</v>
      </c>
      <c r="N947" s="1" t="s">
        <v>8</v>
      </c>
      <c r="O947" s="2">
        <v>44409</v>
      </c>
    </row>
    <row r="948" spans="1:15" x14ac:dyDescent="0.3">
      <c r="A948" s="1" t="s">
        <v>30485</v>
      </c>
      <c r="B948" s="1" t="str">
        <f>"G Quaeck &amp; Co Ltd"</f>
        <v>G Quaeck &amp; Co Ltd</v>
      </c>
      <c r="C948" s="1" t="s">
        <v>30486</v>
      </c>
      <c r="D948" s="1" t="s">
        <v>30487</v>
      </c>
      <c r="F948" s="1" t="s">
        <v>2504</v>
      </c>
      <c r="G948" s="1" t="s">
        <v>3</v>
      </c>
      <c r="H948" s="1" t="s">
        <v>30488</v>
      </c>
      <c r="I948" s="1" t="s">
        <v>19</v>
      </c>
      <c r="J948" s="1" t="s">
        <v>6</v>
      </c>
      <c r="K948" s="1" t="s">
        <v>24</v>
      </c>
      <c r="M948" s="2">
        <v>43313</v>
      </c>
      <c r="N948" s="1" t="s">
        <v>8</v>
      </c>
      <c r="O948" s="2">
        <v>44408</v>
      </c>
    </row>
    <row r="949" spans="1:15" x14ac:dyDescent="0.3">
      <c r="A949" s="1" t="s">
        <v>30494</v>
      </c>
      <c r="B949" s="1" t="str">
        <f>"Gerallt Hughes"</f>
        <v>Gerallt Hughes</v>
      </c>
      <c r="C949" s="1" t="s">
        <v>30495</v>
      </c>
      <c r="D949" s="1" t="s">
        <v>30496</v>
      </c>
      <c r="F949" s="1" t="s">
        <v>2589</v>
      </c>
      <c r="G949" s="1" t="s">
        <v>679</v>
      </c>
      <c r="H949" s="1" t="s">
        <v>30497</v>
      </c>
      <c r="I949" s="1" t="s">
        <v>5</v>
      </c>
      <c r="J949" s="1" t="s">
        <v>6</v>
      </c>
      <c r="K949" s="1" t="s">
        <v>24</v>
      </c>
      <c r="M949" s="2">
        <v>43313</v>
      </c>
      <c r="N949" s="1" t="s">
        <v>8</v>
      </c>
      <c r="O949" s="2">
        <v>44408</v>
      </c>
    </row>
    <row r="950" spans="1:15" ht="43.2" x14ac:dyDescent="0.3">
      <c r="A950" s="1" t="s">
        <v>32576</v>
      </c>
      <c r="B950" s="1" t="str">
        <f>"Paul Williams"</f>
        <v>Paul Williams</v>
      </c>
      <c r="C950" s="1" t="s">
        <v>32577</v>
      </c>
      <c r="D950" s="1" t="s">
        <v>6191</v>
      </c>
      <c r="F950" s="1" t="s">
        <v>64</v>
      </c>
      <c r="G950" s="1" t="s">
        <v>65</v>
      </c>
      <c r="H950" s="1" t="s">
        <v>32578</v>
      </c>
      <c r="I950" s="1" t="s">
        <v>5</v>
      </c>
      <c r="J950" s="1" t="s">
        <v>67</v>
      </c>
      <c r="K950" s="1" t="s">
        <v>24</v>
      </c>
      <c r="M950" s="2">
        <v>43313</v>
      </c>
      <c r="N950" s="1" t="s">
        <v>8</v>
      </c>
      <c r="O950" s="1" t="s">
        <v>68</v>
      </c>
    </row>
    <row r="951" spans="1:15" ht="43.2" x14ac:dyDescent="0.3">
      <c r="A951" s="1" t="s">
        <v>32579</v>
      </c>
      <c r="B951" s="1" t="str">
        <f>"Allan Williams"</f>
        <v>Allan Williams</v>
      </c>
      <c r="C951" s="1" t="s">
        <v>32580</v>
      </c>
      <c r="D951" s="1" t="s">
        <v>2169</v>
      </c>
      <c r="F951" s="1" t="s">
        <v>179</v>
      </c>
      <c r="G951" s="1" t="s">
        <v>180</v>
      </c>
      <c r="H951" s="1" t="s">
        <v>32581</v>
      </c>
      <c r="I951" s="1" t="s">
        <v>5</v>
      </c>
      <c r="J951" s="1" t="s">
        <v>67</v>
      </c>
      <c r="K951" s="1" t="s">
        <v>24</v>
      </c>
      <c r="M951" s="2">
        <v>43313</v>
      </c>
      <c r="N951" s="1" t="s">
        <v>8</v>
      </c>
      <c r="O951" s="1" t="s">
        <v>68</v>
      </c>
    </row>
    <row r="952" spans="1:15" ht="43.2" x14ac:dyDescent="0.3">
      <c r="A952" s="1" t="s">
        <v>2242</v>
      </c>
      <c r="B952" s="1" t="str">
        <f>"Dan Roberts"</f>
        <v>Dan Roberts</v>
      </c>
      <c r="C952" s="1" t="s">
        <v>2243</v>
      </c>
      <c r="D952" s="1" t="s">
        <v>1174</v>
      </c>
      <c r="F952" s="1" t="s">
        <v>1058</v>
      </c>
      <c r="G952" s="1" t="s">
        <v>381</v>
      </c>
      <c r="H952" s="1" t="s">
        <v>2244</v>
      </c>
      <c r="I952" s="1" t="s">
        <v>5</v>
      </c>
      <c r="J952" s="1" t="s">
        <v>67</v>
      </c>
      <c r="K952" s="1" t="s">
        <v>24</v>
      </c>
      <c r="M952" s="2">
        <v>43311</v>
      </c>
      <c r="N952" s="1" t="s">
        <v>8</v>
      </c>
      <c r="O952" s="1" t="s">
        <v>68</v>
      </c>
    </row>
    <row r="953" spans="1:15" ht="43.2" x14ac:dyDescent="0.3">
      <c r="A953" s="1" t="s">
        <v>2245</v>
      </c>
      <c r="B953" s="1" t="str">
        <f>"Dean Rowlands"</f>
        <v>Dean Rowlands</v>
      </c>
      <c r="C953" s="1" t="s">
        <v>2246</v>
      </c>
      <c r="D953" s="1" t="s">
        <v>1174</v>
      </c>
      <c r="F953" s="1" t="s">
        <v>1058</v>
      </c>
      <c r="G953" s="1" t="s">
        <v>381</v>
      </c>
      <c r="H953" s="1" t="s">
        <v>2247</v>
      </c>
      <c r="I953" s="1" t="s">
        <v>5</v>
      </c>
      <c r="J953" s="1" t="s">
        <v>67</v>
      </c>
      <c r="K953" s="1" t="s">
        <v>24</v>
      </c>
      <c r="M953" s="2">
        <v>43311</v>
      </c>
      <c r="N953" s="1" t="s">
        <v>8</v>
      </c>
      <c r="O953" s="1" t="s">
        <v>68</v>
      </c>
    </row>
    <row r="954" spans="1:15" ht="43.2" x14ac:dyDescent="0.3">
      <c r="A954" s="1" t="s">
        <v>2248</v>
      </c>
      <c r="B954" s="1" t="str">
        <f>"Oak Tree Surgery"</f>
        <v>Oak Tree Surgery</v>
      </c>
      <c r="C954" s="1" t="s">
        <v>2249</v>
      </c>
      <c r="D954" s="1" t="s">
        <v>2250</v>
      </c>
      <c r="F954" s="1" t="s">
        <v>865</v>
      </c>
      <c r="H954" s="1" t="s">
        <v>2251</v>
      </c>
      <c r="I954" s="1" t="s">
        <v>1872</v>
      </c>
      <c r="J954" s="1" t="s">
        <v>67</v>
      </c>
      <c r="K954" s="1" t="s">
        <v>24</v>
      </c>
      <c r="M954" s="2">
        <v>43311</v>
      </c>
      <c r="N954" s="1" t="s">
        <v>8</v>
      </c>
      <c r="O954" s="1" t="s">
        <v>68</v>
      </c>
    </row>
    <row r="955" spans="1:15" ht="28.8" x14ac:dyDescent="0.3">
      <c r="A955" s="1" t="s">
        <v>30472</v>
      </c>
      <c r="B955" s="1" t="str">
        <f>"Angel's Scrap Disposal LTD"</f>
        <v>Angel's Scrap Disposal LTD</v>
      </c>
      <c r="C955" s="1" t="s">
        <v>30473</v>
      </c>
      <c r="F955" s="1" t="s">
        <v>179</v>
      </c>
      <c r="G955" s="1" t="s">
        <v>180</v>
      </c>
      <c r="H955" s="1" t="s">
        <v>30474</v>
      </c>
      <c r="I955" s="1" t="s">
        <v>19</v>
      </c>
      <c r="J955" s="1" t="s">
        <v>6</v>
      </c>
      <c r="K955" s="1" t="s">
        <v>34</v>
      </c>
      <c r="L955" s="1">
        <v>11469396</v>
      </c>
      <c r="M955" s="2">
        <v>43311</v>
      </c>
      <c r="N955" s="1" t="s">
        <v>8</v>
      </c>
      <c r="O955" s="2">
        <v>44406</v>
      </c>
    </row>
    <row r="956" spans="1:15" x14ac:dyDescent="0.3">
      <c r="A956" s="1" t="s">
        <v>30475</v>
      </c>
      <c r="B956" s="1" t="str">
        <f>"Andrew Shepherd"</f>
        <v>Andrew Shepherd</v>
      </c>
      <c r="C956" s="1" t="s">
        <v>30476</v>
      </c>
      <c r="D956" s="1" t="s">
        <v>21090</v>
      </c>
      <c r="F956" s="1" t="s">
        <v>380</v>
      </c>
      <c r="G956" s="1" t="s">
        <v>381</v>
      </c>
      <c r="H956" s="1" t="s">
        <v>28477</v>
      </c>
      <c r="I956" s="1" t="s">
        <v>5</v>
      </c>
      <c r="J956" s="1" t="s">
        <v>6</v>
      </c>
      <c r="K956" s="1" t="s">
        <v>24</v>
      </c>
      <c r="M956" s="2">
        <v>43311</v>
      </c>
      <c r="N956" s="1" t="s">
        <v>8</v>
      </c>
      <c r="O956" s="2">
        <v>44406</v>
      </c>
    </row>
    <row r="957" spans="1:15" x14ac:dyDescent="0.3">
      <c r="A957" s="1" t="s">
        <v>30477</v>
      </c>
      <c r="B957" s="1" t="str">
        <f>"UC Bed Bargains"</f>
        <v>UC Bed Bargains</v>
      </c>
      <c r="C957" s="1" t="s">
        <v>30478</v>
      </c>
      <c r="D957" s="1" t="s">
        <v>30479</v>
      </c>
      <c r="F957" s="1" t="s">
        <v>1321</v>
      </c>
      <c r="G957" s="1" t="s">
        <v>3</v>
      </c>
      <c r="H957" s="1" t="s">
        <v>15639</v>
      </c>
      <c r="I957" s="1" t="s">
        <v>19</v>
      </c>
      <c r="J957" s="1" t="s">
        <v>6</v>
      </c>
      <c r="K957" s="1" t="s">
        <v>24</v>
      </c>
      <c r="L957" s="1">
        <v>7966746</v>
      </c>
      <c r="M957" s="2">
        <v>43311</v>
      </c>
      <c r="N957" s="1" t="s">
        <v>8</v>
      </c>
      <c r="O957" s="2">
        <v>44406</v>
      </c>
    </row>
    <row r="958" spans="1:15" ht="28.8" x14ac:dyDescent="0.3">
      <c r="A958" s="1" t="s">
        <v>30480</v>
      </c>
      <c r="B958" s="1" t="str">
        <f>"Matthew  Finselbach "</f>
        <v xml:space="preserve">Matthew  Finselbach </v>
      </c>
      <c r="C958" s="1" t="s">
        <v>30481</v>
      </c>
      <c r="D958" s="1" t="s">
        <v>578</v>
      </c>
      <c r="F958" s="1" t="s">
        <v>64</v>
      </c>
      <c r="G958" s="1" t="s">
        <v>65</v>
      </c>
      <c r="H958" s="1" t="s">
        <v>22546</v>
      </c>
      <c r="I958" s="1" t="s">
        <v>5</v>
      </c>
      <c r="J958" s="1" t="s">
        <v>6</v>
      </c>
      <c r="K958" s="1" t="s">
        <v>34</v>
      </c>
      <c r="M958" s="2">
        <v>43311</v>
      </c>
      <c r="N958" s="1" t="s">
        <v>8</v>
      </c>
      <c r="O958" s="2">
        <v>44406</v>
      </c>
    </row>
    <row r="959" spans="1:15" ht="28.8" x14ac:dyDescent="0.3">
      <c r="A959" s="1" t="s">
        <v>32539</v>
      </c>
      <c r="B959" s="1" t="str">
        <f>"David Glover"</f>
        <v>David Glover</v>
      </c>
      <c r="C959" s="1" t="s">
        <v>32540</v>
      </c>
      <c r="F959" s="1" t="s">
        <v>32</v>
      </c>
      <c r="G959" s="1" t="s">
        <v>109</v>
      </c>
      <c r="H959" s="1" t="s">
        <v>32541</v>
      </c>
      <c r="I959" s="1" t="s">
        <v>5</v>
      </c>
      <c r="J959" s="1" t="s">
        <v>6</v>
      </c>
      <c r="K959" s="1" t="s">
        <v>34</v>
      </c>
      <c r="M959" s="2">
        <v>43310</v>
      </c>
      <c r="N959" s="1" t="s">
        <v>8</v>
      </c>
      <c r="O959" s="2">
        <v>44405</v>
      </c>
    </row>
    <row r="960" spans="1:15" ht="28.8" x14ac:dyDescent="0.3">
      <c r="A960" s="1" t="s">
        <v>32542</v>
      </c>
      <c r="B960" s="1" t="str">
        <f>"Hills Autos Limited"</f>
        <v>Hills Autos Limited</v>
      </c>
      <c r="C960" s="1" t="s">
        <v>32543</v>
      </c>
      <c r="D960" s="1" t="s">
        <v>32544</v>
      </c>
      <c r="F960" s="1" t="s">
        <v>710</v>
      </c>
      <c r="G960" s="1" t="s">
        <v>3</v>
      </c>
      <c r="H960" s="1" t="s">
        <v>32545</v>
      </c>
      <c r="I960" s="1" t="s">
        <v>19</v>
      </c>
      <c r="J960" s="1" t="s">
        <v>6</v>
      </c>
      <c r="K960" s="1" t="s">
        <v>34</v>
      </c>
      <c r="L960" s="1">
        <v>9242939</v>
      </c>
      <c r="M960" s="2">
        <v>43310</v>
      </c>
      <c r="N960" s="1" t="s">
        <v>8</v>
      </c>
      <c r="O960" s="2">
        <v>44405</v>
      </c>
    </row>
    <row r="961" spans="1:15" ht="28.8" x14ac:dyDescent="0.3">
      <c r="A961" s="1" t="s">
        <v>32549</v>
      </c>
      <c r="B961" s="1" t="str">
        <f>"PHD Building Contractors"</f>
        <v>PHD Building Contractors</v>
      </c>
      <c r="C961" s="1" t="s">
        <v>2759</v>
      </c>
      <c r="D961" s="1" t="s">
        <v>2760</v>
      </c>
      <c r="E961" s="1" t="s">
        <v>258</v>
      </c>
      <c r="F961" s="1" t="s">
        <v>64</v>
      </c>
      <c r="G961" s="1" t="s">
        <v>65</v>
      </c>
      <c r="H961" s="1" t="s">
        <v>259</v>
      </c>
      <c r="I961" s="1" t="s">
        <v>19</v>
      </c>
      <c r="J961" s="1" t="s">
        <v>6</v>
      </c>
      <c r="K961" s="1" t="s">
        <v>24</v>
      </c>
      <c r="L961" s="1">
        <v>3782480</v>
      </c>
      <c r="M961" s="2">
        <v>43310</v>
      </c>
      <c r="N961" s="1" t="s">
        <v>8</v>
      </c>
      <c r="O961" s="2">
        <v>44405</v>
      </c>
    </row>
    <row r="962" spans="1:15" ht="28.8" x14ac:dyDescent="0.3">
      <c r="A962" s="1" t="s">
        <v>32550</v>
      </c>
      <c r="B962" s="1" t="str">
        <f>"Dylan Jones Roebuck's Removals"</f>
        <v>Dylan Jones Roebuck's Removals</v>
      </c>
      <c r="C962" s="1" t="s">
        <v>32551</v>
      </c>
      <c r="D962" s="1" t="s">
        <v>32552</v>
      </c>
      <c r="F962" s="1" t="s">
        <v>2757</v>
      </c>
      <c r="G962" s="1" t="s">
        <v>679</v>
      </c>
      <c r="H962" s="1" t="s">
        <v>32553</v>
      </c>
      <c r="I962" s="1" t="s">
        <v>5</v>
      </c>
      <c r="J962" s="1" t="s">
        <v>6</v>
      </c>
      <c r="K962" s="1" t="s">
        <v>24</v>
      </c>
      <c r="M962" s="2">
        <v>43310</v>
      </c>
      <c r="N962" s="1" t="s">
        <v>8</v>
      </c>
      <c r="O962" s="2">
        <v>44405</v>
      </c>
    </row>
    <row r="963" spans="1:15" x14ac:dyDescent="0.3">
      <c r="A963" s="1" t="s">
        <v>32554</v>
      </c>
      <c r="B963" s="1" t="str">
        <f>"Owen Lewis &amp; Son"</f>
        <v>Owen Lewis &amp; Son</v>
      </c>
      <c r="C963" s="1" t="s">
        <v>32555</v>
      </c>
      <c r="F963" s="1" t="s">
        <v>1991</v>
      </c>
      <c r="G963" s="1" t="s">
        <v>115</v>
      </c>
      <c r="H963" s="1" t="s">
        <v>17645</v>
      </c>
      <c r="I963" s="1" t="s">
        <v>125</v>
      </c>
      <c r="J963" s="1" t="s">
        <v>6</v>
      </c>
      <c r="K963" s="1" t="s">
        <v>24</v>
      </c>
      <c r="M963" s="2">
        <v>43310</v>
      </c>
      <c r="N963" s="1" t="s">
        <v>8</v>
      </c>
      <c r="O963" s="2">
        <v>44405</v>
      </c>
    </row>
    <row r="964" spans="1:15" ht="28.8" x14ac:dyDescent="0.3">
      <c r="A964" s="1" t="s">
        <v>32556</v>
      </c>
      <c r="B964" s="1" t="str">
        <f>"Glyn Lee"</f>
        <v>Glyn Lee</v>
      </c>
      <c r="C964" s="1" t="s">
        <v>32557</v>
      </c>
      <c r="D964" s="1" t="s">
        <v>32558</v>
      </c>
      <c r="E964" s="1" t="s">
        <v>29723</v>
      </c>
      <c r="F964" s="1" t="s">
        <v>491</v>
      </c>
      <c r="G964" s="1" t="s">
        <v>115</v>
      </c>
      <c r="H964" s="1" t="s">
        <v>32559</v>
      </c>
      <c r="I964" s="1" t="s">
        <v>5</v>
      </c>
      <c r="J964" s="1" t="s">
        <v>6</v>
      </c>
      <c r="K964" s="1" t="s">
        <v>34</v>
      </c>
      <c r="M964" s="2">
        <v>43310</v>
      </c>
      <c r="N964" s="1" t="s">
        <v>8</v>
      </c>
      <c r="O964" s="2">
        <v>44405</v>
      </c>
    </row>
    <row r="965" spans="1:15" ht="28.8" x14ac:dyDescent="0.3">
      <c r="A965" s="1" t="s">
        <v>32560</v>
      </c>
      <c r="B965" s="1" t="str">
        <f>"Dulais Limited"</f>
        <v>Dulais Limited</v>
      </c>
      <c r="C965" s="1" t="s">
        <v>32561</v>
      </c>
      <c r="D965" s="1" t="s">
        <v>32562</v>
      </c>
      <c r="F965" s="1" t="s">
        <v>1818</v>
      </c>
      <c r="G965" s="1" t="s">
        <v>162</v>
      </c>
      <c r="H965" s="1" t="s">
        <v>4375</v>
      </c>
      <c r="I965" s="1" t="s">
        <v>19</v>
      </c>
      <c r="J965" s="1" t="s">
        <v>6</v>
      </c>
      <c r="K965" s="1" t="s">
        <v>34</v>
      </c>
      <c r="L965" s="1">
        <v>1629011</v>
      </c>
      <c r="M965" s="2">
        <v>43310</v>
      </c>
      <c r="N965" s="1" t="s">
        <v>8</v>
      </c>
      <c r="O965" s="2">
        <v>44405</v>
      </c>
    </row>
    <row r="966" spans="1:15" ht="43.2" x14ac:dyDescent="0.3">
      <c r="A966" s="1" t="s">
        <v>32563</v>
      </c>
      <c r="B966" s="1" t="str">
        <f>"Happy Valley (Porthcawl) LTD"</f>
        <v>Happy Valley (Porthcawl) LTD</v>
      </c>
      <c r="C966" s="1" t="s">
        <v>32564</v>
      </c>
      <c r="D966" s="1" t="s">
        <v>32565</v>
      </c>
      <c r="E966" s="1" t="s">
        <v>2094</v>
      </c>
      <c r="F966" s="1" t="s">
        <v>179</v>
      </c>
      <c r="G966" s="1" t="s">
        <v>180</v>
      </c>
      <c r="H966" s="1" t="s">
        <v>32566</v>
      </c>
      <c r="I966" s="1" t="s">
        <v>19</v>
      </c>
      <c r="J966" s="1" t="s">
        <v>6</v>
      </c>
      <c r="K966" s="1" t="s">
        <v>34</v>
      </c>
      <c r="M966" s="2">
        <v>43310</v>
      </c>
      <c r="N966" s="1" t="s">
        <v>8</v>
      </c>
      <c r="O966" s="2">
        <v>44405</v>
      </c>
    </row>
    <row r="967" spans="1:15" x14ac:dyDescent="0.3">
      <c r="A967" s="1" t="s">
        <v>32567</v>
      </c>
      <c r="B967" s="1" t="str">
        <f>"Jeffery Griffiths"</f>
        <v>Jeffery Griffiths</v>
      </c>
      <c r="C967" s="1" t="s">
        <v>32568</v>
      </c>
      <c r="D967" s="1" t="s">
        <v>2041</v>
      </c>
      <c r="F967" s="1" t="s">
        <v>64</v>
      </c>
      <c r="G967" s="1" t="s">
        <v>65</v>
      </c>
      <c r="H967" s="1" t="s">
        <v>32569</v>
      </c>
      <c r="I967" s="1" t="s">
        <v>5</v>
      </c>
      <c r="J967" s="1" t="s">
        <v>6</v>
      </c>
      <c r="K967" s="1" t="s">
        <v>24</v>
      </c>
      <c r="M967" s="2">
        <v>43310</v>
      </c>
      <c r="N967" s="1" t="s">
        <v>8</v>
      </c>
      <c r="O967" s="2">
        <v>44405</v>
      </c>
    </row>
    <row r="968" spans="1:15" ht="28.8" x14ac:dyDescent="0.3">
      <c r="A968" s="1" t="s">
        <v>32573</v>
      </c>
      <c r="B968" s="1" t="str">
        <f>"Ingenium Construction Services Ltd"</f>
        <v>Ingenium Construction Services Ltd</v>
      </c>
      <c r="C968" s="1" t="s">
        <v>32574</v>
      </c>
      <c r="D968" s="1" t="s">
        <v>32575</v>
      </c>
      <c r="E968" s="1" t="s">
        <v>9213</v>
      </c>
      <c r="F968" s="1" t="s">
        <v>140</v>
      </c>
      <c r="G968" s="1" t="s">
        <v>141</v>
      </c>
      <c r="H968" s="1" t="s">
        <v>14419</v>
      </c>
      <c r="I968" s="1" t="s">
        <v>19</v>
      </c>
      <c r="J968" s="1" t="s">
        <v>6</v>
      </c>
      <c r="K968" s="1" t="s">
        <v>24</v>
      </c>
      <c r="L968" s="1">
        <v>8044030</v>
      </c>
      <c r="M968" s="2">
        <v>43310</v>
      </c>
      <c r="N968" s="1" t="s">
        <v>8</v>
      </c>
      <c r="O968" s="2">
        <v>44405</v>
      </c>
    </row>
    <row r="969" spans="1:15" ht="28.8" x14ac:dyDescent="0.3">
      <c r="A969" s="1" t="s">
        <v>30438</v>
      </c>
      <c r="B969" s="1" t="str">
        <f>"Taylor Robinson"</f>
        <v>Taylor Robinson</v>
      </c>
      <c r="C969" s="1" t="s">
        <v>30439</v>
      </c>
      <c r="F969" s="1" t="s">
        <v>1206</v>
      </c>
      <c r="G969" s="1" t="s">
        <v>162</v>
      </c>
      <c r="H969" s="1" t="s">
        <v>30440</v>
      </c>
      <c r="I969" s="1" t="s">
        <v>5</v>
      </c>
      <c r="J969" s="1" t="s">
        <v>6</v>
      </c>
      <c r="K969" s="1" t="s">
        <v>34</v>
      </c>
      <c r="M969" s="2">
        <v>43307</v>
      </c>
      <c r="N969" s="1" t="s">
        <v>8</v>
      </c>
      <c r="O969" s="2">
        <v>44402</v>
      </c>
    </row>
    <row r="970" spans="1:15" ht="28.8" x14ac:dyDescent="0.3">
      <c r="A970" s="1" t="s">
        <v>30441</v>
      </c>
      <c r="B970" s="1" t="str">
        <f>"Taylor Robinson"</f>
        <v>Taylor Robinson</v>
      </c>
      <c r="C970" s="1" t="s">
        <v>30442</v>
      </c>
      <c r="D970" s="1" t="s">
        <v>30443</v>
      </c>
      <c r="F970" s="1" t="s">
        <v>9838</v>
      </c>
      <c r="G970" s="1" t="s">
        <v>115</v>
      </c>
      <c r="H970" s="1" t="s">
        <v>30444</v>
      </c>
      <c r="I970" s="1" t="s">
        <v>5</v>
      </c>
      <c r="J970" s="1" t="s">
        <v>6</v>
      </c>
      <c r="K970" s="1" t="s">
        <v>34</v>
      </c>
      <c r="M970" s="2">
        <v>43307</v>
      </c>
      <c r="N970" s="1" t="s">
        <v>8</v>
      </c>
      <c r="O970" s="2">
        <v>44402</v>
      </c>
    </row>
    <row r="971" spans="1:15" ht="28.8" x14ac:dyDescent="0.3">
      <c r="A971" s="1" t="s">
        <v>30445</v>
      </c>
      <c r="B971" s="1" t="str">
        <f>"John Owen Plant Hire (Anglesey) Ltd."</f>
        <v>John Owen Plant Hire (Anglesey) Ltd.</v>
      </c>
      <c r="C971" s="1" t="s">
        <v>16331</v>
      </c>
      <c r="F971" s="1" t="s">
        <v>119</v>
      </c>
      <c r="H971" s="1" t="s">
        <v>16332</v>
      </c>
      <c r="I971" s="1" t="s">
        <v>19</v>
      </c>
      <c r="J971" s="1" t="s">
        <v>6</v>
      </c>
      <c r="K971" s="1" t="s">
        <v>34</v>
      </c>
      <c r="L971" s="1">
        <v>4986190</v>
      </c>
      <c r="M971" s="2">
        <v>43307</v>
      </c>
      <c r="N971" s="1" t="s">
        <v>8</v>
      </c>
      <c r="O971" s="2">
        <v>44402</v>
      </c>
    </row>
    <row r="972" spans="1:15" ht="28.8" x14ac:dyDescent="0.3">
      <c r="A972" s="1" t="s">
        <v>30446</v>
      </c>
      <c r="B972" s="1" t="str">
        <f>"Andrew Field"</f>
        <v>Andrew Field</v>
      </c>
      <c r="C972" s="1" t="s">
        <v>30447</v>
      </c>
      <c r="F972" s="1" t="s">
        <v>32</v>
      </c>
      <c r="G972" s="1" t="s">
        <v>109</v>
      </c>
      <c r="H972" s="1" t="s">
        <v>30448</v>
      </c>
      <c r="I972" s="1" t="s">
        <v>5</v>
      </c>
      <c r="J972" s="1" t="s">
        <v>6</v>
      </c>
      <c r="K972" s="1" t="s">
        <v>34</v>
      </c>
      <c r="M972" s="2">
        <v>43307</v>
      </c>
      <c r="N972" s="1" t="s">
        <v>8</v>
      </c>
      <c r="O972" s="2">
        <v>44402</v>
      </c>
    </row>
    <row r="973" spans="1:15" x14ac:dyDescent="0.3">
      <c r="A973" s="1" t="s">
        <v>30449</v>
      </c>
      <c r="B973" s="1" t="str">
        <f>"Steffan Thomas"</f>
        <v>Steffan Thomas</v>
      </c>
      <c r="C973" s="1" t="s">
        <v>30450</v>
      </c>
      <c r="D973" s="1" t="s">
        <v>238</v>
      </c>
      <c r="F973" s="1" t="s">
        <v>42</v>
      </c>
      <c r="G973" s="1" t="s">
        <v>51</v>
      </c>
      <c r="H973" s="1" t="s">
        <v>30451</v>
      </c>
      <c r="I973" s="1" t="s">
        <v>5</v>
      </c>
      <c r="J973" s="1" t="s">
        <v>6</v>
      </c>
      <c r="K973" s="1" t="s">
        <v>24</v>
      </c>
      <c r="M973" s="2">
        <v>43307</v>
      </c>
      <c r="N973" s="1" t="s">
        <v>8</v>
      </c>
      <c r="O973" s="2">
        <v>44402</v>
      </c>
    </row>
    <row r="974" spans="1:15" x14ac:dyDescent="0.3">
      <c r="A974" s="1" t="s">
        <v>30452</v>
      </c>
      <c r="B974" s="1" t="str">
        <f>"James Belton"</f>
        <v>James Belton</v>
      </c>
      <c r="C974" s="1" t="s">
        <v>30453</v>
      </c>
      <c r="D974" s="1" t="s">
        <v>30454</v>
      </c>
      <c r="F974" s="1" t="s">
        <v>1776</v>
      </c>
      <c r="G974" s="1" t="s">
        <v>115</v>
      </c>
      <c r="H974" s="1" t="s">
        <v>30455</v>
      </c>
      <c r="I974" s="1" t="s">
        <v>5</v>
      </c>
      <c r="J974" s="1" t="s">
        <v>6</v>
      </c>
      <c r="K974" s="1" t="s">
        <v>24</v>
      </c>
      <c r="M974" s="2">
        <v>43307</v>
      </c>
      <c r="N974" s="1" t="s">
        <v>8</v>
      </c>
      <c r="O974" s="2">
        <v>44402</v>
      </c>
    </row>
    <row r="975" spans="1:15" ht="28.8" x14ac:dyDescent="0.3">
      <c r="A975" s="1" t="s">
        <v>30456</v>
      </c>
      <c r="B975" s="1" t="str">
        <f>"Boilerhut LTD"</f>
        <v>Boilerhut LTD</v>
      </c>
      <c r="C975" s="1" t="s">
        <v>30457</v>
      </c>
      <c r="D975" s="1" t="s">
        <v>30458</v>
      </c>
      <c r="E975" s="1" t="s">
        <v>3552</v>
      </c>
      <c r="F975" s="1" t="s">
        <v>123</v>
      </c>
      <c r="G975" s="1" t="s">
        <v>27</v>
      </c>
      <c r="H975" s="1" t="s">
        <v>3553</v>
      </c>
      <c r="I975" s="1" t="s">
        <v>19</v>
      </c>
      <c r="J975" s="1" t="s">
        <v>6</v>
      </c>
      <c r="K975" s="1" t="s">
        <v>24</v>
      </c>
      <c r="L975" s="1">
        <v>8615540</v>
      </c>
      <c r="M975" s="2">
        <v>43307</v>
      </c>
      <c r="N975" s="1" t="s">
        <v>8</v>
      </c>
      <c r="O975" s="2">
        <v>44402</v>
      </c>
    </row>
    <row r="976" spans="1:15" x14ac:dyDescent="0.3">
      <c r="A976" s="1" t="s">
        <v>30462</v>
      </c>
      <c r="B976" s="1" t="str">
        <f>"GE Stephens &amp; Sons"</f>
        <v>GE Stephens &amp; Sons</v>
      </c>
      <c r="C976" s="1" t="s">
        <v>30463</v>
      </c>
      <c r="D976" s="1" t="s">
        <v>6135</v>
      </c>
      <c r="F976" s="1" t="s">
        <v>1230</v>
      </c>
      <c r="G976" s="1" t="s">
        <v>162</v>
      </c>
      <c r="H976" s="1" t="s">
        <v>30464</v>
      </c>
      <c r="I976" s="1" t="s">
        <v>125</v>
      </c>
      <c r="J976" s="1" t="s">
        <v>6</v>
      </c>
      <c r="K976" s="1" t="s">
        <v>24</v>
      </c>
      <c r="M976" s="2">
        <v>43307</v>
      </c>
      <c r="N976" s="1" t="s">
        <v>8</v>
      </c>
      <c r="O976" s="2">
        <v>44402</v>
      </c>
    </row>
    <row r="977" spans="1:15" ht="28.8" x14ac:dyDescent="0.3">
      <c r="A977" s="1" t="s">
        <v>30465</v>
      </c>
      <c r="B977" s="1" t="str">
        <f>"Penybryn Engineering LTD"</f>
        <v>Penybryn Engineering LTD</v>
      </c>
      <c r="C977" s="1" t="s">
        <v>30466</v>
      </c>
      <c r="D977" s="1" t="s">
        <v>30467</v>
      </c>
      <c r="E977" s="1" t="s">
        <v>27681</v>
      </c>
      <c r="F977" s="1" t="s">
        <v>364</v>
      </c>
      <c r="G977" s="1" t="s">
        <v>103</v>
      </c>
      <c r="H977" s="1" t="s">
        <v>30468</v>
      </c>
      <c r="I977" s="1" t="s">
        <v>19</v>
      </c>
      <c r="J977" s="1" t="s">
        <v>6</v>
      </c>
      <c r="K977" s="1" t="s">
        <v>34</v>
      </c>
      <c r="L977" s="1">
        <v>5201504</v>
      </c>
      <c r="M977" s="2">
        <v>43307</v>
      </c>
      <c r="N977" s="1" t="s">
        <v>8</v>
      </c>
      <c r="O977" s="2">
        <v>44402</v>
      </c>
    </row>
    <row r="978" spans="1:15" ht="28.8" x14ac:dyDescent="0.3">
      <c r="A978" s="1" t="s">
        <v>30469</v>
      </c>
      <c r="B978" s="1" t="str">
        <f>"Christopher Jones Jonesy;s Bulk Haulage"</f>
        <v>Christopher Jones Jonesy;s Bulk Haulage</v>
      </c>
      <c r="C978" s="1" t="s">
        <v>30470</v>
      </c>
      <c r="D978" s="1" t="s">
        <v>14765</v>
      </c>
      <c r="F978" s="1" t="s">
        <v>1341</v>
      </c>
      <c r="G978" s="1" t="s">
        <v>103</v>
      </c>
      <c r="H978" s="1" t="s">
        <v>30471</v>
      </c>
      <c r="I978" s="1" t="s">
        <v>5</v>
      </c>
      <c r="J978" s="1" t="s">
        <v>6</v>
      </c>
      <c r="K978" s="1" t="s">
        <v>7</v>
      </c>
      <c r="M978" s="2">
        <v>43307</v>
      </c>
      <c r="N978" s="1" t="s">
        <v>8</v>
      </c>
      <c r="O978" s="2">
        <v>44402</v>
      </c>
    </row>
    <row r="979" spans="1:15" ht="43.2" x14ac:dyDescent="0.3">
      <c r="A979" s="1" t="s">
        <v>31554</v>
      </c>
      <c r="B979" s="1" t="str">
        <f>"Daniel Parvin"</f>
        <v>Daniel Parvin</v>
      </c>
      <c r="C979" s="1" t="s">
        <v>31555</v>
      </c>
      <c r="D979" s="1" t="s">
        <v>1604</v>
      </c>
      <c r="F979" s="1" t="s">
        <v>64</v>
      </c>
      <c r="G979" s="1" t="s">
        <v>65</v>
      </c>
      <c r="H979" s="1" t="s">
        <v>31556</v>
      </c>
      <c r="I979" s="1" t="s">
        <v>5</v>
      </c>
      <c r="J979" s="1" t="s">
        <v>67</v>
      </c>
      <c r="K979" s="1" t="s">
        <v>24</v>
      </c>
      <c r="M979" s="2">
        <v>43306</v>
      </c>
      <c r="N979" s="1" t="s">
        <v>8</v>
      </c>
      <c r="O979" s="1" t="s">
        <v>68</v>
      </c>
    </row>
    <row r="980" spans="1:15" ht="43.2" x14ac:dyDescent="0.3">
      <c r="A980" s="1" t="s">
        <v>31557</v>
      </c>
      <c r="B980" s="1" t="str">
        <f>"Pennaf Housing Group"</f>
        <v>Pennaf Housing Group</v>
      </c>
      <c r="C980" s="1" t="s">
        <v>30505</v>
      </c>
      <c r="D980" s="1" t="s">
        <v>11903</v>
      </c>
      <c r="E980" s="1" t="s">
        <v>896</v>
      </c>
      <c r="F980" s="1" t="s">
        <v>897</v>
      </c>
      <c r="G980" s="1" t="s">
        <v>73</v>
      </c>
      <c r="H980" s="1" t="s">
        <v>4864</v>
      </c>
      <c r="I980" s="1" t="s">
        <v>1872</v>
      </c>
      <c r="J980" s="1" t="s">
        <v>67</v>
      </c>
      <c r="K980" s="1" t="s">
        <v>24</v>
      </c>
      <c r="M980" s="2">
        <v>43306</v>
      </c>
      <c r="N980" s="1" t="s">
        <v>8</v>
      </c>
      <c r="O980" s="1" t="s">
        <v>68</v>
      </c>
    </row>
    <row r="981" spans="1:15" ht="28.8" x14ac:dyDescent="0.3">
      <c r="A981" s="1" t="s">
        <v>32507</v>
      </c>
      <c r="B981" s="1" t="str">
        <f>"Richard Wood"</f>
        <v>Richard Wood</v>
      </c>
      <c r="C981" s="1" t="s">
        <v>32508</v>
      </c>
      <c r="D981" s="1" t="s">
        <v>2216</v>
      </c>
      <c r="F981" s="1" t="s">
        <v>1351</v>
      </c>
      <c r="G981" s="1" t="s">
        <v>109</v>
      </c>
      <c r="H981" s="1" t="s">
        <v>2217</v>
      </c>
      <c r="I981" s="1" t="s">
        <v>5</v>
      </c>
      <c r="J981" s="1" t="s">
        <v>6</v>
      </c>
      <c r="K981" s="1" t="s">
        <v>34</v>
      </c>
      <c r="M981" s="2">
        <v>43306</v>
      </c>
      <c r="N981" s="1" t="s">
        <v>8</v>
      </c>
      <c r="O981" s="2">
        <v>44401</v>
      </c>
    </row>
    <row r="982" spans="1:15" ht="28.8" x14ac:dyDescent="0.3">
      <c r="A982" s="1" t="s">
        <v>32509</v>
      </c>
      <c r="B982" s="1" t="str">
        <f>"Care &amp; Repair Solutions LTD"</f>
        <v>Care &amp; Repair Solutions LTD</v>
      </c>
      <c r="C982" s="1" t="s">
        <v>32510</v>
      </c>
      <c r="D982" s="1" t="s">
        <v>32511</v>
      </c>
      <c r="E982" s="1" t="s">
        <v>258</v>
      </c>
      <c r="F982" s="1" t="s">
        <v>64</v>
      </c>
      <c r="G982" s="1" t="s">
        <v>65</v>
      </c>
      <c r="H982" s="1" t="s">
        <v>4099</v>
      </c>
      <c r="I982" s="1" t="s">
        <v>19</v>
      </c>
      <c r="J982" s="1" t="s">
        <v>6</v>
      </c>
      <c r="K982" s="1" t="s">
        <v>24</v>
      </c>
      <c r="L982" s="1">
        <v>7578751</v>
      </c>
      <c r="M982" s="2">
        <v>43306</v>
      </c>
      <c r="N982" s="1" t="s">
        <v>8</v>
      </c>
      <c r="O982" s="2">
        <v>44401</v>
      </c>
    </row>
    <row r="983" spans="1:15" ht="28.8" x14ac:dyDescent="0.3">
      <c r="A983" s="1" t="s">
        <v>32512</v>
      </c>
      <c r="B983" s="1" t="str">
        <f>"Chris Grey Fire Doors LTD"</f>
        <v>Chris Grey Fire Doors LTD</v>
      </c>
      <c r="C983" s="1" t="s">
        <v>32513</v>
      </c>
      <c r="D983" s="1" t="s">
        <v>611</v>
      </c>
      <c r="F983" s="1" t="s">
        <v>64</v>
      </c>
      <c r="G983" s="1" t="s">
        <v>65</v>
      </c>
      <c r="H983" s="1" t="s">
        <v>32514</v>
      </c>
      <c r="I983" s="1" t="s">
        <v>19</v>
      </c>
      <c r="J983" s="1" t="s">
        <v>6</v>
      </c>
      <c r="K983" s="1" t="s">
        <v>24</v>
      </c>
      <c r="L983" s="1">
        <v>6610809</v>
      </c>
      <c r="M983" s="2">
        <v>43306</v>
      </c>
      <c r="N983" s="1" t="s">
        <v>8</v>
      </c>
      <c r="O983" s="2">
        <v>44401</v>
      </c>
    </row>
    <row r="984" spans="1:15" ht="28.8" x14ac:dyDescent="0.3">
      <c r="A984" s="1" t="s">
        <v>32515</v>
      </c>
      <c r="B984" s="1" t="str">
        <f>"Andrew John Total Landscaping Solutions"</f>
        <v>Andrew John Total Landscaping Solutions</v>
      </c>
      <c r="C984" s="1" t="s">
        <v>32516</v>
      </c>
      <c r="F984" s="1" t="s">
        <v>32</v>
      </c>
      <c r="G984" s="1" t="s">
        <v>109</v>
      </c>
      <c r="H984" s="1" t="s">
        <v>32517</v>
      </c>
      <c r="I984" s="1" t="s">
        <v>5</v>
      </c>
      <c r="J984" s="1" t="s">
        <v>6</v>
      </c>
      <c r="K984" s="1" t="s">
        <v>24</v>
      </c>
      <c r="M984" s="2">
        <v>43306</v>
      </c>
      <c r="N984" s="1" t="s">
        <v>8</v>
      </c>
      <c r="O984" s="2">
        <v>44401</v>
      </c>
    </row>
    <row r="985" spans="1:15" ht="28.8" x14ac:dyDescent="0.3">
      <c r="A985" s="1" t="s">
        <v>32518</v>
      </c>
      <c r="B985" s="1" t="str">
        <f>"Carl Anderson"</f>
        <v>Carl Anderson</v>
      </c>
      <c r="C985" s="1" t="s">
        <v>32519</v>
      </c>
      <c r="F985" s="1" t="s">
        <v>32</v>
      </c>
      <c r="G985" s="1" t="s">
        <v>109</v>
      </c>
      <c r="H985" s="1" t="s">
        <v>32520</v>
      </c>
      <c r="I985" s="1" t="s">
        <v>5</v>
      </c>
      <c r="J985" s="1" t="s">
        <v>6</v>
      </c>
      <c r="K985" s="1" t="s">
        <v>34</v>
      </c>
      <c r="M985" s="2">
        <v>43306</v>
      </c>
      <c r="N985" s="1" t="s">
        <v>8</v>
      </c>
      <c r="O985" s="2">
        <v>44401</v>
      </c>
    </row>
    <row r="986" spans="1:15" ht="28.8" x14ac:dyDescent="0.3">
      <c r="A986" s="1" t="s">
        <v>32524</v>
      </c>
      <c r="B986" s="1" t="str">
        <f>"NPC COMMERCIALS LTD"</f>
        <v>NPC COMMERCIALS LTD</v>
      </c>
      <c r="C986" s="1" t="s">
        <v>32525</v>
      </c>
      <c r="D986" s="1" t="s">
        <v>32526</v>
      </c>
      <c r="F986" s="1" t="s">
        <v>4944</v>
      </c>
      <c r="H986" s="1" t="s">
        <v>4132</v>
      </c>
      <c r="I986" s="1" t="s">
        <v>19</v>
      </c>
      <c r="J986" s="1" t="s">
        <v>6</v>
      </c>
      <c r="K986" s="1" t="s">
        <v>24</v>
      </c>
      <c r="L986" s="1">
        <v>7896405</v>
      </c>
      <c r="M986" s="2">
        <v>43306</v>
      </c>
      <c r="N986" s="1" t="s">
        <v>8</v>
      </c>
      <c r="O986" s="2">
        <v>44401</v>
      </c>
    </row>
    <row r="987" spans="1:15" ht="28.8" x14ac:dyDescent="0.3">
      <c r="A987" s="1" t="s">
        <v>32527</v>
      </c>
      <c r="B987" s="1" t="str">
        <f>"Dampshield UK LTD"</f>
        <v>Dampshield UK LTD</v>
      </c>
      <c r="C987" s="1" t="s">
        <v>32528</v>
      </c>
      <c r="D987" s="1" t="s">
        <v>32529</v>
      </c>
      <c r="E987" s="1" t="s">
        <v>4252</v>
      </c>
      <c r="F987" s="1" t="s">
        <v>323</v>
      </c>
      <c r="G987" s="1" t="s">
        <v>324</v>
      </c>
      <c r="H987" s="1" t="s">
        <v>32530</v>
      </c>
      <c r="I987" s="1" t="s">
        <v>19</v>
      </c>
      <c r="J987" s="1" t="s">
        <v>6</v>
      </c>
      <c r="K987" s="1" t="s">
        <v>34</v>
      </c>
      <c r="L987" s="1">
        <v>9641639</v>
      </c>
      <c r="M987" s="2">
        <v>43306</v>
      </c>
      <c r="N987" s="1" t="s">
        <v>8</v>
      </c>
      <c r="O987" s="2">
        <v>44401</v>
      </c>
    </row>
    <row r="988" spans="1:15" ht="28.8" x14ac:dyDescent="0.3">
      <c r="A988" s="1" t="s">
        <v>32531</v>
      </c>
      <c r="B988" s="1" t="str">
        <f>"CYMRU GLASS &amp; GLAZING LTD"</f>
        <v>CYMRU GLASS &amp; GLAZING LTD</v>
      </c>
      <c r="C988" s="1" t="s">
        <v>32532</v>
      </c>
      <c r="D988" s="1" t="s">
        <v>379</v>
      </c>
      <c r="E988" s="1" t="s">
        <v>1457</v>
      </c>
      <c r="F988" s="1" t="s">
        <v>380</v>
      </c>
      <c r="H988" s="1" t="s">
        <v>1458</v>
      </c>
      <c r="I988" s="1" t="s">
        <v>19</v>
      </c>
      <c r="J988" s="1" t="s">
        <v>6</v>
      </c>
      <c r="K988" s="1" t="s">
        <v>24</v>
      </c>
      <c r="L988" s="1">
        <v>6419247</v>
      </c>
      <c r="M988" s="2">
        <v>43306</v>
      </c>
      <c r="N988" s="1" t="s">
        <v>8</v>
      </c>
      <c r="O988" s="2">
        <v>44401</v>
      </c>
    </row>
    <row r="989" spans="1:15" ht="28.8" x14ac:dyDescent="0.3">
      <c r="A989" s="1" t="s">
        <v>32533</v>
      </c>
      <c r="B989" s="1" t="str">
        <f>"Jessica Davies"</f>
        <v>Jessica Davies</v>
      </c>
      <c r="C989" s="1" t="s">
        <v>32534</v>
      </c>
      <c r="D989" s="1" t="s">
        <v>1336</v>
      </c>
      <c r="F989" s="1" t="s">
        <v>9838</v>
      </c>
      <c r="G989" s="1" t="s">
        <v>115</v>
      </c>
      <c r="H989" s="1" t="s">
        <v>32535</v>
      </c>
      <c r="I989" s="1" t="s">
        <v>5</v>
      </c>
      <c r="J989" s="1" t="s">
        <v>6</v>
      </c>
      <c r="K989" s="1" t="s">
        <v>34</v>
      </c>
      <c r="M989" s="2">
        <v>43306</v>
      </c>
      <c r="N989" s="1" t="s">
        <v>8</v>
      </c>
      <c r="O989" s="2">
        <v>44401</v>
      </c>
    </row>
    <row r="990" spans="1:15" ht="28.8" x14ac:dyDescent="0.3">
      <c r="A990" s="1" t="s">
        <v>32536</v>
      </c>
      <c r="B990" s="1" t="str">
        <f>"Camilleri Contruction LTD"</f>
        <v>Camilleri Contruction LTD</v>
      </c>
      <c r="C990" s="1" t="s">
        <v>32537</v>
      </c>
      <c r="F990" s="1" t="s">
        <v>123</v>
      </c>
      <c r="G990" s="1" t="s">
        <v>27</v>
      </c>
      <c r="H990" s="1" t="s">
        <v>32538</v>
      </c>
      <c r="I990" s="1" t="s">
        <v>19</v>
      </c>
      <c r="J990" s="1" t="s">
        <v>6</v>
      </c>
      <c r="K990" s="1" t="s">
        <v>34</v>
      </c>
      <c r="L990" s="1">
        <v>1881858</v>
      </c>
      <c r="M990" s="2">
        <v>43306</v>
      </c>
      <c r="N990" s="1" t="s">
        <v>8</v>
      </c>
      <c r="O990" s="2">
        <v>44401</v>
      </c>
    </row>
    <row r="991" spans="1:15" x14ac:dyDescent="0.3">
      <c r="A991" s="1" t="s">
        <v>2202</v>
      </c>
      <c r="B991" s="1" t="str">
        <f>"Grant De-st-croix"</f>
        <v>Grant De-st-croix</v>
      </c>
      <c r="C991" s="1" t="s">
        <v>2203</v>
      </c>
      <c r="D991" s="1" t="s">
        <v>2204</v>
      </c>
      <c r="F991" s="1" t="s">
        <v>380</v>
      </c>
      <c r="G991" s="1" t="s">
        <v>381</v>
      </c>
      <c r="H991" s="1" t="s">
        <v>2205</v>
      </c>
      <c r="I991" s="1" t="s">
        <v>5</v>
      </c>
      <c r="J991" s="1" t="s">
        <v>6</v>
      </c>
      <c r="K991" s="1" t="s">
        <v>24</v>
      </c>
      <c r="M991" s="2">
        <v>43305</v>
      </c>
      <c r="N991" s="1" t="s">
        <v>8</v>
      </c>
      <c r="O991" s="2">
        <v>44400</v>
      </c>
    </row>
    <row r="992" spans="1:15" ht="28.8" x14ac:dyDescent="0.3">
      <c r="A992" s="1" t="s">
        <v>2206</v>
      </c>
      <c r="B992" s="1" t="str">
        <f>"N Johnson Transport LTD"</f>
        <v>N Johnson Transport LTD</v>
      </c>
      <c r="C992" s="1" t="s">
        <v>2207</v>
      </c>
      <c r="D992" s="1" t="s">
        <v>2208</v>
      </c>
      <c r="E992" s="1" t="s">
        <v>2209</v>
      </c>
      <c r="F992" s="1" t="s">
        <v>720</v>
      </c>
      <c r="G992" s="1" t="s">
        <v>324</v>
      </c>
      <c r="H992" s="1" t="s">
        <v>2210</v>
      </c>
      <c r="I992" s="1" t="s">
        <v>19</v>
      </c>
      <c r="J992" s="1" t="s">
        <v>6</v>
      </c>
      <c r="K992" s="1" t="s">
        <v>34</v>
      </c>
      <c r="L992" s="1">
        <v>8541548</v>
      </c>
      <c r="M992" s="2">
        <v>43305</v>
      </c>
      <c r="N992" s="1" t="s">
        <v>8</v>
      </c>
      <c r="O992" s="2">
        <v>44400</v>
      </c>
    </row>
    <row r="993" spans="1:15" ht="28.8" x14ac:dyDescent="0.3">
      <c r="A993" s="1" t="s">
        <v>2211</v>
      </c>
      <c r="B993" s="1" t="str">
        <f>"Barry Burtonshaw"</f>
        <v>Barry Burtonshaw</v>
      </c>
      <c r="C993" s="1" t="s">
        <v>2212</v>
      </c>
      <c r="D993" s="1" t="s">
        <v>2041</v>
      </c>
      <c r="F993" s="1" t="s">
        <v>65</v>
      </c>
      <c r="H993" s="1" t="s">
        <v>2213</v>
      </c>
      <c r="I993" s="1" t="s">
        <v>5</v>
      </c>
      <c r="J993" s="1" t="s">
        <v>6</v>
      </c>
      <c r="K993" s="1" t="s">
        <v>34</v>
      </c>
      <c r="M993" s="2">
        <v>43305</v>
      </c>
      <c r="N993" s="1" t="s">
        <v>8</v>
      </c>
      <c r="O993" s="2">
        <v>44400</v>
      </c>
    </row>
    <row r="994" spans="1:15" ht="28.8" x14ac:dyDescent="0.3">
      <c r="A994" s="1" t="s">
        <v>2214</v>
      </c>
      <c r="B994" s="1" t="str">
        <f>"T &amp; T Contractors (Wales) LTD"</f>
        <v>T &amp; T Contractors (Wales) LTD</v>
      </c>
      <c r="C994" s="1" t="s">
        <v>2215</v>
      </c>
      <c r="D994" s="1" t="s">
        <v>2216</v>
      </c>
      <c r="F994" s="1" t="s">
        <v>1351</v>
      </c>
      <c r="G994" s="1" t="s">
        <v>109</v>
      </c>
      <c r="H994" s="1" t="s">
        <v>2217</v>
      </c>
      <c r="I994" s="1" t="s">
        <v>19</v>
      </c>
      <c r="J994" s="1" t="s">
        <v>6</v>
      </c>
      <c r="K994" s="1" t="s">
        <v>34</v>
      </c>
      <c r="L994" s="1">
        <v>11277941</v>
      </c>
      <c r="M994" s="2">
        <v>43305</v>
      </c>
      <c r="N994" s="1" t="s">
        <v>8</v>
      </c>
      <c r="O994" s="2">
        <v>44400</v>
      </c>
    </row>
    <row r="995" spans="1:15" ht="28.8" x14ac:dyDescent="0.3">
      <c r="A995" s="1" t="s">
        <v>2218</v>
      </c>
      <c r="B995" s="1" t="str">
        <f>"Asguard Ltd."</f>
        <v>Asguard Ltd.</v>
      </c>
      <c r="C995" s="1" t="s">
        <v>2219</v>
      </c>
      <c r="D995" s="1" t="s">
        <v>1576</v>
      </c>
      <c r="F995" s="1" t="s">
        <v>298</v>
      </c>
      <c r="H995" s="1" t="s">
        <v>2220</v>
      </c>
      <c r="I995" s="1" t="s">
        <v>19</v>
      </c>
      <c r="J995" s="1" t="s">
        <v>6</v>
      </c>
      <c r="K995" s="1" t="s">
        <v>24</v>
      </c>
      <c r="L995" s="1">
        <v>5435108</v>
      </c>
      <c r="M995" s="2">
        <v>43305</v>
      </c>
      <c r="N995" s="1" t="s">
        <v>8</v>
      </c>
      <c r="O995" s="2">
        <v>44400</v>
      </c>
    </row>
    <row r="996" spans="1:15" ht="43.2" x14ac:dyDescent="0.3">
      <c r="A996" s="1" t="s">
        <v>2221</v>
      </c>
      <c r="B996" s="1" t="str">
        <f>"Paul Morgan CP Morgan Roofing &amp; Plastering"</f>
        <v>Paul Morgan CP Morgan Roofing &amp; Plastering</v>
      </c>
      <c r="C996" s="1" t="s">
        <v>2222</v>
      </c>
      <c r="D996" s="1" t="s">
        <v>1672</v>
      </c>
      <c r="F996" s="1" t="s">
        <v>64</v>
      </c>
      <c r="G996" s="1" t="s">
        <v>65</v>
      </c>
      <c r="H996" s="1" t="s">
        <v>2223</v>
      </c>
      <c r="I996" s="1" t="s">
        <v>5</v>
      </c>
      <c r="J996" s="1" t="s">
        <v>6</v>
      </c>
      <c r="K996" s="1" t="s">
        <v>24</v>
      </c>
      <c r="M996" s="2">
        <v>43305</v>
      </c>
      <c r="N996" s="1" t="s">
        <v>8</v>
      </c>
      <c r="O996" s="2">
        <v>44400</v>
      </c>
    </row>
    <row r="997" spans="1:15" ht="28.8" x14ac:dyDescent="0.3">
      <c r="A997" s="1" t="s">
        <v>2224</v>
      </c>
      <c r="B997" s="1" t="str">
        <f>"Ullyses Limited"</f>
        <v>Ullyses Limited</v>
      </c>
      <c r="C997" s="1" t="s">
        <v>2225</v>
      </c>
      <c r="D997" s="1" t="s">
        <v>2226</v>
      </c>
      <c r="E997" s="1" t="s">
        <v>2227</v>
      </c>
      <c r="F997" s="1" t="s">
        <v>156</v>
      </c>
      <c r="G997" s="1" t="s">
        <v>156</v>
      </c>
      <c r="H997" s="1" t="s">
        <v>2228</v>
      </c>
      <c r="I997" s="1" t="s">
        <v>19</v>
      </c>
      <c r="J997" s="1" t="s">
        <v>6</v>
      </c>
      <c r="K997" s="1" t="s">
        <v>34</v>
      </c>
      <c r="L997" s="1">
        <v>4411273</v>
      </c>
      <c r="M997" s="2">
        <v>43305</v>
      </c>
      <c r="N997" s="1" t="s">
        <v>8</v>
      </c>
      <c r="O997" s="2">
        <v>44400</v>
      </c>
    </row>
    <row r="998" spans="1:15" ht="28.8" x14ac:dyDescent="0.3">
      <c r="A998" s="1" t="s">
        <v>2229</v>
      </c>
      <c r="B998" s="1" t="str">
        <f>"Total Doors Uk LTD"</f>
        <v>Total Doors Uk LTD</v>
      </c>
      <c r="C998" s="1" t="s">
        <v>2230</v>
      </c>
      <c r="D998" s="1" t="s">
        <v>2231</v>
      </c>
      <c r="E998" s="1" t="s">
        <v>2232</v>
      </c>
      <c r="F998" s="1" t="s">
        <v>42</v>
      </c>
      <c r="G998" s="1" t="s">
        <v>51</v>
      </c>
      <c r="H998" s="1" t="s">
        <v>2233</v>
      </c>
      <c r="I998" s="1" t="s">
        <v>19</v>
      </c>
      <c r="J998" s="1" t="s">
        <v>6</v>
      </c>
      <c r="K998" s="1" t="s">
        <v>34</v>
      </c>
      <c r="L998" s="1">
        <v>9051792</v>
      </c>
      <c r="M998" s="2">
        <v>43305</v>
      </c>
      <c r="N998" s="1" t="s">
        <v>8</v>
      </c>
      <c r="O998" s="2">
        <v>44400</v>
      </c>
    </row>
    <row r="999" spans="1:15" ht="28.8" x14ac:dyDescent="0.3">
      <c r="A999" s="1" t="s">
        <v>2234</v>
      </c>
      <c r="B999" s="1" t="str">
        <f>"Clwyd Environmental Services LTD"</f>
        <v>Clwyd Environmental Services LTD</v>
      </c>
      <c r="C999" s="1" t="s">
        <v>1127</v>
      </c>
      <c r="D999" s="1" t="s">
        <v>2235</v>
      </c>
      <c r="E999" s="1" t="s">
        <v>2236</v>
      </c>
      <c r="F999" s="1" t="s">
        <v>476</v>
      </c>
      <c r="G999" s="1" t="s">
        <v>359</v>
      </c>
      <c r="H999" s="1" t="s">
        <v>2237</v>
      </c>
      <c r="I999" s="1" t="s">
        <v>19</v>
      </c>
      <c r="J999" s="1" t="s">
        <v>6</v>
      </c>
      <c r="K999" s="1" t="s">
        <v>34</v>
      </c>
      <c r="L999" s="1">
        <v>10829754</v>
      </c>
      <c r="M999" s="2">
        <v>43305</v>
      </c>
      <c r="N999" s="1" t="s">
        <v>8</v>
      </c>
      <c r="O999" s="2">
        <v>44400</v>
      </c>
    </row>
    <row r="1000" spans="1:15" ht="28.8" x14ac:dyDescent="0.3">
      <c r="A1000" s="1" t="s">
        <v>2238</v>
      </c>
      <c r="B1000" s="1" t="str">
        <f>"Twenty4 Fire &amp; Security Limited"</f>
        <v>Twenty4 Fire &amp; Security Limited</v>
      </c>
      <c r="C1000" s="1" t="s">
        <v>2239</v>
      </c>
      <c r="D1000" s="1" t="s">
        <v>2240</v>
      </c>
      <c r="F1000" s="1" t="s">
        <v>123</v>
      </c>
      <c r="G1000" s="1" t="s">
        <v>27</v>
      </c>
      <c r="H1000" s="1" t="s">
        <v>2241</v>
      </c>
      <c r="I1000" s="1" t="s">
        <v>19</v>
      </c>
      <c r="J1000" s="1" t="s">
        <v>6</v>
      </c>
      <c r="K1000" s="1" t="s">
        <v>34</v>
      </c>
      <c r="L1000" s="1">
        <v>9159416</v>
      </c>
      <c r="M1000" s="2">
        <v>43305</v>
      </c>
      <c r="N1000" s="1" t="s">
        <v>8</v>
      </c>
      <c r="O1000" s="2">
        <v>44400</v>
      </c>
    </row>
    <row r="1001" spans="1:15" ht="43.2" x14ac:dyDescent="0.3">
      <c r="A1001" s="1" t="s">
        <v>30425</v>
      </c>
      <c r="B1001" s="1" t="str">
        <f>"Norman  Price"</f>
        <v>Norman  Price</v>
      </c>
      <c r="C1001" s="1" t="s">
        <v>30426</v>
      </c>
      <c r="F1001" s="1" t="s">
        <v>4127</v>
      </c>
      <c r="G1001" s="1" t="s">
        <v>162</v>
      </c>
      <c r="H1001" s="1" t="s">
        <v>30427</v>
      </c>
      <c r="I1001" s="1" t="s">
        <v>5</v>
      </c>
      <c r="J1001" s="1" t="s">
        <v>67</v>
      </c>
      <c r="K1001" s="1" t="s">
        <v>24</v>
      </c>
      <c r="M1001" s="2">
        <v>43305</v>
      </c>
      <c r="N1001" s="1" t="s">
        <v>8</v>
      </c>
      <c r="O1001" s="1" t="s">
        <v>68</v>
      </c>
    </row>
    <row r="1002" spans="1:15" ht="43.2" x14ac:dyDescent="0.3">
      <c r="A1002" s="1" t="s">
        <v>30428</v>
      </c>
      <c r="B1002" s="1" t="str">
        <f>"David Brereton"</f>
        <v>David Brereton</v>
      </c>
      <c r="C1002" s="1" t="s">
        <v>30429</v>
      </c>
      <c r="D1002" s="1" t="s">
        <v>30430</v>
      </c>
      <c r="F1002" s="1" t="s">
        <v>532</v>
      </c>
      <c r="G1002" s="1" t="s">
        <v>198</v>
      </c>
      <c r="H1002" s="1" t="s">
        <v>30431</v>
      </c>
      <c r="I1002" s="1" t="s">
        <v>5</v>
      </c>
      <c r="J1002" s="1" t="s">
        <v>67</v>
      </c>
      <c r="K1002" s="1" t="s">
        <v>24</v>
      </c>
      <c r="M1002" s="2">
        <v>43305</v>
      </c>
      <c r="N1002" s="1" t="s">
        <v>8</v>
      </c>
      <c r="O1002" s="1" t="s">
        <v>68</v>
      </c>
    </row>
    <row r="1003" spans="1:15" ht="43.2" x14ac:dyDescent="0.3">
      <c r="A1003" s="1" t="s">
        <v>30409</v>
      </c>
      <c r="B1003" s="1" t="str">
        <f>"Royal Welsh Show"</f>
        <v>Royal Welsh Show</v>
      </c>
      <c r="C1003" s="1" t="s">
        <v>30410</v>
      </c>
      <c r="D1003" s="1" t="s">
        <v>30411</v>
      </c>
      <c r="F1003" s="1" t="s">
        <v>5409</v>
      </c>
      <c r="G1003" s="1" t="s">
        <v>162</v>
      </c>
      <c r="H1003" s="1" t="s">
        <v>30412</v>
      </c>
      <c r="I1003" s="1" t="s">
        <v>1872</v>
      </c>
      <c r="J1003" s="1" t="s">
        <v>67</v>
      </c>
      <c r="K1003" s="1" t="s">
        <v>24</v>
      </c>
      <c r="M1003" s="2">
        <v>43304</v>
      </c>
      <c r="N1003" s="1" t="s">
        <v>8</v>
      </c>
      <c r="O1003" s="1" t="s">
        <v>68</v>
      </c>
    </row>
    <row r="1004" spans="1:15" ht="43.2" x14ac:dyDescent="0.3">
      <c r="A1004" s="1" t="s">
        <v>30413</v>
      </c>
      <c r="B1004" s="1" t="str">
        <f>"Swansea Bay Logistics"</f>
        <v>Swansea Bay Logistics</v>
      </c>
      <c r="C1004" s="1" t="s">
        <v>30414</v>
      </c>
      <c r="D1004" s="1" t="s">
        <v>30415</v>
      </c>
      <c r="E1004" s="1" t="s">
        <v>258</v>
      </c>
      <c r="F1004" s="1" t="s">
        <v>64</v>
      </c>
      <c r="G1004" s="1" t="s">
        <v>65</v>
      </c>
      <c r="H1004" s="1" t="s">
        <v>30416</v>
      </c>
      <c r="I1004" s="1" t="s">
        <v>19</v>
      </c>
      <c r="J1004" s="1" t="s">
        <v>67</v>
      </c>
      <c r="K1004" s="1" t="s">
        <v>24</v>
      </c>
      <c r="M1004" s="2">
        <v>43304</v>
      </c>
      <c r="N1004" s="1" t="s">
        <v>8</v>
      </c>
      <c r="O1004" s="1" t="s">
        <v>68</v>
      </c>
    </row>
    <row r="1005" spans="1:15" ht="43.2" x14ac:dyDescent="0.3">
      <c r="A1005" s="1" t="s">
        <v>30417</v>
      </c>
      <c r="B1005" s="1" t="str">
        <f>"Evolve"</f>
        <v>Evolve</v>
      </c>
      <c r="C1005" s="1" t="s">
        <v>30418</v>
      </c>
      <c r="D1005" s="1" t="s">
        <v>30419</v>
      </c>
      <c r="F1005" s="1" t="s">
        <v>380</v>
      </c>
      <c r="G1005" s="1" t="s">
        <v>381</v>
      </c>
      <c r="H1005" s="1" t="s">
        <v>30420</v>
      </c>
      <c r="I1005" s="1" t="s">
        <v>19</v>
      </c>
      <c r="J1005" s="1" t="s">
        <v>67</v>
      </c>
      <c r="K1005" s="1" t="s">
        <v>24</v>
      </c>
      <c r="M1005" s="2">
        <v>43304</v>
      </c>
      <c r="N1005" s="1" t="s">
        <v>8</v>
      </c>
      <c r="O1005" s="1" t="s">
        <v>68</v>
      </c>
    </row>
    <row r="1006" spans="1:15" ht="43.2" x14ac:dyDescent="0.3">
      <c r="A1006" s="1" t="s">
        <v>30421</v>
      </c>
      <c r="B1006" s="1" t="str">
        <f>"Quay Bay Trading"</f>
        <v>Quay Bay Trading</v>
      </c>
      <c r="C1006" s="1" t="s">
        <v>30422</v>
      </c>
      <c r="D1006" s="1" t="s">
        <v>30423</v>
      </c>
      <c r="F1006" s="1" t="s">
        <v>3081</v>
      </c>
      <c r="G1006" s="1" t="s">
        <v>654</v>
      </c>
      <c r="H1006" s="1" t="s">
        <v>30424</v>
      </c>
      <c r="I1006" s="1" t="s">
        <v>1872</v>
      </c>
      <c r="J1006" s="1" t="s">
        <v>67</v>
      </c>
      <c r="K1006" s="1" t="s">
        <v>24</v>
      </c>
      <c r="M1006" s="2">
        <v>43304</v>
      </c>
      <c r="N1006" s="1" t="s">
        <v>8</v>
      </c>
      <c r="O1006" s="1" t="s">
        <v>68</v>
      </c>
    </row>
    <row r="1007" spans="1:15" ht="43.2" x14ac:dyDescent="0.3">
      <c r="A1007" s="1" t="s">
        <v>32489</v>
      </c>
      <c r="B1007" s="1" t="str">
        <f>"Every Penny Counts"</f>
        <v>Every Penny Counts</v>
      </c>
      <c r="C1007" s="1" t="s">
        <v>32490</v>
      </c>
      <c r="D1007" s="1" t="s">
        <v>32491</v>
      </c>
      <c r="E1007" s="1" t="s">
        <v>32492</v>
      </c>
      <c r="F1007" s="1" t="s">
        <v>1479</v>
      </c>
      <c r="G1007" s="1" t="s">
        <v>324</v>
      </c>
      <c r="H1007" s="1" t="s">
        <v>32493</v>
      </c>
      <c r="I1007" s="1" t="s">
        <v>19</v>
      </c>
      <c r="J1007" s="1" t="s">
        <v>67</v>
      </c>
      <c r="K1007" s="1" t="s">
        <v>24</v>
      </c>
      <c r="M1007" s="2">
        <v>43300</v>
      </c>
      <c r="N1007" s="1" t="s">
        <v>8</v>
      </c>
      <c r="O1007" s="1" t="s">
        <v>68</v>
      </c>
    </row>
    <row r="1008" spans="1:15" ht="43.2" x14ac:dyDescent="0.3">
      <c r="A1008" s="1" t="s">
        <v>32494</v>
      </c>
      <c r="B1008" s="1" t="str">
        <f>"Kontroltek"</f>
        <v>Kontroltek</v>
      </c>
      <c r="C1008" s="1" t="s">
        <v>32495</v>
      </c>
      <c r="D1008" s="1" t="s">
        <v>32496</v>
      </c>
      <c r="E1008" s="1" t="s">
        <v>32497</v>
      </c>
      <c r="F1008" s="1" t="s">
        <v>179</v>
      </c>
      <c r="G1008" s="1" t="s">
        <v>180</v>
      </c>
      <c r="H1008" s="1" t="s">
        <v>5085</v>
      </c>
      <c r="I1008" s="1" t="s">
        <v>19</v>
      </c>
      <c r="J1008" s="1" t="s">
        <v>67</v>
      </c>
      <c r="K1008" s="1" t="s">
        <v>24</v>
      </c>
      <c r="M1008" s="2">
        <v>43300</v>
      </c>
      <c r="N1008" s="1" t="s">
        <v>8</v>
      </c>
      <c r="O1008" s="1" t="s">
        <v>68</v>
      </c>
    </row>
    <row r="1009" spans="1:15" ht="43.2" x14ac:dyDescent="0.3">
      <c r="A1009" s="1" t="s">
        <v>32498</v>
      </c>
      <c r="B1009" s="1" t="str">
        <f>"Maesteg Town Council"</f>
        <v>Maesteg Town Council</v>
      </c>
      <c r="C1009" s="1" t="s">
        <v>32499</v>
      </c>
      <c r="D1009" s="1" t="s">
        <v>32500</v>
      </c>
      <c r="E1009" s="1" t="s">
        <v>32501</v>
      </c>
      <c r="F1009" s="1" t="s">
        <v>825</v>
      </c>
      <c r="G1009" s="1" t="s">
        <v>180</v>
      </c>
      <c r="H1009" s="1" t="s">
        <v>32502</v>
      </c>
      <c r="I1009" s="1" t="s">
        <v>188</v>
      </c>
      <c r="J1009" s="1" t="s">
        <v>67</v>
      </c>
      <c r="K1009" s="1" t="s">
        <v>24</v>
      </c>
      <c r="M1009" s="2">
        <v>43300</v>
      </c>
      <c r="N1009" s="1" t="s">
        <v>8</v>
      </c>
      <c r="O1009" s="1" t="s">
        <v>68</v>
      </c>
    </row>
    <row r="1010" spans="1:15" ht="43.2" x14ac:dyDescent="0.3">
      <c r="A1010" s="1" t="s">
        <v>32503</v>
      </c>
      <c r="B1010" s="1" t="str">
        <f>"Janagan Rajanayagam"</f>
        <v>Janagan Rajanayagam</v>
      </c>
      <c r="C1010" s="1" t="s">
        <v>32504</v>
      </c>
      <c r="D1010" s="1" t="s">
        <v>32505</v>
      </c>
      <c r="F1010" s="1" t="s">
        <v>532</v>
      </c>
      <c r="G1010" s="1" t="s">
        <v>198</v>
      </c>
      <c r="H1010" s="1" t="s">
        <v>32506</v>
      </c>
      <c r="I1010" s="1" t="s">
        <v>5</v>
      </c>
      <c r="J1010" s="1" t="s">
        <v>67</v>
      </c>
      <c r="K1010" s="1" t="s">
        <v>24</v>
      </c>
      <c r="M1010" s="2">
        <v>43300</v>
      </c>
      <c r="N1010" s="1" t="s">
        <v>8</v>
      </c>
      <c r="O1010" s="1" t="s">
        <v>68</v>
      </c>
    </row>
    <row r="1011" spans="1:15" ht="28.8" x14ac:dyDescent="0.3">
      <c r="A1011" s="1" t="s">
        <v>2164</v>
      </c>
      <c r="B1011" s="1" t="str">
        <f>"Taylor Robinson"</f>
        <v>Taylor Robinson</v>
      </c>
      <c r="C1011" s="1" t="s">
        <v>2165</v>
      </c>
      <c r="F1011" s="1" t="s">
        <v>359</v>
      </c>
      <c r="G1011" s="1" t="s">
        <v>359</v>
      </c>
      <c r="H1011" s="1" t="s">
        <v>2166</v>
      </c>
      <c r="I1011" s="1" t="s">
        <v>5</v>
      </c>
      <c r="J1011" s="1" t="s">
        <v>6</v>
      </c>
      <c r="K1011" s="1" t="s">
        <v>34</v>
      </c>
      <c r="M1011" s="2">
        <v>43299</v>
      </c>
      <c r="N1011" s="1" t="s">
        <v>8</v>
      </c>
      <c r="O1011" s="2">
        <v>44394</v>
      </c>
    </row>
    <row r="1012" spans="1:15" ht="28.8" x14ac:dyDescent="0.3">
      <c r="A1012" s="1" t="s">
        <v>2167</v>
      </c>
      <c r="B1012" s="1" t="str">
        <f>"Taylor Robinson"</f>
        <v>Taylor Robinson</v>
      </c>
      <c r="C1012" s="1" t="s">
        <v>2168</v>
      </c>
      <c r="D1012" s="1" t="s">
        <v>2169</v>
      </c>
      <c r="F1012" s="1" t="s">
        <v>179</v>
      </c>
      <c r="G1012" s="1" t="s">
        <v>180</v>
      </c>
      <c r="H1012" s="1" t="s">
        <v>2170</v>
      </c>
      <c r="I1012" s="1" t="s">
        <v>5</v>
      </c>
      <c r="J1012" s="1" t="s">
        <v>6</v>
      </c>
      <c r="K1012" s="1" t="s">
        <v>34</v>
      </c>
      <c r="M1012" s="2">
        <v>43299</v>
      </c>
      <c r="N1012" s="1" t="s">
        <v>8</v>
      </c>
      <c r="O1012" s="2">
        <v>44394</v>
      </c>
    </row>
    <row r="1013" spans="1:15" ht="28.8" x14ac:dyDescent="0.3">
      <c r="A1013" s="1" t="s">
        <v>2171</v>
      </c>
      <c r="B1013" s="1" t="str">
        <f>"Taylor Robinson"</f>
        <v>Taylor Robinson</v>
      </c>
      <c r="C1013" s="1" t="s">
        <v>2172</v>
      </c>
      <c r="D1013" s="1" t="s">
        <v>2173</v>
      </c>
      <c r="F1013" s="1" t="s">
        <v>1063</v>
      </c>
      <c r="G1013" s="1" t="s">
        <v>115</v>
      </c>
      <c r="H1013" s="1" t="s">
        <v>2174</v>
      </c>
      <c r="I1013" s="1" t="s">
        <v>5</v>
      </c>
      <c r="J1013" s="1" t="s">
        <v>6</v>
      </c>
      <c r="K1013" s="1" t="s">
        <v>34</v>
      </c>
      <c r="M1013" s="2">
        <v>43299</v>
      </c>
      <c r="N1013" s="1" t="s">
        <v>8</v>
      </c>
      <c r="O1013" s="2">
        <v>44394</v>
      </c>
    </row>
    <row r="1014" spans="1:15" ht="28.8" x14ac:dyDescent="0.3">
      <c r="A1014" s="1" t="s">
        <v>2175</v>
      </c>
      <c r="B1014" s="1" t="str">
        <f>"Taylor Robinson"</f>
        <v>Taylor Robinson</v>
      </c>
      <c r="C1014" s="1" t="s">
        <v>2176</v>
      </c>
      <c r="D1014" s="1" t="s">
        <v>500</v>
      </c>
      <c r="F1014" s="1" t="s">
        <v>123</v>
      </c>
      <c r="G1014" s="1" t="s">
        <v>27</v>
      </c>
      <c r="H1014" s="1" t="s">
        <v>2177</v>
      </c>
      <c r="I1014" s="1" t="s">
        <v>5</v>
      </c>
      <c r="J1014" s="1" t="s">
        <v>6</v>
      </c>
      <c r="K1014" s="1" t="s">
        <v>34</v>
      </c>
      <c r="M1014" s="2">
        <v>43299</v>
      </c>
      <c r="N1014" s="1" t="s">
        <v>8</v>
      </c>
      <c r="O1014" s="2">
        <v>44394</v>
      </c>
    </row>
    <row r="1015" spans="1:15" ht="28.8" x14ac:dyDescent="0.3">
      <c r="A1015" s="1" t="s">
        <v>2178</v>
      </c>
      <c r="B1015" s="1" t="str">
        <f>"Gemini Repairs LTD"</f>
        <v>Gemini Repairs LTD</v>
      </c>
      <c r="C1015" s="1" t="s">
        <v>2179</v>
      </c>
      <c r="F1015" s="1" t="s">
        <v>156</v>
      </c>
      <c r="G1015" s="1" t="s">
        <v>156</v>
      </c>
      <c r="H1015" s="1" t="s">
        <v>2180</v>
      </c>
      <c r="I1015" s="1" t="s">
        <v>19</v>
      </c>
      <c r="J1015" s="1" t="s">
        <v>6</v>
      </c>
      <c r="K1015" s="1" t="s">
        <v>34</v>
      </c>
      <c r="L1015" s="1">
        <v>6628091</v>
      </c>
      <c r="M1015" s="2">
        <v>43299</v>
      </c>
      <c r="N1015" s="1" t="s">
        <v>8</v>
      </c>
      <c r="O1015" s="2">
        <v>44394</v>
      </c>
    </row>
    <row r="1016" spans="1:15" x14ac:dyDescent="0.3">
      <c r="A1016" s="1" t="s">
        <v>2181</v>
      </c>
      <c r="B1016" s="1" t="str">
        <f>"Peter Williams"</f>
        <v>Peter Williams</v>
      </c>
      <c r="C1016" s="1" t="s">
        <v>2182</v>
      </c>
      <c r="F1016" s="1" t="s">
        <v>532</v>
      </c>
      <c r="G1016" s="1" t="s">
        <v>198</v>
      </c>
      <c r="H1016" s="1" t="s">
        <v>2183</v>
      </c>
      <c r="I1016" s="1" t="s">
        <v>5</v>
      </c>
      <c r="J1016" s="1" t="s">
        <v>6</v>
      </c>
      <c r="K1016" s="1" t="s">
        <v>24</v>
      </c>
      <c r="M1016" s="2">
        <v>43299</v>
      </c>
      <c r="N1016" s="1" t="s">
        <v>8</v>
      </c>
      <c r="O1016" s="2">
        <v>44394</v>
      </c>
    </row>
    <row r="1017" spans="1:15" ht="28.8" x14ac:dyDescent="0.3">
      <c r="A1017" s="1" t="s">
        <v>2184</v>
      </c>
      <c r="B1017" s="1" t="str">
        <f>"James Boardman"</f>
        <v>James Boardman</v>
      </c>
      <c r="C1017" s="1" t="s">
        <v>2185</v>
      </c>
      <c r="D1017" s="1" t="s">
        <v>2186</v>
      </c>
      <c r="E1017" s="1" t="s">
        <v>2187</v>
      </c>
      <c r="F1017" s="1" t="s">
        <v>532</v>
      </c>
      <c r="G1017" s="1" t="s">
        <v>198</v>
      </c>
      <c r="H1017" s="1" t="s">
        <v>2188</v>
      </c>
      <c r="I1017" s="1" t="s">
        <v>5</v>
      </c>
      <c r="J1017" s="1" t="s">
        <v>6</v>
      </c>
      <c r="K1017" s="1" t="s">
        <v>24</v>
      </c>
      <c r="M1017" s="2">
        <v>43299</v>
      </c>
      <c r="N1017" s="1" t="s">
        <v>8</v>
      </c>
      <c r="O1017" s="2">
        <v>44394</v>
      </c>
    </row>
    <row r="1018" spans="1:15" ht="28.8" x14ac:dyDescent="0.3">
      <c r="A1018" s="1" t="s">
        <v>2189</v>
      </c>
      <c r="B1018" s="1" t="str">
        <f>"Mark Williams"</f>
        <v>Mark Williams</v>
      </c>
      <c r="C1018" s="1" t="s">
        <v>2190</v>
      </c>
      <c r="D1018" s="1" t="s">
        <v>1933</v>
      </c>
      <c r="F1018" s="1" t="s">
        <v>64</v>
      </c>
      <c r="G1018" s="1" t="s">
        <v>65</v>
      </c>
      <c r="H1018" s="1" t="s">
        <v>2191</v>
      </c>
      <c r="I1018" s="1" t="s">
        <v>5</v>
      </c>
      <c r="J1018" s="1" t="s">
        <v>6</v>
      </c>
      <c r="K1018" s="1" t="s">
        <v>34</v>
      </c>
      <c r="M1018" s="2">
        <v>43299</v>
      </c>
      <c r="N1018" s="1" t="s">
        <v>8</v>
      </c>
      <c r="O1018" s="2">
        <v>44394</v>
      </c>
    </row>
    <row r="1019" spans="1:15" ht="43.2" x14ac:dyDescent="0.3">
      <c r="A1019" s="1" t="s">
        <v>30402</v>
      </c>
      <c r="B1019" s="1" t="str">
        <f>"SPJ Forestry Ltd"</f>
        <v>SPJ Forestry Ltd</v>
      </c>
      <c r="C1019" s="1" t="s">
        <v>30403</v>
      </c>
      <c r="D1019" s="1" t="s">
        <v>30404</v>
      </c>
      <c r="F1019" s="1" t="s">
        <v>3142</v>
      </c>
      <c r="G1019" s="1" t="s">
        <v>162</v>
      </c>
      <c r="H1019" s="1" t="s">
        <v>30405</v>
      </c>
      <c r="I1019" s="1" t="s">
        <v>19</v>
      </c>
      <c r="J1019" s="1" t="s">
        <v>67</v>
      </c>
      <c r="K1019" s="1" t="s">
        <v>24</v>
      </c>
      <c r="M1019" s="2">
        <v>43299</v>
      </c>
      <c r="N1019" s="1" t="s">
        <v>8</v>
      </c>
      <c r="O1019" s="1" t="s">
        <v>68</v>
      </c>
    </row>
    <row r="1020" spans="1:15" ht="43.2" x14ac:dyDescent="0.3">
      <c r="A1020" s="1" t="s">
        <v>30406</v>
      </c>
      <c r="B1020" s="1" t="str">
        <f>"Dave Lympany"</f>
        <v>Dave Lympany</v>
      </c>
      <c r="C1020" s="1" t="s">
        <v>30407</v>
      </c>
      <c r="D1020" s="1" t="s">
        <v>26070</v>
      </c>
      <c r="F1020" s="1" t="s">
        <v>151</v>
      </c>
      <c r="G1020" s="1" t="s">
        <v>679</v>
      </c>
      <c r="H1020" s="1" t="s">
        <v>30408</v>
      </c>
      <c r="I1020" s="1" t="s">
        <v>5</v>
      </c>
      <c r="J1020" s="1" t="s">
        <v>67</v>
      </c>
      <c r="K1020" s="1" t="s">
        <v>24</v>
      </c>
      <c r="M1020" s="2">
        <v>43299</v>
      </c>
      <c r="N1020" s="1" t="s">
        <v>8</v>
      </c>
      <c r="O1020" s="1" t="s">
        <v>68</v>
      </c>
    </row>
    <row r="1021" spans="1:15" ht="43.2" x14ac:dyDescent="0.3">
      <c r="A1021" s="1" t="s">
        <v>31551</v>
      </c>
      <c r="B1021" s="1" t="str">
        <f>"AA Catering"</f>
        <v>AA Catering</v>
      </c>
      <c r="C1021" s="1" t="s">
        <v>31552</v>
      </c>
      <c r="D1021" s="1" t="s">
        <v>1350</v>
      </c>
      <c r="F1021" s="1" t="s">
        <v>1351</v>
      </c>
      <c r="G1021" s="1" t="s">
        <v>109</v>
      </c>
      <c r="H1021" s="1" t="s">
        <v>31553</v>
      </c>
      <c r="I1021" s="1" t="s">
        <v>19</v>
      </c>
      <c r="J1021" s="1" t="s">
        <v>67</v>
      </c>
      <c r="K1021" s="1" t="s">
        <v>24</v>
      </c>
      <c r="L1021" s="1">
        <v>9141651</v>
      </c>
      <c r="M1021" s="2">
        <v>43299</v>
      </c>
      <c r="N1021" s="1" t="s">
        <v>8</v>
      </c>
      <c r="O1021" s="1" t="s">
        <v>68</v>
      </c>
    </row>
    <row r="1022" spans="1:15" ht="43.2" x14ac:dyDescent="0.3">
      <c r="A1022" s="1" t="s">
        <v>32485</v>
      </c>
      <c r="B1022" s="1" t="str">
        <f>"Sivakantharajah Thambiaiah"</f>
        <v>Sivakantharajah Thambiaiah</v>
      </c>
      <c r="C1022" s="1" t="s">
        <v>32486</v>
      </c>
      <c r="D1022" s="1" t="s">
        <v>32487</v>
      </c>
      <c r="E1022" s="1" t="s">
        <v>31482</v>
      </c>
      <c r="F1022" s="1" t="s">
        <v>641</v>
      </c>
      <c r="G1022" s="1" t="s">
        <v>642</v>
      </c>
      <c r="H1022" s="1" t="s">
        <v>32488</v>
      </c>
      <c r="I1022" s="1" t="s">
        <v>5</v>
      </c>
      <c r="J1022" s="1" t="s">
        <v>67</v>
      </c>
      <c r="K1022" s="1" t="s">
        <v>24</v>
      </c>
      <c r="M1022" s="2">
        <v>43299</v>
      </c>
      <c r="N1022" s="1" t="s">
        <v>8</v>
      </c>
      <c r="O1022" s="1" t="s">
        <v>68</v>
      </c>
    </row>
    <row r="1023" spans="1:15" ht="43.2" x14ac:dyDescent="0.3">
      <c r="A1023" s="1" t="s">
        <v>31542</v>
      </c>
      <c r="B1023" s="1" t="str">
        <f>"Catherine Reynolds"</f>
        <v>Catherine Reynolds</v>
      </c>
      <c r="C1023" s="1" t="s">
        <v>31543</v>
      </c>
      <c r="F1023" s="1" t="s">
        <v>1351</v>
      </c>
      <c r="G1023" s="1" t="s">
        <v>109</v>
      </c>
      <c r="H1023" s="1" t="s">
        <v>31544</v>
      </c>
      <c r="I1023" s="1" t="s">
        <v>5</v>
      </c>
      <c r="J1023" s="1" t="s">
        <v>67</v>
      </c>
      <c r="K1023" s="1" t="s">
        <v>24</v>
      </c>
      <c r="M1023" s="2">
        <v>43298</v>
      </c>
      <c r="N1023" s="1" t="s">
        <v>8</v>
      </c>
      <c r="O1023" s="1" t="s">
        <v>68</v>
      </c>
    </row>
    <row r="1024" spans="1:15" ht="43.2" x14ac:dyDescent="0.3">
      <c r="A1024" s="1" t="s">
        <v>31545</v>
      </c>
      <c r="B1024" s="1" t="str">
        <f>"South Wales Groundcare"</f>
        <v>South Wales Groundcare</v>
      </c>
      <c r="C1024" s="1" t="s">
        <v>31546</v>
      </c>
      <c r="F1024" s="1" t="s">
        <v>706</v>
      </c>
      <c r="G1024" s="1" t="s">
        <v>211</v>
      </c>
      <c r="H1024" s="1" t="s">
        <v>31547</v>
      </c>
      <c r="I1024" s="1" t="s">
        <v>19</v>
      </c>
      <c r="J1024" s="1" t="s">
        <v>67</v>
      </c>
      <c r="K1024" s="1" t="s">
        <v>24</v>
      </c>
      <c r="M1024" s="2">
        <v>43298</v>
      </c>
      <c r="N1024" s="1" t="s">
        <v>8</v>
      </c>
      <c r="O1024" s="1" t="s">
        <v>68</v>
      </c>
    </row>
    <row r="1025" spans="1:15" ht="43.2" x14ac:dyDescent="0.3">
      <c r="A1025" s="1" t="s">
        <v>31548</v>
      </c>
      <c r="B1025" s="1" t="str">
        <f>"What Aberdare Ltd"</f>
        <v>What Aberdare Ltd</v>
      </c>
      <c r="C1025" s="1" t="s">
        <v>31549</v>
      </c>
      <c r="D1025" s="1" t="s">
        <v>31550</v>
      </c>
      <c r="E1025" s="1" t="s">
        <v>139</v>
      </c>
      <c r="F1025" s="1" t="s">
        <v>140</v>
      </c>
      <c r="G1025" s="1" t="s">
        <v>141</v>
      </c>
      <c r="H1025" s="1" t="s">
        <v>142</v>
      </c>
      <c r="I1025" s="1" t="s">
        <v>19</v>
      </c>
      <c r="J1025" s="1" t="s">
        <v>67</v>
      </c>
      <c r="K1025" s="1" t="s">
        <v>24</v>
      </c>
      <c r="L1025" s="1">
        <v>9106710</v>
      </c>
      <c r="M1025" s="2">
        <v>43298</v>
      </c>
      <c r="N1025" s="1" t="s">
        <v>8</v>
      </c>
      <c r="O1025" s="1" t="s">
        <v>68</v>
      </c>
    </row>
    <row r="1026" spans="1:15" ht="28.8" x14ac:dyDescent="0.3">
      <c r="A1026" s="1" t="s">
        <v>30392</v>
      </c>
      <c r="B1026" s="1" t="str">
        <f>"David Bevan"</f>
        <v>David Bevan</v>
      </c>
      <c r="C1026" s="1" t="s">
        <v>30393</v>
      </c>
      <c r="D1026" s="1" t="s">
        <v>938</v>
      </c>
      <c r="F1026" s="1" t="s">
        <v>64</v>
      </c>
      <c r="G1026" s="1" t="s">
        <v>65</v>
      </c>
      <c r="H1026" s="1" t="s">
        <v>30394</v>
      </c>
      <c r="I1026" s="1" t="s">
        <v>5</v>
      </c>
      <c r="J1026" s="1" t="s">
        <v>6</v>
      </c>
      <c r="K1026" s="1" t="s">
        <v>34</v>
      </c>
      <c r="M1026" s="2">
        <v>43297</v>
      </c>
      <c r="N1026" s="1" t="s">
        <v>8</v>
      </c>
      <c r="O1026" s="2">
        <v>44392</v>
      </c>
    </row>
    <row r="1027" spans="1:15" ht="28.8" x14ac:dyDescent="0.3">
      <c r="A1027" s="1" t="s">
        <v>30395</v>
      </c>
      <c r="B1027" s="1" t="str">
        <f>"Taylor Robinson"</f>
        <v>Taylor Robinson</v>
      </c>
      <c r="C1027" s="1" t="s">
        <v>30396</v>
      </c>
      <c r="D1027" s="1" t="s">
        <v>30397</v>
      </c>
      <c r="F1027" s="1" t="s">
        <v>42</v>
      </c>
      <c r="G1027" s="1" t="s">
        <v>51</v>
      </c>
      <c r="H1027" s="1" t="s">
        <v>30398</v>
      </c>
      <c r="I1027" s="1" t="s">
        <v>5</v>
      </c>
      <c r="J1027" s="1" t="s">
        <v>6</v>
      </c>
      <c r="K1027" s="1" t="s">
        <v>34</v>
      </c>
      <c r="M1027" s="2">
        <v>43297</v>
      </c>
      <c r="N1027" s="1" t="s">
        <v>8</v>
      </c>
      <c r="O1027" s="2">
        <v>44392</v>
      </c>
    </row>
    <row r="1028" spans="1:15" ht="28.8" x14ac:dyDescent="0.3">
      <c r="A1028" s="1" t="s">
        <v>30372</v>
      </c>
      <c r="B1028" s="1" t="str">
        <f>"KD Louwis Groundworks LTD"</f>
        <v>KD Louwis Groundworks LTD</v>
      </c>
      <c r="C1028" s="1" t="s">
        <v>30373</v>
      </c>
      <c r="D1028" s="1" t="s">
        <v>30374</v>
      </c>
      <c r="F1028" s="1" t="s">
        <v>556</v>
      </c>
      <c r="G1028" s="1" t="s">
        <v>556</v>
      </c>
      <c r="H1028" s="1" t="s">
        <v>30375</v>
      </c>
      <c r="I1028" s="1" t="s">
        <v>19</v>
      </c>
      <c r="J1028" s="1" t="s">
        <v>6</v>
      </c>
      <c r="K1028" s="1" t="s">
        <v>34</v>
      </c>
      <c r="L1028" s="1">
        <v>5832677</v>
      </c>
      <c r="M1028" s="2">
        <v>43296</v>
      </c>
      <c r="N1028" s="1" t="s">
        <v>8</v>
      </c>
      <c r="O1028" s="2">
        <v>44391</v>
      </c>
    </row>
    <row r="1029" spans="1:15" ht="28.8" x14ac:dyDescent="0.3">
      <c r="A1029" s="1" t="s">
        <v>30376</v>
      </c>
      <c r="B1029" s="1" t="str">
        <f>"Taylor Robinson"</f>
        <v>Taylor Robinson</v>
      </c>
      <c r="C1029" s="1" t="s">
        <v>30377</v>
      </c>
      <c r="D1029" s="1" t="s">
        <v>2041</v>
      </c>
      <c r="F1029" s="1" t="s">
        <v>64</v>
      </c>
      <c r="G1029" s="1" t="s">
        <v>65</v>
      </c>
      <c r="H1029" s="1" t="s">
        <v>30378</v>
      </c>
      <c r="I1029" s="1" t="s">
        <v>5</v>
      </c>
      <c r="J1029" s="1" t="s">
        <v>6</v>
      </c>
      <c r="K1029" s="1" t="s">
        <v>34</v>
      </c>
      <c r="M1029" s="2">
        <v>43296</v>
      </c>
      <c r="N1029" s="1" t="s">
        <v>8</v>
      </c>
      <c r="O1029" s="2">
        <v>44391</v>
      </c>
    </row>
    <row r="1030" spans="1:15" ht="28.8" x14ac:dyDescent="0.3">
      <c r="A1030" s="1" t="s">
        <v>30379</v>
      </c>
      <c r="B1030" s="1" t="str">
        <f>"Source Site Services"</f>
        <v>Source Site Services</v>
      </c>
      <c r="C1030" s="1" t="s">
        <v>30380</v>
      </c>
      <c r="D1030" s="1" t="s">
        <v>30381</v>
      </c>
      <c r="E1030" s="1" t="s">
        <v>16847</v>
      </c>
      <c r="F1030" s="1" t="s">
        <v>123</v>
      </c>
      <c r="G1030" s="1" t="s">
        <v>27</v>
      </c>
      <c r="H1030" s="1" t="s">
        <v>16848</v>
      </c>
      <c r="I1030" s="1" t="s">
        <v>19</v>
      </c>
      <c r="J1030" s="1" t="s">
        <v>6</v>
      </c>
      <c r="K1030" s="1" t="s">
        <v>34</v>
      </c>
      <c r="L1030" s="1">
        <v>8017781</v>
      </c>
      <c r="M1030" s="2">
        <v>43296</v>
      </c>
      <c r="N1030" s="1" t="s">
        <v>8</v>
      </c>
      <c r="O1030" s="2">
        <v>44391</v>
      </c>
    </row>
    <row r="1031" spans="1:15" ht="28.8" x14ac:dyDescent="0.3">
      <c r="A1031" s="1" t="s">
        <v>30382</v>
      </c>
      <c r="B1031" s="1" t="str">
        <f>"JJ Aggregates Limited"</f>
        <v>JJ Aggregates Limited</v>
      </c>
      <c r="C1031" s="1" t="s">
        <v>30383</v>
      </c>
      <c r="D1031" s="1" t="s">
        <v>30384</v>
      </c>
      <c r="E1031" s="1" t="s">
        <v>6460</v>
      </c>
      <c r="F1031" s="1" t="s">
        <v>56</v>
      </c>
      <c r="G1031" s="1" t="s">
        <v>51</v>
      </c>
      <c r="H1031" s="1" t="s">
        <v>30385</v>
      </c>
      <c r="I1031" s="1" t="s">
        <v>19</v>
      </c>
      <c r="J1031" s="1" t="s">
        <v>6</v>
      </c>
      <c r="K1031" s="1" t="s">
        <v>34</v>
      </c>
      <c r="L1031" s="1">
        <v>5314649</v>
      </c>
      <c r="M1031" s="2">
        <v>43296</v>
      </c>
      <c r="N1031" s="1" t="s">
        <v>8</v>
      </c>
      <c r="O1031" s="2">
        <v>44391</v>
      </c>
    </row>
    <row r="1032" spans="1:15" ht="28.8" x14ac:dyDescent="0.3">
      <c r="A1032" s="1" t="s">
        <v>30386</v>
      </c>
      <c r="B1032" s="1" t="str">
        <f>"Taylor Robinson"</f>
        <v>Taylor Robinson</v>
      </c>
      <c r="C1032" s="1" t="s">
        <v>30387</v>
      </c>
      <c r="D1032" s="1" t="s">
        <v>2568</v>
      </c>
      <c r="F1032" s="1" t="s">
        <v>1093</v>
      </c>
      <c r="G1032" s="1" t="s">
        <v>103</v>
      </c>
      <c r="H1032" s="1" t="s">
        <v>30388</v>
      </c>
      <c r="I1032" s="1" t="s">
        <v>5</v>
      </c>
      <c r="J1032" s="1" t="s">
        <v>6</v>
      </c>
      <c r="K1032" s="1" t="s">
        <v>34</v>
      </c>
      <c r="M1032" s="2">
        <v>43296</v>
      </c>
      <c r="N1032" s="1" t="s">
        <v>8</v>
      </c>
      <c r="O1032" s="2">
        <v>44391</v>
      </c>
    </row>
    <row r="1033" spans="1:15" ht="28.8" x14ac:dyDescent="0.3">
      <c r="A1033" s="1" t="s">
        <v>30389</v>
      </c>
      <c r="B1033" s="1" t="str">
        <f>"Taylor Robinson"</f>
        <v>Taylor Robinson</v>
      </c>
      <c r="C1033" s="1" t="s">
        <v>30390</v>
      </c>
      <c r="F1033" s="1" t="s">
        <v>1351</v>
      </c>
      <c r="G1033" s="1" t="s">
        <v>109</v>
      </c>
      <c r="H1033" s="1" t="s">
        <v>30391</v>
      </c>
      <c r="I1033" s="1" t="s">
        <v>5</v>
      </c>
      <c r="J1033" s="1" t="s">
        <v>6</v>
      </c>
      <c r="K1033" s="1" t="s">
        <v>34</v>
      </c>
      <c r="M1033" s="2">
        <v>43296</v>
      </c>
      <c r="N1033" s="1" t="s">
        <v>8</v>
      </c>
      <c r="O1033" s="2">
        <v>44391</v>
      </c>
    </row>
    <row r="1034" spans="1:15" ht="28.8" x14ac:dyDescent="0.3">
      <c r="A1034" s="1" t="s">
        <v>31539</v>
      </c>
      <c r="B1034" s="1" t="str">
        <f>"Robert Collis"</f>
        <v>Robert Collis</v>
      </c>
      <c r="C1034" s="1" t="s">
        <v>31540</v>
      </c>
      <c r="D1034" s="1" t="s">
        <v>31541</v>
      </c>
      <c r="E1034" s="1" t="s">
        <v>3287</v>
      </c>
      <c r="F1034" s="1" t="s">
        <v>64</v>
      </c>
      <c r="G1034" s="1" t="s">
        <v>65</v>
      </c>
      <c r="H1034" s="1" t="s">
        <v>9928</v>
      </c>
      <c r="I1034" s="1" t="s">
        <v>5</v>
      </c>
      <c r="J1034" s="1" t="s">
        <v>6</v>
      </c>
      <c r="K1034" s="1" t="s">
        <v>34</v>
      </c>
      <c r="M1034" s="2">
        <v>43293</v>
      </c>
      <c r="N1034" s="1" t="s">
        <v>8</v>
      </c>
      <c r="O1034" s="2">
        <v>44388</v>
      </c>
    </row>
    <row r="1035" spans="1:15" ht="43.2" x14ac:dyDescent="0.3">
      <c r="A1035" s="1" t="s">
        <v>31503</v>
      </c>
      <c r="B1035" s="1" t="str">
        <f>"Philip Irving"</f>
        <v>Philip Irving</v>
      </c>
      <c r="C1035" s="1" t="s">
        <v>31504</v>
      </c>
      <c r="F1035" s="1" t="s">
        <v>1776</v>
      </c>
      <c r="G1035" s="1" t="s">
        <v>115</v>
      </c>
      <c r="H1035" s="1" t="s">
        <v>31505</v>
      </c>
      <c r="I1035" s="1" t="s">
        <v>5</v>
      </c>
      <c r="J1035" s="1" t="s">
        <v>67</v>
      </c>
      <c r="K1035" s="1" t="s">
        <v>24</v>
      </c>
      <c r="M1035" s="2">
        <v>43292</v>
      </c>
      <c r="N1035" s="1" t="s">
        <v>8</v>
      </c>
      <c r="O1035" s="1" t="s">
        <v>68</v>
      </c>
    </row>
    <row r="1036" spans="1:15" ht="43.2" x14ac:dyDescent="0.3">
      <c r="A1036" s="1" t="s">
        <v>31506</v>
      </c>
      <c r="B1036" s="1" t="str">
        <f>"Caemorgan Mansion"</f>
        <v>Caemorgan Mansion</v>
      </c>
      <c r="C1036" s="1" t="s">
        <v>31507</v>
      </c>
      <c r="D1036" s="1" t="s">
        <v>31508</v>
      </c>
      <c r="F1036" s="1" t="s">
        <v>1991</v>
      </c>
      <c r="G1036" s="1" t="s">
        <v>654</v>
      </c>
      <c r="H1036" s="1" t="s">
        <v>17071</v>
      </c>
      <c r="I1036" s="1" t="s">
        <v>125</v>
      </c>
      <c r="J1036" s="1" t="s">
        <v>67</v>
      </c>
      <c r="K1036" s="1" t="s">
        <v>24</v>
      </c>
      <c r="M1036" s="2">
        <v>43292</v>
      </c>
      <c r="N1036" s="1" t="s">
        <v>8</v>
      </c>
      <c r="O1036" s="1" t="s">
        <v>68</v>
      </c>
    </row>
    <row r="1037" spans="1:15" ht="28.8" x14ac:dyDescent="0.3">
      <c r="A1037" s="1" t="s">
        <v>31509</v>
      </c>
      <c r="B1037" s="1" t="str">
        <f>"Number One Toilets LTD"</f>
        <v>Number One Toilets LTD</v>
      </c>
      <c r="C1037" s="1" t="s">
        <v>31510</v>
      </c>
      <c r="D1037" s="1" t="s">
        <v>31511</v>
      </c>
      <c r="F1037" s="1" t="s">
        <v>156</v>
      </c>
      <c r="G1037" s="1" t="s">
        <v>231</v>
      </c>
      <c r="H1037" s="1" t="s">
        <v>17283</v>
      </c>
      <c r="I1037" s="1" t="s">
        <v>19</v>
      </c>
      <c r="J1037" s="1" t="s">
        <v>6</v>
      </c>
      <c r="K1037" s="1" t="s">
        <v>34</v>
      </c>
      <c r="L1037" s="1">
        <v>11063248</v>
      </c>
      <c r="M1037" s="2">
        <v>43292</v>
      </c>
      <c r="N1037" s="1" t="s">
        <v>8</v>
      </c>
      <c r="O1037" s="2">
        <v>44387</v>
      </c>
    </row>
    <row r="1038" spans="1:15" ht="28.8" x14ac:dyDescent="0.3">
      <c r="A1038" s="1" t="s">
        <v>31512</v>
      </c>
      <c r="B1038" s="1" t="str">
        <f>"Peter Holding Plumbing Ltd."</f>
        <v>Peter Holding Plumbing Ltd.</v>
      </c>
      <c r="C1038" s="1" t="s">
        <v>31513</v>
      </c>
      <c r="D1038" s="1" t="s">
        <v>31514</v>
      </c>
      <c r="F1038" s="1" t="s">
        <v>2459</v>
      </c>
      <c r="G1038" s="1" t="s">
        <v>162</v>
      </c>
      <c r="H1038" s="1" t="s">
        <v>9203</v>
      </c>
      <c r="I1038" s="1" t="s">
        <v>19</v>
      </c>
      <c r="J1038" s="1" t="s">
        <v>6</v>
      </c>
      <c r="K1038" s="1" t="s">
        <v>24</v>
      </c>
      <c r="L1038" s="1">
        <v>5747290</v>
      </c>
      <c r="M1038" s="2">
        <v>43292</v>
      </c>
      <c r="N1038" s="1" t="s">
        <v>8</v>
      </c>
      <c r="O1038" s="2">
        <v>44387</v>
      </c>
    </row>
    <row r="1039" spans="1:15" x14ac:dyDescent="0.3">
      <c r="A1039" s="1" t="s">
        <v>31515</v>
      </c>
      <c r="B1039" s="1" t="str">
        <f>"Torfaen Solar Power"</f>
        <v>Torfaen Solar Power</v>
      </c>
      <c r="C1039" s="1" t="s">
        <v>31516</v>
      </c>
      <c r="D1039" s="1" t="s">
        <v>11666</v>
      </c>
      <c r="F1039" s="1" t="s">
        <v>380</v>
      </c>
      <c r="G1039" s="1" t="s">
        <v>381</v>
      </c>
      <c r="H1039" s="1" t="s">
        <v>31517</v>
      </c>
      <c r="I1039" s="1" t="s">
        <v>125</v>
      </c>
      <c r="J1039" s="1" t="s">
        <v>6</v>
      </c>
      <c r="K1039" s="1" t="s">
        <v>24</v>
      </c>
      <c r="M1039" s="2">
        <v>43292</v>
      </c>
      <c r="N1039" s="1" t="s">
        <v>8</v>
      </c>
      <c r="O1039" s="2">
        <v>44387</v>
      </c>
    </row>
    <row r="1040" spans="1:15" x14ac:dyDescent="0.3">
      <c r="A1040" s="1" t="s">
        <v>31524</v>
      </c>
      <c r="B1040" s="1" t="str">
        <f>"Desmond Morris"</f>
        <v>Desmond Morris</v>
      </c>
      <c r="C1040" s="1" t="s">
        <v>31525</v>
      </c>
      <c r="D1040" s="1" t="s">
        <v>31526</v>
      </c>
      <c r="F1040" s="1" t="s">
        <v>64</v>
      </c>
      <c r="G1040" s="1" t="s">
        <v>65</v>
      </c>
      <c r="H1040" s="1" t="s">
        <v>31527</v>
      </c>
      <c r="I1040" s="1" t="s">
        <v>5</v>
      </c>
      <c r="J1040" s="1" t="s">
        <v>6</v>
      </c>
      <c r="K1040" s="1" t="s">
        <v>24</v>
      </c>
      <c r="M1040" s="2">
        <v>43292</v>
      </c>
      <c r="N1040" s="1" t="s">
        <v>8</v>
      </c>
      <c r="O1040" s="2">
        <v>44387</v>
      </c>
    </row>
    <row r="1041" spans="1:15" ht="43.2" x14ac:dyDescent="0.3">
      <c r="A1041" s="1" t="s">
        <v>31528</v>
      </c>
      <c r="B1041" s="1" t="str">
        <f>"Callum  Burroughs  Valley Cleaning Services"</f>
        <v>Callum  Burroughs  Valley Cleaning Services</v>
      </c>
      <c r="C1041" s="1">
        <v>73</v>
      </c>
      <c r="D1041" s="1" t="s">
        <v>31529</v>
      </c>
      <c r="F1041" s="1" t="s">
        <v>179</v>
      </c>
      <c r="G1041" s="1" t="s">
        <v>180</v>
      </c>
      <c r="H1041" s="1" t="s">
        <v>31530</v>
      </c>
      <c r="I1041" s="1" t="s">
        <v>5</v>
      </c>
      <c r="J1041" s="1" t="s">
        <v>6</v>
      </c>
      <c r="K1041" s="1" t="s">
        <v>24</v>
      </c>
      <c r="M1041" s="2">
        <v>43292</v>
      </c>
      <c r="N1041" s="1" t="s">
        <v>8</v>
      </c>
      <c r="O1041" s="2">
        <v>44387</v>
      </c>
    </row>
    <row r="1042" spans="1:15" x14ac:dyDescent="0.3">
      <c r="A1042" s="1" t="s">
        <v>31531</v>
      </c>
      <c r="B1042" s="1" t="str">
        <f>"Betham Limited"</f>
        <v>Betham Limited</v>
      </c>
      <c r="C1042" s="1" t="s">
        <v>31532</v>
      </c>
      <c r="D1042" s="1" t="s">
        <v>31533</v>
      </c>
      <c r="E1042" s="1" t="s">
        <v>7032</v>
      </c>
      <c r="F1042" s="1" t="s">
        <v>720</v>
      </c>
      <c r="G1042" s="1" t="s">
        <v>324</v>
      </c>
      <c r="H1042" s="1" t="s">
        <v>31534</v>
      </c>
      <c r="I1042" s="1" t="s">
        <v>19</v>
      </c>
      <c r="J1042" s="1" t="s">
        <v>6</v>
      </c>
      <c r="K1042" s="1" t="s">
        <v>24</v>
      </c>
      <c r="L1042" s="1">
        <v>5484597</v>
      </c>
      <c r="M1042" s="2">
        <v>43292</v>
      </c>
      <c r="N1042" s="1" t="s">
        <v>8</v>
      </c>
      <c r="O1042" s="2">
        <v>44387</v>
      </c>
    </row>
    <row r="1043" spans="1:15" ht="28.8" x14ac:dyDescent="0.3">
      <c r="A1043" s="1" t="s">
        <v>31535</v>
      </c>
      <c r="B1043" s="1" t="str">
        <f>"Robert West"</f>
        <v>Robert West</v>
      </c>
      <c r="C1043" s="1" t="s">
        <v>31536</v>
      </c>
      <c r="D1043" s="1" t="s">
        <v>31537</v>
      </c>
      <c r="F1043" s="1" t="s">
        <v>798</v>
      </c>
      <c r="G1043" s="1" t="s">
        <v>162</v>
      </c>
      <c r="H1043" s="1" t="s">
        <v>31538</v>
      </c>
      <c r="I1043" s="1" t="s">
        <v>5</v>
      </c>
      <c r="J1043" s="1" t="s">
        <v>6</v>
      </c>
      <c r="K1043" s="1" t="s">
        <v>34</v>
      </c>
      <c r="M1043" s="2">
        <v>43292</v>
      </c>
      <c r="N1043" s="1" t="s">
        <v>8</v>
      </c>
      <c r="O1043" s="2">
        <v>44387</v>
      </c>
    </row>
    <row r="1044" spans="1:15" ht="28.8" x14ac:dyDescent="0.3">
      <c r="A1044" s="1" t="s">
        <v>32465</v>
      </c>
      <c r="B1044" s="1" t="str">
        <f>"Andrew Sullivan"</f>
        <v>Andrew Sullivan</v>
      </c>
      <c r="C1044" s="1" t="s">
        <v>32466</v>
      </c>
      <c r="D1044" s="1" t="s">
        <v>31</v>
      </c>
      <c r="F1044" s="1" t="s">
        <v>32</v>
      </c>
      <c r="G1044" s="1" t="s">
        <v>109</v>
      </c>
      <c r="H1044" s="1" t="s">
        <v>32467</v>
      </c>
      <c r="I1044" s="1" t="s">
        <v>5</v>
      </c>
      <c r="J1044" s="1" t="s">
        <v>6</v>
      </c>
      <c r="K1044" s="1" t="s">
        <v>24</v>
      </c>
      <c r="M1044" s="2">
        <v>43291</v>
      </c>
      <c r="N1044" s="1" t="s">
        <v>8</v>
      </c>
      <c r="O1044" s="2">
        <v>44386</v>
      </c>
    </row>
    <row r="1045" spans="1:15" ht="28.8" x14ac:dyDescent="0.3">
      <c r="A1045" s="1" t="s">
        <v>32468</v>
      </c>
      <c r="B1045" s="1" t="str">
        <f>"Taylor Robinson"</f>
        <v>Taylor Robinson</v>
      </c>
      <c r="C1045" s="1" t="s">
        <v>32469</v>
      </c>
      <c r="F1045" s="1" t="s">
        <v>1818</v>
      </c>
      <c r="G1045" s="1" t="s">
        <v>654</v>
      </c>
      <c r="H1045" s="1" t="s">
        <v>32470</v>
      </c>
      <c r="I1045" s="1" t="s">
        <v>5</v>
      </c>
      <c r="J1045" s="1" t="s">
        <v>6</v>
      </c>
      <c r="K1045" s="1" t="s">
        <v>34</v>
      </c>
      <c r="M1045" s="2">
        <v>43291</v>
      </c>
      <c r="N1045" s="1" t="s">
        <v>8</v>
      </c>
      <c r="O1045" s="2">
        <v>44386</v>
      </c>
    </row>
    <row r="1046" spans="1:15" ht="28.8" x14ac:dyDescent="0.3">
      <c r="A1046" s="1" t="s">
        <v>32471</v>
      </c>
      <c r="B1046" s="1" t="str">
        <f>"Taylor Robinson"</f>
        <v>Taylor Robinson</v>
      </c>
      <c r="C1046" s="1">
        <v>17</v>
      </c>
      <c r="D1046" s="1" t="s">
        <v>32472</v>
      </c>
      <c r="E1046" s="1" t="s">
        <v>102</v>
      </c>
      <c r="F1046" s="1" t="s">
        <v>1240</v>
      </c>
      <c r="H1046" s="1" t="s">
        <v>32473</v>
      </c>
      <c r="I1046" s="1" t="s">
        <v>5</v>
      </c>
      <c r="J1046" s="1" t="s">
        <v>6</v>
      </c>
      <c r="K1046" s="1" t="s">
        <v>34</v>
      </c>
      <c r="M1046" s="2">
        <v>43291</v>
      </c>
      <c r="N1046" s="1" t="s">
        <v>8</v>
      </c>
      <c r="O1046" s="2">
        <v>44386</v>
      </c>
    </row>
    <row r="1047" spans="1:15" ht="28.8" x14ac:dyDescent="0.3">
      <c r="A1047" s="1" t="s">
        <v>32474</v>
      </c>
      <c r="B1047" s="1" t="str">
        <f>"SGD Security Limited"</f>
        <v>SGD Security Limited</v>
      </c>
      <c r="C1047" s="1" t="s">
        <v>30366</v>
      </c>
      <c r="D1047" s="1" t="s">
        <v>30367</v>
      </c>
      <c r="E1047" s="1" t="s">
        <v>3552</v>
      </c>
      <c r="F1047" s="1" t="s">
        <v>123</v>
      </c>
      <c r="G1047" s="1" t="s">
        <v>27</v>
      </c>
      <c r="H1047" s="1" t="s">
        <v>3553</v>
      </c>
      <c r="I1047" s="1" t="s">
        <v>19</v>
      </c>
      <c r="J1047" s="1" t="s">
        <v>6</v>
      </c>
      <c r="K1047" s="1" t="s">
        <v>34</v>
      </c>
      <c r="L1047" s="1">
        <v>3584065</v>
      </c>
      <c r="M1047" s="2">
        <v>43291</v>
      </c>
      <c r="N1047" s="1" t="s">
        <v>8</v>
      </c>
      <c r="O1047" s="2">
        <v>44386</v>
      </c>
    </row>
    <row r="1048" spans="1:15" x14ac:dyDescent="0.3">
      <c r="A1048" s="1" t="s">
        <v>32475</v>
      </c>
      <c r="B1048" s="1" t="str">
        <f>"Simon Cruickshank"</f>
        <v>Simon Cruickshank</v>
      </c>
      <c r="C1048" s="1" t="s">
        <v>32476</v>
      </c>
      <c r="D1048" s="1" t="s">
        <v>32477</v>
      </c>
      <c r="F1048" s="1" t="s">
        <v>1206</v>
      </c>
      <c r="G1048" s="1" t="s">
        <v>162</v>
      </c>
      <c r="H1048" s="1" t="s">
        <v>32478</v>
      </c>
      <c r="I1048" s="1" t="s">
        <v>5</v>
      </c>
      <c r="J1048" s="1" t="s">
        <v>6</v>
      </c>
      <c r="K1048" s="1" t="s">
        <v>24</v>
      </c>
      <c r="M1048" s="2">
        <v>43291</v>
      </c>
      <c r="N1048" s="1" t="s">
        <v>8</v>
      </c>
      <c r="O1048" s="2">
        <v>44386</v>
      </c>
    </row>
    <row r="1049" spans="1:15" x14ac:dyDescent="0.3">
      <c r="A1049" s="1" t="s">
        <v>32479</v>
      </c>
      <c r="B1049" s="1" t="str">
        <f>"David Thomas"</f>
        <v>David Thomas</v>
      </c>
      <c r="C1049" s="1" t="s">
        <v>32480</v>
      </c>
      <c r="F1049" s="1" t="s">
        <v>214</v>
      </c>
      <c r="G1049" s="1" t="s">
        <v>73</v>
      </c>
      <c r="H1049" s="1" t="s">
        <v>32481</v>
      </c>
      <c r="I1049" s="1" t="s">
        <v>5</v>
      </c>
      <c r="J1049" s="1" t="s">
        <v>6</v>
      </c>
      <c r="K1049" s="1" t="s">
        <v>24</v>
      </c>
      <c r="M1049" s="2">
        <v>43291</v>
      </c>
      <c r="N1049" s="1" t="s">
        <v>8</v>
      </c>
      <c r="O1049" s="2">
        <v>44386</v>
      </c>
    </row>
    <row r="1050" spans="1:15" x14ac:dyDescent="0.3">
      <c r="A1050" s="1" t="s">
        <v>32482</v>
      </c>
      <c r="B1050" s="1" t="str">
        <f>"Irvine Build Ltd"</f>
        <v>Irvine Build Ltd</v>
      </c>
      <c r="C1050" s="1" t="s">
        <v>32483</v>
      </c>
      <c r="D1050" s="1" t="s">
        <v>1010</v>
      </c>
      <c r="E1050" s="1" t="s">
        <v>14862</v>
      </c>
      <c r="F1050" s="1" t="s">
        <v>532</v>
      </c>
      <c r="G1050" s="1" t="s">
        <v>198</v>
      </c>
      <c r="H1050" s="1" t="s">
        <v>32484</v>
      </c>
      <c r="I1050" s="1" t="s">
        <v>19</v>
      </c>
      <c r="J1050" s="1" t="s">
        <v>6</v>
      </c>
      <c r="K1050" s="1" t="s">
        <v>24</v>
      </c>
      <c r="L1050" s="1">
        <v>9285935</v>
      </c>
      <c r="M1050" s="2">
        <v>43291</v>
      </c>
      <c r="N1050" s="1" t="s">
        <v>8</v>
      </c>
      <c r="O1050" s="2">
        <v>44386</v>
      </c>
    </row>
    <row r="1051" spans="1:15" ht="28.8" x14ac:dyDescent="0.3">
      <c r="A1051" s="1" t="s">
        <v>30361</v>
      </c>
      <c r="B1051" s="1" t="str">
        <f>"Dylan Rees"</f>
        <v>Dylan Rees</v>
      </c>
      <c r="C1051" s="1" t="s">
        <v>30362</v>
      </c>
      <c r="D1051" s="1" t="s">
        <v>30363</v>
      </c>
      <c r="F1051" s="1" t="s">
        <v>2961</v>
      </c>
      <c r="G1051" s="1" t="s">
        <v>654</v>
      </c>
      <c r="H1051" s="1" t="s">
        <v>30364</v>
      </c>
      <c r="I1051" s="1" t="s">
        <v>5</v>
      </c>
      <c r="J1051" s="1" t="s">
        <v>6</v>
      </c>
      <c r="K1051" s="1" t="s">
        <v>34</v>
      </c>
      <c r="M1051" s="2">
        <v>43290</v>
      </c>
      <c r="N1051" s="1" t="s">
        <v>8</v>
      </c>
      <c r="O1051" s="2">
        <v>44385</v>
      </c>
    </row>
    <row r="1052" spans="1:15" ht="28.8" x14ac:dyDescent="0.3">
      <c r="A1052" s="1" t="s">
        <v>30365</v>
      </c>
      <c r="B1052" s="1" t="str">
        <f>"SGD South West Limited"</f>
        <v>SGD South West Limited</v>
      </c>
      <c r="C1052" s="1" t="s">
        <v>30366</v>
      </c>
      <c r="D1052" s="1" t="s">
        <v>30367</v>
      </c>
      <c r="E1052" s="1" t="s">
        <v>3552</v>
      </c>
      <c r="F1052" s="1" t="s">
        <v>123</v>
      </c>
      <c r="G1052" s="1" t="s">
        <v>27</v>
      </c>
      <c r="H1052" s="1" t="s">
        <v>3553</v>
      </c>
      <c r="I1052" s="1" t="s">
        <v>19</v>
      </c>
      <c r="J1052" s="1" t="s">
        <v>6</v>
      </c>
      <c r="K1052" s="1" t="s">
        <v>34</v>
      </c>
      <c r="L1052" s="1">
        <v>4832450</v>
      </c>
      <c r="M1052" s="2">
        <v>43290</v>
      </c>
      <c r="N1052" s="1" t="s">
        <v>8</v>
      </c>
      <c r="O1052" s="2">
        <v>44385</v>
      </c>
    </row>
    <row r="1053" spans="1:15" ht="28.8" x14ac:dyDescent="0.3">
      <c r="A1053" s="1" t="s">
        <v>30368</v>
      </c>
      <c r="B1053" s="1" t="str">
        <f>"ADC Fire Systems Limited"</f>
        <v>ADC Fire Systems Limited</v>
      </c>
      <c r="C1053" s="1" t="s">
        <v>30369</v>
      </c>
      <c r="D1053" s="1" t="s">
        <v>30367</v>
      </c>
      <c r="E1053" s="1" t="s">
        <v>3552</v>
      </c>
      <c r="F1053" s="1" t="s">
        <v>123</v>
      </c>
      <c r="G1053" s="1" t="s">
        <v>27</v>
      </c>
      <c r="H1053" s="1" t="s">
        <v>3553</v>
      </c>
      <c r="I1053" s="1" t="s">
        <v>19</v>
      </c>
      <c r="J1053" s="1" t="s">
        <v>6</v>
      </c>
      <c r="K1053" s="1" t="s">
        <v>34</v>
      </c>
      <c r="L1053" s="1">
        <v>6435026</v>
      </c>
      <c r="M1053" s="2">
        <v>43290</v>
      </c>
      <c r="N1053" s="1" t="s">
        <v>8</v>
      </c>
      <c r="O1053" s="2">
        <v>44385</v>
      </c>
    </row>
    <row r="1054" spans="1:15" ht="28.8" x14ac:dyDescent="0.3">
      <c r="A1054" s="1" t="s">
        <v>30399</v>
      </c>
      <c r="B1054" s="1" t="str">
        <f>"Taylor Robinson"</f>
        <v>Taylor Robinson</v>
      </c>
      <c r="C1054" s="1" t="s">
        <v>30400</v>
      </c>
      <c r="D1054" s="1" t="s">
        <v>30401</v>
      </c>
      <c r="F1054" s="1" t="s">
        <v>64</v>
      </c>
      <c r="G1054" s="1" t="s">
        <v>65</v>
      </c>
      <c r="H1054" s="1" t="s">
        <v>20533</v>
      </c>
      <c r="I1054" s="1" t="s">
        <v>5</v>
      </c>
      <c r="J1054" s="1" t="s">
        <v>6</v>
      </c>
      <c r="K1054" s="1" t="s">
        <v>34</v>
      </c>
      <c r="M1054" s="2">
        <v>43289</v>
      </c>
      <c r="N1054" s="1" t="s">
        <v>8</v>
      </c>
      <c r="O1054" s="2">
        <v>44384</v>
      </c>
    </row>
    <row r="1055" spans="1:15" ht="28.8" x14ac:dyDescent="0.3">
      <c r="A1055" s="1" t="s">
        <v>30337</v>
      </c>
      <c r="B1055" s="1" t="str">
        <f>"Lindsey Hewitt"</f>
        <v>Lindsey Hewitt</v>
      </c>
      <c r="C1055" s="1" t="s">
        <v>30338</v>
      </c>
      <c r="D1055" s="1" t="s">
        <v>21090</v>
      </c>
      <c r="F1055" s="1" t="s">
        <v>380</v>
      </c>
      <c r="G1055" s="1" t="s">
        <v>381</v>
      </c>
      <c r="H1055" s="1" t="s">
        <v>30339</v>
      </c>
      <c r="I1055" s="1" t="s">
        <v>5</v>
      </c>
      <c r="J1055" s="1" t="s">
        <v>6</v>
      </c>
      <c r="K1055" s="1" t="s">
        <v>34</v>
      </c>
      <c r="M1055" s="2">
        <v>43286</v>
      </c>
      <c r="N1055" s="1" t="s">
        <v>8</v>
      </c>
      <c r="O1055" s="2">
        <v>44381</v>
      </c>
    </row>
    <row r="1056" spans="1:15" x14ac:dyDescent="0.3">
      <c r="A1056" s="1" t="s">
        <v>31495</v>
      </c>
      <c r="B1056" s="1" t="str">
        <f>"Jonathan Evans"</f>
        <v>Jonathan Evans</v>
      </c>
      <c r="C1056" s="1" t="s">
        <v>31496</v>
      </c>
      <c r="F1056" s="1" t="s">
        <v>179</v>
      </c>
      <c r="G1056" s="1" t="s">
        <v>180</v>
      </c>
      <c r="H1056" s="1" t="s">
        <v>31497</v>
      </c>
      <c r="I1056" s="1" t="s">
        <v>5</v>
      </c>
      <c r="J1056" s="1" t="s">
        <v>6</v>
      </c>
      <c r="K1056" s="1" t="s">
        <v>24</v>
      </c>
      <c r="M1056" s="2">
        <v>43285</v>
      </c>
      <c r="N1056" s="1" t="s">
        <v>8</v>
      </c>
      <c r="O1056" s="2">
        <v>44380</v>
      </c>
    </row>
    <row r="1057" spans="1:15" ht="43.2" x14ac:dyDescent="0.3">
      <c r="A1057" s="1" t="s">
        <v>31498</v>
      </c>
      <c r="B1057" s="1" t="str">
        <f>"Andrew Bevan"</f>
        <v>Andrew Bevan</v>
      </c>
      <c r="C1057" s="1" t="s">
        <v>31499</v>
      </c>
      <c r="D1057" s="1" t="s">
        <v>938</v>
      </c>
      <c r="F1057" s="1" t="s">
        <v>64</v>
      </c>
      <c r="G1057" s="1" t="s">
        <v>65</v>
      </c>
      <c r="H1057" s="1" t="s">
        <v>31500</v>
      </c>
      <c r="I1057" s="1" t="s">
        <v>5</v>
      </c>
      <c r="J1057" s="1" t="s">
        <v>67</v>
      </c>
      <c r="K1057" s="1" t="s">
        <v>24</v>
      </c>
      <c r="M1057" s="2">
        <v>43285</v>
      </c>
      <c r="N1057" s="1" t="s">
        <v>8</v>
      </c>
      <c r="O1057" s="1" t="s">
        <v>68</v>
      </c>
    </row>
    <row r="1058" spans="1:15" ht="43.2" x14ac:dyDescent="0.3">
      <c r="A1058" s="1" t="s">
        <v>30306</v>
      </c>
      <c r="B1058" s="1" t="str">
        <f>"MURAD ALI"</f>
        <v>MURAD ALI</v>
      </c>
      <c r="C1058" s="1" t="s">
        <v>30307</v>
      </c>
      <c r="D1058" s="1" t="s">
        <v>30308</v>
      </c>
      <c r="F1058" s="1" t="s">
        <v>156</v>
      </c>
      <c r="G1058" s="1" t="s">
        <v>156</v>
      </c>
      <c r="H1058" s="1" t="s">
        <v>19848</v>
      </c>
      <c r="I1058" s="1" t="s">
        <v>5</v>
      </c>
      <c r="J1058" s="1" t="s">
        <v>67</v>
      </c>
      <c r="K1058" s="1" t="s">
        <v>34</v>
      </c>
      <c r="M1058" s="2">
        <v>43284</v>
      </c>
      <c r="N1058" s="1" t="s">
        <v>8</v>
      </c>
      <c r="O1058" s="1" t="s">
        <v>68</v>
      </c>
    </row>
    <row r="1059" spans="1:15" ht="28.8" x14ac:dyDescent="0.3">
      <c r="A1059" s="1" t="s">
        <v>30312</v>
      </c>
      <c r="B1059" s="1" t="str">
        <f>"howard lewis lewismobilewelding"</f>
        <v>howard lewis lewismobilewelding</v>
      </c>
      <c r="C1059" s="1" t="s">
        <v>30313</v>
      </c>
      <c r="D1059" s="1" t="s">
        <v>30314</v>
      </c>
      <c r="E1059" s="1" t="s">
        <v>29621</v>
      </c>
      <c r="F1059" s="1" t="s">
        <v>277</v>
      </c>
      <c r="G1059" s="1" t="s">
        <v>141</v>
      </c>
      <c r="H1059" s="1" t="s">
        <v>30315</v>
      </c>
      <c r="I1059" s="1" t="s">
        <v>5</v>
      </c>
      <c r="J1059" s="1" t="s">
        <v>6</v>
      </c>
      <c r="K1059" s="1" t="s">
        <v>24</v>
      </c>
      <c r="M1059" s="2">
        <v>43284</v>
      </c>
      <c r="N1059" s="1" t="s">
        <v>8</v>
      </c>
      <c r="O1059" s="2">
        <v>44379</v>
      </c>
    </row>
    <row r="1060" spans="1:15" ht="28.8" x14ac:dyDescent="0.3">
      <c r="A1060" s="1" t="s">
        <v>30316</v>
      </c>
      <c r="B1060" s="1" t="str">
        <f>"B&amp;M Davies (Bangor) Limited"</f>
        <v>B&amp;M Davies (Bangor) Limited</v>
      </c>
      <c r="C1060" s="1" t="s">
        <v>30317</v>
      </c>
      <c r="F1060" s="1" t="s">
        <v>1321</v>
      </c>
      <c r="G1060" s="1" t="s">
        <v>3</v>
      </c>
      <c r="H1060" s="1" t="s">
        <v>30318</v>
      </c>
      <c r="I1060" s="1" t="s">
        <v>19</v>
      </c>
      <c r="J1060" s="1" t="s">
        <v>6</v>
      </c>
      <c r="K1060" s="1" t="s">
        <v>34</v>
      </c>
      <c r="L1060" s="1">
        <v>11331415</v>
      </c>
      <c r="M1060" s="2">
        <v>43284</v>
      </c>
      <c r="N1060" s="1" t="s">
        <v>8</v>
      </c>
      <c r="O1060" s="2">
        <v>44379</v>
      </c>
    </row>
    <row r="1061" spans="1:15" ht="28.8" x14ac:dyDescent="0.3">
      <c r="A1061" s="1" t="s">
        <v>30319</v>
      </c>
      <c r="B1061" s="1" t="str">
        <f>"Graham Ottaway Builders Ltd"</f>
        <v>Graham Ottaway Builders Ltd</v>
      </c>
      <c r="C1061" s="1" t="s">
        <v>30320</v>
      </c>
      <c r="F1061" s="1" t="s">
        <v>445</v>
      </c>
      <c r="H1061" s="1" t="s">
        <v>14008</v>
      </c>
      <c r="I1061" s="1" t="s">
        <v>19</v>
      </c>
      <c r="J1061" s="1" t="s">
        <v>6</v>
      </c>
      <c r="K1061" s="1" t="s">
        <v>34</v>
      </c>
      <c r="L1061" s="1">
        <v>4337318</v>
      </c>
      <c r="M1061" s="2">
        <v>43284</v>
      </c>
      <c r="N1061" s="1" t="s">
        <v>8</v>
      </c>
      <c r="O1061" s="2">
        <v>44379</v>
      </c>
    </row>
    <row r="1062" spans="1:15" x14ac:dyDescent="0.3">
      <c r="A1062" s="1" t="s">
        <v>30323</v>
      </c>
      <c r="B1062" s="1" t="str">
        <f>"Stephen Miller"</f>
        <v>Stephen Miller</v>
      </c>
      <c r="C1062" s="1" t="s">
        <v>30324</v>
      </c>
      <c r="D1062" s="1" t="s">
        <v>30325</v>
      </c>
      <c r="F1062" s="1" t="s">
        <v>922</v>
      </c>
      <c r="G1062" s="1" t="s">
        <v>73</v>
      </c>
      <c r="H1062" s="1" t="s">
        <v>30326</v>
      </c>
      <c r="I1062" s="1" t="s">
        <v>5</v>
      </c>
      <c r="J1062" s="1" t="s">
        <v>6</v>
      </c>
      <c r="K1062" s="1" t="s">
        <v>24</v>
      </c>
      <c r="M1062" s="2">
        <v>43284</v>
      </c>
      <c r="N1062" s="1" t="s">
        <v>8</v>
      </c>
      <c r="O1062" s="2">
        <v>44379</v>
      </c>
    </row>
    <row r="1063" spans="1:15" ht="43.2" x14ac:dyDescent="0.3">
      <c r="A1063" s="1" t="s">
        <v>30327</v>
      </c>
      <c r="B1063" s="1" t="str">
        <f>"Ian Phillips"</f>
        <v>Ian Phillips</v>
      </c>
      <c r="C1063" s="1" t="s">
        <v>30328</v>
      </c>
      <c r="D1063" s="1" t="s">
        <v>30329</v>
      </c>
      <c r="F1063" s="1" t="s">
        <v>64</v>
      </c>
      <c r="G1063" s="1" t="s">
        <v>65</v>
      </c>
      <c r="H1063" s="1" t="s">
        <v>30330</v>
      </c>
      <c r="I1063" s="1" t="s">
        <v>5</v>
      </c>
      <c r="J1063" s="1" t="s">
        <v>67</v>
      </c>
      <c r="K1063" s="1" t="s">
        <v>24</v>
      </c>
      <c r="M1063" s="2">
        <v>43284</v>
      </c>
      <c r="N1063" s="1" t="s">
        <v>8</v>
      </c>
      <c r="O1063" s="1" t="s">
        <v>68</v>
      </c>
    </row>
    <row r="1064" spans="1:15" ht="43.2" x14ac:dyDescent="0.3">
      <c r="A1064" s="1" t="s">
        <v>31451</v>
      </c>
      <c r="B1064" s="1" t="str">
        <f>"M Vowles LTD"</f>
        <v>M Vowles LTD</v>
      </c>
      <c r="C1064" s="1" t="s">
        <v>31452</v>
      </c>
      <c r="F1064" s="1" t="s">
        <v>22</v>
      </c>
      <c r="G1064" s="1" t="s">
        <v>141</v>
      </c>
      <c r="H1064" s="1" t="s">
        <v>31453</v>
      </c>
      <c r="I1064" s="1" t="s">
        <v>19</v>
      </c>
      <c r="J1064" s="1" t="s">
        <v>67</v>
      </c>
      <c r="K1064" s="1" t="s">
        <v>24</v>
      </c>
      <c r="L1064" s="1">
        <v>11289671</v>
      </c>
      <c r="M1064" s="2">
        <v>43283</v>
      </c>
      <c r="N1064" s="1" t="s">
        <v>8</v>
      </c>
      <c r="O1064" s="1" t="s">
        <v>68</v>
      </c>
    </row>
    <row r="1065" spans="1:15" x14ac:dyDescent="0.3">
      <c r="A1065" s="1" t="s">
        <v>31454</v>
      </c>
      <c r="B1065" s="1" t="str">
        <f>"Jamie Clarke"</f>
        <v>Jamie Clarke</v>
      </c>
      <c r="C1065" s="1" t="s">
        <v>31455</v>
      </c>
      <c r="F1065" s="1" t="s">
        <v>1093</v>
      </c>
      <c r="G1065" s="1" t="s">
        <v>103</v>
      </c>
      <c r="H1065" s="1" t="s">
        <v>31456</v>
      </c>
      <c r="I1065" s="1" t="s">
        <v>5</v>
      </c>
      <c r="J1065" s="1" t="s">
        <v>6</v>
      </c>
      <c r="K1065" s="1" t="s">
        <v>24</v>
      </c>
      <c r="M1065" s="2">
        <v>43283</v>
      </c>
      <c r="N1065" s="1" t="s">
        <v>8</v>
      </c>
      <c r="O1065" s="2">
        <v>44378</v>
      </c>
    </row>
    <row r="1066" spans="1:15" ht="28.8" x14ac:dyDescent="0.3">
      <c r="A1066" s="1" t="s">
        <v>31457</v>
      </c>
      <c r="B1066" s="1" t="str">
        <f>"Safe Gas Cylinders Limited"</f>
        <v>Safe Gas Cylinders Limited</v>
      </c>
      <c r="C1066" s="1" t="s">
        <v>31458</v>
      </c>
      <c r="D1066" s="1" t="s">
        <v>17074</v>
      </c>
      <c r="E1066" s="1" t="s">
        <v>11513</v>
      </c>
      <c r="F1066" s="1" t="s">
        <v>64</v>
      </c>
      <c r="G1066" s="1" t="s">
        <v>109</v>
      </c>
      <c r="H1066" s="1" t="s">
        <v>17075</v>
      </c>
      <c r="I1066" s="1" t="s">
        <v>19</v>
      </c>
      <c r="J1066" s="1" t="s">
        <v>6</v>
      </c>
      <c r="K1066" s="1" t="s">
        <v>24</v>
      </c>
      <c r="L1066" s="1">
        <v>6995902</v>
      </c>
      <c r="M1066" s="2">
        <v>43283</v>
      </c>
      <c r="N1066" s="1" t="s">
        <v>8</v>
      </c>
      <c r="O1066" s="2">
        <v>44378</v>
      </c>
    </row>
    <row r="1067" spans="1:15" x14ac:dyDescent="0.3">
      <c r="A1067" s="1" t="s">
        <v>31459</v>
      </c>
      <c r="B1067" s="1" t="str">
        <f>"Maria Te velde"</f>
        <v>Maria Te velde</v>
      </c>
      <c r="C1067" s="1" t="s">
        <v>31460</v>
      </c>
      <c r="D1067" s="1" t="s">
        <v>31461</v>
      </c>
      <c r="F1067" s="1" t="s">
        <v>1998</v>
      </c>
      <c r="G1067" s="1" t="s">
        <v>115</v>
      </c>
      <c r="H1067" s="1" t="s">
        <v>31462</v>
      </c>
      <c r="I1067" s="1" t="s">
        <v>5</v>
      </c>
      <c r="J1067" s="1" t="s">
        <v>6</v>
      </c>
      <c r="K1067" s="1" t="s">
        <v>24</v>
      </c>
      <c r="M1067" s="2">
        <v>43283</v>
      </c>
      <c r="N1067" s="1" t="s">
        <v>8</v>
      </c>
      <c r="O1067" s="2">
        <v>44378</v>
      </c>
    </row>
    <row r="1068" spans="1:15" ht="28.8" x14ac:dyDescent="0.3">
      <c r="A1068" s="1" t="s">
        <v>31463</v>
      </c>
      <c r="B1068" s="1" t="str">
        <f>"MS Shaw Groundworks LTD"</f>
        <v>MS Shaw Groundworks LTD</v>
      </c>
      <c r="C1068" s="1" t="s">
        <v>31464</v>
      </c>
      <c r="D1068" s="1" t="s">
        <v>31465</v>
      </c>
      <c r="F1068" s="1" t="s">
        <v>798</v>
      </c>
      <c r="G1068" s="1" t="s">
        <v>162</v>
      </c>
      <c r="H1068" s="1" t="s">
        <v>16867</v>
      </c>
      <c r="I1068" s="1" t="s">
        <v>19</v>
      </c>
      <c r="J1068" s="1" t="s">
        <v>6</v>
      </c>
      <c r="K1068" s="1" t="s">
        <v>24</v>
      </c>
      <c r="L1068" s="1">
        <v>5429047</v>
      </c>
      <c r="M1068" s="2">
        <v>43283</v>
      </c>
      <c r="N1068" s="1" t="s">
        <v>8</v>
      </c>
      <c r="O1068" s="2">
        <v>44378</v>
      </c>
    </row>
    <row r="1069" spans="1:15" x14ac:dyDescent="0.3">
      <c r="A1069" s="1" t="s">
        <v>31466</v>
      </c>
      <c r="B1069" s="1" t="str">
        <f>"Stephen Nicholas"</f>
        <v>Stephen Nicholas</v>
      </c>
      <c r="C1069" s="1" t="s">
        <v>31467</v>
      </c>
      <c r="D1069" s="1" t="s">
        <v>31468</v>
      </c>
      <c r="E1069" s="1" t="s">
        <v>578</v>
      </c>
      <c r="F1069" s="1" t="s">
        <v>64</v>
      </c>
      <c r="G1069" s="1" t="s">
        <v>65</v>
      </c>
      <c r="H1069" s="1" t="s">
        <v>31469</v>
      </c>
      <c r="I1069" s="1" t="s">
        <v>5</v>
      </c>
      <c r="J1069" s="1" t="s">
        <v>6</v>
      </c>
      <c r="K1069" s="1" t="s">
        <v>24</v>
      </c>
      <c r="M1069" s="2">
        <v>43283</v>
      </c>
      <c r="N1069" s="1" t="s">
        <v>8</v>
      </c>
      <c r="O1069" s="2">
        <v>44378</v>
      </c>
    </row>
    <row r="1070" spans="1:15" ht="28.8" x14ac:dyDescent="0.3">
      <c r="A1070" s="1" t="s">
        <v>2132</v>
      </c>
      <c r="B1070" s="1" t="str">
        <f>"Brian Baxter B P Baxter (Haulage)"</f>
        <v>Brian Baxter B P Baxter (Haulage)</v>
      </c>
      <c r="C1070" s="1" t="s">
        <v>2133</v>
      </c>
      <c r="F1070" s="1" t="s">
        <v>1278</v>
      </c>
      <c r="H1070" s="1" t="s">
        <v>2134</v>
      </c>
      <c r="I1070" s="1" t="s">
        <v>5</v>
      </c>
      <c r="J1070" s="1" t="s">
        <v>6</v>
      </c>
      <c r="K1070" s="1" t="s">
        <v>24</v>
      </c>
      <c r="M1070" s="2">
        <v>43282</v>
      </c>
      <c r="N1070" s="1" t="s">
        <v>8</v>
      </c>
      <c r="O1070" s="2">
        <v>44377</v>
      </c>
    </row>
    <row r="1071" spans="1:15" ht="28.8" x14ac:dyDescent="0.3">
      <c r="A1071" s="1" t="s">
        <v>2135</v>
      </c>
      <c r="B1071" s="1" t="str">
        <f>"Thomas Miles"</f>
        <v>Thomas Miles</v>
      </c>
      <c r="C1071" s="1" t="s">
        <v>2136</v>
      </c>
      <c r="D1071" s="1" t="s">
        <v>2137</v>
      </c>
      <c r="F1071" s="1" t="s">
        <v>1776</v>
      </c>
      <c r="H1071" s="1" t="s">
        <v>2138</v>
      </c>
      <c r="I1071" s="1" t="s">
        <v>5</v>
      </c>
      <c r="J1071" s="1" t="s">
        <v>6</v>
      </c>
      <c r="K1071" s="1" t="s">
        <v>34</v>
      </c>
      <c r="M1071" s="2">
        <v>43282</v>
      </c>
      <c r="N1071" s="1" t="s">
        <v>8</v>
      </c>
      <c r="O1071" s="2">
        <v>44377</v>
      </c>
    </row>
    <row r="1072" spans="1:15" ht="28.8" x14ac:dyDescent="0.3">
      <c r="A1072" s="1" t="s">
        <v>2139</v>
      </c>
      <c r="B1072" s="1" t="str">
        <f>"N meakin contracts ltd"</f>
        <v>N meakin contracts ltd</v>
      </c>
      <c r="C1072" s="1" t="s">
        <v>2140</v>
      </c>
      <c r="F1072" s="1" t="s">
        <v>156</v>
      </c>
      <c r="H1072" s="1" t="s">
        <v>2141</v>
      </c>
      <c r="I1072" s="1" t="s">
        <v>19</v>
      </c>
      <c r="J1072" s="1" t="s">
        <v>6</v>
      </c>
      <c r="K1072" s="1" t="s">
        <v>24</v>
      </c>
      <c r="L1072" s="1">
        <v>6845879</v>
      </c>
      <c r="M1072" s="2">
        <v>43282</v>
      </c>
      <c r="N1072" s="1" t="s">
        <v>8</v>
      </c>
      <c r="O1072" s="2">
        <v>44377</v>
      </c>
    </row>
    <row r="1073" spans="1:15" ht="43.2" x14ac:dyDescent="0.3">
      <c r="A1073" s="1" t="s">
        <v>2142</v>
      </c>
      <c r="B1073" s="1" t="str">
        <f>"A A Abbey Roofing &amp; Building Contractors LTD"</f>
        <v>A A Abbey Roofing &amp; Building Contractors LTD</v>
      </c>
      <c r="C1073" s="1" t="s">
        <v>2143</v>
      </c>
      <c r="F1073" s="1" t="s">
        <v>64</v>
      </c>
      <c r="G1073" s="1" t="s">
        <v>65</v>
      </c>
      <c r="H1073" s="1" t="s">
        <v>2144</v>
      </c>
      <c r="I1073" s="1" t="s">
        <v>19</v>
      </c>
      <c r="J1073" s="1" t="s">
        <v>6</v>
      </c>
      <c r="K1073" s="1" t="s">
        <v>24</v>
      </c>
      <c r="L1073" s="1">
        <v>7676340</v>
      </c>
      <c r="M1073" s="2">
        <v>43282</v>
      </c>
      <c r="N1073" s="1" t="s">
        <v>8</v>
      </c>
      <c r="O1073" s="2">
        <v>44377</v>
      </c>
    </row>
    <row r="1074" spans="1:15" ht="43.2" x14ac:dyDescent="0.3">
      <c r="A1074" s="1" t="s">
        <v>31444</v>
      </c>
      <c r="B1074" s="1" t="str">
        <f>"Timothy Forrester"</f>
        <v>Timothy Forrester</v>
      </c>
      <c r="C1074" s="1" t="s">
        <v>31445</v>
      </c>
      <c r="D1074" s="1" t="s">
        <v>31446</v>
      </c>
      <c r="F1074" s="1" t="s">
        <v>42</v>
      </c>
      <c r="G1074" s="1" t="s">
        <v>51</v>
      </c>
      <c r="H1074" s="1" t="s">
        <v>31447</v>
      </c>
      <c r="I1074" s="1" t="s">
        <v>5</v>
      </c>
      <c r="J1074" s="1" t="s">
        <v>67</v>
      </c>
      <c r="K1074" s="1" t="s">
        <v>24</v>
      </c>
      <c r="M1074" s="2">
        <v>43280</v>
      </c>
      <c r="N1074" s="1" t="s">
        <v>8</v>
      </c>
      <c r="O1074" s="1" t="s">
        <v>68</v>
      </c>
    </row>
    <row r="1075" spans="1:15" ht="43.2" x14ac:dyDescent="0.3">
      <c r="A1075" s="1" t="s">
        <v>31448</v>
      </c>
      <c r="B1075" s="1" t="str">
        <f>"Dominic Wilkinson"</f>
        <v>Dominic Wilkinson</v>
      </c>
      <c r="C1075" s="1" t="s">
        <v>31449</v>
      </c>
      <c r="D1075" s="1" t="s">
        <v>31450</v>
      </c>
      <c r="E1075" s="1" t="s">
        <v>3595</v>
      </c>
      <c r="F1075" s="1" t="s">
        <v>476</v>
      </c>
      <c r="G1075" s="1" t="s">
        <v>73</v>
      </c>
      <c r="H1075" s="1" t="s">
        <v>5264</v>
      </c>
      <c r="I1075" s="1" t="s">
        <v>5</v>
      </c>
      <c r="J1075" s="1" t="s">
        <v>67</v>
      </c>
      <c r="K1075" s="1" t="s">
        <v>14</v>
      </c>
      <c r="M1075" s="2">
        <v>43280</v>
      </c>
      <c r="N1075" s="1" t="s">
        <v>8</v>
      </c>
      <c r="O1075" s="1" t="s">
        <v>68</v>
      </c>
    </row>
    <row r="1076" spans="1:15" ht="43.2" x14ac:dyDescent="0.3">
      <c r="A1076" s="1" t="s">
        <v>31572</v>
      </c>
      <c r="B1076" s="1" t="str">
        <f>"The Swan Inn"</f>
        <v>The Swan Inn</v>
      </c>
      <c r="C1076" s="1" t="s">
        <v>31573</v>
      </c>
      <c r="D1076" s="1" t="s">
        <v>31574</v>
      </c>
      <c r="F1076" s="1" t="s">
        <v>1888</v>
      </c>
      <c r="G1076" s="1" t="s">
        <v>198</v>
      </c>
      <c r="H1076" s="1" t="s">
        <v>4024</v>
      </c>
      <c r="I1076" s="1" t="s">
        <v>125</v>
      </c>
      <c r="J1076" s="1" t="s">
        <v>67</v>
      </c>
      <c r="K1076" s="1" t="s">
        <v>34</v>
      </c>
      <c r="M1076" s="2">
        <v>43280</v>
      </c>
      <c r="N1076" s="1" t="s">
        <v>8</v>
      </c>
      <c r="O1076" s="1" t="s">
        <v>68</v>
      </c>
    </row>
    <row r="1077" spans="1:15" ht="28.8" x14ac:dyDescent="0.3">
      <c r="A1077" s="1" t="s">
        <v>30258</v>
      </c>
      <c r="B1077" s="1" t="str">
        <f>"CONCEPT BALUSTRADES LTD"</f>
        <v>CONCEPT BALUSTRADES LTD</v>
      </c>
      <c r="C1077" s="1" t="s">
        <v>30259</v>
      </c>
      <c r="D1077" s="1" t="s">
        <v>30260</v>
      </c>
      <c r="E1077" s="1" t="s">
        <v>30261</v>
      </c>
      <c r="F1077" s="1" t="s">
        <v>123</v>
      </c>
      <c r="G1077" s="1" t="s">
        <v>27</v>
      </c>
      <c r="H1077" s="1" t="s">
        <v>30262</v>
      </c>
      <c r="I1077" s="1" t="s">
        <v>19</v>
      </c>
      <c r="J1077" s="1" t="s">
        <v>6</v>
      </c>
      <c r="K1077" s="1" t="s">
        <v>34</v>
      </c>
      <c r="L1077" s="1">
        <v>4075479</v>
      </c>
      <c r="M1077" s="2">
        <v>43279</v>
      </c>
      <c r="N1077" s="1" t="s">
        <v>8</v>
      </c>
      <c r="O1077" s="2">
        <v>44374</v>
      </c>
    </row>
    <row r="1078" spans="1:15" ht="28.8" x14ac:dyDescent="0.3">
      <c r="A1078" s="1" t="s">
        <v>30263</v>
      </c>
      <c r="B1078" s="1" t="str">
        <f>"Valleys Environmental Services Ltd"</f>
        <v>Valleys Environmental Services Ltd</v>
      </c>
      <c r="C1078" s="1" t="s">
        <v>30264</v>
      </c>
      <c r="D1078" s="1" t="s">
        <v>30265</v>
      </c>
      <c r="F1078" s="1" t="s">
        <v>11055</v>
      </c>
      <c r="G1078" s="1" t="s">
        <v>141</v>
      </c>
      <c r="H1078" s="1" t="s">
        <v>30266</v>
      </c>
      <c r="I1078" s="1" t="s">
        <v>19</v>
      </c>
      <c r="J1078" s="1" t="s">
        <v>6</v>
      </c>
      <c r="K1078" s="1" t="s">
        <v>24</v>
      </c>
      <c r="L1078" s="1">
        <v>11373410</v>
      </c>
      <c r="M1078" s="2">
        <v>43279</v>
      </c>
      <c r="N1078" s="1" t="s">
        <v>8</v>
      </c>
      <c r="O1078" s="2">
        <v>44374</v>
      </c>
    </row>
    <row r="1079" spans="1:15" ht="43.2" x14ac:dyDescent="0.3">
      <c r="A1079" s="1" t="s">
        <v>30267</v>
      </c>
      <c r="B1079" s="1" t="str">
        <f>"Brookview Garden Maintenance LTD"</f>
        <v>Brookview Garden Maintenance LTD</v>
      </c>
      <c r="C1079" s="1" t="s">
        <v>30268</v>
      </c>
      <c r="D1079" s="1" t="s">
        <v>16675</v>
      </c>
      <c r="F1079" s="1" t="s">
        <v>123</v>
      </c>
      <c r="G1079" s="1" t="s">
        <v>27</v>
      </c>
      <c r="H1079" s="1" t="s">
        <v>30269</v>
      </c>
      <c r="I1079" s="1" t="s">
        <v>19</v>
      </c>
      <c r="J1079" s="1" t="s">
        <v>67</v>
      </c>
      <c r="K1079" s="1" t="s">
        <v>14</v>
      </c>
      <c r="L1079" s="1">
        <v>10755246</v>
      </c>
      <c r="M1079" s="2">
        <v>43279</v>
      </c>
      <c r="N1079" s="1" t="s">
        <v>8</v>
      </c>
      <c r="O1079" s="1" t="s">
        <v>68</v>
      </c>
    </row>
    <row r="1080" spans="1:15" ht="43.2" x14ac:dyDescent="0.3">
      <c r="A1080" s="1" t="s">
        <v>30270</v>
      </c>
      <c r="B1080" s="1" t="str">
        <f>"Christopher Miles"</f>
        <v>Christopher Miles</v>
      </c>
      <c r="C1080" s="1" t="s">
        <v>30271</v>
      </c>
      <c r="D1080" s="1" t="s">
        <v>5848</v>
      </c>
      <c r="F1080" s="1" t="s">
        <v>380</v>
      </c>
      <c r="G1080" s="1" t="s">
        <v>381</v>
      </c>
      <c r="H1080" s="1" t="s">
        <v>30272</v>
      </c>
      <c r="I1080" s="1" t="s">
        <v>5</v>
      </c>
      <c r="J1080" s="1" t="s">
        <v>67</v>
      </c>
      <c r="K1080" s="1" t="s">
        <v>24</v>
      </c>
      <c r="M1080" s="2">
        <v>43279</v>
      </c>
      <c r="N1080" s="1" t="s">
        <v>8</v>
      </c>
      <c r="O1080" s="1" t="s">
        <v>68</v>
      </c>
    </row>
    <row r="1081" spans="1:15" x14ac:dyDescent="0.3">
      <c r="A1081" s="1" t="s">
        <v>30281</v>
      </c>
      <c r="B1081" s="1" t="str">
        <f>"D R Recycling"</f>
        <v>D R Recycling</v>
      </c>
      <c r="C1081" s="1" t="s">
        <v>30282</v>
      </c>
      <c r="F1081" s="1" t="s">
        <v>3068</v>
      </c>
      <c r="G1081" s="1" t="s">
        <v>115</v>
      </c>
      <c r="H1081" s="1" t="s">
        <v>30283</v>
      </c>
      <c r="I1081" s="1" t="s">
        <v>125</v>
      </c>
      <c r="J1081" s="1" t="s">
        <v>6</v>
      </c>
      <c r="K1081" s="1" t="s">
        <v>24</v>
      </c>
      <c r="M1081" s="2">
        <v>43279</v>
      </c>
      <c r="N1081" s="1" t="s">
        <v>8</v>
      </c>
      <c r="O1081" s="2">
        <v>44374</v>
      </c>
    </row>
    <row r="1082" spans="1:15" ht="43.2" x14ac:dyDescent="0.3">
      <c r="A1082" s="1" t="s">
        <v>30284</v>
      </c>
      <c r="B1082" s="1" t="str">
        <f>"Atlas AV"</f>
        <v>Atlas AV</v>
      </c>
      <c r="C1082" s="1" t="s">
        <v>30285</v>
      </c>
      <c r="D1082" s="1" t="s">
        <v>30286</v>
      </c>
      <c r="E1082" s="1" t="s">
        <v>817</v>
      </c>
      <c r="F1082" s="1" t="s">
        <v>64</v>
      </c>
      <c r="G1082" s="1" t="s">
        <v>65</v>
      </c>
      <c r="H1082" s="1" t="s">
        <v>30287</v>
      </c>
      <c r="I1082" s="1" t="s">
        <v>19</v>
      </c>
      <c r="J1082" s="1" t="s">
        <v>6</v>
      </c>
      <c r="K1082" s="1" t="s">
        <v>24</v>
      </c>
      <c r="L1082" s="1">
        <v>7451278</v>
      </c>
      <c r="M1082" s="2">
        <v>43279</v>
      </c>
      <c r="N1082" s="1" t="s">
        <v>8</v>
      </c>
      <c r="O1082" s="2">
        <v>44374</v>
      </c>
    </row>
    <row r="1083" spans="1:15" ht="28.8" x14ac:dyDescent="0.3">
      <c r="A1083" s="1" t="s">
        <v>30288</v>
      </c>
      <c r="B1083" s="1" t="str">
        <f>"Capestone Organic Poultry Ltd"</f>
        <v>Capestone Organic Poultry Ltd</v>
      </c>
      <c r="C1083" s="1" t="s">
        <v>30289</v>
      </c>
      <c r="D1083" s="1" t="s">
        <v>30290</v>
      </c>
      <c r="F1083" s="1" t="s">
        <v>1776</v>
      </c>
      <c r="H1083" s="1" t="s">
        <v>30291</v>
      </c>
      <c r="I1083" s="1" t="s">
        <v>19</v>
      </c>
      <c r="J1083" s="1" t="s">
        <v>6</v>
      </c>
      <c r="K1083" s="1" t="s">
        <v>24</v>
      </c>
      <c r="M1083" s="2">
        <v>43279</v>
      </c>
      <c r="N1083" s="1" t="s">
        <v>8</v>
      </c>
      <c r="O1083" s="2">
        <v>44374</v>
      </c>
    </row>
    <row r="1084" spans="1:15" ht="28.8" x14ac:dyDescent="0.3">
      <c r="A1084" s="1" t="s">
        <v>30292</v>
      </c>
      <c r="B1084" s="1" t="str">
        <f>"William Humphreys"</f>
        <v>William Humphreys</v>
      </c>
      <c r="C1084" s="1" t="s">
        <v>30293</v>
      </c>
      <c r="D1084" s="1" t="s">
        <v>30294</v>
      </c>
      <c r="F1084" s="1" t="s">
        <v>1408</v>
      </c>
      <c r="G1084" s="1" t="s">
        <v>679</v>
      </c>
      <c r="H1084" s="1" t="s">
        <v>30295</v>
      </c>
      <c r="I1084" s="1" t="s">
        <v>5</v>
      </c>
      <c r="J1084" s="1" t="s">
        <v>6</v>
      </c>
      <c r="K1084" s="1" t="s">
        <v>34</v>
      </c>
      <c r="M1084" s="2">
        <v>43279</v>
      </c>
      <c r="N1084" s="1" t="s">
        <v>8</v>
      </c>
      <c r="O1084" s="2">
        <v>44374</v>
      </c>
    </row>
    <row r="1085" spans="1:15" x14ac:dyDescent="0.3">
      <c r="A1085" s="1" t="s">
        <v>30296</v>
      </c>
      <c r="B1085" s="1" t="str">
        <f>"Mark George"</f>
        <v>Mark George</v>
      </c>
      <c r="C1085" s="1" t="s">
        <v>30297</v>
      </c>
      <c r="D1085" s="1" t="s">
        <v>30298</v>
      </c>
      <c r="F1085" s="1" t="s">
        <v>2489</v>
      </c>
      <c r="G1085" s="1" t="s">
        <v>141</v>
      </c>
      <c r="H1085" s="1" t="s">
        <v>30299</v>
      </c>
      <c r="I1085" s="1" t="s">
        <v>5</v>
      </c>
      <c r="J1085" s="1" t="s">
        <v>6</v>
      </c>
      <c r="K1085" s="1" t="s">
        <v>24</v>
      </c>
      <c r="M1085" s="2">
        <v>43279</v>
      </c>
      <c r="N1085" s="1" t="s">
        <v>8</v>
      </c>
      <c r="O1085" s="2">
        <v>44374</v>
      </c>
    </row>
    <row r="1086" spans="1:15" ht="28.8" x14ac:dyDescent="0.3">
      <c r="A1086" s="1" t="s">
        <v>30300</v>
      </c>
      <c r="B1086" s="1" t="str">
        <f>"Mac Peat"</f>
        <v>Mac Peat</v>
      </c>
      <c r="C1086" s="1" t="s">
        <v>30301</v>
      </c>
      <c r="D1086" s="1" t="s">
        <v>2349</v>
      </c>
      <c r="F1086" s="1" t="s">
        <v>123</v>
      </c>
      <c r="G1086" s="1" t="s">
        <v>27</v>
      </c>
      <c r="H1086" s="1" t="s">
        <v>30302</v>
      </c>
      <c r="I1086" s="1" t="s">
        <v>125</v>
      </c>
      <c r="J1086" s="1" t="s">
        <v>6</v>
      </c>
      <c r="K1086" s="1" t="s">
        <v>34</v>
      </c>
      <c r="M1086" s="2">
        <v>43279</v>
      </c>
      <c r="N1086" s="1" t="s">
        <v>8</v>
      </c>
      <c r="O1086" s="2">
        <v>44374</v>
      </c>
    </row>
    <row r="1087" spans="1:15" x14ac:dyDescent="0.3">
      <c r="A1087" s="1" t="s">
        <v>30303</v>
      </c>
      <c r="B1087" s="1" t="str">
        <f>"DN &amp; MA Owen"</f>
        <v>DN &amp; MA Owen</v>
      </c>
      <c r="C1087" s="1" t="s">
        <v>30304</v>
      </c>
      <c r="D1087" s="1" t="s">
        <v>30305</v>
      </c>
      <c r="E1087" s="1" t="s">
        <v>1503</v>
      </c>
      <c r="F1087" s="1" t="s">
        <v>140</v>
      </c>
      <c r="G1087" s="1" t="s">
        <v>141</v>
      </c>
      <c r="H1087" s="1" t="s">
        <v>11673</v>
      </c>
      <c r="I1087" s="1" t="s">
        <v>125</v>
      </c>
      <c r="J1087" s="1" t="s">
        <v>6</v>
      </c>
      <c r="K1087" s="1" t="s">
        <v>24</v>
      </c>
      <c r="M1087" s="2">
        <v>43279</v>
      </c>
      <c r="N1087" s="1" t="s">
        <v>8</v>
      </c>
      <c r="O1087" s="2">
        <v>44374</v>
      </c>
    </row>
    <row r="1088" spans="1:15" ht="28.8" x14ac:dyDescent="0.3">
      <c r="A1088" s="1" t="s">
        <v>31425</v>
      </c>
      <c r="B1088" s="1" t="str">
        <f>"Boiler &amp; Burner Maintenance"</f>
        <v>Boiler &amp; Burner Maintenance</v>
      </c>
      <c r="C1088" s="1" t="s">
        <v>31426</v>
      </c>
      <c r="D1088" s="1" t="s">
        <v>31427</v>
      </c>
      <c r="E1088" s="1" t="s">
        <v>13011</v>
      </c>
      <c r="F1088" s="1" t="s">
        <v>380</v>
      </c>
      <c r="G1088" s="1" t="s">
        <v>381</v>
      </c>
      <c r="H1088" s="1" t="s">
        <v>3354</v>
      </c>
      <c r="I1088" s="1" t="s">
        <v>19</v>
      </c>
      <c r="J1088" s="1" t="s">
        <v>6</v>
      </c>
      <c r="K1088" s="1" t="s">
        <v>34</v>
      </c>
      <c r="L1088" s="1">
        <v>3592740</v>
      </c>
      <c r="M1088" s="2">
        <v>43278</v>
      </c>
      <c r="N1088" s="1" t="s">
        <v>8</v>
      </c>
      <c r="O1088" s="2">
        <v>44373</v>
      </c>
    </row>
    <row r="1089" spans="1:15" ht="28.8" x14ac:dyDescent="0.3">
      <c r="A1089" s="1" t="s">
        <v>31428</v>
      </c>
      <c r="B1089" s="1" t="str">
        <f>"New Age Installations LTD"</f>
        <v>New Age Installations LTD</v>
      </c>
      <c r="C1089" s="1">
        <v>5</v>
      </c>
      <c r="D1089" s="1" t="s">
        <v>31429</v>
      </c>
      <c r="F1089" s="1" t="s">
        <v>123</v>
      </c>
      <c r="H1089" s="1" t="s">
        <v>31430</v>
      </c>
      <c r="I1089" s="1" t="s">
        <v>19</v>
      </c>
      <c r="J1089" s="1" t="s">
        <v>6</v>
      </c>
      <c r="K1089" s="1" t="s">
        <v>24</v>
      </c>
      <c r="L1089" s="1">
        <v>11301226</v>
      </c>
      <c r="M1089" s="2">
        <v>43278</v>
      </c>
      <c r="N1089" s="1" t="s">
        <v>8</v>
      </c>
      <c r="O1089" s="2">
        <v>44373</v>
      </c>
    </row>
    <row r="1090" spans="1:15" ht="28.8" x14ac:dyDescent="0.3">
      <c r="A1090" s="1" t="s">
        <v>31434</v>
      </c>
      <c r="B1090" s="1" t="str">
        <f>"Tuner Groundworksand Clearance LTD"</f>
        <v>Tuner Groundworksand Clearance LTD</v>
      </c>
      <c r="C1090" s="1">
        <v>5</v>
      </c>
      <c r="D1090" s="1" t="s">
        <v>31435</v>
      </c>
      <c r="F1090" s="1" t="s">
        <v>64</v>
      </c>
      <c r="H1090" s="1" t="s">
        <v>31436</v>
      </c>
      <c r="I1090" s="1" t="s">
        <v>19</v>
      </c>
      <c r="J1090" s="1" t="s">
        <v>6</v>
      </c>
      <c r="K1090" s="1" t="s">
        <v>24</v>
      </c>
      <c r="L1090" s="1">
        <v>8903564</v>
      </c>
      <c r="M1090" s="2">
        <v>43278</v>
      </c>
      <c r="N1090" s="1" t="s">
        <v>8</v>
      </c>
      <c r="O1090" s="2">
        <v>44373</v>
      </c>
    </row>
    <row r="1091" spans="1:15" ht="28.8" x14ac:dyDescent="0.3">
      <c r="A1091" s="1" t="s">
        <v>31437</v>
      </c>
      <c r="B1091" s="1" t="str">
        <f>"CellPath Ltd"</f>
        <v>CellPath Ltd</v>
      </c>
      <c r="C1091" s="1" t="s">
        <v>7813</v>
      </c>
      <c r="F1091" s="1" t="s">
        <v>3465</v>
      </c>
      <c r="H1091" s="1" t="s">
        <v>7814</v>
      </c>
      <c r="I1091" s="1" t="s">
        <v>19</v>
      </c>
      <c r="J1091" s="1" t="s">
        <v>6</v>
      </c>
      <c r="K1091" s="1" t="s">
        <v>34</v>
      </c>
      <c r="M1091" s="2">
        <v>43278</v>
      </c>
      <c r="N1091" s="1" t="s">
        <v>8</v>
      </c>
      <c r="O1091" s="2">
        <v>44373</v>
      </c>
    </row>
    <row r="1092" spans="1:15" ht="28.8" x14ac:dyDescent="0.3">
      <c r="A1092" s="1" t="s">
        <v>31438</v>
      </c>
      <c r="B1092" s="1" t="str">
        <f>"Proheat Heating Limited"</f>
        <v>Proheat Heating Limited</v>
      </c>
      <c r="C1092" s="1" t="s">
        <v>31439</v>
      </c>
      <c r="D1092" s="1" t="s">
        <v>14862</v>
      </c>
      <c r="F1092" s="1" t="s">
        <v>532</v>
      </c>
      <c r="G1092" s="1" t="s">
        <v>198</v>
      </c>
      <c r="H1092" s="1" t="s">
        <v>31440</v>
      </c>
      <c r="I1092" s="1" t="s">
        <v>19</v>
      </c>
      <c r="J1092" s="1" t="s">
        <v>6</v>
      </c>
      <c r="K1092" s="1" t="s">
        <v>24</v>
      </c>
      <c r="L1092" s="1">
        <v>11271312</v>
      </c>
      <c r="M1092" s="2">
        <v>43278</v>
      </c>
      <c r="N1092" s="1" t="s">
        <v>8</v>
      </c>
      <c r="O1092" s="2">
        <v>44373</v>
      </c>
    </row>
    <row r="1093" spans="1:15" ht="28.8" x14ac:dyDescent="0.3">
      <c r="A1093" s="1" t="s">
        <v>30219</v>
      </c>
      <c r="B1093" s="1" t="str">
        <f>"Taylor Robinson"</f>
        <v>Taylor Robinson</v>
      </c>
      <c r="C1093" s="1" t="s">
        <v>30220</v>
      </c>
      <c r="D1093" s="1" t="s">
        <v>30221</v>
      </c>
      <c r="F1093" s="1" t="s">
        <v>4082</v>
      </c>
      <c r="G1093" s="1" t="s">
        <v>679</v>
      </c>
      <c r="H1093" s="1" t="s">
        <v>30222</v>
      </c>
      <c r="I1093" s="1" t="s">
        <v>5</v>
      </c>
      <c r="J1093" s="1" t="s">
        <v>6</v>
      </c>
      <c r="K1093" s="1" t="s">
        <v>34</v>
      </c>
      <c r="M1093" s="2">
        <v>43277</v>
      </c>
      <c r="N1093" s="1" t="s">
        <v>8</v>
      </c>
      <c r="O1093" s="2">
        <v>44372</v>
      </c>
    </row>
    <row r="1094" spans="1:15" ht="28.8" x14ac:dyDescent="0.3">
      <c r="A1094" s="1" t="s">
        <v>30223</v>
      </c>
      <c r="B1094" s="1" t="str">
        <f>"Taylor Robinson"</f>
        <v>Taylor Robinson</v>
      </c>
      <c r="C1094" s="1" t="s">
        <v>30224</v>
      </c>
      <c r="F1094" s="1" t="s">
        <v>1093</v>
      </c>
      <c r="G1094" s="1" t="s">
        <v>103</v>
      </c>
      <c r="H1094" s="1" t="s">
        <v>30225</v>
      </c>
      <c r="I1094" s="1" t="s">
        <v>5</v>
      </c>
      <c r="J1094" s="1" t="s">
        <v>6</v>
      </c>
      <c r="K1094" s="1" t="s">
        <v>34</v>
      </c>
      <c r="M1094" s="2">
        <v>43277</v>
      </c>
      <c r="N1094" s="1" t="s">
        <v>8</v>
      </c>
      <c r="O1094" s="2">
        <v>44372</v>
      </c>
    </row>
    <row r="1095" spans="1:15" ht="28.8" x14ac:dyDescent="0.3">
      <c r="A1095" s="1" t="s">
        <v>30226</v>
      </c>
      <c r="B1095" s="1" t="str">
        <f>"PRW Construction LTD"</f>
        <v>PRW Construction LTD</v>
      </c>
      <c r="C1095" s="1" t="s">
        <v>30227</v>
      </c>
      <c r="D1095" s="1" t="s">
        <v>30228</v>
      </c>
      <c r="E1095" s="1" t="s">
        <v>1834</v>
      </c>
      <c r="F1095" s="1" t="s">
        <v>123</v>
      </c>
      <c r="G1095" s="1" t="s">
        <v>141</v>
      </c>
      <c r="H1095" s="1" t="s">
        <v>461</v>
      </c>
      <c r="I1095" s="1" t="s">
        <v>19</v>
      </c>
      <c r="J1095" s="1" t="s">
        <v>6</v>
      </c>
      <c r="K1095" s="1" t="s">
        <v>34</v>
      </c>
      <c r="L1095" s="1">
        <v>9579051</v>
      </c>
      <c r="M1095" s="2">
        <v>43277</v>
      </c>
      <c r="N1095" s="1" t="s">
        <v>8</v>
      </c>
      <c r="O1095" s="2">
        <v>44372</v>
      </c>
    </row>
    <row r="1096" spans="1:15" ht="28.8" x14ac:dyDescent="0.3">
      <c r="A1096" s="1" t="s">
        <v>30229</v>
      </c>
      <c r="B1096" s="1" t="str">
        <f>"Taylor Robinson"</f>
        <v>Taylor Robinson</v>
      </c>
      <c r="C1096" s="1" t="s">
        <v>30230</v>
      </c>
      <c r="D1096" s="1" t="s">
        <v>30231</v>
      </c>
      <c r="F1096" s="1" t="s">
        <v>930</v>
      </c>
      <c r="G1096" s="1" t="s">
        <v>211</v>
      </c>
      <c r="H1096" s="1" t="s">
        <v>30232</v>
      </c>
      <c r="I1096" s="1" t="s">
        <v>5</v>
      </c>
      <c r="J1096" s="1" t="s">
        <v>6</v>
      </c>
      <c r="K1096" s="1" t="s">
        <v>34</v>
      </c>
      <c r="M1096" s="2">
        <v>43277</v>
      </c>
      <c r="N1096" s="1" t="s">
        <v>8</v>
      </c>
      <c r="O1096" s="2">
        <v>44372</v>
      </c>
    </row>
    <row r="1097" spans="1:15" ht="43.2" x14ac:dyDescent="0.3">
      <c r="A1097" s="1" t="s">
        <v>30233</v>
      </c>
      <c r="B1097" s="1" t="str">
        <f>"Russell Grant"</f>
        <v>Russell Grant</v>
      </c>
      <c r="C1097" s="1" t="s">
        <v>30234</v>
      </c>
      <c r="D1097" s="1" t="s">
        <v>30235</v>
      </c>
      <c r="F1097" s="1" t="s">
        <v>64</v>
      </c>
      <c r="G1097" s="1" t="s">
        <v>65</v>
      </c>
      <c r="H1097" s="1" t="s">
        <v>30236</v>
      </c>
      <c r="I1097" s="1" t="s">
        <v>5</v>
      </c>
      <c r="J1097" s="1" t="s">
        <v>67</v>
      </c>
      <c r="K1097" s="1" t="s">
        <v>24</v>
      </c>
      <c r="M1097" s="2">
        <v>43277</v>
      </c>
      <c r="N1097" s="1" t="s">
        <v>8</v>
      </c>
      <c r="O1097" s="1" t="s">
        <v>68</v>
      </c>
    </row>
    <row r="1098" spans="1:15" ht="43.2" x14ac:dyDescent="0.3">
      <c r="A1098" s="1" t="s">
        <v>30237</v>
      </c>
      <c r="B1098" s="1" t="str">
        <f>"P E George"</f>
        <v>P E George</v>
      </c>
      <c r="C1098" s="1" t="s">
        <v>30238</v>
      </c>
      <c r="D1098" s="1" t="s">
        <v>30239</v>
      </c>
      <c r="F1098" s="1" t="s">
        <v>1776</v>
      </c>
      <c r="G1098" s="1" t="s">
        <v>115</v>
      </c>
      <c r="H1098" s="1" t="s">
        <v>30240</v>
      </c>
      <c r="I1098" s="1" t="s">
        <v>125</v>
      </c>
      <c r="J1098" s="1" t="s">
        <v>67</v>
      </c>
      <c r="K1098" s="1" t="s">
        <v>24</v>
      </c>
      <c r="M1098" s="2">
        <v>43277</v>
      </c>
      <c r="N1098" s="1" t="s">
        <v>8</v>
      </c>
      <c r="O1098" s="1" t="s">
        <v>68</v>
      </c>
    </row>
    <row r="1099" spans="1:15" ht="28.8" x14ac:dyDescent="0.3">
      <c r="A1099" s="1" t="s">
        <v>30241</v>
      </c>
      <c r="B1099" s="1" t="str">
        <f>"Martin Conlon Martin Conlon ' Spanner Man'"</f>
        <v>Martin Conlon Martin Conlon ' Spanner Man'</v>
      </c>
      <c r="C1099" s="1" t="s">
        <v>30242</v>
      </c>
      <c r="D1099" s="1" t="s">
        <v>30243</v>
      </c>
      <c r="E1099" s="1" t="s">
        <v>2169</v>
      </c>
      <c r="F1099" s="1" t="s">
        <v>179</v>
      </c>
      <c r="G1099" s="1" t="s">
        <v>141</v>
      </c>
      <c r="H1099" s="1" t="s">
        <v>30244</v>
      </c>
      <c r="I1099" s="1" t="s">
        <v>5</v>
      </c>
      <c r="J1099" s="1" t="s">
        <v>6</v>
      </c>
      <c r="K1099" s="1" t="s">
        <v>24</v>
      </c>
      <c r="M1099" s="2">
        <v>43277</v>
      </c>
      <c r="N1099" s="1" t="s">
        <v>8</v>
      </c>
      <c r="O1099" s="2">
        <v>44372</v>
      </c>
    </row>
    <row r="1100" spans="1:15" x14ac:dyDescent="0.3">
      <c r="A1100" s="1" t="s">
        <v>30245</v>
      </c>
      <c r="B1100" s="1" t="str">
        <f>"Euros Thomas"</f>
        <v>Euros Thomas</v>
      </c>
      <c r="C1100" s="1" t="s">
        <v>30246</v>
      </c>
      <c r="D1100" s="1" t="s">
        <v>30247</v>
      </c>
      <c r="F1100" s="1" t="s">
        <v>114</v>
      </c>
      <c r="G1100" s="1" t="s">
        <v>115</v>
      </c>
      <c r="H1100" s="1" t="s">
        <v>30248</v>
      </c>
      <c r="I1100" s="1" t="s">
        <v>5</v>
      </c>
      <c r="J1100" s="1" t="s">
        <v>6</v>
      </c>
      <c r="K1100" s="1" t="s">
        <v>24</v>
      </c>
      <c r="M1100" s="2">
        <v>43277</v>
      </c>
      <c r="N1100" s="1" t="s">
        <v>8</v>
      </c>
      <c r="O1100" s="2">
        <v>44372</v>
      </c>
    </row>
    <row r="1101" spans="1:15" ht="28.8" x14ac:dyDescent="0.3">
      <c r="A1101" s="1" t="s">
        <v>30249</v>
      </c>
      <c r="B1101" s="1" t="str">
        <f>"Anglesey Aggregates Ltd"</f>
        <v>Anglesey Aggregates Ltd</v>
      </c>
      <c r="C1101" s="1" t="s">
        <v>30250</v>
      </c>
      <c r="D1101" s="1" t="s">
        <v>30251</v>
      </c>
      <c r="E1101" s="1" t="s">
        <v>119</v>
      </c>
      <c r="G1101" s="1" t="s">
        <v>6084</v>
      </c>
      <c r="H1101" s="1" t="s">
        <v>30252</v>
      </c>
      <c r="I1101" s="1" t="s">
        <v>19</v>
      </c>
      <c r="J1101" s="1" t="s">
        <v>6</v>
      </c>
      <c r="K1101" s="1" t="s">
        <v>34</v>
      </c>
      <c r="M1101" s="2">
        <v>43277</v>
      </c>
      <c r="N1101" s="1" t="s">
        <v>8</v>
      </c>
      <c r="O1101" s="2">
        <v>44372</v>
      </c>
    </row>
    <row r="1102" spans="1:15" x14ac:dyDescent="0.3">
      <c r="A1102" s="1" t="s">
        <v>30253</v>
      </c>
      <c r="B1102" s="1" t="str">
        <f>"Elliot Evans"</f>
        <v>Elliot Evans</v>
      </c>
      <c r="C1102" s="1" t="s">
        <v>30254</v>
      </c>
      <c r="D1102" s="1" t="s">
        <v>12233</v>
      </c>
      <c r="F1102" s="1" t="s">
        <v>64</v>
      </c>
      <c r="G1102" s="1" t="s">
        <v>65</v>
      </c>
      <c r="H1102" s="1" t="s">
        <v>24485</v>
      </c>
      <c r="I1102" s="1" t="s">
        <v>5</v>
      </c>
      <c r="J1102" s="1" t="s">
        <v>6</v>
      </c>
      <c r="K1102" s="1" t="s">
        <v>24</v>
      </c>
      <c r="M1102" s="2">
        <v>43277</v>
      </c>
      <c r="N1102" s="1" t="s">
        <v>8</v>
      </c>
      <c r="O1102" s="2">
        <v>44372</v>
      </c>
    </row>
    <row r="1103" spans="1:15" ht="28.8" x14ac:dyDescent="0.3">
      <c r="A1103" s="1" t="s">
        <v>31393</v>
      </c>
      <c r="B1103" s="1" t="str">
        <f>"K &amp; I Recycling &amp; Waste"</f>
        <v>K &amp; I Recycling &amp; Waste</v>
      </c>
      <c r="C1103" s="1" t="s">
        <v>31394</v>
      </c>
      <c r="D1103" s="1" t="s">
        <v>2568</v>
      </c>
      <c r="F1103" s="1" t="s">
        <v>1093</v>
      </c>
      <c r="G1103" s="1" t="s">
        <v>103</v>
      </c>
      <c r="H1103" s="1" t="s">
        <v>31395</v>
      </c>
      <c r="I1103" s="1" t="s">
        <v>125</v>
      </c>
      <c r="J1103" s="1" t="s">
        <v>6</v>
      </c>
      <c r="K1103" s="1" t="s">
        <v>24</v>
      </c>
      <c r="M1103" s="2">
        <v>43276</v>
      </c>
      <c r="N1103" s="1" t="s">
        <v>8</v>
      </c>
      <c r="O1103" s="2">
        <v>44371</v>
      </c>
    </row>
    <row r="1104" spans="1:15" ht="28.8" x14ac:dyDescent="0.3">
      <c r="A1104" s="1" t="s">
        <v>31396</v>
      </c>
      <c r="B1104" s="1" t="str">
        <f>"Taylor Robinson"</f>
        <v>Taylor Robinson</v>
      </c>
      <c r="C1104" s="1" t="s">
        <v>31397</v>
      </c>
      <c r="D1104" s="1" t="s">
        <v>1672</v>
      </c>
      <c r="F1104" s="1" t="s">
        <v>64</v>
      </c>
      <c r="G1104" s="1" t="s">
        <v>65</v>
      </c>
      <c r="H1104" s="1" t="s">
        <v>1673</v>
      </c>
      <c r="I1104" s="1" t="s">
        <v>5</v>
      </c>
      <c r="J1104" s="1" t="s">
        <v>6</v>
      </c>
      <c r="K1104" s="1" t="s">
        <v>34</v>
      </c>
      <c r="M1104" s="2">
        <v>43276</v>
      </c>
      <c r="N1104" s="1" t="s">
        <v>8</v>
      </c>
      <c r="O1104" s="2">
        <v>44371</v>
      </c>
    </row>
    <row r="1105" spans="1:15" ht="28.8" x14ac:dyDescent="0.3">
      <c r="A1105" s="1" t="s">
        <v>31398</v>
      </c>
      <c r="B1105" s="1" t="str">
        <f>"Mike Jones Buidling Services"</f>
        <v>Mike Jones Buidling Services</v>
      </c>
      <c r="C1105" s="1" t="s">
        <v>31399</v>
      </c>
      <c r="F1105" s="1" t="s">
        <v>64</v>
      </c>
      <c r="G1105" s="1" t="s">
        <v>65</v>
      </c>
      <c r="H1105" s="1" t="s">
        <v>31400</v>
      </c>
      <c r="I1105" s="1" t="s">
        <v>125</v>
      </c>
      <c r="J1105" s="1" t="s">
        <v>6</v>
      </c>
      <c r="K1105" s="1" t="s">
        <v>24</v>
      </c>
      <c r="M1105" s="2">
        <v>43276</v>
      </c>
      <c r="N1105" s="1" t="s">
        <v>8</v>
      </c>
      <c r="O1105" s="2">
        <v>44371</v>
      </c>
    </row>
    <row r="1106" spans="1:15" x14ac:dyDescent="0.3">
      <c r="A1106" s="1" t="s">
        <v>31401</v>
      </c>
      <c r="B1106" s="1" t="str">
        <f>"A&amp;A Transport"</f>
        <v>A&amp;A Transport</v>
      </c>
      <c r="C1106" s="1" t="s">
        <v>31402</v>
      </c>
      <c r="D1106" s="1" t="s">
        <v>2250</v>
      </c>
      <c r="F1106" s="1" t="s">
        <v>179</v>
      </c>
      <c r="G1106" s="1" t="s">
        <v>180</v>
      </c>
      <c r="H1106" s="1" t="s">
        <v>31403</v>
      </c>
      <c r="I1106" s="1" t="s">
        <v>125</v>
      </c>
      <c r="J1106" s="1" t="s">
        <v>6</v>
      </c>
      <c r="K1106" s="1" t="s">
        <v>24</v>
      </c>
      <c r="M1106" s="2">
        <v>43276</v>
      </c>
      <c r="N1106" s="1" t="s">
        <v>8</v>
      </c>
      <c r="O1106" s="2">
        <v>44371</v>
      </c>
    </row>
    <row r="1107" spans="1:15" x14ac:dyDescent="0.3">
      <c r="A1107" s="1" t="s">
        <v>31404</v>
      </c>
      <c r="B1107" s="1" t="str">
        <f>"James Petryna"</f>
        <v>James Petryna</v>
      </c>
      <c r="C1107" s="1" t="s">
        <v>31405</v>
      </c>
      <c r="D1107" s="1" t="s">
        <v>1042</v>
      </c>
      <c r="F1107" s="1" t="s">
        <v>123</v>
      </c>
      <c r="G1107" s="1" t="s">
        <v>27</v>
      </c>
      <c r="H1107" s="1" t="s">
        <v>31406</v>
      </c>
      <c r="I1107" s="1" t="s">
        <v>5</v>
      </c>
      <c r="J1107" s="1" t="s">
        <v>6</v>
      </c>
      <c r="K1107" s="1" t="s">
        <v>24</v>
      </c>
      <c r="M1107" s="2">
        <v>43276</v>
      </c>
      <c r="N1107" s="1" t="s">
        <v>8</v>
      </c>
      <c r="O1107" s="2">
        <v>44371</v>
      </c>
    </row>
    <row r="1108" spans="1:15" ht="28.8" x14ac:dyDescent="0.3">
      <c r="A1108" s="1" t="s">
        <v>31407</v>
      </c>
      <c r="B1108" s="1" t="str">
        <f>"P&amp;T LTD"</f>
        <v>P&amp;T LTD</v>
      </c>
      <c r="C1108" s="1" t="s">
        <v>31408</v>
      </c>
      <c r="D1108" s="1" t="s">
        <v>17597</v>
      </c>
      <c r="E1108" s="1" t="s">
        <v>578</v>
      </c>
      <c r="F1108" s="1" t="s">
        <v>64</v>
      </c>
      <c r="G1108" s="1" t="s">
        <v>65</v>
      </c>
      <c r="H1108" s="1" t="s">
        <v>889</v>
      </c>
      <c r="I1108" s="1" t="s">
        <v>19</v>
      </c>
      <c r="J1108" s="1" t="s">
        <v>6</v>
      </c>
      <c r="K1108" s="1" t="s">
        <v>24</v>
      </c>
      <c r="M1108" s="2">
        <v>43276</v>
      </c>
      <c r="N1108" s="1" t="s">
        <v>8</v>
      </c>
      <c r="O1108" s="2">
        <v>44371</v>
      </c>
    </row>
    <row r="1109" spans="1:15" ht="43.2" x14ac:dyDescent="0.3">
      <c r="A1109" s="1" t="s">
        <v>31409</v>
      </c>
      <c r="B1109" s="1" t="str">
        <f>"Powys County Council"</f>
        <v>Powys County Council</v>
      </c>
      <c r="C1109" s="1" t="s">
        <v>31410</v>
      </c>
      <c r="D1109" s="1" t="s">
        <v>183</v>
      </c>
      <c r="F1109" s="1" t="s">
        <v>798</v>
      </c>
      <c r="G1109" s="1" t="s">
        <v>162</v>
      </c>
      <c r="H1109" s="1" t="s">
        <v>31411</v>
      </c>
      <c r="I1109" s="1" t="s">
        <v>188</v>
      </c>
      <c r="J1109" s="1" t="s">
        <v>67</v>
      </c>
      <c r="K1109" s="1" t="s">
        <v>34</v>
      </c>
      <c r="M1109" s="2">
        <v>43276</v>
      </c>
      <c r="N1109" s="1" t="s">
        <v>8</v>
      </c>
      <c r="O1109" s="1" t="s">
        <v>68</v>
      </c>
    </row>
    <row r="1110" spans="1:15" ht="43.2" x14ac:dyDescent="0.3">
      <c r="A1110" s="1" t="s">
        <v>31391</v>
      </c>
      <c r="B1110" s="1" t="str">
        <f>"G &amp; D AGGREGATES LTD"</f>
        <v>G &amp; D AGGREGATES LTD</v>
      </c>
      <c r="C1110" s="1" t="s">
        <v>31392</v>
      </c>
      <c r="F1110" s="1" t="s">
        <v>710</v>
      </c>
      <c r="H1110" s="1" t="s">
        <v>19067</v>
      </c>
      <c r="I1110" s="1" t="s">
        <v>19</v>
      </c>
      <c r="J1110" s="1" t="s">
        <v>6</v>
      </c>
      <c r="K1110" s="1" t="s">
        <v>34</v>
      </c>
      <c r="L1110" s="1">
        <v>7776719</v>
      </c>
      <c r="M1110" s="2">
        <v>43275</v>
      </c>
      <c r="N1110" s="1" t="s">
        <v>8</v>
      </c>
      <c r="O1110" s="2">
        <v>44370</v>
      </c>
    </row>
    <row r="1111" spans="1:15" ht="28.8" x14ac:dyDescent="0.3">
      <c r="A1111" s="1" t="s">
        <v>2106</v>
      </c>
      <c r="B1111" s="1" t="str">
        <f>"Pontypool Community Council"</f>
        <v>Pontypool Community Council</v>
      </c>
      <c r="C1111" s="1" t="s">
        <v>2107</v>
      </c>
      <c r="D1111" s="1" t="s">
        <v>2108</v>
      </c>
      <c r="F1111" s="1" t="s">
        <v>1058</v>
      </c>
      <c r="G1111" s="1" t="s">
        <v>381</v>
      </c>
      <c r="H1111" s="1" t="s">
        <v>2109</v>
      </c>
      <c r="I1111" s="1" t="s">
        <v>188</v>
      </c>
      <c r="J1111" s="1" t="s">
        <v>6</v>
      </c>
      <c r="K1111" s="1" t="s">
        <v>24</v>
      </c>
      <c r="M1111" s="2">
        <v>43273</v>
      </c>
      <c r="N1111" s="1" t="s">
        <v>8</v>
      </c>
      <c r="O1111" s="2">
        <v>44368</v>
      </c>
    </row>
    <row r="1112" spans="1:15" ht="43.2" x14ac:dyDescent="0.3">
      <c r="A1112" s="1" t="s">
        <v>2081</v>
      </c>
      <c r="B1112" s="1" t="str">
        <f>"Back On Track Mountain Bike Solutions LTD"</f>
        <v>Back On Track Mountain Bike Solutions LTD</v>
      </c>
      <c r="C1112" s="1" t="s">
        <v>2082</v>
      </c>
      <c r="D1112" s="1" t="s">
        <v>2083</v>
      </c>
      <c r="E1112" s="1" t="s">
        <v>1174</v>
      </c>
      <c r="F1112" s="1" t="s">
        <v>1058</v>
      </c>
      <c r="G1112" s="1" t="s">
        <v>381</v>
      </c>
      <c r="H1112" s="1" t="s">
        <v>2084</v>
      </c>
      <c r="I1112" s="1" t="s">
        <v>19</v>
      </c>
      <c r="J1112" s="1" t="s">
        <v>6</v>
      </c>
      <c r="K1112" s="1" t="s">
        <v>24</v>
      </c>
      <c r="L1112" s="1">
        <v>6544130</v>
      </c>
      <c r="M1112" s="2">
        <v>43272</v>
      </c>
      <c r="N1112" s="1" t="s">
        <v>8</v>
      </c>
      <c r="O1112" s="2">
        <v>44367</v>
      </c>
    </row>
    <row r="1113" spans="1:15" ht="43.2" x14ac:dyDescent="0.3">
      <c r="A1113" s="1" t="s">
        <v>2085</v>
      </c>
      <c r="B1113" s="1" t="str">
        <f>"Simon Jones t/a jones the plumber Jones The Plumber"</f>
        <v>Simon Jones t/a jones the plumber Jones The Plumber</v>
      </c>
      <c r="C1113" s="1" t="s">
        <v>2086</v>
      </c>
      <c r="F1113" s="1" t="s">
        <v>156</v>
      </c>
      <c r="G1113" s="1" t="s">
        <v>156</v>
      </c>
      <c r="H1113" s="1" t="s">
        <v>2087</v>
      </c>
      <c r="I1113" s="1" t="s">
        <v>5</v>
      </c>
      <c r="J1113" s="1" t="s">
        <v>6</v>
      </c>
      <c r="K1113" s="1" t="s">
        <v>24</v>
      </c>
      <c r="M1113" s="2">
        <v>43272</v>
      </c>
      <c r="N1113" s="1" t="s">
        <v>8</v>
      </c>
      <c r="O1113" s="2">
        <v>44367</v>
      </c>
    </row>
    <row r="1114" spans="1:15" x14ac:dyDescent="0.3">
      <c r="A1114" s="1" t="s">
        <v>2088</v>
      </c>
      <c r="B1114" s="1" t="str">
        <f>"Keith Williams"</f>
        <v>Keith Williams</v>
      </c>
      <c r="C1114" s="1" t="s">
        <v>2089</v>
      </c>
      <c r="F1114" s="1" t="s">
        <v>42</v>
      </c>
      <c r="G1114" s="1" t="s">
        <v>51</v>
      </c>
      <c r="H1114" s="1" t="s">
        <v>2090</v>
      </c>
      <c r="I1114" s="1" t="s">
        <v>5</v>
      </c>
      <c r="J1114" s="1" t="s">
        <v>6</v>
      </c>
      <c r="K1114" s="1" t="s">
        <v>24</v>
      </c>
      <c r="M1114" s="2">
        <v>43272</v>
      </c>
      <c r="N1114" s="1" t="s">
        <v>8</v>
      </c>
      <c r="O1114" s="2">
        <v>44367</v>
      </c>
    </row>
    <row r="1115" spans="1:15" ht="28.8" x14ac:dyDescent="0.3">
      <c r="A1115" s="1" t="s">
        <v>2091</v>
      </c>
      <c r="B1115" s="1" t="str">
        <f>"FYC AESTHETICS LIMITED"</f>
        <v>FYC AESTHETICS LIMITED</v>
      </c>
      <c r="C1115" s="1" t="s">
        <v>2092</v>
      </c>
      <c r="D1115" s="1" t="s">
        <v>2093</v>
      </c>
      <c r="E1115" s="1" t="s">
        <v>2094</v>
      </c>
      <c r="F1115" s="1" t="s">
        <v>179</v>
      </c>
      <c r="G1115" s="1" t="s">
        <v>180</v>
      </c>
      <c r="H1115" s="1" t="s">
        <v>2095</v>
      </c>
      <c r="I1115" s="1" t="s">
        <v>19</v>
      </c>
      <c r="J1115" s="1" t="s">
        <v>6</v>
      </c>
      <c r="K1115" s="1" t="s">
        <v>34</v>
      </c>
      <c r="L1115" s="1">
        <v>10648595</v>
      </c>
      <c r="M1115" s="2">
        <v>43272</v>
      </c>
      <c r="N1115" s="1" t="s">
        <v>8</v>
      </c>
      <c r="O1115" s="2">
        <v>44367</v>
      </c>
    </row>
    <row r="1116" spans="1:15" ht="43.2" x14ac:dyDescent="0.3">
      <c r="A1116" s="1" t="s">
        <v>2096</v>
      </c>
      <c r="B1116" s="1" t="str">
        <f>"THE CITY HOSPICE TRUST LIMITED"</f>
        <v>THE CITY HOSPICE TRUST LIMITED</v>
      </c>
      <c r="C1116" s="1" t="s">
        <v>2097</v>
      </c>
      <c r="D1116" s="1" t="s">
        <v>2098</v>
      </c>
      <c r="E1116" s="1" t="s">
        <v>2099</v>
      </c>
      <c r="F1116" s="1" t="s">
        <v>123</v>
      </c>
      <c r="G1116" s="1" t="s">
        <v>27</v>
      </c>
      <c r="H1116" s="1" t="s">
        <v>2100</v>
      </c>
      <c r="I1116" s="1" t="s">
        <v>19</v>
      </c>
      <c r="J1116" s="1" t="s">
        <v>67</v>
      </c>
      <c r="K1116" s="1" t="s">
        <v>24</v>
      </c>
      <c r="L1116" s="1">
        <v>2651828</v>
      </c>
      <c r="M1116" s="2">
        <v>43272</v>
      </c>
      <c r="N1116" s="1" t="s">
        <v>8</v>
      </c>
      <c r="O1116" s="1" t="s">
        <v>68</v>
      </c>
    </row>
    <row r="1117" spans="1:15" ht="28.8" x14ac:dyDescent="0.3">
      <c r="A1117" s="1" t="s">
        <v>31384</v>
      </c>
      <c r="B1117" s="1" t="str">
        <f>"Robert Williams"</f>
        <v>Robert Williams</v>
      </c>
      <c r="C1117" s="1" t="s">
        <v>31385</v>
      </c>
      <c r="D1117" s="1" t="s">
        <v>30188</v>
      </c>
      <c r="E1117" s="1" t="s">
        <v>31386</v>
      </c>
      <c r="F1117" s="1" t="s">
        <v>2200</v>
      </c>
      <c r="G1117" s="1" t="s">
        <v>51</v>
      </c>
      <c r="H1117" s="1" t="s">
        <v>31387</v>
      </c>
      <c r="I1117" s="1" t="s">
        <v>5</v>
      </c>
      <c r="J1117" s="1" t="s">
        <v>6</v>
      </c>
      <c r="K1117" s="1" t="s">
        <v>24</v>
      </c>
      <c r="M1117" s="2">
        <v>43272</v>
      </c>
      <c r="N1117" s="1" t="s">
        <v>8</v>
      </c>
      <c r="O1117" s="2">
        <v>44367</v>
      </c>
    </row>
    <row r="1118" spans="1:15" ht="28.8" x14ac:dyDescent="0.3">
      <c r="A1118" s="1" t="s">
        <v>31388</v>
      </c>
      <c r="B1118" s="1" t="str">
        <f>"Eryri Eco Construction LTD45703"</f>
        <v>Eryri Eco Construction LTD45703</v>
      </c>
      <c r="C1118" s="1" t="s">
        <v>31389</v>
      </c>
      <c r="D1118" s="1" t="s">
        <v>31390</v>
      </c>
      <c r="F1118" s="1" t="s">
        <v>2504</v>
      </c>
      <c r="H1118" s="1" t="s">
        <v>13854</v>
      </c>
      <c r="I1118" s="1" t="s">
        <v>19</v>
      </c>
      <c r="J1118" s="1" t="s">
        <v>6</v>
      </c>
      <c r="K1118" s="1" t="s">
        <v>24</v>
      </c>
      <c r="L1118" s="1">
        <v>11145703</v>
      </c>
      <c r="M1118" s="2">
        <v>43272</v>
      </c>
      <c r="N1118" s="1" t="s">
        <v>8</v>
      </c>
      <c r="O1118" s="2">
        <v>44367</v>
      </c>
    </row>
    <row r="1119" spans="1:15" ht="43.2" x14ac:dyDescent="0.3">
      <c r="A1119" s="1" t="s">
        <v>30181</v>
      </c>
      <c r="B1119" s="1" t="str">
        <f>"R&amp;S Garden Maintenence"</f>
        <v>R&amp;S Garden Maintenence</v>
      </c>
      <c r="C1119" s="1" t="s">
        <v>30182</v>
      </c>
      <c r="D1119" s="1" t="s">
        <v>15932</v>
      </c>
      <c r="F1119" s="1" t="s">
        <v>10122</v>
      </c>
      <c r="G1119" s="1" t="s">
        <v>642</v>
      </c>
      <c r="H1119" s="1" t="s">
        <v>30183</v>
      </c>
      <c r="I1119" s="1" t="s">
        <v>125</v>
      </c>
      <c r="J1119" s="1" t="s">
        <v>67</v>
      </c>
      <c r="K1119" s="1" t="s">
        <v>14</v>
      </c>
      <c r="M1119" s="2">
        <v>43271</v>
      </c>
      <c r="N1119" s="1" t="s">
        <v>8</v>
      </c>
      <c r="O1119" s="1" t="s">
        <v>68</v>
      </c>
    </row>
    <row r="1120" spans="1:15" x14ac:dyDescent="0.3">
      <c r="A1120" s="1" t="s">
        <v>30184</v>
      </c>
      <c r="B1120" s="1" t="str">
        <f>"Gary Jones"</f>
        <v>Gary Jones</v>
      </c>
      <c r="C1120" s="1" t="s">
        <v>30185</v>
      </c>
      <c r="F1120" s="1" t="s">
        <v>532</v>
      </c>
      <c r="G1120" s="1" t="s">
        <v>198</v>
      </c>
      <c r="H1120" s="1" t="s">
        <v>30186</v>
      </c>
      <c r="I1120" s="1" t="s">
        <v>5</v>
      </c>
      <c r="J1120" s="1" t="s">
        <v>6</v>
      </c>
      <c r="K1120" s="1" t="s">
        <v>24</v>
      </c>
      <c r="M1120" s="2">
        <v>43271</v>
      </c>
      <c r="N1120" s="1" t="s">
        <v>8</v>
      </c>
      <c r="O1120" s="2">
        <v>44366</v>
      </c>
    </row>
    <row r="1121" spans="1:15" ht="28.8" x14ac:dyDescent="0.3">
      <c r="A1121" s="1" t="s">
        <v>30187</v>
      </c>
      <c r="B1121" s="1" t="str">
        <f>"Station Couriers (UK) Ltd"</f>
        <v>Station Couriers (UK) Ltd</v>
      </c>
      <c r="C1121" s="1" t="s">
        <v>30188</v>
      </c>
      <c r="D1121" s="1" t="s">
        <v>30189</v>
      </c>
      <c r="E1121" s="1" t="s">
        <v>3465</v>
      </c>
      <c r="F1121" s="1" t="s">
        <v>162</v>
      </c>
      <c r="H1121" s="1" t="s">
        <v>1374</v>
      </c>
      <c r="I1121" s="1" t="s">
        <v>19</v>
      </c>
      <c r="J1121" s="1" t="s">
        <v>6</v>
      </c>
      <c r="K1121" s="1" t="s">
        <v>34</v>
      </c>
      <c r="L1121" s="1">
        <v>4572973</v>
      </c>
      <c r="M1121" s="2">
        <v>43271</v>
      </c>
      <c r="N1121" s="1" t="s">
        <v>8</v>
      </c>
      <c r="O1121" s="2">
        <v>44366</v>
      </c>
    </row>
    <row r="1122" spans="1:15" ht="28.8" x14ac:dyDescent="0.3">
      <c r="A1122" s="1" t="s">
        <v>30190</v>
      </c>
      <c r="B1122" s="1" t="str">
        <f>"APPLIED PRODUCTS (WALES) LTD"</f>
        <v>APPLIED PRODUCTS (WALES) LTD</v>
      </c>
      <c r="C1122" s="1" t="s">
        <v>16096</v>
      </c>
      <c r="D1122" s="1" t="s">
        <v>2523</v>
      </c>
      <c r="E1122" s="1" t="s">
        <v>578</v>
      </c>
      <c r="F1122" s="1" t="s">
        <v>65</v>
      </c>
      <c r="H1122" s="1" t="s">
        <v>2524</v>
      </c>
      <c r="I1122" s="1" t="s">
        <v>19</v>
      </c>
      <c r="J1122" s="1" t="s">
        <v>6</v>
      </c>
      <c r="K1122" s="1" t="s">
        <v>24</v>
      </c>
      <c r="L1122" s="1">
        <v>4168478</v>
      </c>
      <c r="M1122" s="2">
        <v>43271</v>
      </c>
      <c r="N1122" s="1" t="s">
        <v>8</v>
      </c>
      <c r="O1122" s="2">
        <v>44366</v>
      </c>
    </row>
    <row r="1123" spans="1:15" ht="28.8" x14ac:dyDescent="0.3">
      <c r="A1123" s="1" t="s">
        <v>30191</v>
      </c>
      <c r="B1123" s="1" t="str">
        <f>"Hafod Housing Association"</f>
        <v>Hafod Housing Association</v>
      </c>
      <c r="C1123" s="1" t="s">
        <v>30192</v>
      </c>
      <c r="D1123" s="1" t="s">
        <v>2577</v>
      </c>
      <c r="E1123" s="1" t="s">
        <v>30193</v>
      </c>
      <c r="F1123" s="1" t="s">
        <v>123</v>
      </c>
      <c r="G1123" s="1" t="s">
        <v>27</v>
      </c>
      <c r="H1123" s="1" t="s">
        <v>30194</v>
      </c>
      <c r="I1123" s="1" t="s">
        <v>19</v>
      </c>
      <c r="J1123" s="1" t="s">
        <v>6</v>
      </c>
      <c r="K1123" s="1" t="s">
        <v>34</v>
      </c>
      <c r="L1123" s="1" t="s">
        <v>30195</v>
      </c>
      <c r="M1123" s="2">
        <v>43271</v>
      </c>
      <c r="N1123" s="1" t="s">
        <v>8</v>
      </c>
      <c r="O1123" s="2">
        <v>44366</v>
      </c>
    </row>
    <row r="1124" spans="1:15" ht="28.8" x14ac:dyDescent="0.3">
      <c r="A1124" s="1" t="s">
        <v>30163</v>
      </c>
      <c r="B1124" s="1" t="str">
        <f>"Simon Wintle S.A.W. Transport"</f>
        <v>Simon Wintle S.A.W. Transport</v>
      </c>
      <c r="C1124" s="1" t="s">
        <v>30164</v>
      </c>
      <c r="D1124" s="1" t="s">
        <v>25993</v>
      </c>
      <c r="F1124" s="1" t="s">
        <v>767</v>
      </c>
      <c r="G1124" s="1" t="s">
        <v>141</v>
      </c>
      <c r="H1124" s="1" t="s">
        <v>30165</v>
      </c>
      <c r="I1124" s="1" t="s">
        <v>5</v>
      </c>
      <c r="J1124" s="1" t="s">
        <v>6</v>
      </c>
      <c r="K1124" s="1" t="s">
        <v>34</v>
      </c>
      <c r="M1124" s="2">
        <v>43270</v>
      </c>
      <c r="N1124" s="1" t="s">
        <v>8</v>
      </c>
      <c r="O1124" s="2">
        <v>44365</v>
      </c>
    </row>
    <row r="1125" spans="1:15" ht="28.8" x14ac:dyDescent="0.3">
      <c r="A1125" s="1" t="s">
        <v>30166</v>
      </c>
      <c r="B1125" s="1" t="str">
        <f>"TDW DISTRIBUTION LTD"</f>
        <v>TDW DISTRIBUTION LTD</v>
      </c>
      <c r="C1125" s="1" t="s">
        <v>30167</v>
      </c>
      <c r="D1125" s="1" t="s">
        <v>30168</v>
      </c>
      <c r="E1125" s="1" t="s">
        <v>25799</v>
      </c>
      <c r="F1125" s="1" t="s">
        <v>179</v>
      </c>
      <c r="G1125" s="1" t="s">
        <v>180</v>
      </c>
      <c r="H1125" s="1" t="s">
        <v>9285</v>
      </c>
      <c r="I1125" s="1" t="s">
        <v>19</v>
      </c>
      <c r="J1125" s="1" t="s">
        <v>6</v>
      </c>
      <c r="K1125" s="1" t="s">
        <v>24</v>
      </c>
      <c r="L1125" s="1">
        <v>1289719</v>
      </c>
      <c r="M1125" s="2">
        <v>43270</v>
      </c>
      <c r="N1125" s="1" t="s">
        <v>8</v>
      </c>
      <c r="O1125" s="2">
        <v>44365</v>
      </c>
    </row>
    <row r="1126" spans="1:15" ht="28.8" x14ac:dyDescent="0.3">
      <c r="A1126" s="1" t="s">
        <v>30169</v>
      </c>
      <c r="B1126" s="1" t="str">
        <f>"EGLAS LIMITED"</f>
        <v>EGLAS LIMITED</v>
      </c>
      <c r="C1126" s="1" t="s">
        <v>496</v>
      </c>
      <c r="D1126" s="1" t="s">
        <v>150</v>
      </c>
      <c r="F1126" s="1" t="s">
        <v>151</v>
      </c>
      <c r="G1126" s="1" t="s">
        <v>679</v>
      </c>
      <c r="H1126" s="1" t="s">
        <v>30170</v>
      </c>
      <c r="I1126" s="1" t="s">
        <v>19</v>
      </c>
      <c r="J1126" s="1" t="s">
        <v>6</v>
      </c>
      <c r="K1126" s="1" t="s">
        <v>34</v>
      </c>
      <c r="L1126" s="1">
        <v>8015155</v>
      </c>
      <c r="M1126" s="2">
        <v>43270</v>
      </c>
      <c r="N1126" s="1" t="s">
        <v>8</v>
      </c>
      <c r="O1126" s="2">
        <v>44365</v>
      </c>
    </row>
    <row r="1127" spans="1:15" ht="28.8" x14ac:dyDescent="0.3">
      <c r="A1127" s="1" t="s">
        <v>30171</v>
      </c>
      <c r="B1127" s="1" t="str">
        <f>"Arborum Ltd"</f>
        <v>Arborum Ltd</v>
      </c>
      <c r="C1127" s="1" t="s">
        <v>14760</v>
      </c>
      <c r="D1127" s="1" t="s">
        <v>10290</v>
      </c>
      <c r="E1127" s="1" t="s">
        <v>108</v>
      </c>
      <c r="F1127" s="1" t="s">
        <v>64</v>
      </c>
      <c r="G1127" s="1" t="s">
        <v>109</v>
      </c>
      <c r="H1127" s="1" t="s">
        <v>22444</v>
      </c>
      <c r="I1127" s="1" t="s">
        <v>19</v>
      </c>
      <c r="J1127" s="1" t="s">
        <v>6</v>
      </c>
      <c r="K1127" s="1" t="s">
        <v>24</v>
      </c>
      <c r="L1127" s="1">
        <v>6587521</v>
      </c>
      <c r="M1127" s="2">
        <v>43270</v>
      </c>
      <c r="N1127" s="1" t="s">
        <v>8</v>
      </c>
      <c r="O1127" s="2">
        <v>44365</v>
      </c>
    </row>
    <row r="1128" spans="1:15" x14ac:dyDescent="0.3">
      <c r="A1128" s="1" t="s">
        <v>30172</v>
      </c>
      <c r="B1128" s="1" t="str">
        <f>"Green Cool UK Ltdz"</f>
        <v>Green Cool UK Ltdz</v>
      </c>
      <c r="C1128" s="1" t="s">
        <v>30173</v>
      </c>
      <c r="D1128" s="1" t="s">
        <v>20688</v>
      </c>
      <c r="F1128" s="1" t="s">
        <v>123</v>
      </c>
      <c r="G1128" s="1" t="s">
        <v>27</v>
      </c>
      <c r="H1128" s="1" t="s">
        <v>30174</v>
      </c>
      <c r="I1128" s="1" t="s">
        <v>19</v>
      </c>
      <c r="J1128" s="1" t="s">
        <v>6</v>
      </c>
      <c r="K1128" s="1" t="s">
        <v>24</v>
      </c>
      <c r="L1128" s="1">
        <v>9185082</v>
      </c>
      <c r="M1128" s="2">
        <v>43270</v>
      </c>
      <c r="N1128" s="1" t="s">
        <v>8</v>
      </c>
      <c r="O1128" s="2">
        <v>44365</v>
      </c>
    </row>
    <row r="1129" spans="1:15" x14ac:dyDescent="0.3">
      <c r="A1129" s="1" t="s">
        <v>30175</v>
      </c>
      <c r="B1129" s="1" t="str">
        <f>"Jacob Evans"</f>
        <v>Jacob Evans</v>
      </c>
      <c r="C1129" s="1" t="s">
        <v>30176</v>
      </c>
      <c r="D1129" s="1" t="s">
        <v>1157</v>
      </c>
      <c r="F1129" s="1" t="s">
        <v>56</v>
      </c>
      <c r="G1129" s="1" t="s">
        <v>51</v>
      </c>
      <c r="H1129" s="1" t="s">
        <v>30177</v>
      </c>
      <c r="I1129" s="1" t="s">
        <v>5</v>
      </c>
      <c r="J1129" s="1" t="s">
        <v>6</v>
      </c>
      <c r="K1129" s="1" t="s">
        <v>24</v>
      </c>
      <c r="M1129" s="2">
        <v>43270</v>
      </c>
      <c r="N1129" s="1" t="s">
        <v>8</v>
      </c>
      <c r="O1129" s="2">
        <v>44365</v>
      </c>
    </row>
    <row r="1130" spans="1:15" ht="28.8" x14ac:dyDescent="0.3">
      <c r="A1130" s="1" t="s">
        <v>30178</v>
      </c>
      <c r="B1130" s="1" t="str">
        <f>"Valley Groundwork and Civils Ltd"</f>
        <v>Valley Groundwork and Civils Ltd</v>
      </c>
      <c r="C1130" s="1" t="s">
        <v>30179</v>
      </c>
      <c r="D1130" s="1" t="s">
        <v>30180</v>
      </c>
      <c r="E1130" s="1" t="s">
        <v>738</v>
      </c>
      <c r="F1130" s="1" t="s">
        <v>556</v>
      </c>
      <c r="G1130" s="1" t="s">
        <v>556</v>
      </c>
      <c r="H1130" s="1" t="s">
        <v>740</v>
      </c>
      <c r="I1130" s="1" t="s">
        <v>19</v>
      </c>
      <c r="J1130" s="1" t="s">
        <v>6</v>
      </c>
      <c r="K1130" s="1" t="s">
        <v>24</v>
      </c>
      <c r="L1130" s="1">
        <v>10802466</v>
      </c>
      <c r="M1130" s="2">
        <v>43270</v>
      </c>
      <c r="N1130" s="1" t="s">
        <v>8</v>
      </c>
      <c r="O1130" s="2">
        <v>44365</v>
      </c>
    </row>
    <row r="1131" spans="1:15" x14ac:dyDescent="0.3">
      <c r="A1131" s="1" t="s">
        <v>31371</v>
      </c>
      <c r="B1131" s="1" t="str">
        <f>"John Edwards"</f>
        <v>John Edwards</v>
      </c>
      <c r="C1131" s="1" t="s">
        <v>31372</v>
      </c>
      <c r="D1131" s="1" t="s">
        <v>31373</v>
      </c>
      <c r="E1131" s="1" t="s">
        <v>31374</v>
      </c>
      <c r="F1131" s="1" t="s">
        <v>532</v>
      </c>
      <c r="G1131" s="1" t="s">
        <v>198</v>
      </c>
      <c r="H1131" s="1" t="s">
        <v>31375</v>
      </c>
      <c r="I1131" s="1" t="s">
        <v>5</v>
      </c>
      <c r="J1131" s="1" t="s">
        <v>6</v>
      </c>
      <c r="K1131" s="1" t="s">
        <v>24</v>
      </c>
      <c r="M1131" s="2">
        <v>43269</v>
      </c>
      <c r="N1131" s="1" t="s">
        <v>8</v>
      </c>
      <c r="O1131" s="2">
        <v>44364</v>
      </c>
    </row>
    <row r="1132" spans="1:15" ht="43.2" x14ac:dyDescent="0.3">
      <c r="A1132" s="1" t="s">
        <v>31376</v>
      </c>
      <c r="B1132" s="1" t="str">
        <f>"Graham Kennard"</f>
        <v>Graham Kennard</v>
      </c>
      <c r="C1132" s="1" t="s">
        <v>31377</v>
      </c>
      <c r="D1132" s="1" t="s">
        <v>3104</v>
      </c>
      <c r="F1132" s="1" t="s">
        <v>2961</v>
      </c>
      <c r="G1132" s="1" t="s">
        <v>654</v>
      </c>
      <c r="H1132" s="1" t="s">
        <v>31378</v>
      </c>
      <c r="I1132" s="1" t="s">
        <v>5</v>
      </c>
      <c r="J1132" s="1" t="s">
        <v>67</v>
      </c>
      <c r="K1132" s="1" t="s">
        <v>24</v>
      </c>
      <c r="M1132" s="2">
        <v>43269</v>
      </c>
      <c r="N1132" s="1" t="s">
        <v>8</v>
      </c>
      <c r="O1132" s="1" t="s">
        <v>68</v>
      </c>
    </row>
    <row r="1133" spans="1:15" ht="28.8" x14ac:dyDescent="0.3">
      <c r="A1133" s="1" t="s">
        <v>31379</v>
      </c>
      <c r="B1133" s="1" t="str">
        <f>"C Morgan Pallets LTD"</f>
        <v>C Morgan Pallets LTD</v>
      </c>
      <c r="C1133" s="1" t="s">
        <v>31380</v>
      </c>
      <c r="D1133" s="1" t="s">
        <v>25170</v>
      </c>
      <c r="F1133" s="1" t="s">
        <v>6400</v>
      </c>
      <c r="G1133" s="1" t="s">
        <v>103</v>
      </c>
      <c r="H1133" s="1" t="s">
        <v>12090</v>
      </c>
      <c r="I1133" s="1" t="s">
        <v>19</v>
      </c>
      <c r="J1133" s="1" t="s">
        <v>6</v>
      </c>
      <c r="K1133" s="1" t="s">
        <v>34</v>
      </c>
      <c r="L1133" s="1">
        <v>4356197</v>
      </c>
      <c r="M1133" s="2">
        <v>43269</v>
      </c>
      <c r="N1133" s="1" t="s">
        <v>8</v>
      </c>
      <c r="O1133" s="2">
        <v>44364</v>
      </c>
    </row>
    <row r="1134" spans="1:15" ht="28.8" x14ac:dyDescent="0.3">
      <c r="A1134" s="1" t="s">
        <v>31381</v>
      </c>
      <c r="B1134" s="1" t="str">
        <f>"GD Windows LTD"</f>
        <v>GD Windows LTD</v>
      </c>
      <c r="C1134" s="1" t="s">
        <v>31382</v>
      </c>
      <c r="D1134" s="1" t="s">
        <v>25007</v>
      </c>
      <c r="F1134" s="1" t="s">
        <v>1991</v>
      </c>
      <c r="G1134" s="1" t="s">
        <v>654</v>
      </c>
      <c r="H1134" s="1" t="s">
        <v>31383</v>
      </c>
      <c r="I1134" s="1" t="s">
        <v>19</v>
      </c>
      <c r="J1134" s="1" t="s">
        <v>6</v>
      </c>
      <c r="K1134" s="1" t="s">
        <v>34</v>
      </c>
      <c r="L1134" s="1">
        <v>9681040</v>
      </c>
      <c r="M1134" s="2">
        <v>43269</v>
      </c>
      <c r="N1134" s="1" t="s">
        <v>8</v>
      </c>
      <c r="O1134" s="2">
        <v>44364</v>
      </c>
    </row>
    <row r="1135" spans="1:15" x14ac:dyDescent="0.3">
      <c r="A1135" s="1" t="s">
        <v>32404</v>
      </c>
      <c r="B1135" s="1" t="str">
        <f>"David Phillips"</f>
        <v>David Phillips</v>
      </c>
      <c r="C1135" s="1" t="s">
        <v>32405</v>
      </c>
      <c r="F1135" s="1" t="s">
        <v>140</v>
      </c>
      <c r="G1135" s="1" t="s">
        <v>141</v>
      </c>
      <c r="H1135" s="1" t="s">
        <v>32406</v>
      </c>
      <c r="I1135" s="1" t="s">
        <v>5</v>
      </c>
      <c r="J1135" s="1" t="s">
        <v>6</v>
      </c>
      <c r="K1135" s="1" t="s">
        <v>24</v>
      </c>
      <c r="M1135" s="2">
        <v>43268</v>
      </c>
      <c r="N1135" s="1" t="s">
        <v>8</v>
      </c>
      <c r="O1135" s="2">
        <v>44363</v>
      </c>
    </row>
    <row r="1136" spans="1:15" ht="28.8" x14ac:dyDescent="0.3">
      <c r="A1136" s="1" t="s">
        <v>32407</v>
      </c>
      <c r="B1136" s="1" t="str">
        <f>"JD Surfacing &amp; Construction LTD"</f>
        <v>JD Surfacing &amp; Construction LTD</v>
      </c>
      <c r="C1136" s="1" t="s">
        <v>32408</v>
      </c>
      <c r="D1136" s="1" t="s">
        <v>32409</v>
      </c>
      <c r="E1136" s="1" t="s">
        <v>29995</v>
      </c>
      <c r="F1136" s="1" t="s">
        <v>1097</v>
      </c>
      <c r="G1136" s="1" t="s">
        <v>141</v>
      </c>
      <c r="H1136" s="1" t="s">
        <v>29996</v>
      </c>
      <c r="I1136" s="1" t="s">
        <v>19</v>
      </c>
      <c r="J1136" s="1" t="s">
        <v>6</v>
      </c>
      <c r="K1136" s="1" t="s">
        <v>24</v>
      </c>
      <c r="L1136" s="1">
        <v>7253119</v>
      </c>
      <c r="M1136" s="2">
        <v>43268</v>
      </c>
      <c r="N1136" s="1" t="s">
        <v>8</v>
      </c>
      <c r="O1136" s="2">
        <v>44363</v>
      </c>
    </row>
    <row r="1137" spans="1:15" ht="28.8" x14ac:dyDescent="0.3">
      <c r="A1137" s="1" t="s">
        <v>32410</v>
      </c>
      <c r="B1137" s="1" t="str">
        <f>"Dig It Landscapes"</f>
        <v>Dig It Landscapes</v>
      </c>
      <c r="C1137" s="1" t="s">
        <v>32411</v>
      </c>
      <c r="D1137" s="1" t="s">
        <v>5491</v>
      </c>
      <c r="F1137" s="1" t="s">
        <v>1058</v>
      </c>
      <c r="G1137" s="1" t="s">
        <v>381</v>
      </c>
      <c r="H1137" s="1" t="s">
        <v>32412</v>
      </c>
      <c r="I1137" s="1" t="s">
        <v>125</v>
      </c>
      <c r="J1137" s="1" t="s">
        <v>6</v>
      </c>
      <c r="K1137" s="1" t="s">
        <v>34</v>
      </c>
      <c r="M1137" s="2">
        <v>43268</v>
      </c>
      <c r="N1137" s="1" t="s">
        <v>8</v>
      </c>
      <c r="O1137" s="2">
        <v>44363</v>
      </c>
    </row>
    <row r="1138" spans="1:15" ht="28.8" x14ac:dyDescent="0.3">
      <c r="A1138" s="1" t="s">
        <v>32413</v>
      </c>
      <c r="B1138" s="1" t="str">
        <f>"Enteco LTD"</f>
        <v>Enteco LTD</v>
      </c>
      <c r="C1138" s="1" t="s">
        <v>32414</v>
      </c>
      <c r="D1138" s="1" t="s">
        <v>14738</v>
      </c>
      <c r="F1138" s="1" t="s">
        <v>922</v>
      </c>
      <c r="G1138" s="1" t="s">
        <v>73</v>
      </c>
      <c r="H1138" s="1" t="s">
        <v>32415</v>
      </c>
      <c r="I1138" s="1" t="s">
        <v>19</v>
      </c>
      <c r="J1138" s="1" t="s">
        <v>6</v>
      </c>
      <c r="K1138" s="1" t="s">
        <v>34</v>
      </c>
      <c r="L1138" s="1">
        <v>10583642</v>
      </c>
      <c r="M1138" s="2">
        <v>43268</v>
      </c>
      <c r="N1138" s="1" t="s">
        <v>8</v>
      </c>
      <c r="O1138" s="2">
        <v>44363</v>
      </c>
    </row>
    <row r="1139" spans="1:15" x14ac:dyDescent="0.3">
      <c r="A1139" s="1" t="s">
        <v>32416</v>
      </c>
      <c r="B1139" s="1" t="str">
        <f>"Roy Sheedy"</f>
        <v>Roy Sheedy</v>
      </c>
      <c r="C1139" s="1" t="s">
        <v>32417</v>
      </c>
      <c r="D1139" s="1" t="s">
        <v>32418</v>
      </c>
      <c r="E1139" s="1" t="s">
        <v>18451</v>
      </c>
      <c r="F1139" s="1" t="s">
        <v>401</v>
      </c>
      <c r="G1139" s="1" t="s">
        <v>156</v>
      </c>
      <c r="H1139" s="1" t="s">
        <v>32419</v>
      </c>
      <c r="I1139" s="1" t="s">
        <v>5</v>
      </c>
      <c r="J1139" s="1" t="s">
        <v>6</v>
      </c>
      <c r="K1139" s="1" t="s">
        <v>24</v>
      </c>
      <c r="M1139" s="2">
        <v>43268</v>
      </c>
      <c r="N1139" s="1" t="s">
        <v>8</v>
      </c>
      <c r="O1139" s="2">
        <v>44363</v>
      </c>
    </row>
    <row r="1140" spans="1:15" ht="43.2" x14ac:dyDescent="0.3">
      <c r="A1140" s="1" t="s">
        <v>32420</v>
      </c>
      <c r="B1140" s="1" t="str">
        <f>"Mark Davison M Davison Gas and Plumbing Services"</f>
        <v>Mark Davison M Davison Gas and Plumbing Services</v>
      </c>
      <c r="C1140" s="1" t="s">
        <v>32421</v>
      </c>
      <c r="D1140" s="1" t="s">
        <v>32422</v>
      </c>
      <c r="F1140" s="1" t="s">
        <v>7543</v>
      </c>
      <c r="G1140" s="1" t="s">
        <v>359</v>
      </c>
      <c r="H1140" s="1" t="s">
        <v>32423</v>
      </c>
      <c r="I1140" s="1" t="s">
        <v>5</v>
      </c>
      <c r="J1140" s="1" t="s">
        <v>6</v>
      </c>
      <c r="K1140" s="1" t="s">
        <v>24</v>
      </c>
      <c r="M1140" s="2">
        <v>43268</v>
      </c>
      <c r="N1140" s="1" t="s">
        <v>8</v>
      </c>
      <c r="O1140" s="2">
        <v>44363</v>
      </c>
    </row>
    <row r="1141" spans="1:15" ht="28.8" x14ac:dyDescent="0.3">
      <c r="A1141" s="1" t="s">
        <v>32424</v>
      </c>
      <c r="B1141" s="1" t="str">
        <f>"KCS Transport Ltd"</f>
        <v>KCS Transport Ltd</v>
      </c>
      <c r="C1141" s="1" t="s">
        <v>32425</v>
      </c>
      <c r="F1141" s="1" t="s">
        <v>298</v>
      </c>
      <c r="H1141" s="1" t="s">
        <v>32426</v>
      </c>
      <c r="I1141" s="1" t="s">
        <v>19</v>
      </c>
      <c r="J1141" s="1" t="s">
        <v>6</v>
      </c>
      <c r="K1141" s="1" t="s">
        <v>24</v>
      </c>
      <c r="L1141" s="1">
        <v>2938728</v>
      </c>
      <c r="M1141" s="2">
        <v>43268</v>
      </c>
      <c r="N1141" s="1" t="s">
        <v>8</v>
      </c>
      <c r="O1141" s="2">
        <v>44363</v>
      </c>
    </row>
    <row r="1142" spans="1:15" ht="28.8" x14ac:dyDescent="0.3">
      <c r="A1142" s="1" t="s">
        <v>32427</v>
      </c>
      <c r="B1142" s="1" t="str">
        <f>"Luke Richards Minionz Transport"</f>
        <v>Luke Richards Minionz Transport</v>
      </c>
      <c r="C1142" s="1" t="s">
        <v>32428</v>
      </c>
      <c r="F1142" s="1" t="s">
        <v>123</v>
      </c>
      <c r="G1142" s="1" t="s">
        <v>27</v>
      </c>
      <c r="H1142" s="1" t="s">
        <v>32429</v>
      </c>
      <c r="I1142" s="1" t="s">
        <v>5</v>
      </c>
      <c r="J1142" s="1" t="s">
        <v>6</v>
      </c>
      <c r="K1142" s="1" t="s">
        <v>24</v>
      </c>
      <c r="M1142" s="2">
        <v>43268</v>
      </c>
      <c r="N1142" s="1" t="s">
        <v>8</v>
      </c>
      <c r="O1142" s="2">
        <v>44363</v>
      </c>
    </row>
    <row r="1143" spans="1:15" ht="28.8" x14ac:dyDescent="0.3">
      <c r="A1143" s="1" t="s">
        <v>2016</v>
      </c>
      <c r="B1143" s="1" t="str">
        <f>"Jessica Sheppard"</f>
        <v>Jessica Sheppard</v>
      </c>
      <c r="C1143" s="1" t="s">
        <v>2017</v>
      </c>
      <c r="F1143" s="1" t="s">
        <v>42</v>
      </c>
      <c r="G1143" s="1" t="s">
        <v>51</v>
      </c>
      <c r="H1143" s="1" t="s">
        <v>2018</v>
      </c>
      <c r="I1143" s="1" t="s">
        <v>5</v>
      </c>
      <c r="J1143" s="1" t="s">
        <v>6</v>
      </c>
      <c r="K1143" s="1" t="s">
        <v>34</v>
      </c>
      <c r="M1143" s="2">
        <v>43265</v>
      </c>
      <c r="N1143" s="1" t="s">
        <v>8</v>
      </c>
      <c r="O1143" s="2">
        <v>44360</v>
      </c>
    </row>
    <row r="1144" spans="1:15" ht="28.8" x14ac:dyDescent="0.3">
      <c r="A1144" s="1" t="s">
        <v>2019</v>
      </c>
      <c r="B1144" s="1" t="str">
        <f>"Jessica Sheppard"</f>
        <v>Jessica Sheppard</v>
      </c>
      <c r="C1144" s="1" t="s">
        <v>2020</v>
      </c>
      <c r="D1144" s="1" t="s">
        <v>1404</v>
      </c>
      <c r="F1144" s="1" t="s">
        <v>665</v>
      </c>
      <c r="G1144" s="1" t="s">
        <v>51</v>
      </c>
      <c r="H1144" s="1" t="s">
        <v>2021</v>
      </c>
      <c r="I1144" s="1" t="s">
        <v>5</v>
      </c>
      <c r="J1144" s="1" t="s">
        <v>6</v>
      </c>
      <c r="K1144" s="1" t="s">
        <v>34</v>
      </c>
      <c r="M1144" s="2">
        <v>43265</v>
      </c>
      <c r="N1144" s="1" t="s">
        <v>8</v>
      </c>
      <c r="O1144" s="2">
        <v>44360</v>
      </c>
    </row>
    <row r="1145" spans="1:15" ht="28.8" x14ac:dyDescent="0.3">
      <c r="A1145" s="1" t="s">
        <v>2022</v>
      </c>
      <c r="B1145" s="1" t="str">
        <f>"Marshall Brothers"</f>
        <v>Marshall Brothers</v>
      </c>
      <c r="C1145" s="1" t="s">
        <v>2023</v>
      </c>
      <c r="F1145" s="1" t="s">
        <v>32</v>
      </c>
      <c r="G1145" s="1" t="s">
        <v>109</v>
      </c>
      <c r="H1145" s="1" t="s">
        <v>2024</v>
      </c>
      <c r="I1145" s="1" t="s">
        <v>125</v>
      </c>
      <c r="J1145" s="1" t="s">
        <v>6</v>
      </c>
      <c r="K1145" s="1" t="s">
        <v>34</v>
      </c>
      <c r="M1145" s="2">
        <v>43265</v>
      </c>
      <c r="N1145" s="1" t="s">
        <v>8</v>
      </c>
      <c r="O1145" s="2">
        <v>44360</v>
      </c>
    </row>
    <row r="1146" spans="1:15" ht="28.8" x14ac:dyDescent="0.3">
      <c r="A1146" s="1" t="s">
        <v>2025</v>
      </c>
      <c r="B1146" s="1" t="str">
        <f>"South Wales Construction"</f>
        <v>South Wales Construction</v>
      </c>
      <c r="C1146" s="1" t="s">
        <v>2026</v>
      </c>
      <c r="D1146" s="1" t="s">
        <v>1350</v>
      </c>
      <c r="F1146" s="1" t="s">
        <v>1351</v>
      </c>
      <c r="G1146" s="1" t="s">
        <v>109</v>
      </c>
      <c r="H1146" s="1" t="s">
        <v>2027</v>
      </c>
      <c r="I1146" s="1" t="s">
        <v>19</v>
      </c>
      <c r="J1146" s="1" t="s">
        <v>6</v>
      </c>
      <c r="K1146" s="1" t="s">
        <v>34</v>
      </c>
      <c r="L1146" s="1">
        <v>11178710</v>
      </c>
      <c r="M1146" s="2">
        <v>43265</v>
      </c>
      <c r="N1146" s="1" t="s">
        <v>8</v>
      </c>
      <c r="O1146" s="2">
        <v>44360</v>
      </c>
    </row>
    <row r="1147" spans="1:15" ht="28.8" x14ac:dyDescent="0.3">
      <c r="A1147" s="1" t="s">
        <v>2028</v>
      </c>
      <c r="B1147" s="1" t="str">
        <f>"Jessica Sheppard"</f>
        <v>Jessica Sheppard</v>
      </c>
      <c r="C1147" s="1" t="s">
        <v>2029</v>
      </c>
      <c r="F1147" s="1" t="s">
        <v>2030</v>
      </c>
      <c r="G1147" s="1" t="s">
        <v>3</v>
      </c>
      <c r="H1147" s="1" t="s">
        <v>2031</v>
      </c>
      <c r="I1147" s="1" t="s">
        <v>5</v>
      </c>
      <c r="J1147" s="1" t="s">
        <v>6</v>
      </c>
      <c r="K1147" s="1" t="s">
        <v>34</v>
      </c>
      <c r="M1147" s="2">
        <v>43265</v>
      </c>
      <c r="N1147" s="1" t="s">
        <v>8</v>
      </c>
      <c r="O1147" s="2">
        <v>44360</v>
      </c>
    </row>
    <row r="1148" spans="1:15" x14ac:dyDescent="0.3">
      <c r="A1148" s="1" t="s">
        <v>2032</v>
      </c>
      <c r="B1148" s="1" t="str">
        <f>"Afan Construction Ltd"</f>
        <v>Afan Construction Ltd</v>
      </c>
      <c r="C1148" s="1" t="s">
        <v>2033</v>
      </c>
      <c r="D1148" s="1" t="s">
        <v>877</v>
      </c>
      <c r="E1148" s="1" t="s">
        <v>878</v>
      </c>
      <c r="F1148" s="1" t="s">
        <v>37</v>
      </c>
      <c r="H1148" s="1" t="s">
        <v>2034</v>
      </c>
      <c r="I1148" s="1" t="s">
        <v>19</v>
      </c>
      <c r="J1148" s="1" t="s">
        <v>6</v>
      </c>
      <c r="K1148" s="1" t="s">
        <v>24</v>
      </c>
      <c r="M1148" s="2">
        <v>43265</v>
      </c>
      <c r="N1148" s="1" t="s">
        <v>8</v>
      </c>
      <c r="O1148" s="2">
        <v>44360</v>
      </c>
    </row>
    <row r="1149" spans="1:15" x14ac:dyDescent="0.3">
      <c r="A1149" s="1" t="s">
        <v>30120</v>
      </c>
      <c r="B1149" s="1" t="str">
        <f>"Jonathan Thomas"</f>
        <v>Jonathan Thomas</v>
      </c>
      <c r="C1149" s="1" t="s">
        <v>30121</v>
      </c>
      <c r="D1149" s="1" t="s">
        <v>1340</v>
      </c>
      <c r="F1149" s="1" t="s">
        <v>1341</v>
      </c>
      <c r="G1149" s="1" t="s">
        <v>103</v>
      </c>
      <c r="H1149" s="1" t="s">
        <v>30122</v>
      </c>
      <c r="I1149" s="1" t="s">
        <v>5</v>
      </c>
      <c r="J1149" s="1" t="s">
        <v>6</v>
      </c>
      <c r="K1149" s="1" t="s">
        <v>24</v>
      </c>
      <c r="M1149" s="2">
        <v>43264</v>
      </c>
      <c r="N1149" s="1" t="s">
        <v>8</v>
      </c>
      <c r="O1149" s="2">
        <v>44359</v>
      </c>
    </row>
    <row r="1150" spans="1:15" ht="28.8" x14ac:dyDescent="0.3">
      <c r="A1150" s="1" t="s">
        <v>30123</v>
      </c>
      <c r="B1150" s="1" t="str">
        <f>"Davies &amp; Jones Builders LTD"</f>
        <v>Davies &amp; Jones Builders LTD</v>
      </c>
      <c r="C1150" s="1" t="s">
        <v>30124</v>
      </c>
      <c r="F1150" s="1" t="s">
        <v>358</v>
      </c>
      <c r="G1150" s="1" t="s">
        <v>359</v>
      </c>
      <c r="H1150" s="1" t="s">
        <v>15034</v>
      </c>
      <c r="I1150" s="1" t="s">
        <v>19</v>
      </c>
      <c r="J1150" s="1" t="s">
        <v>6</v>
      </c>
      <c r="K1150" s="1" t="s">
        <v>34</v>
      </c>
      <c r="L1150" s="1">
        <v>9402428</v>
      </c>
      <c r="M1150" s="2">
        <v>43264</v>
      </c>
      <c r="N1150" s="1" t="s">
        <v>8</v>
      </c>
      <c r="O1150" s="2">
        <v>44359</v>
      </c>
    </row>
    <row r="1151" spans="1:15" x14ac:dyDescent="0.3">
      <c r="A1151" s="1" t="s">
        <v>30125</v>
      </c>
      <c r="B1151" s="1" t="str">
        <f>"Ifan Williams"</f>
        <v>Ifan Williams</v>
      </c>
      <c r="C1151" s="1" t="s">
        <v>30126</v>
      </c>
      <c r="D1151" s="1" t="s">
        <v>2398</v>
      </c>
      <c r="F1151" s="1" t="s">
        <v>9722</v>
      </c>
      <c r="G1151" s="1" t="s">
        <v>3</v>
      </c>
      <c r="H1151" s="1" t="s">
        <v>30127</v>
      </c>
      <c r="I1151" s="1" t="s">
        <v>5</v>
      </c>
      <c r="J1151" s="1" t="s">
        <v>6</v>
      </c>
      <c r="K1151" s="1" t="s">
        <v>24</v>
      </c>
      <c r="M1151" s="2">
        <v>43264</v>
      </c>
      <c r="N1151" s="1" t="s">
        <v>8</v>
      </c>
      <c r="O1151" s="2">
        <v>44359</v>
      </c>
    </row>
    <row r="1152" spans="1:15" ht="28.8" x14ac:dyDescent="0.3">
      <c r="A1152" s="1" t="s">
        <v>30128</v>
      </c>
      <c r="B1152" s="1" t="str">
        <f>"Innov8 Facilities Managment LTD"</f>
        <v>Innov8 Facilities Managment LTD</v>
      </c>
      <c r="C1152" s="1" t="s">
        <v>30129</v>
      </c>
      <c r="F1152" s="1" t="s">
        <v>123</v>
      </c>
      <c r="G1152" s="1" t="s">
        <v>27</v>
      </c>
      <c r="H1152" s="1" t="s">
        <v>30130</v>
      </c>
      <c r="I1152" s="1" t="s">
        <v>19</v>
      </c>
      <c r="J1152" s="1" t="s">
        <v>6</v>
      </c>
      <c r="K1152" s="1" t="s">
        <v>34</v>
      </c>
      <c r="L1152" s="1">
        <v>9976293</v>
      </c>
      <c r="M1152" s="2">
        <v>43264</v>
      </c>
      <c r="N1152" s="1" t="s">
        <v>8</v>
      </c>
      <c r="O1152" s="2">
        <v>44359</v>
      </c>
    </row>
    <row r="1153" spans="1:15" ht="28.8" x14ac:dyDescent="0.3">
      <c r="A1153" s="1" t="s">
        <v>30131</v>
      </c>
      <c r="B1153" s="1" t="str">
        <f>"O'SULLIVANS"</f>
        <v>O'SULLIVANS</v>
      </c>
      <c r="C1153" s="1" t="s">
        <v>30132</v>
      </c>
      <c r="F1153" s="1" t="s">
        <v>65</v>
      </c>
      <c r="H1153" s="1" t="s">
        <v>19675</v>
      </c>
      <c r="I1153" s="1" t="s">
        <v>125</v>
      </c>
      <c r="J1153" s="1" t="s">
        <v>6</v>
      </c>
      <c r="K1153" s="1" t="s">
        <v>24</v>
      </c>
      <c r="M1153" s="2">
        <v>43264</v>
      </c>
      <c r="N1153" s="1" t="s">
        <v>8</v>
      </c>
      <c r="O1153" s="2">
        <v>44359</v>
      </c>
    </row>
    <row r="1154" spans="1:15" ht="28.8" x14ac:dyDescent="0.3">
      <c r="A1154" s="1" t="s">
        <v>30133</v>
      </c>
      <c r="B1154" s="1" t="str">
        <f>"Graig Rhosyn Cleaning Services LTD"</f>
        <v>Graig Rhosyn Cleaning Services LTD</v>
      </c>
      <c r="C1154" s="1" t="s">
        <v>8517</v>
      </c>
      <c r="D1154" s="1" t="s">
        <v>5091</v>
      </c>
      <c r="E1154" s="1" t="s">
        <v>1839</v>
      </c>
      <c r="F1154" s="1" t="s">
        <v>1093</v>
      </c>
      <c r="G1154" s="1" t="s">
        <v>103</v>
      </c>
      <c r="H1154" s="1" t="s">
        <v>5092</v>
      </c>
      <c r="I1154" s="1" t="s">
        <v>19</v>
      </c>
      <c r="J1154" s="1" t="s">
        <v>6</v>
      </c>
      <c r="K1154" s="1" t="s">
        <v>24</v>
      </c>
      <c r="L1154" s="1">
        <v>6828778</v>
      </c>
      <c r="M1154" s="2">
        <v>43264</v>
      </c>
      <c r="N1154" s="1" t="s">
        <v>8</v>
      </c>
      <c r="O1154" s="2">
        <v>44359</v>
      </c>
    </row>
    <row r="1155" spans="1:15" ht="28.8" x14ac:dyDescent="0.3">
      <c r="A1155" s="1" t="s">
        <v>30134</v>
      </c>
      <c r="B1155" s="1" t="str">
        <f>"Royston Larkin NL Builders"</f>
        <v>Royston Larkin NL Builders</v>
      </c>
      <c r="C1155" s="1" t="s">
        <v>30135</v>
      </c>
      <c r="D1155" s="1" t="s">
        <v>6144</v>
      </c>
      <c r="F1155" s="1" t="s">
        <v>179</v>
      </c>
      <c r="G1155" s="1" t="s">
        <v>180</v>
      </c>
      <c r="H1155" s="1" t="s">
        <v>30136</v>
      </c>
      <c r="I1155" s="1" t="s">
        <v>5</v>
      </c>
      <c r="J1155" s="1" t="s">
        <v>6</v>
      </c>
      <c r="K1155" s="1" t="s">
        <v>24</v>
      </c>
      <c r="M1155" s="2">
        <v>43264</v>
      </c>
      <c r="N1155" s="1" t="s">
        <v>8</v>
      </c>
      <c r="O1155" s="2">
        <v>44359</v>
      </c>
    </row>
    <row r="1156" spans="1:15" ht="28.8" x14ac:dyDescent="0.3">
      <c r="A1156" s="1" t="s">
        <v>30137</v>
      </c>
      <c r="B1156" s="1" t="str">
        <f>"J &amp; S Bridle Associates LTD"</f>
        <v>J &amp; S Bridle Associates LTD</v>
      </c>
      <c r="C1156" s="1" t="s">
        <v>30138</v>
      </c>
      <c r="D1156" s="1" t="s">
        <v>30139</v>
      </c>
      <c r="F1156" s="1" t="s">
        <v>2152</v>
      </c>
      <c r="G1156" s="1" t="s">
        <v>211</v>
      </c>
      <c r="H1156" s="1" t="s">
        <v>30140</v>
      </c>
      <c r="I1156" s="1" t="s">
        <v>19</v>
      </c>
      <c r="J1156" s="1" t="s">
        <v>6</v>
      </c>
      <c r="K1156" s="1" t="s">
        <v>34</v>
      </c>
      <c r="L1156" s="1">
        <v>5071557</v>
      </c>
      <c r="M1156" s="2">
        <v>43264</v>
      </c>
      <c r="N1156" s="1" t="s">
        <v>8</v>
      </c>
      <c r="O1156" s="2">
        <v>44359</v>
      </c>
    </row>
    <row r="1157" spans="1:15" ht="43.2" x14ac:dyDescent="0.3">
      <c r="A1157" s="1" t="s">
        <v>30149</v>
      </c>
      <c r="B1157" s="1" t="str">
        <f>"Phillips Carpentry Services"</f>
        <v>Phillips Carpentry Services</v>
      </c>
      <c r="C1157" s="1" t="s">
        <v>30150</v>
      </c>
      <c r="D1157" s="1" t="s">
        <v>611</v>
      </c>
      <c r="F1157" s="1" t="s">
        <v>64</v>
      </c>
      <c r="G1157" s="1" t="s">
        <v>65</v>
      </c>
      <c r="H1157" s="1" t="s">
        <v>30151</v>
      </c>
      <c r="I1157" s="1" t="s">
        <v>19</v>
      </c>
      <c r="J1157" s="1" t="s">
        <v>67</v>
      </c>
      <c r="K1157" s="1" t="s">
        <v>24</v>
      </c>
      <c r="L1157" s="1">
        <v>7968441</v>
      </c>
      <c r="M1157" s="2">
        <v>43264</v>
      </c>
      <c r="N1157" s="1" t="s">
        <v>8</v>
      </c>
      <c r="O1157" s="1" t="s">
        <v>68</v>
      </c>
    </row>
    <row r="1158" spans="1:15" ht="28.8" x14ac:dyDescent="0.3">
      <c r="A1158" s="1" t="s">
        <v>30105</v>
      </c>
      <c r="B1158" s="1" t="str">
        <f>"Jason Chapman"</f>
        <v>Jason Chapman</v>
      </c>
      <c r="C1158" s="1" t="s">
        <v>30106</v>
      </c>
      <c r="D1158" s="1" t="s">
        <v>596</v>
      </c>
      <c r="F1158" s="1" t="s">
        <v>64</v>
      </c>
      <c r="G1158" s="1" t="s">
        <v>65</v>
      </c>
      <c r="H1158" s="1" t="s">
        <v>30107</v>
      </c>
      <c r="I1158" s="1" t="s">
        <v>5</v>
      </c>
      <c r="J1158" s="1" t="s">
        <v>6</v>
      </c>
      <c r="K1158" s="1" t="s">
        <v>34</v>
      </c>
      <c r="M1158" s="2">
        <v>43263</v>
      </c>
      <c r="N1158" s="1" t="s">
        <v>8</v>
      </c>
      <c r="O1158" s="2">
        <v>44358</v>
      </c>
    </row>
    <row r="1159" spans="1:15" x14ac:dyDescent="0.3">
      <c r="A1159" s="1" t="s">
        <v>30108</v>
      </c>
      <c r="B1159" s="1" t="str">
        <f>"NRJ Heating LTD"</f>
        <v>NRJ Heating LTD</v>
      </c>
      <c r="C1159" s="1" t="s">
        <v>30109</v>
      </c>
      <c r="F1159" s="1" t="s">
        <v>359</v>
      </c>
      <c r="G1159" s="1" t="s">
        <v>359</v>
      </c>
      <c r="H1159" s="1" t="s">
        <v>30110</v>
      </c>
      <c r="I1159" s="1" t="s">
        <v>19</v>
      </c>
      <c r="J1159" s="1" t="s">
        <v>6</v>
      </c>
      <c r="K1159" s="1" t="s">
        <v>24</v>
      </c>
      <c r="L1159" s="1">
        <v>8808307</v>
      </c>
      <c r="M1159" s="2">
        <v>43263</v>
      </c>
      <c r="N1159" s="1" t="s">
        <v>8</v>
      </c>
      <c r="O1159" s="2">
        <v>44358</v>
      </c>
    </row>
    <row r="1160" spans="1:15" ht="28.8" x14ac:dyDescent="0.3">
      <c r="A1160" s="1" t="s">
        <v>30111</v>
      </c>
      <c r="B1160" s="1" t="str">
        <f>"Jonathan Thomas"</f>
        <v>Jonathan Thomas</v>
      </c>
      <c r="C1160" s="1" t="s">
        <v>30112</v>
      </c>
      <c r="D1160" s="1" t="s">
        <v>761</v>
      </c>
      <c r="F1160" s="1" t="s">
        <v>64</v>
      </c>
      <c r="G1160" s="1" t="s">
        <v>65</v>
      </c>
      <c r="H1160" s="1" t="s">
        <v>30113</v>
      </c>
      <c r="I1160" s="1" t="s">
        <v>5</v>
      </c>
      <c r="J1160" s="1" t="s">
        <v>6</v>
      </c>
      <c r="K1160" s="1" t="s">
        <v>34</v>
      </c>
      <c r="M1160" s="2">
        <v>43263</v>
      </c>
      <c r="N1160" s="1" t="s">
        <v>8</v>
      </c>
      <c r="O1160" s="2">
        <v>44358</v>
      </c>
    </row>
    <row r="1161" spans="1:15" x14ac:dyDescent="0.3">
      <c r="A1161" s="1" t="s">
        <v>30114</v>
      </c>
      <c r="B1161" s="1" t="str">
        <f>"Michael Davies"</f>
        <v>Michael Davies</v>
      </c>
      <c r="C1161" s="1" t="s">
        <v>30115</v>
      </c>
      <c r="D1161" s="1" t="s">
        <v>4696</v>
      </c>
      <c r="F1161" s="1" t="s">
        <v>64</v>
      </c>
      <c r="G1161" s="1" t="s">
        <v>65</v>
      </c>
      <c r="H1161" s="1" t="s">
        <v>30116</v>
      </c>
      <c r="I1161" s="1" t="s">
        <v>5</v>
      </c>
      <c r="J1161" s="1" t="s">
        <v>6</v>
      </c>
      <c r="K1161" s="1" t="s">
        <v>24</v>
      </c>
      <c r="M1161" s="2">
        <v>43263</v>
      </c>
      <c r="N1161" s="1" t="s">
        <v>8</v>
      </c>
      <c r="O1161" s="2">
        <v>44358</v>
      </c>
    </row>
    <row r="1162" spans="1:15" x14ac:dyDescent="0.3">
      <c r="A1162" s="1" t="s">
        <v>30117</v>
      </c>
      <c r="B1162" s="1" t="str">
        <f>"Noel Dennehy"</f>
        <v>Noel Dennehy</v>
      </c>
      <c r="C1162" s="1" t="s">
        <v>30118</v>
      </c>
      <c r="F1162" s="1" t="s">
        <v>839</v>
      </c>
      <c r="G1162" s="1" t="s">
        <v>115</v>
      </c>
      <c r="H1162" s="1" t="s">
        <v>30119</v>
      </c>
      <c r="I1162" s="1" t="s">
        <v>5</v>
      </c>
      <c r="J1162" s="1" t="s">
        <v>6</v>
      </c>
      <c r="K1162" s="1" t="s">
        <v>24</v>
      </c>
      <c r="M1162" s="2">
        <v>43263</v>
      </c>
      <c r="N1162" s="1" t="s">
        <v>8</v>
      </c>
      <c r="O1162" s="2">
        <v>44358</v>
      </c>
    </row>
    <row r="1163" spans="1:15" ht="43.2" x14ac:dyDescent="0.3">
      <c r="A1163" s="1" t="s">
        <v>32349</v>
      </c>
      <c r="B1163" s="1" t="str">
        <f>"Groundwork North Wales Ltd"</f>
        <v>Groundwork North Wales Ltd</v>
      </c>
      <c r="C1163" s="1" t="s">
        <v>32350</v>
      </c>
      <c r="D1163" s="1" t="s">
        <v>32351</v>
      </c>
      <c r="F1163" s="1" t="s">
        <v>1321</v>
      </c>
      <c r="G1163" s="1" t="s">
        <v>3</v>
      </c>
      <c r="H1163" s="1" t="s">
        <v>2105</v>
      </c>
      <c r="I1163" s="1" t="s">
        <v>1872</v>
      </c>
      <c r="J1163" s="1" t="s">
        <v>67</v>
      </c>
      <c r="K1163" s="1" t="s">
        <v>14</v>
      </c>
      <c r="L1163" s="1">
        <v>2614714</v>
      </c>
      <c r="M1163" s="2">
        <v>43263</v>
      </c>
      <c r="N1163" s="1" t="s">
        <v>8</v>
      </c>
      <c r="O1163" s="1" t="s">
        <v>68</v>
      </c>
    </row>
    <row r="1164" spans="1:15" ht="43.2" x14ac:dyDescent="0.3">
      <c r="A1164" s="1" t="s">
        <v>32352</v>
      </c>
      <c r="B1164" s="1" t="str">
        <f>"Groundworks North Wales"</f>
        <v>Groundworks North Wales</v>
      </c>
      <c r="C1164" s="1" t="s">
        <v>32353</v>
      </c>
      <c r="D1164" s="1" t="s">
        <v>32354</v>
      </c>
      <c r="E1164" s="1" t="s">
        <v>2187</v>
      </c>
      <c r="F1164" s="1" t="s">
        <v>532</v>
      </c>
      <c r="G1164" s="1" t="s">
        <v>198</v>
      </c>
      <c r="H1164" s="1" t="s">
        <v>32355</v>
      </c>
      <c r="I1164" s="1" t="s">
        <v>1872</v>
      </c>
      <c r="J1164" s="1" t="s">
        <v>67</v>
      </c>
      <c r="K1164" s="1" t="s">
        <v>14</v>
      </c>
      <c r="M1164" s="2">
        <v>43263</v>
      </c>
      <c r="N1164" s="1" t="s">
        <v>8</v>
      </c>
      <c r="O1164" s="1" t="s">
        <v>68</v>
      </c>
    </row>
    <row r="1165" spans="1:15" ht="43.2" x14ac:dyDescent="0.3">
      <c r="A1165" s="1" t="s">
        <v>32356</v>
      </c>
      <c r="B1165" s="1" t="str">
        <f>"John Thomas"</f>
        <v>John Thomas</v>
      </c>
      <c r="C1165" s="1" t="s">
        <v>32357</v>
      </c>
      <c r="D1165" s="1" t="s">
        <v>32358</v>
      </c>
      <c r="F1165" s="1" t="s">
        <v>151</v>
      </c>
      <c r="G1165" s="1" t="s">
        <v>679</v>
      </c>
      <c r="H1165" s="1" t="s">
        <v>32359</v>
      </c>
      <c r="I1165" s="1" t="s">
        <v>5</v>
      </c>
      <c r="J1165" s="1" t="s">
        <v>67</v>
      </c>
      <c r="K1165" s="1" t="s">
        <v>14</v>
      </c>
      <c r="M1165" s="2">
        <v>43263</v>
      </c>
      <c r="N1165" s="1" t="s">
        <v>8</v>
      </c>
      <c r="O1165" s="1" t="s">
        <v>68</v>
      </c>
    </row>
    <row r="1166" spans="1:15" ht="43.2" x14ac:dyDescent="0.3">
      <c r="A1166" s="1" t="s">
        <v>32360</v>
      </c>
      <c r="B1166" s="1" t="str">
        <f>"Mitin Kerai"</f>
        <v>Mitin Kerai</v>
      </c>
      <c r="C1166" s="1">
        <v>122</v>
      </c>
      <c r="D1166" s="1" t="s">
        <v>32361</v>
      </c>
      <c r="F1166" s="1" t="s">
        <v>123</v>
      </c>
      <c r="G1166" s="1" t="s">
        <v>27</v>
      </c>
      <c r="H1166" s="1" t="s">
        <v>6507</v>
      </c>
      <c r="I1166" s="1" t="s">
        <v>5</v>
      </c>
      <c r="J1166" s="1" t="s">
        <v>67</v>
      </c>
      <c r="K1166" s="1" t="s">
        <v>14</v>
      </c>
      <c r="M1166" s="2">
        <v>43263</v>
      </c>
      <c r="N1166" s="1" t="s">
        <v>8</v>
      </c>
      <c r="O1166" s="1" t="s">
        <v>68</v>
      </c>
    </row>
    <row r="1167" spans="1:15" ht="43.2" x14ac:dyDescent="0.3">
      <c r="A1167" s="1" t="s">
        <v>32362</v>
      </c>
      <c r="B1167" s="1" t="str">
        <f>"Cefn Don Farm Partnership"</f>
        <v>Cefn Don Farm Partnership</v>
      </c>
      <c r="C1167" s="1" t="s">
        <v>32363</v>
      </c>
      <c r="D1167" s="1" t="s">
        <v>1503</v>
      </c>
      <c r="G1167" s="1" t="s">
        <v>140</v>
      </c>
      <c r="H1167" s="1" t="s">
        <v>32364</v>
      </c>
      <c r="I1167" s="1" t="s">
        <v>125</v>
      </c>
      <c r="J1167" s="1" t="s">
        <v>67</v>
      </c>
      <c r="K1167" s="1" t="s">
        <v>14</v>
      </c>
      <c r="M1167" s="2">
        <v>43263</v>
      </c>
      <c r="N1167" s="1" t="s">
        <v>8</v>
      </c>
      <c r="O1167" s="1" t="s">
        <v>68</v>
      </c>
    </row>
    <row r="1168" spans="1:15" ht="43.2" x14ac:dyDescent="0.3">
      <c r="A1168" s="1" t="s">
        <v>32365</v>
      </c>
      <c r="B1168" s="1" t="str">
        <f>"Ruth Roberson"</f>
        <v>Ruth Roberson</v>
      </c>
      <c r="C1168" s="1" t="s">
        <v>32366</v>
      </c>
      <c r="D1168" s="1" t="s">
        <v>10433</v>
      </c>
      <c r="F1168" s="1" t="s">
        <v>556</v>
      </c>
      <c r="G1168" s="1" t="s">
        <v>556</v>
      </c>
      <c r="H1168" s="1" t="s">
        <v>32367</v>
      </c>
      <c r="I1168" s="1" t="s">
        <v>5</v>
      </c>
      <c r="J1168" s="1" t="s">
        <v>67</v>
      </c>
      <c r="K1168" s="1" t="s">
        <v>14</v>
      </c>
      <c r="M1168" s="2">
        <v>43263</v>
      </c>
      <c r="N1168" s="1" t="s">
        <v>8</v>
      </c>
      <c r="O1168" s="1" t="s">
        <v>68</v>
      </c>
    </row>
    <row r="1169" spans="1:15" ht="43.2" x14ac:dyDescent="0.3">
      <c r="A1169" s="1" t="s">
        <v>32368</v>
      </c>
      <c r="B1169" s="1" t="str">
        <f>"David Morgan"</f>
        <v>David Morgan</v>
      </c>
      <c r="C1169" s="1" t="s">
        <v>32369</v>
      </c>
      <c r="D1169" s="1" t="s">
        <v>32370</v>
      </c>
      <c r="F1169" s="1" t="s">
        <v>487</v>
      </c>
      <c r="G1169" s="1" t="s">
        <v>141</v>
      </c>
      <c r="H1169" s="1" t="s">
        <v>32371</v>
      </c>
      <c r="I1169" s="1" t="s">
        <v>5</v>
      </c>
      <c r="J1169" s="1" t="s">
        <v>67</v>
      </c>
      <c r="K1169" s="1" t="s">
        <v>14</v>
      </c>
      <c r="M1169" s="2">
        <v>43263</v>
      </c>
      <c r="N1169" s="1" t="s">
        <v>8</v>
      </c>
      <c r="O1169" s="1" t="s">
        <v>68</v>
      </c>
    </row>
    <row r="1170" spans="1:15" ht="43.2" x14ac:dyDescent="0.3">
      <c r="A1170" s="1" t="s">
        <v>32372</v>
      </c>
      <c r="B1170" s="1" t="str">
        <f>"Gorinder singh Bal"</f>
        <v>Gorinder singh Bal</v>
      </c>
      <c r="C1170" s="1" t="s">
        <v>32373</v>
      </c>
      <c r="D1170" s="1" t="s">
        <v>32374</v>
      </c>
      <c r="F1170" s="1" t="s">
        <v>6400</v>
      </c>
      <c r="G1170" s="1" t="s">
        <v>103</v>
      </c>
      <c r="H1170" s="1" t="s">
        <v>32375</v>
      </c>
      <c r="I1170" s="1" t="s">
        <v>5</v>
      </c>
      <c r="J1170" s="1" t="s">
        <v>67</v>
      </c>
      <c r="K1170" s="1" t="s">
        <v>14</v>
      </c>
      <c r="M1170" s="2">
        <v>43263</v>
      </c>
      <c r="N1170" s="1" t="s">
        <v>8</v>
      </c>
      <c r="O1170" s="1" t="s">
        <v>68</v>
      </c>
    </row>
    <row r="1171" spans="1:15" ht="43.2" x14ac:dyDescent="0.3">
      <c r="A1171" s="1" t="s">
        <v>32376</v>
      </c>
      <c r="B1171" s="1" t="str">
        <f>"David Thomas"</f>
        <v>David Thomas</v>
      </c>
      <c r="C1171" s="1" t="s">
        <v>32377</v>
      </c>
      <c r="F1171" s="1" t="s">
        <v>72</v>
      </c>
      <c r="G1171" s="1" t="s">
        <v>73</v>
      </c>
      <c r="H1171" s="1" t="s">
        <v>11451</v>
      </c>
      <c r="I1171" s="1" t="s">
        <v>5</v>
      </c>
      <c r="J1171" s="1" t="s">
        <v>67</v>
      </c>
      <c r="K1171" s="1" t="s">
        <v>14</v>
      </c>
      <c r="M1171" s="2">
        <v>43263</v>
      </c>
      <c r="N1171" s="1" t="s">
        <v>8</v>
      </c>
      <c r="O1171" s="1" t="s">
        <v>68</v>
      </c>
    </row>
    <row r="1172" spans="1:15" ht="43.2" x14ac:dyDescent="0.3">
      <c r="A1172" s="1" t="s">
        <v>32378</v>
      </c>
      <c r="B1172" s="1" t="str">
        <f>"Coffee @ 37"</f>
        <v>Coffee @ 37</v>
      </c>
      <c r="C1172" s="1" t="s">
        <v>32379</v>
      </c>
      <c r="D1172" s="1" t="s">
        <v>32380</v>
      </c>
      <c r="E1172" s="1" t="s">
        <v>294</v>
      </c>
      <c r="F1172" s="1" t="s">
        <v>364</v>
      </c>
      <c r="G1172" s="1" t="s">
        <v>103</v>
      </c>
      <c r="H1172" s="1" t="s">
        <v>32381</v>
      </c>
      <c r="I1172" s="1" t="s">
        <v>19</v>
      </c>
      <c r="J1172" s="1" t="s">
        <v>67</v>
      </c>
      <c r="K1172" s="1" t="s">
        <v>14</v>
      </c>
      <c r="M1172" s="2">
        <v>43263</v>
      </c>
      <c r="N1172" s="1" t="s">
        <v>8</v>
      </c>
      <c r="O1172" s="1" t="s">
        <v>68</v>
      </c>
    </row>
    <row r="1173" spans="1:15" ht="43.2" x14ac:dyDescent="0.3">
      <c r="A1173" s="1" t="s">
        <v>32382</v>
      </c>
      <c r="B1173" s="1" t="str">
        <f>"W.J.Thomas and Sons"</f>
        <v>W.J.Thomas and Sons</v>
      </c>
      <c r="C1173" s="1" t="s">
        <v>32383</v>
      </c>
      <c r="D1173" s="1" t="s">
        <v>32384</v>
      </c>
      <c r="F1173" s="1" t="s">
        <v>5409</v>
      </c>
      <c r="G1173" s="1" t="s">
        <v>162</v>
      </c>
      <c r="H1173" s="1" t="s">
        <v>32385</v>
      </c>
      <c r="I1173" s="1" t="s">
        <v>125</v>
      </c>
      <c r="J1173" s="1" t="s">
        <v>67</v>
      </c>
      <c r="K1173" s="1" t="s">
        <v>14</v>
      </c>
      <c r="M1173" s="2">
        <v>43263</v>
      </c>
      <c r="N1173" s="1" t="s">
        <v>8</v>
      </c>
      <c r="O1173" s="1" t="s">
        <v>68</v>
      </c>
    </row>
    <row r="1174" spans="1:15" ht="43.2" x14ac:dyDescent="0.3">
      <c r="A1174" s="1" t="s">
        <v>30080</v>
      </c>
      <c r="B1174" s="1" t="str">
        <f>"WELSH TYRE RECYCLING SERVICES LTD"</f>
        <v>WELSH TYRE RECYCLING SERVICES LTD</v>
      </c>
      <c r="C1174" s="1" t="s">
        <v>30081</v>
      </c>
      <c r="D1174" s="1" t="s">
        <v>30082</v>
      </c>
      <c r="F1174" s="1" t="s">
        <v>30083</v>
      </c>
      <c r="H1174" s="1" t="s">
        <v>1504</v>
      </c>
      <c r="I1174" s="1" t="s">
        <v>19</v>
      </c>
      <c r="J1174" s="1" t="s">
        <v>6</v>
      </c>
      <c r="K1174" s="1" t="s">
        <v>34</v>
      </c>
      <c r="L1174" s="1">
        <v>7517833</v>
      </c>
      <c r="M1174" s="2">
        <v>43261</v>
      </c>
      <c r="N1174" s="1" t="s">
        <v>8</v>
      </c>
      <c r="O1174" s="2">
        <v>44356</v>
      </c>
    </row>
    <row r="1175" spans="1:15" x14ac:dyDescent="0.3">
      <c r="A1175" s="1" t="s">
        <v>30084</v>
      </c>
      <c r="B1175" s="1" t="str">
        <f>"P A Carruthers LTD"</f>
        <v>P A Carruthers LTD</v>
      </c>
      <c r="C1175" s="1" t="s">
        <v>2781</v>
      </c>
      <c r="D1175" s="1" t="s">
        <v>30085</v>
      </c>
      <c r="F1175" s="1" t="s">
        <v>653</v>
      </c>
      <c r="G1175" s="1" t="s">
        <v>654</v>
      </c>
      <c r="H1175" s="1" t="s">
        <v>30086</v>
      </c>
      <c r="I1175" s="1" t="s">
        <v>19</v>
      </c>
      <c r="J1175" s="1" t="s">
        <v>6</v>
      </c>
      <c r="K1175" s="1" t="s">
        <v>24</v>
      </c>
      <c r="L1175" s="1">
        <v>5747704</v>
      </c>
      <c r="M1175" s="2">
        <v>43261</v>
      </c>
      <c r="N1175" s="1" t="s">
        <v>8</v>
      </c>
      <c r="O1175" s="2">
        <v>44356</v>
      </c>
    </row>
    <row r="1176" spans="1:15" ht="28.8" x14ac:dyDescent="0.3">
      <c r="A1176" s="1" t="s">
        <v>30087</v>
      </c>
      <c r="B1176" s="1" t="str">
        <f>"Beton Bauen LTD"</f>
        <v>Beton Bauen LTD</v>
      </c>
      <c r="C1176" s="1" t="s">
        <v>30088</v>
      </c>
      <c r="D1176" s="1" t="s">
        <v>30089</v>
      </c>
      <c r="E1176" s="1" t="s">
        <v>30090</v>
      </c>
      <c r="F1176" s="1" t="s">
        <v>1093</v>
      </c>
      <c r="G1176" s="1" t="s">
        <v>103</v>
      </c>
      <c r="H1176" s="1" t="s">
        <v>30091</v>
      </c>
      <c r="I1176" s="1" t="s">
        <v>19</v>
      </c>
      <c r="J1176" s="1" t="s">
        <v>6</v>
      </c>
      <c r="K1176" s="1" t="s">
        <v>24</v>
      </c>
      <c r="L1176" s="1">
        <v>5958727</v>
      </c>
      <c r="M1176" s="2">
        <v>43261</v>
      </c>
      <c r="N1176" s="1" t="s">
        <v>8</v>
      </c>
      <c r="O1176" s="2">
        <v>44356</v>
      </c>
    </row>
    <row r="1177" spans="1:15" ht="28.8" x14ac:dyDescent="0.3">
      <c r="A1177" s="1" t="s">
        <v>30092</v>
      </c>
      <c r="B1177" s="1" t="str">
        <f>"Fence 'N' Forget LTD"</f>
        <v>Fence 'N' Forget LTD</v>
      </c>
      <c r="C1177" s="1" t="s">
        <v>30093</v>
      </c>
      <c r="D1177" s="1" t="s">
        <v>30094</v>
      </c>
      <c r="F1177" s="1" t="s">
        <v>3105</v>
      </c>
      <c r="G1177" s="1" t="s">
        <v>654</v>
      </c>
      <c r="H1177" s="1" t="s">
        <v>30095</v>
      </c>
      <c r="I1177" s="1" t="s">
        <v>19</v>
      </c>
      <c r="J1177" s="1" t="s">
        <v>6</v>
      </c>
      <c r="K1177" s="1" t="s">
        <v>34</v>
      </c>
      <c r="L1177" s="1">
        <v>6213005</v>
      </c>
      <c r="M1177" s="2">
        <v>43261</v>
      </c>
      <c r="N1177" s="1" t="s">
        <v>8</v>
      </c>
      <c r="O1177" s="2">
        <v>44356</v>
      </c>
    </row>
    <row r="1178" spans="1:15" ht="28.8" x14ac:dyDescent="0.3">
      <c r="A1178" s="1" t="s">
        <v>30096</v>
      </c>
      <c r="B1178" s="1" t="str">
        <f>"Capital Plastics (Cardiff) LTD"</f>
        <v>Capital Plastics (Cardiff) LTD</v>
      </c>
      <c r="C1178" s="1" t="s">
        <v>30097</v>
      </c>
      <c r="D1178" s="1" t="s">
        <v>30098</v>
      </c>
      <c r="E1178" s="1" t="s">
        <v>2130</v>
      </c>
      <c r="F1178" s="1" t="s">
        <v>42</v>
      </c>
      <c r="G1178" s="1" t="s">
        <v>51</v>
      </c>
      <c r="H1178" s="1" t="s">
        <v>2131</v>
      </c>
      <c r="I1178" s="1" t="s">
        <v>19</v>
      </c>
      <c r="J1178" s="1" t="s">
        <v>6</v>
      </c>
      <c r="K1178" s="1" t="s">
        <v>34</v>
      </c>
      <c r="L1178" s="1">
        <v>2710407</v>
      </c>
      <c r="M1178" s="2">
        <v>43261</v>
      </c>
      <c r="N1178" s="1" t="s">
        <v>8</v>
      </c>
      <c r="O1178" s="2">
        <v>44356</v>
      </c>
    </row>
    <row r="1179" spans="1:15" ht="28.8" x14ac:dyDescent="0.3">
      <c r="A1179" s="1" t="s">
        <v>30099</v>
      </c>
      <c r="B1179" s="1" t="str">
        <f>"Robert Collins"</f>
        <v>Robert Collins</v>
      </c>
      <c r="C1179" s="1" t="s">
        <v>30100</v>
      </c>
      <c r="D1179" s="1" t="s">
        <v>30101</v>
      </c>
      <c r="F1179" s="1" t="s">
        <v>32</v>
      </c>
      <c r="G1179" s="1" t="s">
        <v>109</v>
      </c>
      <c r="H1179" s="1" t="s">
        <v>23792</v>
      </c>
      <c r="I1179" s="1" t="s">
        <v>5</v>
      </c>
      <c r="J1179" s="1" t="s">
        <v>6</v>
      </c>
      <c r="K1179" s="1" t="s">
        <v>34</v>
      </c>
      <c r="M1179" s="2">
        <v>43261</v>
      </c>
      <c r="N1179" s="1" t="s">
        <v>8</v>
      </c>
      <c r="O1179" s="2">
        <v>44356</v>
      </c>
    </row>
    <row r="1180" spans="1:15" x14ac:dyDescent="0.3">
      <c r="A1180" s="1" t="s">
        <v>30102</v>
      </c>
      <c r="B1180" s="1" t="str">
        <f>"DB Window Care LTD"</f>
        <v>DB Window Care LTD</v>
      </c>
      <c r="C1180" s="1">
        <v>98</v>
      </c>
      <c r="D1180" s="1" t="s">
        <v>30103</v>
      </c>
      <c r="E1180" s="1" t="s">
        <v>14190</v>
      </c>
      <c r="F1180" s="1" t="s">
        <v>2434</v>
      </c>
      <c r="H1180" s="1" t="s">
        <v>30104</v>
      </c>
      <c r="I1180" s="1" t="s">
        <v>19</v>
      </c>
      <c r="J1180" s="1" t="s">
        <v>6</v>
      </c>
      <c r="K1180" s="1" t="s">
        <v>24</v>
      </c>
      <c r="L1180" s="1">
        <v>10841067</v>
      </c>
      <c r="M1180" s="2">
        <v>43261</v>
      </c>
      <c r="N1180" s="1" t="s">
        <v>8</v>
      </c>
      <c r="O1180" s="2">
        <v>44356</v>
      </c>
    </row>
    <row r="1181" spans="1:15" ht="43.2" x14ac:dyDescent="0.3">
      <c r="A1181" s="1" t="s">
        <v>31356</v>
      </c>
      <c r="B1181" s="1" t="str">
        <f>"Llandaff North Medical Centre"</f>
        <v>Llandaff North Medical Centre</v>
      </c>
      <c r="C1181" s="1" t="s">
        <v>31357</v>
      </c>
      <c r="D1181" s="1" t="s">
        <v>31358</v>
      </c>
      <c r="E1181" s="1" t="s">
        <v>6111</v>
      </c>
      <c r="F1181" s="1" t="s">
        <v>123</v>
      </c>
      <c r="G1181" s="1" t="s">
        <v>27</v>
      </c>
      <c r="H1181" s="1" t="s">
        <v>31359</v>
      </c>
      <c r="I1181" s="1" t="s">
        <v>125</v>
      </c>
      <c r="J1181" s="1" t="s">
        <v>67</v>
      </c>
      <c r="K1181" s="1" t="s">
        <v>24</v>
      </c>
      <c r="M1181" s="2">
        <v>43259</v>
      </c>
      <c r="N1181" s="1" t="s">
        <v>8</v>
      </c>
      <c r="O1181" s="1" t="s">
        <v>68</v>
      </c>
    </row>
    <row r="1182" spans="1:15" ht="43.2" x14ac:dyDescent="0.3">
      <c r="A1182" s="1" t="s">
        <v>31360</v>
      </c>
      <c r="B1182" s="1" t="str">
        <f>"Tracey Worthington"</f>
        <v>Tracey Worthington</v>
      </c>
      <c r="C1182" s="1" t="s">
        <v>31361</v>
      </c>
      <c r="F1182" s="1" t="s">
        <v>31362</v>
      </c>
      <c r="G1182" s="1" t="s">
        <v>679</v>
      </c>
      <c r="H1182" s="1" t="s">
        <v>31363</v>
      </c>
      <c r="I1182" s="1" t="s">
        <v>5</v>
      </c>
      <c r="J1182" s="1" t="s">
        <v>67</v>
      </c>
      <c r="K1182" s="1" t="s">
        <v>24</v>
      </c>
      <c r="M1182" s="2">
        <v>43259</v>
      </c>
      <c r="N1182" s="1" t="s">
        <v>8</v>
      </c>
      <c r="O1182" s="1" t="s">
        <v>68</v>
      </c>
    </row>
    <row r="1183" spans="1:15" ht="43.2" x14ac:dyDescent="0.3">
      <c r="A1183" s="1" t="s">
        <v>31364</v>
      </c>
      <c r="B1183" s="1" t="str">
        <f>"Colin Charvis Flooring Ltd"</f>
        <v>Colin Charvis Flooring Ltd</v>
      </c>
      <c r="C1183" s="1" t="s">
        <v>31365</v>
      </c>
      <c r="D1183" s="1" t="s">
        <v>31366</v>
      </c>
      <c r="E1183" s="1" t="s">
        <v>258</v>
      </c>
      <c r="F1183" s="1" t="s">
        <v>64</v>
      </c>
      <c r="G1183" s="1" t="s">
        <v>65</v>
      </c>
      <c r="H1183" s="1" t="s">
        <v>31367</v>
      </c>
      <c r="I1183" s="1" t="s">
        <v>19</v>
      </c>
      <c r="J1183" s="1" t="s">
        <v>67</v>
      </c>
      <c r="K1183" s="1" t="s">
        <v>24</v>
      </c>
      <c r="L1183" s="1">
        <v>8620195</v>
      </c>
      <c r="M1183" s="2">
        <v>43259</v>
      </c>
      <c r="N1183" s="1" t="s">
        <v>8</v>
      </c>
      <c r="O1183" s="1" t="s">
        <v>68</v>
      </c>
    </row>
    <row r="1184" spans="1:15" ht="28.8" x14ac:dyDescent="0.3">
      <c r="A1184" s="1" t="s">
        <v>32343</v>
      </c>
      <c r="B1184" s="1" t="str">
        <f>"North Wales Transport Ltd"</f>
        <v>North Wales Transport Ltd</v>
      </c>
      <c r="C1184" s="1" t="s">
        <v>32344</v>
      </c>
      <c r="D1184" s="1" t="s">
        <v>32345</v>
      </c>
      <c r="E1184" s="1" t="s">
        <v>32346</v>
      </c>
      <c r="F1184" s="1" t="s">
        <v>2686</v>
      </c>
      <c r="G1184" s="1" t="s">
        <v>324</v>
      </c>
      <c r="H1184" s="1" t="s">
        <v>32347</v>
      </c>
      <c r="I1184" s="1" t="s">
        <v>19</v>
      </c>
      <c r="J1184" s="1" t="s">
        <v>6</v>
      </c>
      <c r="K1184" s="1" t="s">
        <v>24</v>
      </c>
      <c r="L1184" s="1">
        <v>10135207</v>
      </c>
      <c r="M1184" s="2">
        <v>43258</v>
      </c>
      <c r="N1184" s="1" t="s">
        <v>8</v>
      </c>
      <c r="O1184" s="2">
        <v>44353</v>
      </c>
    </row>
    <row r="1185" spans="1:15" ht="28.8" x14ac:dyDescent="0.3">
      <c r="A1185" s="1" t="s">
        <v>1996</v>
      </c>
      <c r="B1185" s="1" t="str">
        <f>"Jason Morris"</f>
        <v>Jason Morris</v>
      </c>
      <c r="C1185" s="1" t="s">
        <v>1997</v>
      </c>
      <c r="F1185" s="1" t="s">
        <v>1998</v>
      </c>
      <c r="G1185" s="1" t="s">
        <v>115</v>
      </c>
      <c r="H1185" s="1" t="s">
        <v>1999</v>
      </c>
      <c r="I1185" s="1" t="s">
        <v>5</v>
      </c>
      <c r="J1185" s="1" t="s">
        <v>6</v>
      </c>
      <c r="K1185" s="1" t="s">
        <v>34</v>
      </c>
      <c r="M1185" s="2">
        <v>43257</v>
      </c>
      <c r="N1185" s="1" t="s">
        <v>8</v>
      </c>
      <c r="O1185" s="2">
        <v>44352</v>
      </c>
    </row>
    <row r="1186" spans="1:15" ht="28.8" x14ac:dyDescent="0.3">
      <c r="A1186" s="1" t="s">
        <v>2000</v>
      </c>
      <c r="B1186" s="1" t="str">
        <f>"Stonewest Construction LTD"</f>
        <v>Stonewest Construction LTD</v>
      </c>
      <c r="C1186" s="1" t="s">
        <v>2001</v>
      </c>
      <c r="D1186" s="1" t="s">
        <v>2002</v>
      </c>
      <c r="F1186" s="1" t="s">
        <v>428</v>
      </c>
      <c r="G1186" s="1" t="s">
        <v>3</v>
      </c>
      <c r="H1186" s="1" t="s">
        <v>2003</v>
      </c>
      <c r="I1186" s="1" t="s">
        <v>19</v>
      </c>
      <c r="J1186" s="1" t="s">
        <v>6</v>
      </c>
      <c r="K1186" s="1" t="s">
        <v>34</v>
      </c>
      <c r="L1186" s="1">
        <v>4205704</v>
      </c>
      <c r="M1186" s="2">
        <v>43257</v>
      </c>
      <c r="N1186" s="1" t="s">
        <v>8</v>
      </c>
      <c r="O1186" s="2">
        <v>44352</v>
      </c>
    </row>
    <row r="1187" spans="1:15" ht="43.2" x14ac:dyDescent="0.3">
      <c r="A1187" s="1" t="s">
        <v>2004</v>
      </c>
      <c r="B1187" s="1" t="str">
        <f>"Daniel Cooper"</f>
        <v>Daniel Cooper</v>
      </c>
      <c r="C1187" s="1" t="s">
        <v>2005</v>
      </c>
      <c r="D1187" s="1" t="s">
        <v>2006</v>
      </c>
      <c r="F1187" s="1" t="s">
        <v>123</v>
      </c>
      <c r="G1187" s="1" t="s">
        <v>27</v>
      </c>
      <c r="H1187" s="1" t="s">
        <v>2007</v>
      </c>
      <c r="I1187" s="1" t="s">
        <v>5</v>
      </c>
      <c r="J1187" s="1" t="s">
        <v>67</v>
      </c>
      <c r="K1187" s="1" t="s">
        <v>24</v>
      </c>
      <c r="M1187" s="2">
        <v>43257</v>
      </c>
      <c r="N1187" s="1" t="s">
        <v>8</v>
      </c>
      <c r="O1187" s="1" t="s">
        <v>68</v>
      </c>
    </row>
    <row r="1188" spans="1:15" ht="43.2" x14ac:dyDescent="0.3">
      <c r="A1188" s="1" t="s">
        <v>2008</v>
      </c>
      <c r="B1188" s="1" t="str">
        <f>"Allen Shaw"</f>
        <v>Allen Shaw</v>
      </c>
      <c r="C1188" s="1" t="s">
        <v>2009</v>
      </c>
      <c r="D1188" s="1" t="s">
        <v>107</v>
      </c>
      <c r="E1188" s="1" t="s">
        <v>108</v>
      </c>
      <c r="F1188" s="1" t="s">
        <v>64</v>
      </c>
      <c r="G1188" s="1" t="s">
        <v>109</v>
      </c>
      <c r="H1188" s="1" t="s">
        <v>110</v>
      </c>
      <c r="I1188" s="1" t="s">
        <v>5</v>
      </c>
      <c r="J1188" s="1" t="s">
        <v>67</v>
      </c>
      <c r="K1188" s="1" t="s">
        <v>24</v>
      </c>
      <c r="M1188" s="2">
        <v>43257</v>
      </c>
      <c r="N1188" s="1" t="s">
        <v>8</v>
      </c>
      <c r="O1188" s="1" t="s">
        <v>68</v>
      </c>
    </row>
    <row r="1189" spans="1:15" ht="28.8" x14ac:dyDescent="0.3">
      <c r="A1189" s="1" t="s">
        <v>2010</v>
      </c>
      <c r="B1189" s="1" t="str">
        <f>"No1 Home Improvements"</f>
        <v>No1 Home Improvements</v>
      </c>
      <c r="C1189" s="1">
        <v>4</v>
      </c>
      <c r="D1189" s="1" t="s">
        <v>1010</v>
      </c>
      <c r="E1189" s="1" t="s">
        <v>108</v>
      </c>
      <c r="F1189" s="1" t="s">
        <v>64</v>
      </c>
      <c r="H1189" s="1" t="s">
        <v>2011</v>
      </c>
      <c r="I1189" s="1" t="s">
        <v>19</v>
      </c>
      <c r="J1189" s="1" t="s">
        <v>6</v>
      </c>
      <c r="K1189" s="1" t="s">
        <v>24</v>
      </c>
      <c r="L1189" s="1">
        <v>7262153</v>
      </c>
      <c r="M1189" s="2">
        <v>43257</v>
      </c>
      <c r="N1189" s="1" t="s">
        <v>8</v>
      </c>
      <c r="O1189" s="2">
        <v>44352</v>
      </c>
    </row>
    <row r="1190" spans="1:15" x14ac:dyDescent="0.3">
      <c r="A1190" s="1" t="s">
        <v>3174</v>
      </c>
      <c r="B1190" s="1" t="str">
        <f>"Xgas Limited"</f>
        <v>Xgas Limited</v>
      </c>
      <c r="C1190" s="1" t="s">
        <v>3175</v>
      </c>
      <c r="D1190" s="1" t="s">
        <v>3176</v>
      </c>
      <c r="E1190" s="1" t="s">
        <v>285</v>
      </c>
      <c r="F1190" s="1" t="s">
        <v>532</v>
      </c>
      <c r="H1190" s="1" t="s">
        <v>3177</v>
      </c>
      <c r="I1190" s="1" t="s">
        <v>19</v>
      </c>
      <c r="J1190" s="1" t="s">
        <v>6</v>
      </c>
      <c r="K1190" s="1" t="s">
        <v>24</v>
      </c>
      <c r="L1190" s="1">
        <v>4788940</v>
      </c>
      <c r="M1190" s="2">
        <v>43256</v>
      </c>
      <c r="N1190" s="1" t="s">
        <v>8</v>
      </c>
      <c r="O1190" s="2">
        <v>44351</v>
      </c>
    </row>
    <row r="1191" spans="1:15" x14ac:dyDescent="0.3">
      <c r="A1191" s="1" t="s">
        <v>3178</v>
      </c>
      <c r="B1191" s="1" t="str">
        <f>"Creamside Homes LTD"</f>
        <v>Creamside Homes LTD</v>
      </c>
      <c r="C1191" s="1" t="s">
        <v>3179</v>
      </c>
      <c r="D1191" s="1" t="s">
        <v>3180</v>
      </c>
      <c r="E1191" s="1" t="s">
        <v>3181</v>
      </c>
      <c r="F1191" s="1" t="s">
        <v>513</v>
      </c>
      <c r="G1191" s="1" t="s">
        <v>115</v>
      </c>
      <c r="H1191" s="1" t="s">
        <v>3182</v>
      </c>
      <c r="I1191" s="1" t="s">
        <v>19</v>
      </c>
      <c r="J1191" s="1" t="s">
        <v>6</v>
      </c>
      <c r="K1191" s="1" t="s">
        <v>24</v>
      </c>
      <c r="L1191" s="1">
        <v>4048059</v>
      </c>
      <c r="M1191" s="2">
        <v>43256</v>
      </c>
      <c r="N1191" s="1" t="s">
        <v>8</v>
      </c>
      <c r="O1191" s="2">
        <v>44351</v>
      </c>
    </row>
    <row r="1192" spans="1:15" ht="28.8" x14ac:dyDescent="0.3">
      <c r="A1192" s="1" t="s">
        <v>3183</v>
      </c>
      <c r="B1192" s="1" t="str">
        <f>"Millstone Construction (Wales) LTD"</f>
        <v>Millstone Construction (Wales) LTD</v>
      </c>
      <c r="C1192" s="1" t="s">
        <v>3184</v>
      </c>
      <c r="D1192" s="1" t="s">
        <v>3185</v>
      </c>
      <c r="E1192" s="1" t="s">
        <v>3186</v>
      </c>
      <c r="F1192" s="1" t="s">
        <v>767</v>
      </c>
      <c r="G1192" s="1" t="s">
        <v>141</v>
      </c>
      <c r="H1192" s="1" t="s">
        <v>3187</v>
      </c>
      <c r="I1192" s="1" t="s">
        <v>19</v>
      </c>
      <c r="J1192" s="1" t="s">
        <v>6</v>
      </c>
      <c r="K1192" s="1" t="s">
        <v>34</v>
      </c>
      <c r="L1192" s="1">
        <v>4774361</v>
      </c>
      <c r="M1192" s="2">
        <v>43256</v>
      </c>
      <c r="N1192" s="1" t="s">
        <v>8</v>
      </c>
      <c r="O1192" s="2">
        <v>44351</v>
      </c>
    </row>
    <row r="1193" spans="1:15" ht="43.2" x14ac:dyDescent="0.3">
      <c r="A1193" s="1" t="s">
        <v>3188</v>
      </c>
      <c r="B1193" s="1" t="str">
        <f>"M &amp; D Recycling Machinery LTD05981069"</f>
        <v>M &amp; D Recycling Machinery LTD05981069</v>
      </c>
      <c r="C1193" s="1" t="s">
        <v>3189</v>
      </c>
      <c r="D1193" s="1" t="s">
        <v>3190</v>
      </c>
      <c r="E1193" s="1" t="s">
        <v>3191</v>
      </c>
      <c r="F1193" s="1" t="s">
        <v>2459</v>
      </c>
      <c r="G1193" s="1" t="s">
        <v>162</v>
      </c>
      <c r="H1193" s="1" t="s">
        <v>3192</v>
      </c>
      <c r="I1193" s="1" t="s">
        <v>19</v>
      </c>
      <c r="J1193" s="1" t="s">
        <v>6</v>
      </c>
      <c r="K1193" s="1" t="s">
        <v>24</v>
      </c>
      <c r="L1193" s="1">
        <v>5981069</v>
      </c>
      <c r="M1193" s="2">
        <v>43256</v>
      </c>
      <c r="N1193" s="1" t="s">
        <v>8</v>
      </c>
      <c r="O1193" s="2">
        <v>44351</v>
      </c>
    </row>
    <row r="1194" spans="1:15" ht="43.2" x14ac:dyDescent="0.3">
      <c r="A1194" s="1" t="s">
        <v>3193</v>
      </c>
      <c r="B1194" s="1" t="str">
        <f>"Wayne Howells Plant Hire LTD"</f>
        <v>Wayne Howells Plant Hire LTD</v>
      </c>
      <c r="C1194" s="1" t="s">
        <v>3194</v>
      </c>
      <c r="D1194" s="1" t="s">
        <v>3195</v>
      </c>
      <c r="F1194" s="1" t="s">
        <v>2200</v>
      </c>
      <c r="G1194" s="1" t="s">
        <v>51</v>
      </c>
      <c r="H1194" s="1" t="s">
        <v>3196</v>
      </c>
      <c r="I1194" s="1" t="s">
        <v>19</v>
      </c>
      <c r="J1194" s="1" t="s">
        <v>67</v>
      </c>
      <c r="K1194" s="1" t="s">
        <v>24</v>
      </c>
      <c r="L1194" s="1">
        <v>10952869</v>
      </c>
      <c r="M1194" s="2">
        <v>43256</v>
      </c>
      <c r="N1194" s="1" t="s">
        <v>8</v>
      </c>
      <c r="O1194" s="1" t="s">
        <v>68</v>
      </c>
    </row>
    <row r="1195" spans="1:15" ht="28.8" x14ac:dyDescent="0.3">
      <c r="A1195" s="1" t="s">
        <v>3163</v>
      </c>
      <c r="B1195" s="1" t="str">
        <f>"Steven Davies Plumbing &amp; Heating LTD"</f>
        <v>Steven Davies Plumbing &amp; Heating LTD</v>
      </c>
      <c r="C1195" s="1" t="s">
        <v>3164</v>
      </c>
      <c r="D1195" s="1" t="s">
        <v>596</v>
      </c>
      <c r="F1195" s="1" t="s">
        <v>64</v>
      </c>
      <c r="G1195" s="1" t="s">
        <v>65</v>
      </c>
      <c r="H1195" s="1" t="s">
        <v>3165</v>
      </c>
      <c r="I1195" s="1" t="s">
        <v>19</v>
      </c>
      <c r="J1195" s="1" t="s">
        <v>6</v>
      </c>
      <c r="K1195" s="1" t="s">
        <v>24</v>
      </c>
      <c r="L1195" s="1">
        <v>11397018</v>
      </c>
      <c r="M1195" s="2">
        <v>43255</v>
      </c>
      <c r="N1195" s="1" t="s">
        <v>8</v>
      </c>
      <c r="O1195" s="2">
        <v>44350</v>
      </c>
    </row>
    <row r="1196" spans="1:15" ht="43.2" x14ac:dyDescent="0.3">
      <c r="A1196" s="1" t="s">
        <v>3166</v>
      </c>
      <c r="B1196" s="1" t="str">
        <f>"Cadwyn Hosuing Association"</f>
        <v>Cadwyn Hosuing Association</v>
      </c>
      <c r="C1196" s="1" t="s">
        <v>3167</v>
      </c>
      <c r="D1196" s="1" t="s">
        <v>3168</v>
      </c>
      <c r="F1196" s="1" t="s">
        <v>123</v>
      </c>
      <c r="G1196" s="1" t="s">
        <v>27</v>
      </c>
      <c r="H1196" s="1" t="s">
        <v>3169</v>
      </c>
      <c r="I1196" s="1" t="s">
        <v>125</v>
      </c>
      <c r="J1196" s="1" t="s">
        <v>67</v>
      </c>
      <c r="K1196" s="1" t="s">
        <v>34</v>
      </c>
      <c r="M1196" s="2">
        <v>43255</v>
      </c>
      <c r="N1196" s="1" t="s">
        <v>8</v>
      </c>
      <c r="O1196" s="1" t="s">
        <v>68</v>
      </c>
    </row>
    <row r="1197" spans="1:15" ht="28.8" x14ac:dyDescent="0.3">
      <c r="A1197" s="1" t="s">
        <v>3170</v>
      </c>
      <c r="B1197" s="1" t="str">
        <f>"DAVIES MOTORS"</f>
        <v>DAVIES MOTORS</v>
      </c>
      <c r="C1197" s="1" t="s">
        <v>3171</v>
      </c>
      <c r="E1197" s="1" t="s">
        <v>3172</v>
      </c>
      <c r="F1197" s="1" t="s">
        <v>2281</v>
      </c>
      <c r="H1197" s="1" t="s">
        <v>3173</v>
      </c>
      <c r="I1197" s="1" t="s">
        <v>125</v>
      </c>
      <c r="J1197" s="1" t="s">
        <v>6</v>
      </c>
      <c r="K1197" s="1" t="s">
        <v>34</v>
      </c>
      <c r="M1197" s="2">
        <v>43255</v>
      </c>
      <c r="N1197" s="1" t="s">
        <v>8</v>
      </c>
      <c r="O1197" s="2">
        <v>44350</v>
      </c>
    </row>
    <row r="1198" spans="1:15" ht="43.2" x14ac:dyDescent="0.3">
      <c r="A1198" s="1" t="s">
        <v>1984</v>
      </c>
      <c r="B1198" s="1" t="str">
        <f>"J Watkins &amp; Son"</f>
        <v>J Watkins &amp; Son</v>
      </c>
      <c r="C1198" s="1" t="s">
        <v>1985</v>
      </c>
      <c r="F1198" s="1" t="s">
        <v>1986</v>
      </c>
      <c r="G1198" s="1" t="s">
        <v>162</v>
      </c>
      <c r="H1198" s="1" t="s">
        <v>1987</v>
      </c>
      <c r="I1198" s="1" t="s">
        <v>125</v>
      </c>
      <c r="J1198" s="1" t="s">
        <v>67</v>
      </c>
      <c r="K1198" s="1" t="s">
        <v>24</v>
      </c>
      <c r="M1198" s="2">
        <v>43250</v>
      </c>
      <c r="N1198" s="1" t="s">
        <v>8</v>
      </c>
      <c r="O1198" s="1" t="s">
        <v>68</v>
      </c>
    </row>
    <row r="1199" spans="1:15" ht="28.8" x14ac:dyDescent="0.3">
      <c r="A1199" s="1" t="s">
        <v>1988</v>
      </c>
      <c r="B1199" s="1" t="str">
        <f>"David lewis Williams"</f>
        <v>David lewis Williams</v>
      </c>
      <c r="C1199" s="1" t="s">
        <v>1989</v>
      </c>
      <c r="D1199" s="1" t="s">
        <v>1990</v>
      </c>
      <c r="F1199" s="1" t="s">
        <v>1991</v>
      </c>
      <c r="G1199" s="1" t="s">
        <v>654</v>
      </c>
      <c r="H1199" s="1" t="s">
        <v>1992</v>
      </c>
      <c r="I1199" s="1" t="s">
        <v>5</v>
      </c>
      <c r="J1199" s="1" t="s">
        <v>6</v>
      </c>
      <c r="K1199" s="1" t="s">
        <v>34</v>
      </c>
      <c r="M1199" s="2">
        <v>43250</v>
      </c>
      <c r="N1199" s="1" t="s">
        <v>8</v>
      </c>
      <c r="O1199" s="2">
        <v>44345</v>
      </c>
    </row>
    <row r="1200" spans="1:15" ht="43.2" x14ac:dyDescent="0.3">
      <c r="A1200" s="1" t="s">
        <v>1993</v>
      </c>
      <c r="B1200" s="1" t="str">
        <f>"Trade &amp; Domestic PVCU Frame Installations LTD"</f>
        <v>Trade &amp; Domestic PVCU Frame Installations LTD</v>
      </c>
      <c r="C1200" s="1" t="s">
        <v>1994</v>
      </c>
      <c r="D1200" s="1" t="s">
        <v>1995</v>
      </c>
      <c r="E1200" s="1" t="s">
        <v>896</v>
      </c>
      <c r="F1200" s="1" t="s">
        <v>897</v>
      </c>
      <c r="G1200" s="1" t="s">
        <v>73</v>
      </c>
      <c r="H1200" s="1" t="s">
        <v>898</v>
      </c>
      <c r="I1200" s="1" t="s">
        <v>19</v>
      </c>
      <c r="J1200" s="1" t="s">
        <v>6</v>
      </c>
      <c r="K1200" s="1" t="s">
        <v>24</v>
      </c>
      <c r="L1200" s="1">
        <v>6593530</v>
      </c>
      <c r="M1200" s="2">
        <v>43250</v>
      </c>
      <c r="N1200" s="1" t="s">
        <v>8</v>
      </c>
      <c r="O1200" s="2">
        <v>44345</v>
      </c>
    </row>
    <row r="1201" spans="1:15" ht="28.8" x14ac:dyDescent="0.3">
      <c r="A1201" s="1" t="s">
        <v>32339</v>
      </c>
      <c r="B1201" s="1" t="str">
        <f>"Woodham Brothers Limited"</f>
        <v>Woodham Brothers Limited</v>
      </c>
      <c r="C1201" s="1" t="s">
        <v>32340</v>
      </c>
      <c r="D1201" s="1" t="s">
        <v>32341</v>
      </c>
      <c r="F1201" s="1" t="s">
        <v>706</v>
      </c>
      <c r="G1201" s="1" t="s">
        <v>211</v>
      </c>
      <c r="H1201" s="1" t="s">
        <v>32342</v>
      </c>
      <c r="I1201" s="1" t="s">
        <v>19</v>
      </c>
      <c r="J1201" s="1" t="s">
        <v>6</v>
      </c>
      <c r="K1201" s="1" t="s">
        <v>34</v>
      </c>
      <c r="L1201" s="1">
        <v>1688951</v>
      </c>
      <c r="M1201" s="2">
        <v>43250</v>
      </c>
      <c r="N1201" s="1" t="s">
        <v>8</v>
      </c>
      <c r="O1201" s="2">
        <v>44345</v>
      </c>
    </row>
    <row r="1202" spans="1:15" ht="43.2" x14ac:dyDescent="0.3">
      <c r="A1202" s="1" t="s">
        <v>3160</v>
      </c>
      <c r="B1202" s="1" t="str">
        <f>"Rob Jones Site Services Ltd"</f>
        <v>Rob Jones Site Services Ltd</v>
      </c>
      <c r="C1202" s="1" t="s">
        <v>1865</v>
      </c>
      <c r="D1202" s="1" t="s">
        <v>3161</v>
      </c>
      <c r="F1202" s="1" t="s">
        <v>56</v>
      </c>
      <c r="G1202" s="1" t="s">
        <v>51</v>
      </c>
      <c r="H1202" s="1" t="s">
        <v>3162</v>
      </c>
      <c r="I1202" s="1" t="s">
        <v>19</v>
      </c>
      <c r="J1202" s="1" t="s">
        <v>67</v>
      </c>
      <c r="K1202" s="1" t="s">
        <v>24</v>
      </c>
      <c r="L1202" s="1">
        <v>10116561</v>
      </c>
      <c r="M1202" s="2">
        <v>43249</v>
      </c>
      <c r="N1202" s="1" t="s">
        <v>8</v>
      </c>
      <c r="O1202" s="1" t="s">
        <v>68</v>
      </c>
    </row>
    <row r="1203" spans="1:15" ht="28.8" x14ac:dyDescent="0.3">
      <c r="A1203" s="1" t="s">
        <v>15951</v>
      </c>
      <c r="B1203" s="1" t="str">
        <f>"Dream Clean Facilities Management"</f>
        <v>Dream Clean Facilities Management</v>
      </c>
      <c r="C1203" s="1" t="s">
        <v>6662</v>
      </c>
      <c r="F1203" s="1" t="s">
        <v>123</v>
      </c>
      <c r="H1203" s="1" t="s">
        <v>6663</v>
      </c>
      <c r="I1203" s="1" t="s">
        <v>125</v>
      </c>
      <c r="J1203" s="1" t="s">
        <v>6</v>
      </c>
      <c r="K1203" s="1" t="s">
        <v>24</v>
      </c>
      <c r="M1203" s="2">
        <v>43244</v>
      </c>
      <c r="N1203" s="1" t="s">
        <v>8</v>
      </c>
      <c r="O1203" s="2">
        <v>44340</v>
      </c>
    </row>
    <row r="1204" spans="1:15" ht="28.8" x14ac:dyDescent="0.3">
      <c r="A1204" s="1" t="s">
        <v>15952</v>
      </c>
      <c r="B1204" s="1" t="str">
        <f>"Defence Doors International Ltd"</f>
        <v>Defence Doors International Ltd</v>
      </c>
      <c r="C1204" s="1" t="s">
        <v>15953</v>
      </c>
      <c r="D1204" s="1" t="s">
        <v>15954</v>
      </c>
      <c r="F1204" s="1" t="s">
        <v>42</v>
      </c>
      <c r="H1204" s="1" t="s">
        <v>15955</v>
      </c>
      <c r="I1204" s="1" t="s">
        <v>19</v>
      </c>
      <c r="J1204" s="1" t="s">
        <v>6</v>
      </c>
      <c r="K1204" s="1" t="s">
        <v>24</v>
      </c>
      <c r="L1204" s="1">
        <v>8521449</v>
      </c>
      <c r="M1204" s="2">
        <v>43244</v>
      </c>
      <c r="N1204" s="1" t="s">
        <v>8</v>
      </c>
      <c r="O1204" s="2">
        <v>44339</v>
      </c>
    </row>
    <row r="1205" spans="1:15" ht="28.8" x14ac:dyDescent="0.3">
      <c r="A1205" s="1" t="s">
        <v>15956</v>
      </c>
      <c r="B1205" s="1" t="str">
        <f>"PM Dromgoole &amp; Sons"</f>
        <v>PM Dromgoole &amp; Sons</v>
      </c>
      <c r="C1205" s="1" t="s">
        <v>15957</v>
      </c>
      <c r="D1205" s="1" t="s">
        <v>1358</v>
      </c>
      <c r="F1205" s="1" t="s">
        <v>585</v>
      </c>
      <c r="H1205" s="1" t="s">
        <v>15958</v>
      </c>
      <c r="I1205" s="1" t="s">
        <v>19</v>
      </c>
      <c r="J1205" s="1" t="s">
        <v>6</v>
      </c>
      <c r="K1205" s="1" t="s">
        <v>34</v>
      </c>
      <c r="L1205" s="1">
        <v>3811200</v>
      </c>
      <c r="M1205" s="2">
        <v>43244</v>
      </c>
      <c r="N1205" s="1" t="s">
        <v>8</v>
      </c>
      <c r="O1205" s="2">
        <v>44340</v>
      </c>
    </row>
    <row r="1206" spans="1:15" ht="28.8" x14ac:dyDescent="0.3">
      <c r="A1206" s="1" t="s">
        <v>28091</v>
      </c>
      <c r="B1206" s="1" t="str">
        <f>"David Smith Future Joinery &amp; Shop Fitters"</f>
        <v>David Smith Future Joinery &amp; Shop Fitters</v>
      </c>
      <c r="C1206" s="1" t="s">
        <v>28092</v>
      </c>
      <c r="F1206" s="1" t="s">
        <v>123</v>
      </c>
      <c r="H1206" s="1" t="s">
        <v>3553</v>
      </c>
      <c r="I1206" s="1" t="s">
        <v>5</v>
      </c>
      <c r="J1206" s="1" t="s">
        <v>6</v>
      </c>
      <c r="K1206" s="1" t="s">
        <v>24</v>
      </c>
      <c r="M1206" s="2">
        <v>43244</v>
      </c>
      <c r="N1206" s="1" t="s">
        <v>8</v>
      </c>
      <c r="O1206" s="2">
        <v>44340</v>
      </c>
    </row>
    <row r="1207" spans="1:15" ht="28.8" x14ac:dyDescent="0.3">
      <c r="A1207" s="1" t="s">
        <v>15939</v>
      </c>
      <c r="B1207" s="1" t="str">
        <f>"Peter Nicholas &amp; Sons LTD"</f>
        <v>Peter Nicholas &amp; Sons LTD</v>
      </c>
      <c r="C1207" s="1" t="s">
        <v>15940</v>
      </c>
      <c r="D1207" s="1" t="s">
        <v>15941</v>
      </c>
      <c r="E1207" s="1" t="s">
        <v>258</v>
      </c>
      <c r="F1207" s="1" t="s">
        <v>64</v>
      </c>
      <c r="H1207" s="1" t="s">
        <v>15480</v>
      </c>
      <c r="I1207" s="1" t="s">
        <v>19</v>
      </c>
      <c r="J1207" s="1" t="s">
        <v>6</v>
      </c>
      <c r="K1207" s="1" t="s">
        <v>24</v>
      </c>
      <c r="L1207" s="1">
        <v>5211439</v>
      </c>
      <c r="M1207" s="2">
        <v>43243</v>
      </c>
      <c r="N1207" s="1" t="s">
        <v>8</v>
      </c>
      <c r="O1207" s="2">
        <v>44339</v>
      </c>
    </row>
    <row r="1208" spans="1:15" x14ac:dyDescent="0.3">
      <c r="A1208" s="1" t="s">
        <v>15942</v>
      </c>
      <c r="B1208" s="1" t="str">
        <f>"SCS Aftercare LTD"</f>
        <v>SCS Aftercare LTD</v>
      </c>
      <c r="C1208" s="1" t="s">
        <v>15943</v>
      </c>
      <c r="D1208" s="1" t="s">
        <v>1010</v>
      </c>
      <c r="F1208" s="1" t="s">
        <v>8296</v>
      </c>
      <c r="H1208" s="1" t="s">
        <v>15944</v>
      </c>
      <c r="I1208" s="1" t="s">
        <v>19</v>
      </c>
      <c r="J1208" s="1" t="s">
        <v>6</v>
      </c>
      <c r="K1208" s="1" t="s">
        <v>24</v>
      </c>
      <c r="L1208" s="1">
        <v>6623728</v>
      </c>
      <c r="M1208" s="2">
        <v>43243</v>
      </c>
      <c r="N1208" s="1" t="s">
        <v>8</v>
      </c>
      <c r="O1208" s="2">
        <v>44339</v>
      </c>
    </row>
    <row r="1209" spans="1:15" ht="28.8" x14ac:dyDescent="0.3">
      <c r="A1209" s="1" t="s">
        <v>15945</v>
      </c>
      <c r="B1209" s="1" t="str">
        <f>"Melin Homes LTD"</f>
        <v>Melin Homes LTD</v>
      </c>
      <c r="C1209" s="1" t="s">
        <v>15946</v>
      </c>
      <c r="F1209" s="1" t="s">
        <v>1058</v>
      </c>
      <c r="H1209" s="1" t="s">
        <v>15947</v>
      </c>
      <c r="I1209" s="1" t="s">
        <v>125</v>
      </c>
      <c r="J1209" s="1" t="s">
        <v>6</v>
      </c>
      <c r="K1209" s="1" t="s">
        <v>24</v>
      </c>
      <c r="M1209" s="2">
        <v>43243</v>
      </c>
      <c r="N1209" s="1" t="s">
        <v>8</v>
      </c>
      <c r="O1209" s="2">
        <v>44339</v>
      </c>
    </row>
    <row r="1210" spans="1:15" ht="43.2" x14ac:dyDescent="0.3">
      <c r="A1210" s="1" t="s">
        <v>15948</v>
      </c>
      <c r="B1210" s="1" t="str">
        <f>"AGL Energy LTD"</f>
        <v>AGL Energy LTD</v>
      </c>
      <c r="C1210" s="1" t="s">
        <v>15949</v>
      </c>
      <c r="F1210" s="1" t="s">
        <v>665</v>
      </c>
      <c r="H1210" s="1" t="s">
        <v>15950</v>
      </c>
      <c r="I1210" s="1" t="s">
        <v>19</v>
      </c>
      <c r="J1210" s="1" t="s">
        <v>67</v>
      </c>
      <c r="K1210" s="1" t="s">
        <v>14</v>
      </c>
      <c r="M1210" s="2">
        <v>43243</v>
      </c>
      <c r="N1210" s="1" t="s">
        <v>8</v>
      </c>
      <c r="O1210" s="1" t="s">
        <v>68</v>
      </c>
    </row>
    <row r="1211" spans="1:15" ht="28.8" x14ac:dyDescent="0.3">
      <c r="A1211" s="1" t="s">
        <v>28088</v>
      </c>
      <c r="B1211" s="1" t="str">
        <f>"Jason Templeman Jason Templeman"</f>
        <v>Jason Templeman Jason Templeman</v>
      </c>
      <c r="C1211" s="1" t="s">
        <v>28089</v>
      </c>
      <c r="F1211" s="1" t="s">
        <v>123</v>
      </c>
      <c r="H1211" s="1" t="s">
        <v>28090</v>
      </c>
      <c r="I1211" s="1" t="s">
        <v>5</v>
      </c>
      <c r="J1211" s="1" t="s">
        <v>6</v>
      </c>
      <c r="K1211" s="1" t="s">
        <v>24</v>
      </c>
      <c r="M1211" s="2">
        <v>43243</v>
      </c>
      <c r="N1211" s="1" t="s">
        <v>8</v>
      </c>
      <c r="O1211" s="2">
        <v>44339</v>
      </c>
    </row>
    <row r="1212" spans="1:15" ht="28.8" x14ac:dyDescent="0.3">
      <c r="A1212" s="1" t="s">
        <v>15938</v>
      </c>
      <c r="B1212" s="1" t="str">
        <f>"Store Easy"</f>
        <v>Store Easy</v>
      </c>
      <c r="C1212" s="1" t="s">
        <v>13075</v>
      </c>
      <c r="F1212" s="1" t="s">
        <v>37</v>
      </c>
      <c r="H1212" s="1" t="s">
        <v>13076</v>
      </c>
      <c r="I1212" s="1" t="s">
        <v>125</v>
      </c>
      <c r="J1212" s="1" t="s">
        <v>6</v>
      </c>
      <c r="K1212" s="1" t="s">
        <v>24</v>
      </c>
      <c r="M1212" s="2">
        <v>43242</v>
      </c>
      <c r="N1212" s="1" t="s">
        <v>8</v>
      </c>
      <c r="O1212" s="2">
        <v>44338</v>
      </c>
    </row>
    <row r="1213" spans="1:15" ht="28.8" x14ac:dyDescent="0.3">
      <c r="A1213" s="1" t="s">
        <v>28079</v>
      </c>
      <c r="B1213" s="1" t="str">
        <f>"Nigel Phillips Mr Shift It"</f>
        <v>Nigel Phillips Mr Shift It</v>
      </c>
      <c r="C1213" s="1" t="s">
        <v>28080</v>
      </c>
      <c r="D1213" s="1" t="s">
        <v>3181</v>
      </c>
      <c r="F1213" s="1" t="s">
        <v>513</v>
      </c>
      <c r="H1213" s="1" t="s">
        <v>28081</v>
      </c>
      <c r="I1213" s="1" t="s">
        <v>5</v>
      </c>
      <c r="J1213" s="1" t="s">
        <v>6</v>
      </c>
      <c r="K1213" s="1" t="s">
        <v>34</v>
      </c>
      <c r="M1213" s="2">
        <v>43242</v>
      </c>
      <c r="N1213" s="1" t="s">
        <v>8</v>
      </c>
      <c r="O1213" s="2">
        <v>44338</v>
      </c>
    </row>
    <row r="1214" spans="1:15" ht="28.8" x14ac:dyDescent="0.3">
      <c r="A1214" s="1" t="s">
        <v>28082</v>
      </c>
      <c r="B1214" s="1" t="str">
        <f>"Keith Honeybun Llanelli Block Paving"</f>
        <v>Keith Honeybun Llanelli Block Paving</v>
      </c>
      <c r="C1214" s="1" t="s">
        <v>28083</v>
      </c>
      <c r="F1214" s="1" t="s">
        <v>42</v>
      </c>
      <c r="H1214" s="1" t="s">
        <v>28084</v>
      </c>
      <c r="I1214" s="1" t="s">
        <v>5</v>
      </c>
      <c r="J1214" s="1" t="s">
        <v>6</v>
      </c>
      <c r="K1214" s="1" t="s">
        <v>24</v>
      </c>
      <c r="M1214" s="2">
        <v>43242</v>
      </c>
      <c r="N1214" s="1" t="s">
        <v>8</v>
      </c>
      <c r="O1214" s="2">
        <v>44338</v>
      </c>
    </row>
    <row r="1215" spans="1:15" ht="28.8" x14ac:dyDescent="0.3">
      <c r="A1215" s="1" t="s">
        <v>28085</v>
      </c>
      <c r="B1215" s="1" t="str">
        <f>"Andrew Hill Andyman"</f>
        <v>Andrew Hill Andyman</v>
      </c>
      <c r="C1215" s="1" t="s">
        <v>28086</v>
      </c>
      <c r="F1215" s="1" t="s">
        <v>64</v>
      </c>
      <c r="H1215" s="1" t="s">
        <v>28087</v>
      </c>
      <c r="I1215" s="1" t="s">
        <v>5</v>
      </c>
      <c r="J1215" s="1" t="s">
        <v>6</v>
      </c>
      <c r="K1215" s="1" t="s">
        <v>24</v>
      </c>
      <c r="M1215" s="2">
        <v>43242</v>
      </c>
      <c r="N1215" s="1" t="s">
        <v>8</v>
      </c>
      <c r="O1215" s="2">
        <v>44338</v>
      </c>
    </row>
    <row r="1216" spans="1:15" x14ac:dyDescent="0.3">
      <c r="A1216" s="1" t="s">
        <v>14974</v>
      </c>
      <c r="B1216" s="1" t="str">
        <f>"P W Evans LTD"</f>
        <v>P W Evans LTD</v>
      </c>
      <c r="C1216" s="1" t="s">
        <v>14975</v>
      </c>
      <c r="F1216" s="1" t="s">
        <v>42</v>
      </c>
      <c r="H1216" s="1" t="s">
        <v>14976</v>
      </c>
      <c r="I1216" s="1" t="s">
        <v>19</v>
      </c>
      <c r="J1216" s="1" t="s">
        <v>6</v>
      </c>
      <c r="K1216" s="1" t="s">
        <v>24</v>
      </c>
      <c r="L1216" s="1">
        <v>8353918</v>
      </c>
      <c r="M1216" s="2">
        <v>43241</v>
      </c>
      <c r="N1216" s="1" t="s">
        <v>8</v>
      </c>
      <c r="O1216" s="2">
        <v>44337</v>
      </c>
    </row>
    <row r="1217" spans="1:15" ht="28.8" x14ac:dyDescent="0.3">
      <c r="A1217" s="1" t="s">
        <v>14977</v>
      </c>
      <c r="B1217" s="1" t="str">
        <f>"LCB Construction LTD"</f>
        <v>LCB Construction LTD</v>
      </c>
      <c r="C1217" s="1" t="s">
        <v>14978</v>
      </c>
      <c r="F1217" s="1" t="s">
        <v>123</v>
      </c>
      <c r="H1217" s="1" t="s">
        <v>14979</v>
      </c>
      <c r="I1217" s="1" t="s">
        <v>19</v>
      </c>
      <c r="J1217" s="1" t="s">
        <v>6</v>
      </c>
      <c r="K1217" s="1" t="s">
        <v>24</v>
      </c>
      <c r="L1217" s="1">
        <v>7966669</v>
      </c>
      <c r="M1217" s="2">
        <v>43241</v>
      </c>
      <c r="N1217" s="1" t="s">
        <v>8</v>
      </c>
      <c r="O1217" s="2">
        <v>44337</v>
      </c>
    </row>
    <row r="1218" spans="1:15" ht="28.8" x14ac:dyDescent="0.3">
      <c r="A1218" s="1" t="s">
        <v>28073</v>
      </c>
      <c r="B1218" s="1" t="str">
        <f>"Stan Field Stan Field Heating Engineer"</f>
        <v>Stan Field Stan Field Heating Engineer</v>
      </c>
      <c r="C1218" s="1" t="s">
        <v>28074</v>
      </c>
      <c r="F1218" s="1" t="s">
        <v>922</v>
      </c>
      <c r="H1218" s="1" t="s">
        <v>28075</v>
      </c>
      <c r="I1218" s="1" t="s">
        <v>5</v>
      </c>
      <c r="J1218" s="1" t="s">
        <v>6</v>
      </c>
      <c r="K1218" s="1" t="s">
        <v>24</v>
      </c>
      <c r="M1218" s="2">
        <v>43241</v>
      </c>
      <c r="N1218" s="1" t="s">
        <v>8</v>
      </c>
      <c r="O1218" s="2">
        <v>44337</v>
      </c>
    </row>
    <row r="1219" spans="1:15" ht="28.8" x14ac:dyDescent="0.3">
      <c r="A1219" s="1" t="s">
        <v>28076</v>
      </c>
      <c r="B1219" s="1" t="str">
        <f>"Paul Hayhurst Paul Hayhurst"</f>
        <v>Paul Hayhurst Paul Hayhurst</v>
      </c>
      <c r="C1219" s="1" t="s">
        <v>28077</v>
      </c>
      <c r="F1219" s="1" t="s">
        <v>4105</v>
      </c>
      <c r="H1219" s="1" t="s">
        <v>28078</v>
      </c>
      <c r="I1219" s="1" t="s">
        <v>5</v>
      </c>
      <c r="J1219" s="1" t="s">
        <v>6</v>
      </c>
      <c r="K1219" s="1" t="s">
        <v>34</v>
      </c>
      <c r="M1219" s="2">
        <v>43241</v>
      </c>
      <c r="N1219" s="1" t="s">
        <v>8</v>
      </c>
      <c r="O1219" s="2">
        <v>44337</v>
      </c>
    </row>
    <row r="1220" spans="1:15" ht="28.8" x14ac:dyDescent="0.3">
      <c r="A1220" s="1" t="s">
        <v>27300</v>
      </c>
      <c r="B1220" s="1" t="str">
        <f>"Anthony Thickett A P Grab Services"</f>
        <v>Anthony Thickett A P Grab Services</v>
      </c>
      <c r="C1220" s="1" t="s">
        <v>27301</v>
      </c>
      <c r="D1220" s="1" t="s">
        <v>27302</v>
      </c>
      <c r="F1220" s="1" t="s">
        <v>140</v>
      </c>
      <c r="H1220" s="1" t="s">
        <v>27303</v>
      </c>
      <c r="I1220" s="1" t="s">
        <v>5</v>
      </c>
      <c r="J1220" s="1" t="s">
        <v>6</v>
      </c>
      <c r="K1220" s="1" t="s">
        <v>34</v>
      </c>
      <c r="M1220" s="2">
        <v>43238</v>
      </c>
      <c r="N1220" s="1" t="s">
        <v>8</v>
      </c>
      <c r="O1220" s="2">
        <v>44334</v>
      </c>
    </row>
    <row r="1221" spans="1:15" ht="43.2" x14ac:dyDescent="0.3">
      <c r="A1221" s="1" t="s">
        <v>27304</v>
      </c>
      <c r="B1221" s="1" t="str">
        <f>"David Bennett"</f>
        <v>David Bennett</v>
      </c>
      <c r="C1221" s="1" t="s">
        <v>27305</v>
      </c>
      <c r="D1221" s="1" t="s">
        <v>27134</v>
      </c>
      <c r="F1221" s="1" t="s">
        <v>42</v>
      </c>
      <c r="H1221" s="1" t="s">
        <v>27306</v>
      </c>
      <c r="I1221" s="1" t="s">
        <v>5</v>
      </c>
      <c r="J1221" s="1" t="s">
        <v>67</v>
      </c>
      <c r="K1221" s="1" t="s">
        <v>14</v>
      </c>
      <c r="M1221" s="2">
        <v>43238</v>
      </c>
      <c r="N1221" s="1" t="s">
        <v>8</v>
      </c>
      <c r="O1221" s="1" t="s">
        <v>68</v>
      </c>
    </row>
    <row r="1222" spans="1:15" ht="28.8" x14ac:dyDescent="0.3">
      <c r="A1222" s="1" t="s">
        <v>27307</v>
      </c>
      <c r="B1222" s="1" t="str">
        <f>"Gerald Kenealy Blue Elephant"</f>
        <v>Gerald Kenealy Blue Elephant</v>
      </c>
      <c r="C1222" s="1" t="s">
        <v>27308</v>
      </c>
      <c r="F1222" s="1" t="s">
        <v>64</v>
      </c>
      <c r="H1222" s="1" t="s">
        <v>27309</v>
      </c>
      <c r="I1222" s="1" t="s">
        <v>5</v>
      </c>
      <c r="J1222" s="1" t="s">
        <v>6</v>
      </c>
      <c r="K1222" s="1" t="s">
        <v>34</v>
      </c>
      <c r="M1222" s="2">
        <v>43238</v>
      </c>
      <c r="N1222" s="1" t="s">
        <v>8</v>
      </c>
      <c r="O1222" s="2">
        <v>44334</v>
      </c>
    </row>
    <row r="1223" spans="1:15" ht="43.2" x14ac:dyDescent="0.3">
      <c r="A1223" s="1" t="s">
        <v>27310</v>
      </c>
      <c r="B1223" s="1" t="str">
        <f>"Richard Paton Swanbridge Property Maintenance"</f>
        <v>Richard Paton Swanbridge Property Maintenance</v>
      </c>
      <c r="C1223" s="1" t="s">
        <v>27311</v>
      </c>
      <c r="D1223" s="1" t="s">
        <v>929</v>
      </c>
      <c r="F1223" s="1" t="s">
        <v>930</v>
      </c>
      <c r="H1223" s="1" t="s">
        <v>27312</v>
      </c>
      <c r="I1223" s="1" t="s">
        <v>5</v>
      </c>
      <c r="J1223" s="1" t="s">
        <v>6</v>
      </c>
      <c r="K1223" s="1" t="s">
        <v>24</v>
      </c>
      <c r="M1223" s="2">
        <v>43238</v>
      </c>
      <c r="N1223" s="1" t="s">
        <v>8</v>
      </c>
      <c r="O1223" s="2">
        <v>44334</v>
      </c>
    </row>
    <row r="1224" spans="1:15" ht="43.2" x14ac:dyDescent="0.3">
      <c r="A1224" s="1" t="s">
        <v>14967</v>
      </c>
      <c r="B1224" s="1" t="str">
        <f>"John Roberts a'i Fab"</f>
        <v>John Roberts a'i Fab</v>
      </c>
      <c r="C1224" s="1" t="s">
        <v>14968</v>
      </c>
      <c r="F1224" s="1" t="s">
        <v>480</v>
      </c>
      <c r="H1224" s="1" t="s">
        <v>14969</v>
      </c>
      <c r="I1224" s="1" t="s">
        <v>125</v>
      </c>
      <c r="J1224" s="1" t="s">
        <v>67</v>
      </c>
      <c r="K1224" s="1" t="s">
        <v>14</v>
      </c>
      <c r="M1224" s="2">
        <v>43237</v>
      </c>
      <c r="N1224" s="1" t="s">
        <v>8</v>
      </c>
      <c r="O1224" s="1" t="s">
        <v>68</v>
      </c>
    </row>
    <row r="1225" spans="1:15" ht="28.8" x14ac:dyDescent="0.3">
      <c r="A1225" s="1" t="s">
        <v>14970</v>
      </c>
      <c r="B1225" s="1" t="str">
        <f>"All Waste Services"</f>
        <v>All Waste Services</v>
      </c>
      <c r="C1225" s="1" t="s">
        <v>14971</v>
      </c>
      <c r="D1225" s="1" t="s">
        <v>702</v>
      </c>
      <c r="F1225" s="1" t="s">
        <v>64</v>
      </c>
      <c r="H1225" s="1" t="s">
        <v>703</v>
      </c>
      <c r="I1225" s="1" t="s">
        <v>19</v>
      </c>
      <c r="J1225" s="1" t="s">
        <v>6</v>
      </c>
      <c r="K1225" s="1" t="s">
        <v>24</v>
      </c>
      <c r="L1225" s="1">
        <v>4359925</v>
      </c>
      <c r="M1225" s="2">
        <v>43237</v>
      </c>
      <c r="N1225" s="1" t="s">
        <v>8</v>
      </c>
      <c r="O1225" s="2">
        <v>44333</v>
      </c>
    </row>
    <row r="1226" spans="1:15" ht="28.8" x14ac:dyDescent="0.3">
      <c r="A1226" s="1" t="s">
        <v>14972</v>
      </c>
      <c r="B1226" s="1" t="str">
        <f>"Tugbury LTD"</f>
        <v>Tugbury LTD</v>
      </c>
      <c r="C1226" s="1" t="s">
        <v>14973</v>
      </c>
      <c r="D1226" s="1" t="s">
        <v>3028</v>
      </c>
      <c r="E1226" s="1" t="s">
        <v>3029</v>
      </c>
      <c r="F1226" s="1" t="s">
        <v>277</v>
      </c>
      <c r="H1226" s="1" t="s">
        <v>3030</v>
      </c>
      <c r="I1226" s="1" t="s">
        <v>19</v>
      </c>
      <c r="J1226" s="1" t="s">
        <v>6</v>
      </c>
      <c r="K1226" s="1" t="s">
        <v>34</v>
      </c>
      <c r="L1226" s="1">
        <v>4078091</v>
      </c>
      <c r="M1226" s="2">
        <v>43237</v>
      </c>
      <c r="N1226" s="1" t="s">
        <v>8</v>
      </c>
      <c r="O1226" s="2">
        <v>44333</v>
      </c>
    </row>
    <row r="1227" spans="1:15" ht="43.2" x14ac:dyDescent="0.3">
      <c r="A1227" s="1" t="s">
        <v>27286</v>
      </c>
      <c r="B1227" s="1" t="str">
        <f>"Sean Seddon"</f>
        <v>Sean Seddon</v>
      </c>
      <c r="C1227" s="1" t="s">
        <v>27287</v>
      </c>
      <c r="D1227" s="1" t="s">
        <v>12790</v>
      </c>
      <c r="F1227" s="1" t="s">
        <v>720</v>
      </c>
      <c r="H1227" s="1" t="s">
        <v>12791</v>
      </c>
      <c r="I1227" s="1" t="s">
        <v>5</v>
      </c>
      <c r="J1227" s="1" t="s">
        <v>67</v>
      </c>
      <c r="K1227" s="1" t="s">
        <v>14</v>
      </c>
      <c r="M1227" s="2">
        <v>43237</v>
      </c>
      <c r="N1227" s="1" t="s">
        <v>8</v>
      </c>
      <c r="O1227" s="1" t="s">
        <v>68</v>
      </c>
    </row>
    <row r="1228" spans="1:15" ht="43.2" x14ac:dyDescent="0.3">
      <c r="A1228" s="1" t="s">
        <v>27288</v>
      </c>
      <c r="B1228" s="1" t="str">
        <f>"David Ling"</f>
        <v>David Ling</v>
      </c>
      <c r="C1228" s="1" t="s">
        <v>27289</v>
      </c>
      <c r="F1228" s="1" t="s">
        <v>64</v>
      </c>
      <c r="H1228" s="1" t="s">
        <v>27290</v>
      </c>
      <c r="I1228" s="1" t="s">
        <v>5</v>
      </c>
      <c r="J1228" s="1" t="s">
        <v>67</v>
      </c>
      <c r="K1228" s="1" t="s">
        <v>14</v>
      </c>
      <c r="M1228" s="2">
        <v>43237</v>
      </c>
      <c r="N1228" s="1" t="s">
        <v>8</v>
      </c>
      <c r="O1228" s="1" t="s">
        <v>68</v>
      </c>
    </row>
    <row r="1229" spans="1:15" ht="43.2" x14ac:dyDescent="0.3">
      <c r="A1229" s="1" t="s">
        <v>27291</v>
      </c>
      <c r="B1229" s="1" t="str">
        <f>"Brian Roberts"</f>
        <v>Brian Roberts</v>
      </c>
      <c r="C1229" s="1" t="s">
        <v>27292</v>
      </c>
      <c r="F1229" s="1" t="s">
        <v>56</v>
      </c>
      <c r="H1229" s="1" t="s">
        <v>27293</v>
      </c>
      <c r="I1229" s="1" t="s">
        <v>5</v>
      </c>
      <c r="J1229" s="1" t="s">
        <v>67</v>
      </c>
      <c r="K1229" s="1" t="s">
        <v>14</v>
      </c>
      <c r="M1229" s="2">
        <v>43237</v>
      </c>
      <c r="N1229" s="1" t="s">
        <v>8</v>
      </c>
      <c r="O1229" s="1" t="s">
        <v>68</v>
      </c>
    </row>
    <row r="1230" spans="1:15" ht="28.8" x14ac:dyDescent="0.3">
      <c r="A1230" s="1" t="s">
        <v>27294</v>
      </c>
      <c r="B1230" s="1" t="str">
        <f>"Robert Chidlow R E Chidlow Builders"</f>
        <v>Robert Chidlow R E Chidlow Builders</v>
      </c>
      <c r="C1230" s="1" t="s">
        <v>27295</v>
      </c>
      <c r="F1230" s="1" t="s">
        <v>102</v>
      </c>
      <c r="H1230" s="1" t="s">
        <v>27296</v>
      </c>
      <c r="I1230" s="1" t="s">
        <v>5</v>
      </c>
      <c r="J1230" s="1" t="s">
        <v>6</v>
      </c>
      <c r="K1230" s="1" t="s">
        <v>24</v>
      </c>
      <c r="M1230" s="2">
        <v>43237</v>
      </c>
      <c r="N1230" s="1" t="s">
        <v>8</v>
      </c>
      <c r="O1230" s="2">
        <v>44333</v>
      </c>
    </row>
    <row r="1231" spans="1:15" ht="28.8" x14ac:dyDescent="0.3">
      <c r="A1231" s="1" t="s">
        <v>27297</v>
      </c>
      <c r="B1231" s="1" t="str">
        <f>"Meirion Jones Meirion Jones Landscapes"</f>
        <v>Meirion Jones Meirion Jones Landscapes</v>
      </c>
      <c r="C1231" s="1" t="s">
        <v>27298</v>
      </c>
      <c r="F1231" s="1" t="s">
        <v>374</v>
      </c>
      <c r="H1231" s="1" t="s">
        <v>27299</v>
      </c>
      <c r="I1231" s="1" t="s">
        <v>5</v>
      </c>
      <c r="J1231" s="1" t="s">
        <v>6</v>
      </c>
      <c r="K1231" s="1" t="s">
        <v>34</v>
      </c>
      <c r="M1231" s="2">
        <v>43237</v>
      </c>
      <c r="N1231" s="1" t="s">
        <v>8</v>
      </c>
      <c r="O1231" s="2">
        <v>44333</v>
      </c>
    </row>
    <row r="1232" spans="1:15" ht="43.2" x14ac:dyDescent="0.3">
      <c r="A1232" s="1" t="s">
        <v>14106</v>
      </c>
      <c r="B1232" s="1" t="str">
        <f>"Radnor Hills Mineral Water Company"</f>
        <v>Radnor Hills Mineral Water Company</v>
      </c>
      <c r="C1232" s="1" t="s">
        <v>14107</v>
      </c>
      <c r="F1232" s="1" t="s">
        <v>162</v>
      </c>
      <c r="H1232" s="1" t="s">
        <v>1987</v>
      </c>
      <c r="I1232" s="1" t="s">
        <v>19</v>
      </c>
      <c r="J1232" s="1" t="s">
        <v>67</v>
      </c>
      <c r="K1232" s="1" t="s">
        <v>14</v>
      </c>
      <c r="M1232" s="2">
        <v>43236</v>
      </c>
      <c r="N1232" s="1" t="s">
        <v>8</v>
      </c>
      <c r="O1232" s="1" t="s">
        <v>68</v>
      </c>
    </row>
    <row r="1233" spans="1:15" ht="28.8" x14ac:dyDescent="0.3">
      <c r="A1233" s="1" t="s">
        <v>14108</v>
      </c>
      <c r="B1233" s="1" t="str">
        <f>"LMG Home Improvements"</f>
        <v>LMG Home Improvements</v>
      </c>
      <c r="C1233" s="1" t="s">
        <v>14109</v>
      </c>
      <c r="F1233" s="1" t="s">
        <v>32</v>
      </c>
      <c r="H1233" s="1" t="s">
        <v>14110</v>
      </c>
      <c r="I1233" s="1" t="s">
        <v>19</v>
      </c>
      <c r="J1233" s="1" t="s">
        <v>6</v>
      </c>
      <c r="K1233" s="1" t="s">
        <v>24</v>
      </c>
      <c r="L1233" s="1">
        <v>10032861</v>
      </c>
      <c r="M1233" s="2">
        <v>43236</v>
      </c>
      <c r="N1233" s="1" t="s">
        <v>8</v>
      </c>
      <c r="O1233" s="2">
        <v>44332</v>
      </c>
    </row>
    <row r="1234" spans="1:15" ht="28.8" x14ac:dyDescent="0.3">
      <c r="A1234" s="1" t="s">
        <v>14111</v>
      </c>
      <c r="B1234" s="1" t="str">
        <f>"M Landscape UK Contractors Limited"</f>
        <v>M Landscape UK Contractors Limited</v>
      </c>
      <c r="C1234" s="1" t="s">
        <v>14112</v>
      </c>
      <c r="F1234" s="1" t="s">
        <v>2686</v>
      </c>
      <c r="H1234" s="1" t="s">
        <v>14113</v>
      </c>
      <c r="I1234" s="1" t="s">
        <v>19</v>
      </c>
      <c r="J1234" s="1" t="s">
        <v>6</v>
      </c>
      <c r="K1234" s="1" t="s">
        <v>24</v>
      </c>
      <c r="L1234" s="1">
        <v>11234074</v>
      </c>
      <c r="M1234" s="2">
        <v>43236</v>
      </c>
      <c r="N1234" s="1" t="s">
        <v>8</v>
      </c>
      <c r="O1234" s="2">
        <v>44332</v>
      </c>
    </row>
    <row r="1235" spans="1:15" ht="28.8" x14ac:dyDescent="0.3">
      <c r="A1235" s="1" t="s">
        <v>14114</v>
      </c>
      <c r="B1235" s="1" t="str">
        <f>"Once Source Building"</f>
        <v>Once Source Building</v>
      </c>
      <c r="C1235" s="1" t="s">
        <v>14115</v>
      </c>
      <c r="D1235" s="1" t="s">
        <v>611</v>
      </c>
      <c r="F1235" s="1" t="s">
        <v>64</v>
      </c>
      <c r="H1235" s="1" t="s">
        <v>14116</v>
      </c>
      <c r="I1235" s="1" t="s">
        <v>19</v>
      </c>
      <c r="J1235" s="1" t="s">
        <v>6</v>
      </c>
      <c r="K1235" s="1" t="s">
        <v>24</v>
      </c>
      <c r="L1235" s="1">
        <v>7779881</v>
      </c>
      <c r="M1235" s="2">
        <v>43236</v>
      </c>
      <c r="N1235" s="1" t="s">
        <v>8</v>
      </c>
      <c r="O1235" s="2">
        <v>44332</v>
      </c>
    </row>
    <row r="1236" spans="1:15" ht="28.8" x14ac:dyDescent="0.3">
      <c r="A1236" s="1" t="s">
        <v>26481</v>
      </c>
      <c r="B1236" s="1" t="str">
        <f>"Panagiotis Ampeliotis Ikarus Removals"</f>
        <v>Panagiotis Ampeliotis Ikarus Removals</v>
      </c>
      <c r="C1236" s="1" t="s">
        <v>26482</v>
      </c>
      <c r="F1236" s="1" t="s">
        <v>5409</v>
      </c>
      <c r="H1236" s="1" t="s">
        <v>26483</v>
      </c>
      <c r="I1236" s="1" t="s">
        <v>5</v>
      </c>
      <c r="J1236" s="1" t="s">
        <v>6</v>
      </c>
      <c r="K1236" s="1" t="s">
        <v>34</v>
      </c>
      <c r="M1236" s="2">
        <v>43236</v>
      </c>
      <c r="N1236" s="1" t="s">
        <v>8</v>
      </c>
      <c r="O1236" s="2">
        <v>44332</v>
      </c>
    </row>
    <row r="1237" spans="1:15" ht="43.2" x14ac:dyDescent="0.3">
      <c r="A1237" s="1" t="s">
        <v>26484</v>
      </c>
      <c r="B1237" s="1" t="str">
        <f>"David Hanson"</f>
        <v>David Hanson</v>
      </c>
      <c r="C1237" s="1" t="s">
        <v>26485</v>
      </c>
      <c r="F1237" s="1" t="s">
        <v>2686</v>
      </c>
      <c r="H1237" s="1" t="s">
        <v>26486</v>
      </c>
      <c r="I1237" s="1" t="s">
        <v>5</v>
      </c>
      <c r="J1237" s="1" t="s">
        <v>67</v>
      </c>
      <c r="K1237" s="1" t="s">
        <v>14</v>
      </c>
      <c r="M1237" s="2">
        <v>43236</v>
      </c>
      <c r="N1237" s="1" t="s">
        <v>8</v>
      </c>
      <c r="O1237" s="1" t="s">
        <v>68</v>
      </c>
    </row>
    <row r="1238" spans="1:15" ht="28.8" x14ac:dyDescent="0.3">
      <c r="A1238" s="1" t="s">
        <v>14096</v>
      </c>
      <c r="B1238" s="1" t="str">
        <f>"Alaska Recycling LTD"</f>
        <v>Alaska Recycling LTD</v>
      </c>
      <c r="C1238" s="1" t="s">
        <v>14097</v>
      </c>
      <c r="F1238" s="1" t="s">
        <v>277</v>
      </c>
      <c r="H1238" s="1" t="s">
        <v>14098</v>
      </c>
      <c r="I1238" s="1" t="s">
        <v>19</v>
      </c>
      <c r="J1238" s="1" t="s">
        <v>6</v>
      </c>
      <c r="K1238" s="1" t="s">
        <v>34</v>
      </c>
      <c r="L1238" s="1">
        <v>11327125</v>
      </c>
      <c r="M1238" s="2">
        <v>43235</v>
      </c>
      <c r="N1238" s="1" t="s">
        <v>8</v>
      </c>
      <c r="O1238" s="2">
        <v>44331</v>
      </c>
    </row>
    <row r="1239" spans="1:15" x14ac:dyDescent="0.3">
      <c r="A1239" s="1" t="s">
        <v>14099</v>
      </c>
      <c r="B1239" s="1" t="str">
        <f>"Grab a Load LTD"</f>
        <v>Grab a Load LTD</v>
      </c>
      <c r="C1239" s="1" t="s">
        <v>14100</v>
      </c>
      <c r="D1239" s="1" t="s">
        <v>14101</v>
      </c>
      <c r="F1239" s="1" t="s">
        <v>102</v>
      </c>
      <c r="H1239" s="1" t="s">
        <v>14102</v>
      </c>
      <c r="I1239" s="1" t="s">
        <v>19</v>
      </c>
      <c r="J1239" s="1" t="s">
        <v>6</v>
      </c>
      <c r="K1239" s="1" t="s">
        <v>24</v>
      </c>
      <c r="L1239" s="1">
        <v>11141441</v>
      </c>
      <c r="M1239" s="2">
        <v>43235</v>
      </c>
      <c r="N1239" s="1" t="s">
        <v>8</v>
      </c>
      <c r="O1239" s="2">
        <v>44331</v>
      </c>
    </row>
    <row r="1240" spans="1:15" ht="28.8" x14ac:dyDescent="0.3">
      <c r="A1240" s="1" t="s">
        <v>14103</v>
      </c>
      <c r="B1240" s="1" t="str">
        <f>"Reliance Cleaning Solutions LTD"</f>
        <v>Reliance Cleaning Solutions LTD</v>
      </c>
      <c r="C1240" s="1" t="s">
        <v>14104</v>
      </c>
      <c r="F1240" s="1" t="s">
        <v>32</v>
      </c>
      <c r="H1240" s="1" t="s">
        <v>14105</v>
      </c>
      <c r="I1240" s="1" t="s">
        <v>19</v>
      </c>
      <c r="J1240" s="1" t="s">
        <v>6</v>
      </c>
      <c r="K1240" s="1" t="s">
        <v>34</v>
      </c>
      <c r="L1240" s="1">
        <v>11320954</v>
      </c>
      <c r="M1240" s="2">
        <v>43235</v>
      </c>
      <c r="N1240" s="1" t="s">
        <v>8</v>
      </c>
      <c r="O1240" s="2">
        <v>44331</v>
      </c>
    </row>
    <row r="1241" spans="1:15" ht="28.8" x14ac:dyDescent="0.3">
      <c r="A1241" s="1" t="s">
        <v>26473</v>
      </c>
      <c r="B1241" s="1" t="str">
        <f>"Owen Roberts Llew Williams &amp; Son"</f>
        <v>Owen Roberts Llew Williams &amp; Son</v>
      </c>
      <c r="C1241" s="1" t="s">
        <v>26474</v>
      </c>
      <c r="F1241" s="1" t="s">
        <v>678</v>
      </c>
      <c r="H1241" s="1" t="s">
        <v>26475</v>
      </c>
      <c r="I1241" s="1" t="s">
        <v>5</v>
      </c>
      <c r="J1241" s="1" t="s">
        <v>6</v>
      </c>
      <c r="K1241" s="1" t="s">
        <v>24</v>
      </c>
      <c r="M1241" s="2">
        <v>43235</v>
      </c>
      <c r="N1241" s="1" t="s">
        <v>8</v>
      </c>
      <c r="O1241" s="2">
        <v>44331</v>
      </c>
    </row>
    <row r="1242" spans="1:15" ht="28.8" x14ac:dyDescent="0.3">
      <c r="A1242" s="1" t="s">
        <v>26476</v>
      </c>
      <c r="B1242" s="1" t="str">
        <f>"Ceirion Norris Ultimate Security Doors"</f>
        <v>Ceirion Norris Ultimate Security Doors</v>
      </c>
      <c r="C1242" s="1" t="s">
        <v>26477</v>
      </c>
      <c r="D1242" s="1" t="s">
        <v>457</v>
      </c>
      <c r="F1242" s="1" t="s">
        <v>15679</v>
      </c>
      <c r="H1242" s="1" t="s">
        <v>9778</v>
      </c>
      <c r="I1242" s="1" t="s">
        <v>5</v>
      </c>
      <c r="J1242" s="1" t="s">
        <v>6</v>
      </c>
      <c r="K1242" s="1" t="s">
        <v>24</v>
      </c>
      <c r="M1242" s="2">
        <v>43235</v>
      </c>
      <c r="N1242" s="1" t="s">
        <v>8</v>
      </c>
      <c r="O1242" s="2">
        <v>44331</v>
      </c>
    </row>
    <row r="1243" spans="1:15" ht="28.8" x14ac:dyDescent="0.3">
      <c r="A1243" s="1" t="s">
        <v>26478</v>
      </c>
      <c r="B1243" s="1" t="str">
        <f>"Ben Tickle Tickles Joinery"</f>
        <v>Ben Tickle Tickles Joinery</v>
      </c>
      <c r="C1243" s="1" t="s">
        <v>26479</v>
      </c>
      <c r="F1243" s="1" t="s">
        <v>10970</v>
      </c>
      <c r="H1243" s="1" t="s">
        <v>26480</v>
      </c>
      <c r="I1243" s="1" t="s">
        <v>5</v>
      </c>
      <c r="J1243" s="1" t="s">
        <v>6</v>
      </c>
      <c r="K1243" s="1" t="s">
        <v>34</v>
      </c>
      <c r="M1243" s="2">
        <v>43235</v>
      </c>
      <c r="N1243" s="1" t="s">
        <v>8</v>
      </c>
      <c r="O1243" s="2">
        <v>44331</v>
      </c>
    </row>
    <row r="1244" spans="1:15" ht="28.8" x14ac:dyDescent="0.3">
      <c r="A1244" s="1" t="s">
        <v>30358</v>
      </c>
      <c r="B1244" s="1" t="str">
        <f>"Evergreen Waste Management"</f>
        <v>Evergreen Waste Management</v>
      </c>
      <c r="C1244" s="1" t="s">
        <v>30359</v>
      </c>
      <c r="F1244" s="1" t="s">
        <v>230</v>
      </c>
      <c r="H1244" s="1" t="s">
        <v>30360</v>
      </c>
      <c r="I1244" s="1" t="s">
        <v>19</v>
      </c>
      <c r="J1244" s="1" t="s">
        <v>6</v>
      </c>
      <c r="K1244" s="1" t="s">
        <v>34</v>
      </c>
      <c r="L1244" s="1">
        <v>9245501</v>
      </c>
      <c r="M1244" s="2">
        <v>43235</v>
      </c>
      <c r="N1244" s="1" t="s">
        <v>8</v>
      </c>
      <c r="O1244" s="2">
        <v>44322</v>
      </c>
    </row>
    <row r="1245" spans="1:15" x14ac:dyDescent="0.3">
      <c r="A1245" s="1" t="s">
        <v>13129</v>
      </c>
      <c r="B1245" s="1" t="str">
        <f>"South Wales Stairlifts"</f>
        <v>South Wales Stairlifts</v>
      </c>
      <c r="C1245" s="1" t="s">
        <v>12504</v>
      </c>
      <c r="F1245" s="1" t="s">
        <v>123</v>
      </c>
      <c r="H1245" s="1" t="s">
        <v>12505</v>
      </c>
      <c r="I1245" s="1" t="s">
        <v>19</v>
      </c>
      <c r="J1245" s="1" t="s">
        <v>6</v>
      </c>
      <c r="K1245" s="1" t="s">
        <v>24</v>
      </c>
      <c r="L1245" s="1">
        <v>7586000</v>
      </c>
      <c r="M1245" s="2">
        <v>43234</v>
      </c>
      <c r="N1245" s="1" t="s">
        <v>8</v>
      </c>
      <c r="O1245" s="2">
        <v>44330</v>
      </c>
    </row>
    <row r="1246" spans="1:15" ht="28.8" x14ac:dyDescent="0.3">
      <c r="A1246" s="1" t="s">
        <v>14093</v>
      </c>
      <c r="B1246" s="1" t="str">
        <f>"Treecycling Limited"</f>
        <v>Treecycling Limited</v>
      </c>
      <c r="C1246" s="1" t="s">
        <v>14094</v>
      </c>
      <c r="D1246" s="1" t="s">
        <v>3992</v>
      </c>
      <c r="F1246" s="1" t="s">
        <v>666</v>
      </c>
      <c r="H1246" s="1" t="s">
        <v>14095</v>
      </c>
      <c r="I1246" s="1" t="s">
        <v>19</v>
      </c>
      <c r="J1246" s="1" t="s">
        <v>6</v>
      </c>
      <c r="K1246" s="1" t="s">
        <v>34</v>
      </c>
      <c r="L1246" s="1">
        <v>11344327</v>
      </c>
      <c r="M1246" s="2">
        <v>43234</v>
      </c>
      <c r="N1246" s="1" t="s">
        <v>8</v>
      </c>
      <c r="O1246" s="2">
        <v>44330</v>
      </c>
    </row>
    <row r="1247" spans="1:15" ht="28.8" x14ac:dyDescent="0.3">
      <c r="A1247" s="1" t="s">
        <v>25731</v>
      </c>
      <c r="B1247" s="1" t="str">
        <f>"James Hook James Hook"</f>
        <v>James Hook James Hook</v>
      </c>
      <c r="C1247" s="1" t="s">
        <v>25732</v>
      </c>
      <c r="D1247" s="1" t="s">
        <v>1005</v>
      </c>
      <c r="F1247" s="1" t="s">
        <v>32</v>
      </c>
      <c r="H1247" s="1" t="s">
        <v>25733</v>
      </c>
      <c r="I1247" s="1" t="s">
        <v>5</v>
      </c>
      <c r="J1247" s="1" t="s">
        <v>6</v>
      </c>
      <c r="K1247" s="1" t="s">
        <v>24</v>
      </c>
      <c r="M1247" s="2">
        <v>43234</v>
      </c>
      <c r="N1247" s="1" t="s">
        <v>8</v>
      </c>
      <c r="O1247" s="2">
        <v>44330</v>
      </c>
    </row>
    <row r="1248" spans="1:15" ht="43.2" x14ac:dyDescent="0.3">
      <c r="A1248" s="1" t="s">
        <v>26470</v>
      </c>
      <c r="B1248" s="1" t="str">
        <f>"Charles Thomas"</f>
        <v>Charles Thomas</v>
      </c>
      <c r="C1248" s="1" t="s">
        <v>26471</v>
      </c>
      <c r="F1248" s="1" t="s">
        <v>123</v>
      </c>
      <c r="H1248" s="1" t="s">
        <v>26472</v>
      </c>
      <c r="I1248" s="1" t="s">
        <v>5</v>
      </c>
      <c r="J1248" s="1" t="s">
        <v>67</v>
      </c>
      <c r="K1248" s="1" t="s">
        <v>14</v>
      </c>
      <c r="M1248" s="2">
        <v>43234</v>
      </c>
      <c r="N1248" s="1" t="s">
        <v>8</v>
      </c>
      <c r="O1248" s="1" t="s">
        <v>68</v>
      </c>
    </row>
    <row r="1249" spans="1:15" ht="43.2" x14ac:dyDescent="0.3">
      <c r="A1249" s="1" t="s">
        <v>13120</v>
      </c>
      <c r="B1249" s="1" t="str">
        <f>"Elite Paper Solutions"</f>
        <v>Elite Paper Solutions</v>
      </c>
      <c r="C1249" s="1" t="s">
        <v>13121</v>
      </c>
      <c r="D1249" s="1" t="s">
        <v>738</v>
      </c>
      <c r="F1249" s="1" t="s">
        <v>556</v>
      </c>
      <c r="H1249" s="1" t="s">
        <v>740</v>
      </c>
      <c r="I1249" s="1" t="s">
        <v>125</v>
      </c>
      <c r="J1249" s="1" t="s">
        <v>67</v>
      </c>
      <c r="K1249" s="1" t="s">
        <v>14</v>
      </c>
      <c r="M1249" s="2">
        <v>43231</v>
      </c>
      <c r="N1249" s="1" t="s">
        <v>8</v>
      </c>
      <c r="O1249" s="1" t="s">
        <v>68</v>
      </c>
    </row>
    <row r="1250" spans="1:15" ht="43.2" x14ac:dyDescent="0.3">
      <c r="A1250" s="1" t="s">
        <v>13122</v>
      </c>
      <c r="B1250" s="1" t="str">
        <f>"Pallett Recycling South Wales"</f>
        <v>Pallett Recycling South Wales</v>
      </c>
      <c r="C1250" s="1" t="s">
        <v>13123</v>
      </c>
      <c r="D1250" s="1" t="s">
        <v>13124</v>
      </c>
      <c r="F1250" s="1" t="s">
        <v>6400</v>
      </c>
      <c r="H1250" s="1" t="s">
        <v>13125</v>
      </c>
      <c r="I1250" s="1" t="s">
        <v>19</v>
      </c>
      <c r="J1250" s="1" t="s">
        <v>67</v>
      </c>
      <c r="K1250" s="1" t="s">
        <v>14</v>
      </c>
      <c r="M1250" s="2">
        <v>43231</v>
      </c>
      <c r="N1250" s="1" t="s">
        <v>8</v>
      </c>
      <c r="O1250" s="1" t="s">
        <v>68</v>
      </c>
    </row>
    <row r="1251" spans="1:15" x14ac:dyDescent="0.3">
      <c r="A1251" s="1" t="s">
        <v>13126</v>
      </c>
      <c r="B1251" s="1" t="str">
        <f>"Diamondpak LTD"</f>
        <v>Diamondpak LTD</v>
      </c>
      <c r="C1251" s="1" t="s">
        <v>13127</v>
      </c>
      <c r="F1251" s="1" t="s">
        <v>1058</v>
      </c>
      <c r="H1251" s="1" t="s">
        <v>13128</v>
      </c>
      <c r="I1251" s="1" t="s">
        <v>19</v>
      </c>
      <c r="J1251" s="1" t="s">
        <v>6</v>
      </c>
      <c r="K1251" s="1" t="s">
        <v>24</v>
      </c>
      <c r="L1251" s="1">
        <v>6224800</v>
      </c>
      <c r="M1251" s="2">
        <v>43231</v>
      </c>
      <c r="N1251" s="1" t="s">
        <v>8</v>
      </c>
      <c r="O1251" s="2">
        <v>44327</v>
      </c>
    </row>
    <row r="1252" spans="1:15" ht="43.2" x14ac:dyDescent="0.3">
      <c r="A1252" s="1" t="s">
        <v>25723</v>
      </c>
      <c r="B1252" s="1" t="str">
        <f>"Adam Wilde"</f>
        <v>Adam Wilde</v>
      </c>
      <c r="C1252" s="1" t="s">
        <v>25724</v>
      </c>
      <c r="F1252" s="1" t="s">
        <v>790</v>
      </c>
      <c r="H1252" s="1" t="s">
        <v>1862</v>
      </c>
      <c r="I1252" s="1" t="s">
        <v>5</v>
      </c>
      <c r="J1252" s="1" t="s">
        <v>67</v>
      </c>
      <c r="K1252" s="1" t="s">
        <v>14</v>
      </c>
      <c r="M1252" s="2">
        <v>43231</v>
      </c>
      <c r="N1252" s="1" t="s">
        <v>8</v>
      </c>
      <c r="O1252" s="1" t="s">
        <v>68</v>
      </c>
    </row>
    <row r="1253" spans="1:15" ht="28.8" x14ac:dyDescent="0.3">
      <c r="A1253" s="1" t="s">
        <v>25725</v>
      </c>
      <c r="B1253" s="1" t="str">
        <f>"Alan Williams A &amp; R Home Clearances"</f>
        <v>Alan Williams A &amp; R Home Clearances</v>
      </c>
      <c r="C1253" s="1" t="s">
        <v>25726</v>
      </c>
      <c r="F1253" s="1" t="s">
        <v>42</v>
      </c>
      <c r="H1253" s="1" t="s">
        <v>25727</v>
      </c>
      <c r="I1253" s="1" t="s">
        <v>5</v>
      </c>
      <c r="J1253" s="1" t="s">
        <v>6</v>
      </c>
      <c r="K1253" s="1" t="s">
        <v>24</v>
      </c>
      <c r="M1253" s="2">
        <v>43231</v>
      </c>
      <c r="N1253" s="1" t="s">
        <v>8</v>
      </c>
      <c r="O1253" s="2">
        <v>44327</v>
      </c>
    </row>
    <row r="1254" spans="1:15" ht="28.8" x14ac:dyDescent="0.3">
      <c r="A1254" s="1" t="s">
        <v>25728</v>
      </c>
      <c r="B1254" s="1" t="str">
        <f>"Scott Walton Scott Walton Contracting"</f>
        <v>Scott Walton Scott Walton Contracting</v>
      </c>
      <c r="C1254" s="1" t="s">
        <v>25729</v>
      </c>
      <c r="F1254" s="1" t="s">
        <v>179</v>
      </c>
      <c r="H1254" s="1" t="s">
        <v>25730</v>
      </c>
      <c r="I1254" s="1" t="s">
        <v>5</v>
      </c>
      <c r="J1254" s="1" t="s">
        <v>6</v>
      </c>
      <c r="K1254" s="1" t="s">
        <v>34</v>
      </c>
      <c r="M1254" s="2">
        <v>43231</v>
      </c>
      <c r="N1254" s="1" t="s">
        <v>8</v>
      </c>
      <c r="O1254" s="2">
        <v>44327</v>
      </c>
    </row>
    <row r="1255" spans="1:15" ht="43.2" x14ac:dyDescent="0.3">
      <c r="A1255" s="1" t="s">
        <v>13105</v>
      </c>
      <c r="B1255" s="1" t="str">
        <f>"Jones &amp; Jones"</f>
        <v>Jones &amp; Jones</v>
      </c>
      <c r="C1255" s="1" t="s">
        <v>13106</v>
      </c>
      <c r="D1255" s="1" t="s">
        <v>8943</v>
      </c>
      <c r="F1255" s="1" t="s">
        <v>2459</v>
      </c>
      <c r="H1255" s="1" t="s">
        <v>13107</v>
      </c>
      <c r="I1255" s="1" t="s">
        <v>125</v>
      </c>
      <c r="J1255" s="1" t="s">
        <v>67</v>
      </c>
      <c r="K1255" s="1" t="s">
        <v>14</v>
      </c>
      <c r="M1255" s="2">
        <v>43230</v>
      </c>
      <c r="N1255" s="1" t="s">
        <v>8</v>
      </c>
      <c r="O1255" s="1" t="s">
        <v>68</v>
      </c>
    </row>
    <row r="1256" spans="1:15" ht="28.8" x14ac:dyDescent="0.3">
      <c r="A1256" s="1" t="s">
        <v>13108</v>
      </c>
      <c r="B1256" s="1" t="str">
        <f>"Portable Toilets LTD"</f>
        <v>Portable Toilets LTD</v>
      </c>
      <c r="C1256" s="1" t="s">
        <v>13109</v>
      </c>
      <c r="D1256" s="1" t="s">
        <v>6518</v>
      </c>
      <c r="F1256" s="1" t="s">
        <v>179</v>
      </c>
      <c r="H1256" s="1" t="s">
        <v>13110</v>
      </c>
      <c r="I1256" s="1" t="s">
        <v>19</v>
      </c>
      <c r="J1256" s="1" t="s">
        <v>6</v>
      </c>
      <c r="K1256" s="1" t="s">
        <v>24</v>
      </c>
      <c r="L1256" s="1">
        <v>4579436</v>
      </c>
      <c r="M1256" s="2">
        <v>43230</v>
      </c>
      <c r="N1256" s="1" t="s">
        <v>8</v>
      </c>
      <c r="O1256" s="2">
        <v>44326</v>
      </c>
    </row>
    <row r="1257" spans="1:15" ht="28.8" x14ac:dyDescent="0.3">
      <c r="A1257" s="1" t="s">
        <v>13111</v>
      </c>
      <c r="B1257" s="1" t="str">
        <f>"GT Problast LTD"</f>
        <v>GT Problast LTD</v>
      </c>
      <c r="C1257" s="1" t="s">
        <v>13112</v>
      </c>
      <c r="D1257" s="1" t="s">
        <v>8869</v>
      </c>
      <c r="F1257" s="1" t="s">
        <v>359</v>
      </c>
      <c r="H1257" s="1" t="s">
        <v>13113</v>
      </c>
      <c r="I1257" s="1" t="s">
        <v>19</v>
      </c>
      <c r="J1257" s="1" t="s">
        <v>6</v>
      </c>
      <c r="K1257" s="1" t="s">
        <v>24</v>
      </c>
      <c r="L1257" s="1">
        <v>10231478</v>
      </c>
      <c r="M1257" s="2">
        <v>43230</v>
      </c>
      <c r="N1257" s="1" t="s">
        <v>8</v>
      </c>
      <c r="O1257" s="2">
        <v>44326</v>
      </c>
    </row>
    <row r="1258" spans="1:15" ht="28.8" x14ac:dyDescent="0.3">
      <c r="A1258" s="1" t="s">
        <v>13114</v>
      </c>
      <c r="B1258" s="1" t="str">
        <f>"Rowe Construction GB LTD"</f>
        <v>Rowe Construction GB LTD</v>
      </c>
      <c r="C1258" s="1" t="s">
        <v>13115</v>
      </c>
      <c r="F1258" s="1" t="s">
        <v>1776</v>
      </c>
      <c r="H1258" s="1" t="s">
        <v>13116</v>
      </c>
      <c r="I1258" s="1" t="s">
        <v>19</v>
      </c>
      <c r="J1258" s="1" t="s">
        <v>6</v>
      </c>
      <c r="K1258" s="1" t="s">
        <v>34</v>
      </c>
      <c r="L1258" s="1">
        <v>5733856</v>
      </c>
      <c r="M1258" s="2">
        <v>43230</v>
      </c>
      <c r="N1258" s="1" t="s">
        <v>8</v>
      </c>
      <c r="O1258" s="2">
        <v>44326</v>
      </c>
    </row>
    <row r="1259" spans="1:15" ht="43.2" x14ac:dyDescent="0.3">
      <c r="A1259" s="1" t="s">
        <v>13117</v>
      </c>
      <c r="B1259" s="1" t="str">
        <f>"Brenig Construction LTD"</f>
        <v>Brenig Construction LTD</v>
      </c>
      <c r="C1259" s="1" t="s">
        <v>13118</v>
      </c>
      <c r="D1259" s="1" t="s">
        <v>955</v>
      </c>
      <c r="F1259" s="1" t="s">
        <v>358</v>
      </c>
      <c r="H1259" s="1" t="s">
        <v>2704</v>
      </c>
      <c r="I1259" s="1" t="s">
        <v>19</v>
      </c>
      <c r="J1259" s="1" t="s">
        <v>6</v>
      </c>
      <c r="K1259" s="1" t="s">
        <v>34</v>
      </c>
      <c r="L1259" s="1">
        <v>8044729</v>
      </c>
      <c r="M1259" s="2">
        <v>43230</v>
      </c>
      <c r="N1259" s="1" t="s">
        <v>8</v>
      </c>
      <c r="O1259" s="2">
        <v>44326</v>
      </c>
    </row>
    <row r="1260" spans="1:15" ht="28.8" x14ac:dyDescent="0.3">
      <c r="A1260" s="1" t="s">
        <v>13119</v>
      </c>
      <c r="B1260" s="1" t="str">
        <f>"Care &amp; Repair Home Maintenance"</f>
        <v>Care &amp; Repair Home Maintenance</v>
      </c>
      <c r="C1260" s="1" t="s">
        <v>10121</v>
      </c>
      <c r="F1260" s="1" t="s">
        <v>10122</v>
      </c>
      <c r="H1260" s="1" t="s">
        <v>10123</v>
      </c>
      <c r="I1260" s="1" t="s">
        <v>19</v>
      </c>
      <c r="J1260" s="1" t="s">
        <v>6</v>
      </c>
      <c r="K1260" s="1" t="s">
        <v>24</v>
      </c>
      <c r="L1260" s="1">
        <v>8498979</v>
      </c>
      <c r="M1260" s="2">
        <v>43230</v>
      </c>
      <c r="N1260" s="1" t="s">
        <v>8</v>
      </c>
      <c r="O1260" s="2">
        <v>44326</v>
      </c>
    </row>
    <row r="1261" spans="1:15" ht="28.8" x14ac:dyDescent="0.3">
      <c r="A1261" s="1" t="s">
        <v>25720</v>
      </c>
      <c r="B1261" s="1" t="str">
        <f>"Alun Owen Alun Owen"</f>
        <v>Alun Owen Alun Owen</v>
      </c>
      <c r="C1261" s="1" t="s">
        <v>25721</v>
      </c>
      <c r="F1261" s="1" t="s">
        <v>790</v>
      </c>
      <c r="H1261" s="1" t="s">
        <v>25722</v>
      </c>
      <c r="I1261" s="1" t="s">
        <v>5</v>
      </c>
      <c r="J1261" s="1" t="s">
        <v>6</v>
      </c>
      <c r="K1261" s="1" t="s">
        <v>34</v>
      </c>
      <c r="M1261" s="2">
        <v>43230</v>
      </c>
      <c r="N1261" s="1" t="s">
        <v>8</v>
      </c>
      <c r="O1261" s="2">
        <v>44326</v>
      </c>
    </row>
    <row r="1262" spans="1:15" ht="43.2" x14ac:dyDescent="0.3">
      <c r="A1262" s="1" t="s">
        <v>12088</v>
      </c>
      <c r="B1262" s="1" t="str">
        <f>"C Morgan Pallets LTD"</f>
        <v>C Morgan Pallets LTD</v>
      </c>
      <c r="C1262" s="1" t="s">
        <v>12089</v>
      </c>
      <c r="F1262" s="1" t="s">
        <v>6400</v>
      </c>
      <c r="H1262" s="1" t="s">
        <v>12090</v>
      </c>
      <c r="I1262" s="1" t="s">
        <v>19</v>
      </c>
      <c r="J1262" s="1" t="s">
        <v>67</v>
      </c>
      <c r="K1262" s="1" t="s">
        <v>14</v>
      </c>
      <c r="M1262" s="2">
        <v>43229</v>
      </c>
      <c r="N1262" s="1" t="s">
        <v>8</v>
      </c>
      <c r="O1262" s="1" t="s">
        <v>68</v>
      </c>
    </row>
    <row r="1263" spans="1:15" ht="28.8" x14ac:dyDescent="0.3">
      <c r="A1263" s="1" t="s">
        <v>12091</v>
      </c>
      <c r="B1263" s="1" t="str">
        <f>"Jones Brothers (Henllan) LTD"</f>
        <v>Jones Brothers (Henllan) LTD</v>
      </c>
      <c r="C1263" s="1" t="s">
        <v>12092</v>
      </c>
      <c r="D1263" s="1" t="s">
        <v>449</v>
      </c>
      <c r="F1263" s="1" t="s">
        <v>12093</v>
      </c>
      <c r="H1263" s="1" t="s">
        <v>12094</v>
      </c>
      <c r="I1263" s="1" t="s">
        <v>19</v>
      </c>
      <c r="J1263" s="1" t="s">
        <v>6</v>
      </c>
      <c r="K1263" s="1" t="s">
        <v>34</v>
      </c>
      <c r="L1263" s="1">
        <v>1553486</v>
      </c>
      <c r="M1263" s="2">
        <v>43229</v>
      </c>
      <c r="N1263" s="1" t="s">
        <v>8</v>
      </c>
      <c r="O1263" s="2">
        <v>44325</v>
      </c>
    </row>
    <row r="1264" spans="1:15" ht="28.8" x14ac:dyDescent="0.3">
      <c r="A1264" s="1" t="s">
        <v>12095</v>
      </c>
      <c r="B1264" s="1" t="str">
        <f>"A T Plumbing Services"</f>
        <v>A T Plumbing Services</v>
      </c>
      <c r="C1264" s="1" t="s">
        <v>12096</v>
      </c>
      <c r="F1264" s="1" t="s">
        <v>1776</v>
      </c>
      <c r="H1264" s="1" t="s">
        <v>2256</v>
      </c>
      <c r="I1264" s="1" t="s">
        <v>125</v>
      </c>
      <c r="J1264" s="1" t="s">
        <v>6</v>
      </c>
      <c r="K1264" s="1" t="s">
        <v>34</v>
      </c>
      <c r="M1264" s="2">
        <v>43229</v>
      </c>
      <c r="N1264" s="1" t="s">
        <v>8</v>
      </c>
      <c r="O1264" s="2">
        <v>44325</v>
      </c>
    </row>
    <row r="1265" spans="1:15" ht="43.2" x14ac:dyDescent="0.3">
      <c r="A1265" s="1" t="s">
        <v>12097</v>
      </c>
      <c r="B1265" s="1" t="str">
        <f>"Adapt Business Services LTD"</f>
        <v>Adapt Business Services LTD</v>
      </c>
      <c r="C1265" s="1" t="s">
        <v>12098</v>
      </c>
      <c r="D1265" s="1" t="s">
        <v>578</v>
      </c>
      <c r="F1265" s="1" t="s">
        <v>64</v>
      </c>
      <c r="H1265" s="1" t="s">
        <v>12099</v>
      </c>
      <c r="I1265" s="1" t="s">
        <v>19</v>
      </c>
      <c r="J1265" s="1" t="s">
        <v>67</v>
      </c>
      <c r="K1265" s="1" t="s">
        <v>14</v>
      </c>
      <c r="M1265" s="2">
        <v>43229</v>
      </c>
      <c r="N1265" s="1" t="s">
        <v>8</v>
      </c>
      <c r="O1265" s="1" t="s">
        <v>68</v>
      </c>
    </row>
    <row r="1266" spans="1:15" ht="43.2" x14ac:dyDescent="0.3">
      <c r="A1266" s="1" t="s">
        <v>12100</v>
      </c>
      <c r="B1266" s="1" t="str">
        <f>"Wales Audit Office"</f>
        <v>Wales Audit Office</v>
      </c>
      <c r="C1266" s="1" t="s">
        <v>12101</v>
      </c>
      <c r="F1266" s="1" t="s">
        <v>123</v>
      </c>
      <c r="H1266" s="1" t="s">
        <v>9265</v>
      </c>
      <c r="I1266" s="1" t="s">
        <v>188</v>
      </c>
      <c r="J1266" s="1" t="s">
        <v>67</v>
      </c>
      <c r="K1266" s="1" t="s">
        <v>14</v>
      </c>
      <c r="M1266" s="2">
        <v>43229</v>
      </c>
      <c r="N1266" s="1" t="s">
        <v>8</v>
      </c>
      <c r="O1266" s="1" t="s">
        <v>68</v>
      </c>
    </row>
    <row r="1267" spans="1:15" ht="43.2" x14ac:dyDescent="0.3">
      <c r="A1267" s="1" t="s">
        <v>13099</v>
      </c>
      <c r="B1267" s="1" t="str">
        <f>"Central Fish Bar"</f>
        <v>Central Fish Bar</v>
      </c>
      <c r="C1267" s="1" t="s">
        <v>13100</v>
      </c>
      <c r="F1267" s="1" t="s">
        <v>556</v>
      </c>
      <c r="H1267" s="1" t="s">
        <v>13101</v>
      </c>
      <c r="I1267" s="1" t="s">
        <v>19</v>
      </c>
      <c r="J1267" s="1" t="s">
        <v>67</v>
      </c>
      <c r="K1267" s="1" t="s">
        <v>14</v>
      </c>
      <c r="M1267" s="2">
        <v>43229</v>
      </c>
      <c r="N1267" s="1" t="s">
        <v>8</v>
      </c>
      <c r="O1267" s="1" t="s">
        <v>68</v>
      </c>
    </row>
    <row r="1268" spans="1:15" ht="43.2" x14ac:dyDescent="0.3">
      <c r="A1268" s="1" t="s">
        <v>13102</v>
      </c>
      <c r="B1268" s="1" t="str">
        <f>"Prifysgol Bangor University"</f>
        <v>Prifysgol Bangor University</v>
      </c>
      <c r="C1268" s="1" t="s">
        <v>13103</v>
      </c>
      <c r="F1268" s="1" t="s">
        <v>1321</v>
      </c>
      <c r="H1268" s="1" t="s">
        <v>13104</v>
      </c>
      <c r="I1268" s="1" t="s">
        <v>188</v>
      </c>
      <c r="J1268" s="1" t="s">
        <v>67</v>
      </c>
      <c r="K1268" s="1" t="s">
        <v>14</v>
      </c>
      <c r="M1268" s="2">
        <v>43229</v>
      </c>
      <c r="N1268" s="1" t="s">
        <v>8</v>
      </c>
      <c r="O1268" s="1" t="s">
        <v>68</v>
      </c>
    </row>
    <row r="1269" spans="1:15" ht="28.8" x14ac:dyDescent="0.3">
      <c r="A1269" s="1" t="s">
        <v>24998</v>
      </c>
      <c r="B1269" s="1" t="str">
        <f>"Arvydas Kazlauskas Arvydas Kazlauskas"</f>
        <v>Arvydas Kazlauskas Arvydas Kazlauskas</v>
      </c>
      <c r="C1269" s="1" t="s">
        <v>24999</v>
      </c>
      <c r="F1269" s="1" t="s">
        <v>1206</v>
      </c>
      <c r="H1269" s="1" t="s">
        <v>20324</v>
      </c>
      <c r="I1269" s="1" t="s">
        <v>5</v>
      </c>
      <c r="J1269" s="1" t="s">
        <v>6</v>
      </c>
      <c r="K1269" s="1" t="s">
        <v>34</v>
      </c>
      <c r="M1269" s="2">
        <v>43229</v>
      </c>
      <c r="N1269" s="1" t="s">
        <v>8</v>
      </c>
      <c r="O1269" s="2">
        <v>44325</v>
      </c>
    </row>
    <row r="1270" spans="1:15" ht="28.8" x14ac:dyDescent="0.3">
      <c r="A1270" s="1" t="s">
        <v>25000</v>
      </c>
      <c r="B1270" s="1" t="str">
        <f>"David Morris David Morris"</f>
        <v>David Morris David Morris</v>
      </c>
      <c r="C1270" s="1" t="s">
        <v>25001</v>
      </c>
      <c r="F1270" s="1" t="s">
        <v>1108</v>
      </c>
      <c r="H1270" s="1" t="s">
        <v>25002</v>
      </c>
      <c r="I1270" s="1" t="s">
        <v>5</v>
      </c>
      <c r="J1270" s="1" t="s">
        <v>6</v>
      </c>
      <c r="K1270" s="1" t="s">
        <v>24</v>
      </c>
      <c r="M1270" s="2">
        <v>43229</v>
      </c>
      <c r="N1270" s="1" t="s">
        <v>8</v>
      </c>
      <c r="O1270" s="2">
        <v>44325</v>
      </c>
    </row>
    <row r="1271" spans="1:15" ht="43.2" x14ac:dyDescent="0.3">
      <c r="A1271" s="1" t="s">
        <v>25003</v>
      </c>
      <c r="B1271" s="1" t="str">
        <f>"Christopher Davies Spick N Span Landscapes"</f>
        <v>Christopher Davies Spick N Span Landscapes</v>
      </c>
      <c r="C1271" s="1" t="s">
        <v>25004</v>
      </c>
      <c r="F1271" s="1" t="s">
        <v>32</v>
      </c>
      <c r="H1271" s="1" t="s">
        <v>5314</v>
      </c>
      <c r="I1271" s="1" t="s">
        <v>5</v>
      </c>
      <c r="J1271" s="1" t="s">
        <v>6</v>
      </c>
      <c r="K1271" s="1" t="s">
        <v>24</v>
      </c>
      <c r="M1271" s="2">
        <v>43229</v>
      </c>
      <c r="N1271" s="1" t="s">
        <v>8</v>
      </c>
      <c r="O1271" s="2">
        <v>44325</v>
      </c>
    </row>
    <row r="1272" spans="1:15" ht="28.8" x14ac:dyDescent="0.3">
      <c r="A1272" s="1" t="s">
        <v>25005</v>
      </c>
      <c r="B1272" s="1" t="str">
        <f>"Philip Davies Philip Davies"</f>
        <v>Philip Davies Philip Davies</v>
      </c>
      <c r="C1272" s="1" t="s">
        <v>25006</v>
      </c>
      <c r="D1272" s="1" t="s">
        <v>25007</v>
      </c>
      <c r="F1272" s="1" t="s">
        <v>1991</v>
      </c>
      <c r="H1272" s="1" t="s">
        <v>25008</v>
      </c>
      <c r="I1272" s="1" t="s">
        <v>5</v>
      </c>
      <c r="J1272" s="1" t="s">
        <v>6</v>
      </c>
      <c r="K1272" s="1" t="s">
        <v>34</v>
      </c>
      <c r="M1272" s="2">
        <v>43229</v>
      </c>
      <c r="N1272" s="1" t="s">
        <v>8</v>
      </c>
      <c r="O1272" s="2">
        <v>44325</v>
      </c>
    </row>
    <row r="1273" spans="1:15" ht="28.8" x14ac:dyDescent="0.3">
      <c r="A1273" s="1" t="s">
        <v>25009</v>
      </c>
      <c r="B1273" s="1" t="str">
        <f>"Nicholas Carter"</f>
        <v>Nicholas Carter</v>
      </c>
      <c r="C1273" s="1" t="s">
        <v>25010</v>
      </c>
      <c r="D1273" s="1" t="s">
        <v>942</v>
      </c>
      <c r="F1273" s="1" t="s">
        <v>665</v>
      </c>
      <c r="H1273" s="1" t="s">
        <v>943</v>
      </c>
      <c r="I1273" s="1" t="s">
        <v>5</v>
      </c>
      <c r="J1273" s="1" t="s">
        <v>6</v>
      </c>
      <c r="K1273" s="1" t="s">
        <v>34</v>
      </c>
      <c r="M1273" s="2">
        <v>43229</v>
      </c>
      <c r="N1273" s="1" t="s">
        <v>8</v>
      </c>
      <c r="O1273" s="2">
        <v>44325</v>
      </c>
    </row>
    <row r="1274" spans="1:15" ht="43.2" x14ac:dyDescent="0.3">
      <c r="A1274" s="1" t="s">
        <v>25717</v>
      </c>
      <c r="B1274" s="1" t="str">
        <f>"Thomas Pitchford"</f>
        <v>Thomas Pitchford</v>
      </c>
      <c r="C1274" s="1" t="s">
        <v>25718</v>
      </c>
      <c r="F1274" s="1" t="s">
        <v>556</v>
      </c>
      <c r="H1274" s="1" t="s">
        <v>25719</v>
      </c>
      <c r="I1274" s="1" t="s">
        <v>5</v>
      </c>
      <c r="J1274" s="1" t="s">
        <v>67</v>
      </c>
      <c r="K1274" s="1" t="s">
        <v>14</v>
      </c>
      <c r="M1274" s="2">
        <v>43229</v>
      </c>
      <c r="N1274" s="1" t="s">
        <v>8</v>
      </c>
      <c r="O1274" s="1" t="s">
        <v>68</v>
      </c>
    </row>
    <row r="1275" spans="1:15" ht="43.2" x14ac:dyDescent="0.3">
      <c r="A1275" s="1" t="s">
        <v>12081</v>
      </c>
      <c r="B1275" s="1" t="str">
        <f>"Highland Electrix (Bridgend)"</f>
        <v>Highland Electrix (Bridgend)</v>
      </c>
      <c r="C1275" s="1" t="s">
        <v>12082</v>
      </c>
      <c r="D1275" s="1" t="s">
        <v>6518</v>
      </c>
      <c r="F1275" s="1" t="s">
        <v>179</v>
      </c>
      <c r="H1275" s="1" t="s">
        <v>12083</v>
      </c>
      <c r="I1275" s="1" t="s">
        <v>19</v>
      </c>
      <c r="J1275" s="1" t="s">
        <v>6</v>
      </c>
      <c r="K1275" s="1" t="s">
        <v>24</v>
      </c>
      <c r="L1275" s="1">
        <v>889412</v>
      </c>
      <c r="M1275" s="2">
        <v>43228</v>
      </c>
      <c r="N1275" s="1" t="s">
        <v>8</v>
      </c>
      <c r="O1275" s="2">
        <v>44324</v>
      </c>
    </row>
    <row r="1276" spans="1:15" ht="28.8" x14ac:dyDescent="0.3">
      <c r="A1276" s="1" t="s">
        <v>12084</v>
      </c>
      <c r="B1276" s="1" t="str">
        <f>"North Wales Plastics LTD"</f>
        <v>North Wales Plastics LTD</v>
      </c>
      <c r="C1276" s="1" t="s">
        <v>12085</v>
      </c>
      <c r="D1276" s="1" t="s">
        <v>12086</v>
      </c>
      <c r="F1276" s="1" t="s">
        <v>374</v>
      </c>
      <c r="H1276" s="1" t="s">
        <v>12087</v>
      </c>
      <c r="I1276" s="1" t="s">
        <v>19</v>
      </c>
      <c r="J1276" s="1" t="s">
        <v>6</v>
      </c>
      <c r="K1276" s="1" t="s">
        <v>24</v>
      </c>
      <c r="L1276" s="1">
        <v>8354133</v>
      </c>
      <c r="M1276" s="2">
        <v>43228</v>
      </c>
      <c r="N1276" s="1" t="s">
        <v>8</v>
      </c>
      <c r="O1276" s="2">
        <v>44324</v>
      </c>
    </row>
    <row r="1277" spans="1:15" ht="28.8" x14ac:dyDescent="0.3">
      <c r="A1277" s="1" t="s">
        <v>24983</v>
      </c>
      <c r="B1277" s="1" t="str">
        <f>"Juile Dennis"</f>
        <v>Juile Dennis</v>
      </c>
      <c r="C1277" s="1" t="s">
        <v>24984</v>
      </c>
      <c r="F1277" s="1" t="s">
        <v>179</v>
      </c>
      <c r="H1277" s="1" t="s">
        <v>15370</v>
      </c>
      <c r="I1277" s="1" t="s">
        <v>5</v>
      </c>
      <c r="J1277" s="1" t="s">
        <v>6</v>
      </c>
      <c r="K1277" s="1" t="s">
        <v>34</v>
      </c>
      <c r="M1277" s="2">
        <v>43228</v>
      </c>
      <c r="N1277" s="1" t="s">
        <v>8</v>
      </c>
      <c r="O1277" s="2">
        <v>44324</v>
      </c>
    </row>
    <row r="1278" spans="1:15" ht="43.2" x14ac:dyDescent="0.3">
      <c r="A1278" s="1" t="s">
        <v>24985</v>
      </c>
      <c r="B1278" s="1" t="str">
        <f>"Alan Dunster Alan Dunster Professional Decorator"</f>
        <v>Alan Dunster Alan Dunster Professional Decorator</v>
      </c>
      <c r="C1278" s="1" t="s">
        <v>24986</v>
      </c>
      <c r="F1278" s="1" t="s">
        <v>123</v>
      </c>
      <c r="H1278" s="1" t="s">
        <v>24987</v>
      </c>
      <c r="I1278" s="1" t="s">
        <v>5</v>
      </c>
      <c r="J1278" s="1" t="s">
        <v>6</v>
      </c>
      <c r="K1278" s="1" t="s">
        <v>24</v>
      </c>
      <c r="M1278" s="2">
        <v>43228</v>
      </c>
      <c r="N1278" s="1" t="s">
        <v>8</v>
      </c>
      <c r="O1278" s="2">
        <v>44324</v>
      </c>
    </row>
    <row r="1279" spans="1:15" ht="28.8" x14ac:dyDescent="0.3">
      <c r="A1279" s="1" t="s">
        <v>24988</v>
      </c>
      <c r="B1279" s="1" t="str">
        <f>"Nicholas Adair Clyne Garden Services"</f>
        <v>Nicholas Adair Clyne Garden Services</v>
      </c>
      <c r="C1279" s="1" t="s">
        <v>24989</v>
      </c>
      <c r="F1279" s="1" t="s">
        <v>64</v>
      </c>
      <c r="H1279" s="1" t="s">
        <v>24990</v>
      </c>
      <c r="I1279" s="1" t="s">
        <v>5</v>
      </c>
      <c r="J1279" s="1" t="s">
        <v>6</v>
      </c>
      <c r="K1279" s="1" t="s">
        <v>24</v>
      </c>
      <c r="M1279" s="2">
        <v>43228</v>
      </c>
      <c r="N1279" s="1" t="s">
        <v>8</v>
      </c>
      <c r="O1279" s="2">
        <v>44324</v>
      </c>
    </row>
    <row r="1280" spans="1:15" ht="43.2" x14ac:dyDescent="0.3">
      <c r="A1280" s="1" t="s">
        <v>24991</v>
      </c>
      <c r="B1280" s="1" t="str">
        <f>"Brian Ashman B Ashman Garden Services"</f>
        <v>Brian Ashman B Ashman Garden Services</v>
      </c>
      <c r="C1280" s="1" t="s">
        <v>24992</v>
      </c>
      <c r="F1280" s="1" t="s">
        <v>1351</v>
      </c>
      <c r="H1280" s="1" t="s">
        <v>24993</v>
      </c>
      <c r="I1280" s="1" t="s">
        <v>5</v>
      </c>
      <c r="J1280" s="1" t="s">
        <v>6</v>
      </c>
      <c r="K1280" s="1" t="s">
        <v>24</v>
      </c>
      <c r="M1280" s="2">
        <v>43228</v>
      </c>
      <c r="N1280" s="1" t="s">
        <v>8</v>
      </c>
      <c r="O1280" s="2">
        <v>44324</v>
      </c>
    </row>
    <row r="1281" spans="1:15" ht="28.8" x14ac:dyDescent="0.3">
      <c r="A1281" s="1" t="s">
        <v>24994</v>
      </c>
      <c r="B1281" s="1" t="str">
        <f>"Philip Chowbhury"</f>
        <v>Philip Chowbhury</v>
      </c>
      <c r="C1281" s="1" t="s">
        <v>21869</v>
      </c>
      <c r="F1281" s="1" t="s">
        <v>4645</v>
      </c>
      <c r="H1281" s="1" t="s">
        <v>21870</v>
      </c>
      <c r="I1281" s="1" t="s">
        <v>5</v>
      </c>
      <c r="J1281" s="1" t="s">
        <v>6</v>
      </c>
      <c r="K1281" s="1" t="s">
        <v>24</v>
      </c>
      <c r="M1281" s="2">
        <v>43228</v>
      </c>
      <c r="N1281" s="1" t="s">
        <v>8</v>
      </c>
      <c r="O1281" s="2">
        <v>44324</v>
      </c>
    </row>
    <row r="1282" spans="1:15" ht="28.8" x14ac:dyDescent="0.3">
      <c r="A1282" s="1" t="s">
        <v>24995</v>
      </c>
      <c r="B1282" s="1" t="str">
        <f>"Phil Withers"</f>
        <v>Phil Withers</v>
      </c>
      <c r="C1282" s="1" t="s">
        <v>24996</v>
      </c>
      <c r="F1282" s="1" t="s">
        <v>64</v>
      </c>
      <c r="H1282" s="1" t="s">
        <v>24997</v>
      </c>
      <c r="I1282" s="1" t="s">
        <v>5</v>
      </c>
      <c r="J1282" s="1" t="s">
        <v>6</v>
      </c>
      <c r="K1282" s="1" t="s">
        <v>24</v>
      </c>
      <c r="M1282" s="2">
        <v>43228</v>
      </c>
      <c r="N1282" s="1" t="s">
        <v>8</v>
      </c>
      <c r="O1282" s="2">
        <v>44324</v>
      </c>
    </row>
    <row r="1283" spans="1:15" x14ac:dyDescent="0.3">
      <c r="A1283" s="1" t="s">
        <v>11060</v>
      </c>
      <c r="B1283" s="1" t="str">
        <f>"Jadon Electrical Ltd"</f>
        <v>Jadon Electrical Ltd</v>
      </c>
      <c r="C1283" s="1" t="s">
        <v>11061</v>
      </c>
      <c r="F1283" s="1" t="s">
        <v>64</v>
      </c>
      <c r="H1283" s="1" t="s">
        <v>11062</v>
      </c>
      <c r="I1283" s="1" t="s">
        <v>19</v>
      </c>
      <c r="J1283" s="1" t="s">
        <v>6</v>
      </c>
      <c r="K1283" s="1" t="s">
        <v>24</v>
      </c>
      <c r="L1283" s="1">
        <v>2544331</v>
      </c>
      <c r="M1283" s="2">
        <v>43224</v>
      </c>
      <c r="N1283" s="1" t="s">
        <v>8</v>
      </c>
      <c r="O1283" s="2">
        <v>44320</v>
      </c>
    </row>
    <row r="1284" spans="1:15" ht="28.8" x14ac:dyDescent="0.3">
      <c r="A1284" s="1" t="s">
        <v>11063</v>
      </c>
      <c r="B1284" s="1" t="str">
        <f>"AAW Building Contractors LTD"</f>
        <v>AAW Building Contractors LTD</v>
      </c>
      <c r="C1284" s="1" t="s">
        <v>11064</v>
      </c>
      <c r="F1284" s="1" t="s">
        <v>179</v>
      </c>
      <c r="H1284" s="1" t="s">
        <v>11065</v>
      </c>
      <c r="I1284" s="1" t="s">
        <v>19</v>
      </c>
      <c r="J1284" s="1" t="s">
        <v>6</v>
      </c>
      <c r="K1284" s="1" t="s">
        <v>24</v>
      </c>
      <c r="L1284" s="1">
        <v>8110212</v>
      </c>
      <c r="M1284" s="2">
        <v>43224</v>
      </c>
      <c r="N1284" s="1" t="s">
        <v>8</v>
      </c>
      <c r="O1284" s="2">
        <v>44320</v>
      </c>
    </row>
    <row r="1285" spans="1:15" ht="28.8" x14ac:dyDescent="0.3">
      <c r="A1285" s="1" t="s">
        <v>11066</v>
      </c>
      <c r="B1285" s="1" t="str">
        <f>"Valley Waste Recycling LTD"</f>
        <v>Valley Waste Recycling LTD</v>
      </c>
      <c r="C1285" s="1" t="s">
        <v>11067</v>
      </c>
      <c r="F1285" s="1" t="s">
        <v>32</v>
      </c>
      <c r="H1285" s="1" t="s">
        <v>11068</v>
      </c>
      <c r="I1285" s="1" t="s">
        <v>19</v>
      </c>
      <c r="J1285" s="1" t="s">
        <v>6</v>
      </c>
      <c r="K1285" s="1" t="s">
        <v>34</v>
      </c>
      <c r="L1285" s="1">
        <v>9540829</v>
      </c>
      <c r="M1285" s="2">
        <v>43224</v>
      </c>
      <c r="N1285" s="1" t="s">
        <v>8</v>
      </c>
      <c r="O1285" s="2">
        <v>44320</v>
      </c>
    </row>
    <row r="1286" spans="1:15" ht="28.8" x14ac:dyDescent="0.3">
      <c r="A1286" s="1" t="s">
        <v>11069</v>
      </c>
      <c r="B1286" s="1" t="str">
        <f>"John Weaver Contractors LTD"</f>
        <v>John Weaver Contractors LTD</v>
      </c>
      <c r="C1286" s="1" t="s">
        <v>11070</v>
      </c>
      <c r="F1286" s="1" t="s">
        <v>64</v>
      </c>
      <c r="H1286" s="1" t="s">
        <v>11071</v>
      </c>
      <c r="I1286" s="1" t="s">
        <v>19</v>
      </c>
      <c r="J1286" s="1" t="s">
        <v>6</v>
      </c>
      <c r="K1286" s="1" t="s">
        <v>24</v>
      </c>
      <c r="L1286" s="1">
        <v>919641</v>
      </c>
      <c r="M1286" s="2">
        <v>43224</v>
      </c>
      <c r="N1286" s="1" t="s">
        <v>8</v>
      </c>
      <c r="O1286" s="2">
        <v>44320</v>
      </c>
    </row>
    <row r="1287" spans="1:15" ht="28.8" x14ac:dyDescent="0.3">
      <c r="A1287" s="1" t="s">
        <v>11072</v>
      </c>
      <c r="B1287" s="1" t="str">
        <f>"Linden Maintenance LTD"</f>
        <v>Linden Maintenance LTD</v>
      </c>
      <c r="C1287" s="1" t="s">
        <v>11073</v>
      </c>
      <c r="F1287" s="1" t="s">
        <v>123</v>
      </c>
      <c r="H1287" s="1" t="s">
        <v>7587</v>
      </c>
      <c r="I1287" s="1" t="s">
        <v>19</v>
      </c>
      <c r="J1287" s="1" t="s">
        <v>6</v>
      </c>
      <c r="K1287" s="1" t="s">
        <v>24</v>
      </c>
      <c r="L1287" s="1">
        <v>10709256</v>
      </c>
      <c r="M1287" s="2">
        <v>43224</v>
      </c>
      <c r="N1287" s="1" t="s">
        <v>8</v>
      </c>
      <c r="O1287" s="2">
        <v>44320</v>
      </c>
    </row>
    <row r="1288" spans="1:15" x14ac:dyDescent="0.3">
      <c r="A1288" s="1" t="s">
        <v>11074</v>
      </c>
      <c r="B1288" s="1" t="str">
        <f>"J S Evans &amp; Son"</f>
        <v>J S Evans &amp; Son</v>
      </c>
      <c r="C1288" s="1" t="s">
        <v>11075</v>
      </c>
      <c r="F1288" s="1" t="s">
        <v>1230</v>
      </c>
      <c r="H1288" s="1" t="s">
        <v>11076</v>
      </c>
      <c r="I1288" s="1" t="s">
        <v>125</v>
      </c>
      <c r="J1288" s="1" t="s">
        <v>6</v>
      </c>
      <c r="K1288" s="1" t="s">
        <v>24</v>
      </c>
      <c r="M1288" s="2">
        <v>43224</v>
      </c>
      <c r="N1288" s="1" t="s">
        <v>8</v>
      </c>
      <c r="O1288" s="2">
        <v>44320</v>
      </c>
    </row>
    <row r="1289" spans="1:15" ht="28.8" x14ac:dyDescent="0.3">
      <c r="A1289" s="1" t="s">
        <v>24123</v>
      </c>
      <c r="B1289" s="1" t="str">
        <f>"Michael James Michael James"</f>
        <v>Michael James Michael James</v>
      </c>
      <c r="C1289" s="1" t="s">
        <v>24124</v>
      </c>
      <c r="F1289" s="1" t="s">
        <v>156</v>
      </c>
      <c r="H1289" s="1" t="s">
        <v>24125</v>
      </c>
      <c r="I1289" s="1" t="s">
        <v>5</v>
      </c>
      <c r="J1289" s="1" t="s">
        <v>6</v>
      </c>
      <c r="K1289" s="1" t="s">
        <v>34</v>
      </c>
      <c r="M1289" s="2">
        <v>43224</v>
      </c>
      <c r="N1289" s="1" t="s">
        <v>8</v>
      </c>
      <c r="O1289" s="2">
        <v>44320</v>
      </c>
    </row>
    <row r="1290" spans="1:15" ht="28.8" x14ac:dyDescent="0.3">
      <c r="A1290" s="1" t="s">
        <v>24126</v>
      </c>
      <c r="B1290" s="1" t="str">
        <f>"Brett Taylor BRT Doorway Diggers"</f>
        <v>Brett Taylor BRT Doorway Diggers</v>
      </c>
      <c r="C1290" s="1" t="s">
        <v>24127</v>
      </c>
      <c r="F1290" s="1" t="s">
        <v>42</v>
      </c>
      <c r="H1290" s="1" t="s">
        <v>24128</v>
      </c>
      <c r="I1290" s="1" t="s">
        <v>5</v>
      </c>
      <c r="J1290" s="1" t="s">
        <v>6</v>
      </c>
      <c r="K1290" s="1" t="s">
        <v>34</v>
      </c>
      <c r="M1290" s="2">
        <v>43224</v>
      </c>
      <c r="N1290" s="1" t="s">
        <v>8</v>
      </c>
      <c r="O1290" s="2">
        <v>44320</v>
      </c>
    </row>
    <row r="1291" spans="1:15" ht="28.8" x14ac:dyDescent="0.3">
      <c r="A1291" s="1" t="s">
        <v>24129</v>
      </c>
      <c r="B1291" s="1" t="str">
        <f>"Robert Lory National Engine Centre"</f>
        <v>Robert Lory National Engine Centre</v>
      </c>
      <c r="C1291" s="1" t="s">
        <v>24130</v>
      </c>
      <c r="D1291" s="1" t="s">
        <v>9447</v>
      </c>
      <c r="F1291" s="1" t="s">
        <v>123</v>
      </c>
      <c r="H1291" s="1" t="s">
        <v>24131</v>
      </c>
      <c r="I1291" s="1" t="s">
        <v>5</v>
      </c>
      <c r="J1291" s="1" t="s">
        <v>6</v>
      </c>
      <c r="K1291" s="1" t="s">
        <v>34</v>
      </c>
      <c r="M1291" s="2">
        <v>43224</v>
      </c>
      <c r="N1291" s="1" t="s">
        <v>8</v>
      </c>
      <c r="O1291" s="2">
        <v>44320</v>
      </c>
    </row>
    <row r="1292" spans="1:15" ht="28.8" x14ac:dyDescent="0.3">
      <c r="A1292" s="1" t="s">
        <v>24980</v>
      </c>
      <c r="B1292" s="1" t="str">
        <f>"Andrew Bradshaw Andrew Bradshaw"</f>
        <v>Andrew Bradshaw Andrew Bradshaw</v>
      </c>
      <c r="C1292" s="1" t="s">
        <v>24981</v>
      </c>
      <c r="F1292" s="1" t="s">
        <v>585</v>
      </c>
      <c r="H1292" s="1" t="s">
        <v>24982</v>
      </c>
      <c r="I1292" s="1" t="s">
        <v>5</v>
      </c>
      <c r="J1292" s="1" t="s">
        <v>6</v>
      </c>
      <c r="K1292" s="1" t="s">
        <v>24</v>
      </c>
      <c r="M1292" s="2">
        <v>43224</v>
      </c>
      <c r="N1292" s="1" t="s">
        <v>8</v>
      </c>
      <c r="O1292" s="2">
        <v>44320</v>
      </c>
    </row>
    <row r="1293" spans="1:15" ht="28.8" x14ac:dyDescent="0.3">
      <c r="A1293" s="1" t="s">
        <v>11057</v>
      </c>
      <c r="B1293" s="1" t="str">
        <f>"COOL-THERM (WALES) LTD"</f>
        <v>COOL-THERM (WALES) LTD</v>
      </c>
      <c r="C1293" s="1" t="s">
        <v>11058</v>
      </c>
      <c r="D1293" s="1" t="s">
        <v>5091</v>
      </c>
      <c r="E1293" s="1" t="s">
        <v>1839</v>
      </c>
      <c r="F1293" s="1" t="s">
        <v>1093</v>
      </c>
      <c r="H1293" s="1" t="s">
        <v>11059</v>
      </c>
      <c r="I1293" s="1" t="s">
        <v>19</v>
      </c>
      <c r="J1293" s="1" t="s">
        <v>6</v>
      </c>
      <c r="K1293" s="1" t="s">
        <v>34</v>
      </c>
      <c r="L1293" s="1">
        <v>6774999</v>
      </c>
      <c r="M1293" s="2">
        <v>43221</v>
      </c>
      <c r="N1293" s="1" t="s">
        <v>8</v>
      </c>
      <c r="O1293" s="2">
        <v>44317</v>
      </c>
    </row>
    <row r="1294" spans="1:15" ht="28.8" x14ac:dyDescent="0.3">
      <c r="A1294" s="1" t="s">
        <v>24120</v>
      </c>
      <c r="B1294" s="1" t="str">
        <f>"Timothy Meredith Hotrad Heating"</f>
        <v>Timothy Meredith Hotrad Heating</v>
      </c>
      <c r="C1294" s="1" t="s">
        <v>24121</v>
      </c>
      <c r="F1294" s="1" t="s">
        <v>5227</v>
      </c>
      <c r="H1294" s="1" t="s">
        <v>24122</v>
      </c>
      <c r="I1294" s="1" t="s">
        <v>5</v>
      </c>
      <c r="J1294" s="1" t="s">
        <v>6</v>
      </c>
      <c r="K1294" s="1" t="s">
        <v>34</v>
      </c>
      <c r="M1294" s="2">
        <v>43217</v>
      </c>
      <c r="N1294" s="1" t="s">
        <v>8</v>
      </c>
      <c r="O1294" s="2">
        <v>44313</v>
      </c>
    </row>
    <row r="1295" spans="1:15" ht="43.2" x14ac:dyDescent="0.3">
      <c r="A1295" s="1" t="s">
        <v>10023</v>
      </c>
      <c r="B1295" s="1" t="str">
        <f>"Dyfed Powys Police"</f>
        <v>Dyfed Powys Police</v>
      </c>
      <c r="C1295" s="1" t="s">
        <v>10024</v>
      </c>
      <c r="F1295" s="1" t="s">
        <v>56</v>
      </c>
      <c r="H1295" s="1" t="s">
        <v>10025</v>
      </c>
      <c r="I1295" s="1" t="s">
        <v>188</v>
      </c>
      <c r="J1295" s="1" t="s">
        <v>67</v>
      </c>
      <c r="K1295" s="1" t="s">
        <v>14</v>
      </c>
      <c r="M1295" s="2">
        <v>43216</v>
      </c>
      <c r="N1295" s="1" t="s">
        <v>8</v>
      </c>
      <c r="O1295" s="1" t="s">
        <v>68</v>
      </c>
    </row>
    <row r="1296" spans="1:15" ht="43.2" x14ac:dyDescent="0.3">
      <c r="A1296" s="1" t="s">
        <v>10026</v>
      </c>
      <c r="B1296" s="1" t="str">
        <f>"Direct Business Services(Wales) Ltd"</f>
        <v>Direct Business Services(Wales) Ltd</v>
      </c>
      <c r="C1296" s="1" t="s">
        <v>10027</v>
      </c>
      <c r="F1296" s="1" t="s">
        <v>277</v>
      </c>
      <c r="H1296" s="1" t="s">
        <v>10028</v>
      </c>
      <c r="I1296" s="1" t="s">
        <v>19</v>
      </c>
      <c r="J1296" s="1" t="s">
        <v>67</v>
      </c>
      <c r="K1296" s="1" t="s">
        <v>14</v>
      </c>
      <c r="M1296" s="2">
        <v>43216</v>
      </c>
      <c r="N1296" s="1" t="s">
        <v>8</v>
      </c>
      <c r="O1296" s="1" t="s">
        <v>68</v>
      </c>
    </row>
    <row r="1297" spans="1:15" ht="43.2" x14ac:dyDescent="0.3">
      <c r="A1297" s="1" t="s">
        <v>11053</v>
      </c>
      <c r="B1297" s="1" t="str">
        <f>"SPC Europe Ltd"</f>
        <v>SPC Europe Ltd</v>
      </c>
      <c r="C1297" s="1" t="s">
        <v>11054</v>
      </c>
      <c r="F1297" s="1" t="s">
        <v>11055</v>
      </c>
      <c r="H1297" s="1" t="s">
        <v>11056</v>
      </c>
      <c r="I1297" s="1" t="s">
        <v>19</v>
      </c>
      <c r="J1297" s="1" t="s">
        <v>67</v>
      </c>
      <c r="K1297" s="1" t="s">
        <v>14</v>
      </c>
      <c r="M1297" s="2">
        <v>43216</v>
      </c>
      <c r="N1297" s="1" t="s">
        <v>8</v>
      </c>
      <c r="O1297" s="1" t="s">
        <v>68</v>
      </c>
    </row>
    <row r="1298" spans="1:15" ht="28.8" x14ac:dyDescent="0.3">
      <c r="A1298" s="1" t="s">
        <v>24114</v>
      </c>
      <c r="B1298" s="1" t="str">
        <f>"Ralph David Ralph David"</f>
        <v>Ralph David Ralph David</v>
      </c>
      <c r="C1298" s="1" t="s">
        <v>24115</v>
      </c>
      <c r="F1298" s="1" t="s">
        <v>123</v>
      </c>
      <c r="H1298" s="1" t="s">
        <v>24116</v>
      </c>
      <c r="I1298" s="1" t="s">
        <v>5</v>
      </c>
      <c r="J1298" s="1" t="s">
        <v>6</v>
      </c>
      <c r="K1298" s="1" t="s">
        <v>34</v>
      </c>
      <c r="M1298" s="2">
        <v>43216</v>
      </c>
      <c r="N1298" s="1" t="s">
        <v>8</v>
      </c>
      <c r="O1298" s="2">
        <v>44312</v>
      </c>
    </row>
    <row r="1299" spans="1:15" ht="43.2" x14ac:dyDescent="0.3">
      <c r="A1299" s="1" t="s">
        <v>24117</v>
      </c>
      <c r="B1299" s="1" t="str">
        <f>"Jason Seager"</f>
        <v>Jason Seager</v>
      </c>
      <c r="C1299" s="1" t="s">
        <v>24118</v>
      </c>
      <c r="F1299" s="1" t="s">
        <v>123</v>
      </c>
      <c r="H1299" s="1" t="s">
        <v>24119</v>
      </c>
      <c r="I1299" s="1" t="s">
        <v>5</v>
      </c>
      <c r="J1299" s="1" t="s">
        <v>67</v>
      </c>
      <c r="K1299" s="1" t="s">
        <v>14</v>
      </c>
      <c r="M1299" s="2">
        <v>43216</v>
      </c>
      <c r="N1299" s="1" t="s">
        <v>8</v>
      </c>
      <c r="O1299" s="1" t="s">
        <v>68</v>
      </c>
    </row>
    <row r="1300" spans="1:15" ht="28.8" x14ac:dyDescent="0.3">
      <c r="A1300" s="1" t="s">
        <v>10017</v>
      </c>
      <c r="B1300" s="1" t="str">
        <f>"NRG Cleaning Services Limited"</f>
        <v>NRG Cleaning Services Limited</v>
      </c>
      <c r="C1300" s="1" t="s">
        <v>10018</v>
      </c>
      <c r="F1300" s="1" t="s">
        <v>64</v>
      </c>
      <c r="H1300" s="1" t="s">
        <v>10019</v>
      </c>
      <c r="I1300" s="1" t="s">
        <v>19</v>
      </c>
      <c r="J1300" s="1" t="s">
        <v>6</v>
      </c>
      <c r="K1300" s="1" t="s">
        <v>34</v>
      </c>
      <c r="L1300" s="1">
        <v>5672677</v>
      </c>
      <c r="M1300" s="2">
        <v>43215</v>
      </c>
      <c r="N1300" s="1" t="s">
        <v>8</v>
      </c>
      <c r="O1300" s="2">
        <v>44311</v>
      </c>
    </row>
    <row r="1301" spans="1:15" ht="28.8" x14ac:dyDescent="0.3">
      <c r="A1301" s="1" t="s">
        <v>10020</v>
      </c>
      <c r="B1301" s="1" t="str">
        <f>"Anglesey Pat Testing"</f>
        <v>Anglesey Pat Testing</v>
      </c>
      <c r="C1301" s="1" t="s">
        <v>10021</v>
      </c>
      <c r="F1301" s="1" t="s">
        <v>5534</v>
      </c>
      <c r="H1301" s="1" t="s">
        <v>10022</v>
      </c>
      <c r="I1301" s="1" t="s">
        <v>125</v>
      </c>
      <c r="J1301" s="1" t="s">
        <v>6</v>
      </c>
      <c r="K1301" s="1" t="s">
        <v>34</v>
      </c>
      <c r="M1301" s="2">
        <v>43215</v>
      </c>
      <c r="N1301" s="1" t="s">
        <v>8</v>
      </c>
      <c r="O1301" s="2">
        <v>44311</v>
      </c>
    </row>
    <row r="1302" spans="1:15" ht="28.8" x14ac:dyDescent="0.3">
      <c r="A1302" s="1" t="s">
        <v>23282</v>
      </c>
      <c r="B1302" s="1" t="str">
        <f>"Brian Vickery B Vickery Civils &amp; Ground Works"</f>
        <v>Brian Vickery B Vickery Civils &amp; Ground Works</v>
      </c>
      <c r="C1302" s="1" t="s">
        <v>23283</v>
      </c>
      <c r="F1302" s="1" t="s">
        <v>123</v>
      </c>
      <c r="H1302" s="1" t="s">
        <v>23284</v>
      </c>
      <c r="I1302" s="1" t="s">
        <v>5</v>
      </c>
      <c r="J1302" s="1" t="s">
        <v>6</v>
      </c>
      <c r="K1302" s="1" t="s">
        <v>34</v>
      </c>
      <c r="M1302" s="2">
        <v>43215</v>
      </c>
      <c r="N1302" s="1" t="s">
        <v>8</v>
      </c>
      <c r="O1302" s="2">
        <v>44311</v>
      </c>
    </row>
    <row r="1303" spans="1:15" ht="43.2" x14ac:dyDescent="0.3">
      <c r="A1303" s="1" t="s">
        <v>23285</v>
      </c>
      <c r="B1303" s="1" t="str">
        <f>"Phillip Godfrey"</f>
        <v>Phillip Godfrey</v>
      </c>
      <c r="C1303" s="1" t="s">
        <v>23286</v>
      </c>
      <c r="F1303" s="1" t="s">
        <v>32</v>
      </c>
      <c r="H1303" s="1" t="s">
        <v>23287</v>
      </c>
      <c r="I1303" s="1" t="s">
        <v>5</v>
      </c>
      <c r="J1303" s="1" t="s">
        <v>67</v>
      </c>
      <c r="K1303" s="1" t="s">
        <v>14</v>
      </c>
      <c r="M1303" s="2">
        <v>43215</v>
      </c>
      <c r="N1303" s="1" t="s">
        <v>8</v>
      </c>
      <c r="O1303" s="1" t="s">
        <v>68</v>
      </c>
    </row>
    <row r="1304" spans="1:15" ht="28.8" x14ac:dyDescent="0.3">
      <c r="A1304" s="1" t="s">
        <v>23288</v>
      </c>
      <c r="B1304" s="1" t="str">
        <f>"Nigel Davies N.D. PLUMBING &amp; HEATING"</f>
        <v>Nigel Davies N.D. PLUMBING &amp; HEATING</v>
      </c>
      <c r="C1304" s="1" t="s">
        <v>23289</v>
      </c>
      <c r="F1304" s="1" t="s">
        <v>825</v>
      </c>
      <c r="H1304" s="1" t="s">
        <v>23290</v>
      </c>
      <c r="I1304" s="1" t="s">
        <v>5</v>
      </c>
      <c r="J1304" s="1" t="s">
        <v>6</v>
      </c>
      <c r="K1304" s="1" t="s">
        <v>34</v>
      </c>
      <c r="M1304" s="2">
        <v>43215</v>
      </c>
      <c r="N1304" s="1" t="s">
        <v>8</v>
      </c>
      <c r="O1304" s="2">
        <v>44311</v>
      </c>
    </row>
    <row r="1305" spans="1:15" ht="28.8" x14ac:dyDescent="0.3">
      <c r="A1305" s="1" t="s">
        <v>10014</v>
      </c>
      <c r="B1305" s="1" t="str">
        <f>"Strobe Security Solutions Ltd"</f>
        <v>Strobe Security Solutions Ltd</v>
      </c>
      <c r="C1305" s="1" t="s">
        <v>10015</v>
      </c>
      <c r="F1305" s="1" t="s">
        <v>358</v>
      </c>
      <c r="H1305" s="1" t="s">
        <v>10016</v>
      </c>
      <c r="I1305" s="1" t="s">
        <v>19</v>
      </c>
      <c r="J1305" s="1" t="s">
        <v>6</v>
      </c>
      <c r="K1305" s="1" t="s">
        <v>34</v>
      </c>
      <c r="L1305" s="1">
        <v>6376145</v>
      </c>
      <c r="M1305" s="2">
        <v>43214</v>
      </c>
      <c r="N1305" s="1" t="s">
        <v>8</v>
      </c>
      <c r="O1305" s="2">
        <v>44310</v>
      </c>
    </row>
    <row r="1306" spans="1:15" ht="28.8" x14ac:dyDescent="0.3">
      <c r="A1306" s="1" t="s">
        <v>9999</v>
      </c>
      <c r="B1306" s="1" t="str">
        <f>"Sure Seal Windows"</f>
        <v>Sure Seal Windows</v>
      </c>
      <c r="C1306" s="1" t="s">
        <v>10000</v>
      </c>
      <c r="D1306" s="1" t="s">
        <v>9317</v>
      </c>
      <c r="F1306" s="1" t="s">
        <v>665</v>
      </c>
      <c r="H1306" s="1" t="s">
        <v>10001</v>
      </c>
      <c r="I1306" s="1" t="s">
        <v>19</v>
      </c>
      <c r="J1306" s="1" t="s">
        <v>6</v>
      </c>
      <c r="K1306" s="1" t="s">
        <v>24</v>
      </c>
      <c r="L1306" s="1">
        <v>10035258</v>
      </c>
      <c r="M1306" s="2">
        <v>43213</v>
      </c>
      <c r="N1306" s="1" t="s">
        <v>8</v>
      </c>
      <c r="O1306" s="2">
        <v>44309</v>
      </c>
    </row>
    <row r="1307" spans="1:15" x14ac:dyDescent="0.3">
      <c r="A1307" s="1" t="s">
        <v>10002</v>
      </c>
      <c r="B1307" s="1" t="str">
        <f>"R D Richards LTD"</f>
        <v>R D Richards LTD</v>
      </c>
      <c r="C1307" s="1" t="s">
        <v>10003</v>
      </c>
      <c r="F1307" s="1" t="s">
        <v>56</v>
      </c>
      <c r="G1307" s="1" t="s">
        <v>51</v>
      </c>
      <c r="H1307" s="1" t="s">
        <v>10004</v>
      </c>
      <c r="I1307" s="1" t="s">
        <v>19</v>
      </c>
      <c r="J1307" s="1" t="s">
        <v>6</v>
      </c>
      <c r="K1307" s="1" t="s">
        <v>24</v>
      </c>
      <c r="L1307" s="1">
        <v>11183052</v>
      </c>
      <c r="M1307" s="2">
        <v>43213</v>
      </c>
      <c r="N1307" s="1" t="s">
        <v>8</v>
      </c>
      <c r="O1307" s="2">
        <v>44308</v>
      </c>
    </row>
    <row r="1308" spans="1:15" ht="28.8" x14ac:dyDescent="0.3">
      <c r="A1308" s="1" t="s">
        <v>10005</v>
      </c>
      <c r="B1308" s="1" t="str">
        <f>"A1 Building &amp; Construction (Wales) "</f>
        <v xml:space="preserve">A1 Building &amp; Construction (Wales) </v>
      </c>
      <c r="C1308" s="1" t="s">
        <v>10006</v>
      </c>
      <c r="F1308" s="1" t="s">
        <v>179</v>
      </c>
      <c r="H1308" s="1" t="s">
        <v>10007</v>
      </c>
      <c r="I1308" s="1" t="s">
        <v>19</v>
      </c>
      <c r="J1308" s="1" t="s">
        <v>6</v>
      </c>
      <c r="K1308" s="1" t="s">
        <v>24</v>
      </c>
      <c r="L1308" s="1">
        <v>7399986</v>
      </c>
      <c r="M1308" s="2">
        <v>43213</v>
      </c>
      <c r="N1308" s="1" t="s">
        <v>8</v>
      </c>
      <c r="O1308" s="2">
        <v>44309</v>
      </c>
    </row>
    <row r="1309" spans="1:15" ht="28.8" x14ac:dyDescent="0.3">
      <c r="A1309" s="1" t="s">
        <v>10008</v>
      </c>
      <c r="B1309" s="1" t="str">
        <f>"Enviroclear Site Services LTD"</f>
        <v>Enviroclear Site Services LTD</v>
      </c>
      <c r="C1309" s="1" t="s">
        <v>10009</v>
      </c>
      <c r="F1309" s="1" t="s">
        <v>1875</v>
      </c>
      <c r="H1309" s="1" t="s">
        <v>10010</v>
      </c>
      <c r="I1309" s="1" t="s">
        <v>19</v>
      </c>
      <c r="J1309" s="1" t="s">
        <v>6</v>
      </c>
      <c r="K1309" s="1" t="s">
        <v>34</v>
      </c>
      <c r="L1309" s="1">
        <v>3986084</v>
      </c>
      <c r="M1309" s="2">
        <v>43213</v>
      </c>
      <c r="N1309" s="1" t="s">
        <v>8</v>
      </c>
      <c r="O1309" s="2">
        <v>44309</v>
      </c>
    </row>
    <row r="1310" spans="1:15" ht="28.8" x14ac:dyDescent="0.3">
      <c r="A1310" s="1" t="s">
        <v>10011</v>
      </c>
      <c r="B1310" s="1" t="str">
        <f>"E3 Recycling LTD"</f>
        <v>E3 Recycling LTD</v>
      </c>
      <c r="C1310" s="1" t="s">
        <v>10012</v>
      </c>
      <c r="F1310" s="1" t="s">
        <v>32</v>
      </c>
      <c r="H1310" s="1" t="s">
        <v>10013</v>
      </c>
      <c r="I1310" s="1" t="s">
        <v>19</v>
      </c>
      <c r="J1310" s="1" t="s">
        <v>6</v>
      </c>
      <c r="K1310" s="1" t="s">
        <v>34</v>
      </c>
      <c r="L1310" s="1">
        <v>7115706</v>
      </c>
      <c r="M1310" s="2">
        <v>43213</v>
      </c>
      <c r="N1310" s="1" t="s">
        <v>8</v>
      </c>
      <c r="O1310" s="2">
        <v>44309</v>
      </c>
    </row>
    <row r="1311" spans="1:15" ht="43.2" x14ac:dyDescent="0.3">
      <c r="A1311" s="1" t="s">
        <v>23273</v>
      </c>
      <c r="B1311" s="1" t="str">
        <f>"Lee Simon"</f>
        <v>Lee Simon</v>
      </c>
      <c r="C1311" s="1" t="s">
        <v>23274</v>
      </c>
      <c r="F1311" s="1" t="s">
        <v>10970</v>
      </c>
      <c r="H1311" s="1" t="s">
        <v>23275</v>
      </c>
      <c r="I1311" s="1" t="s">
        <v>5</v>
      </c>
      <c r="J1311" s="1" t="s">
        <v>67</v>
      </c>
      <c r="K1311" s="1" t="s">
        <v>14</v>
      </c>
      <c r="M1311" s="2">
        <v>43213</v>
      </c>
      <c r="N1311" s="1" t="s">
        <v>8</v>
      </c>
      <c r="O1311" s="1" t="s">
        <v>68</v>
      </c>
    </row>
    <row r="1312" spans="1:15" ht="28.8" x14ac:dyDescent="0.3">
      <c r="A1312" s="1" t="s">
        <v>23276</v>
      </c>
      <c r="B1312" s="1" t="str">
        <f>"Andrew Owen Andy Owen Handyman"</f>
        <v>Andrew Owen Andy Owen Handyman</v>
      </c>
      <c r="C1312" s="1" t="s">
        <v>23277</v>
      </c>
      <c r="F1312" s="1" t="s">
        <v>710</v>
      </c>
      <c r="H1312" s="1" t="s">
        <v>23278</v>
      </c>
      <c r="I1312" s="1" t="s">
        <v>5</v>
      </c>
      <c r="J1312" s="1" t="s">
        <v>6</v>
      </c>
      <c r="K1312" s="1" t="s">
        <v>34</v>
      </c>
      <c r="M1312" s="2">
        <v>43213</v>
      </c>
      <c r="N1312" s="1" t="s">
        <v>8</v>
      </c>
      <c r="O1312" s="2">
        <v>44309</v>
      </c>
    </row>
    <row r="1313" spans="1:15" ht="28.8" x14ac:dyDescent="0.3">
      <c r="A1313" s="1" t="s">
        <v>23279</v>
      </c>
      <c r="B1313" s="1" t="str">
        <f>"Lindsay Jones Abbey Building Supplies"</f>
        <v>Lindsay Jones Abbey Building Supplies</v>
      </c>
      <c r="C1313" s="1" t="s">
        <v>23280</v>
      </c>
      <c r="F1313" s="1" t="s">
        <v>32</v>
      </c>
      <c r="H1313" s="1" t="s">
        <v>23281</v>
      </c>
      <c r="I1313" s="1" t="s">
        <v>5</v>
      </c>
      <c r="J1313" s="1" t="s">
        <v>6</v>
      </c>
      <c r="K1313" s="1" t="s">
        <v>24</v>
      </c>
      <c r="M1313" s="2">
        <v>43213</v>
      </c>
      <c r="N1313" s="1" t="s">
        <v>8</v>
      </c>
      <c r="O1313" s="2">
        <v>44308</v>
      </c>
    </row>
    <row r="1314" spans="1:15" ht="28.8" x14ac:dyDescent="0.3">
      <c r="A1314" s="1" t="s">
        <v>9984</v>
      </c>
      <c r="B1314" s="1" t="str">
        <f>"Wynne's"</f>
        <v>Wynne's</v>
      </c>
      <c r="C1314" s="1" t="s">
        <v>9985</v>
      </c>
      <c r="F1314" s="1" t="s">
        <v>710</v>
      </c>
      <c r="H1314" s="1" t="s">
        <v>9986</v>
      </c>
      <c r="I1314" s="1" t="s">
        <v>125</v>
      </c>
      <c r="J1314" s="1" t="s">
        <v>6</v>
      </c>
      <c r="K1314" s="1" t="s">
        <v>34</v>
      </c>
      <c r="M1314" s="2">
        <v>43210</v>
      </c>
      <c r="N1314" s="1" t="s">
        <v>8</v>
      </c>
      <c r="O1314" s="2">
        <v>44306</v>
      </c>
    </row>
    <row r="1315" spans="1:15" x14ac:dyDescent="0.3">
      <c r="A1315" s="1" t="s">
        <v>9987</v>
      </c>
      <c r="B1315" s="1" t="str">
        <f>"Brodyr Evans Bros"</f>
        <v>Brodyr Evans Bros</v>
      </c>
      <c r="C1315" s="1" t="s">
        <v>9988</v>
      </c>
      <c r="F1315" s="1" t="s">
        <v>1400</v>
      </c>
      <c r="H1315" s="1" t="s">
        <v>9989</v>
      </c>
      <c r="I1315" s="1" t="s">
        <v>125</v>
      </c>
      <c r="J1315" s="1" t="s">
        <v>6</v>
      </c>
      <c r="K1315" s="1" t="s">
        <v>24</v>
      </c>
      <c r="M1315" s="2">
        <v>43210</v>
      </c>
      <c r="N1315" s="1" t="s">
        <v>8</v>
      </c>
      <c r="O1315" s="2">
        <v>44306</v>
      </c>
    </row>
    <row r="1316" spans="1:15" ht="28.8" x14ac:dyDescent="0.3">
      <c r="A1316" s="1" t="s">
        <v>9990</v>
      </c>
      <c r="B1316" s="1" t="str">
        <f>"Pay as You Throw Wales Limited"</f>
        <v>Pay as You Throw Wales Limited</v>
      </c>
      <c r="C1316" s="1" t="s">
        <v>9991</v>
      </c>
      <c r="F1316" s="1" t="s">
        <v>22</v>
      </c>
      <c r="H1316" s="1" t="s">
        <v>9992</v>
      </c>
      <c r="I1316" s="1" t="s">
        <v>19</v>
      </c>
      <c r="J1316" s="1" t="s">
        <v>6</v>
      </c>
      <c r="K1316" s="1" t="s">
        <v>24</v>
      </c>
      <c r="L1316" s="1">
        <v>9524340</v>
      </c>
      <c r="M1316" s="2">
        <v>43210</v>
      </c>
      <c r="N1316" s="1" t="s">
        <v>8</v>
      </c>
      <c r="O1316" s="2">
        <v>44306</v>
      </c>
    </row>
    <row r="1317" spans="1:15" ht="28.8" x14ac:dyDescent="0.3">
      <c r="A1317" s="1" t="s">
        <v>9993</v>
      </c>
      <c r="B1317" s="1" t="str">
        <f>"Total Fire Solutions South Limited"</f>
        <v>Total Fire Solutions South Limited</v>
      </c>
      <c r="C1317" s="1" t="s">
        <v>9994</v>
      </c>
      <c r="D1317" s="1" t="s">
        <v>2079</v>
      </c>
      <c r="F1317" s="1" t="s">
        <v>1093</v>
      </c>
      <c r="H1317" s="1" t="s">
        <v>2080</v>
      </c>
      <c r="I1317" s="1" t="s">
        <v>19</v>
      </c>
      <c r="J1317" s="1" t="s">
        <v>6</v>
      </c>
      <c r="K1317" s="1" t="s">
        <v>34</v>
      </c>
      <c r="L1317" s="1">
        <v>5363534</v>
      </c>
      <c r="M1317" s="2">
        <v>43210</v>
      </c>
      <c r="N1317" s="1" t="s">
        <v>8</v>
      </c>
      <c r="O1317" s="2">
        <v>44306</v>
      </c>
    </row>
    <row r="1318" spans="1:15" ht="28.8" x14ac:dyDescent="0.3">
      <c r="A1318" s="1" t="s">
        <v>9995</v>
      </c>
      <c r="B1318" s="1" t="str">
        <f>"Trusted Roofers"</f>
        <v>Trusted Roofers</v>
      </c>
      <c r="C1318" s="1" t="s">
        <v>9909</v>
      </c>
      <c r="D1318" s="1" t="s">
        <v>312</v>
      </c>
      <c r="F1318" s="1" t="s">
        <v>179</v>
      </c>
      <c r="H1318" s="1" t="s">
        <v>313</v>
      </c>
      <c r="I1318" s="1" t="s">
        <v>125</v>
      </c>
      <c r="J1318" s="1" t="s">
        <v>6</v>
      </c>
      <c r="K1318" s="1" t="s">
        <v>24</v>
      </c>
      <c r="M1318" s="2">
        <v>43210</v>
      </c>
      <c r="N1318" s="1" t="s">
        <v>8</v>
      </c>
      <c r="O1318" s="2">
        <v>44306</v>
      </c>
    </row>
    <row r="1319" spans="1:15" ht="28.8" x14ac:dyDescent="0.3">
      <c r="A1319" s="1" t="s">
        <v>9996</v>
      </c>
      <c r="B1319" s="1" t="str">
        <f>"CCM House Clearance"</f>
        <v>CCM House Clearance</v>
      </c>
      <c r="C1319" s="1" t="s">
        <v>9997</v>
      </c>
      <c r="F1319" s="1" t="s">
        <v>114</v>
      </c>
      <c r="H1319" s="1" t="s">
        <v>9998</v>
      </c>
      <c r="I1319" s="1" t="s">
        <v>125</v>
      </c>
      <c r="J1319" s="1" t="s">
        <v>6</v>
      </c>
      <c r="K1319" s="1" t="s">
        <v>34</v>
      </c>
      <c r="M1319" s="2">
        <v>43210</v>
      </c>
      <c r="N1319" s="1" t="s">
        <v>8</v>
      </c>
      <c r="O1319" s="2">
        <v>44306</v>
      </c>
    </row>
    <row r="1320" spans="1:15" ht="28.8" x14ac:dyDescent="0.3">
      <c r="A1320" s="1" t="s">
        <v>23270</v>
      </c>
      <c r="B1320" s="1" t="str">
        <f>"Garry Price Pricey's Removals"</f>
        <v>Garry Price Pricey's Removals</v>
      </c>
      <c r="C1320" s="1" t="s">
        <v>23271</v>
      </c>
      <c r="F1320" s="1" t="s">
        <v>102</v>
      </c>
      <c r="H1320" s="1" t="s">
        <v>23272</v>
      </c>
      <c r="I1320" s="1" t="s">
        <v>5</v>
      </c>
      <c r="J1320" s="1" t="s">
        <v>6</v>
      </c>
      <c r="K1320" s="1" t="s">
        <v>24</v>
      </c>
      <c r="M1320" s="2">
        <v>43209</v>
      </c>
      <c r="N1320" s="1" t="s">
        <v>8</v>
      </c>
      <c r="O1320" s="2">
        <v>44305</v>
      </c>
    </row>
    <row r="1321" spans="1:15" ht="28.8" x14ac:dyDescent="0.3">
      <c r="A1321" s="1" t="s">
        <v>9981</v>
      </c>
      <c r="B1321" s="1" t="str">
        <f>"Thames Valley Construction"</f>
        <v>Thames Valley Construction</v>
      </c>
      <c r="C1321" s="1" t="s">
        <v>9982</v>
      </c>
      <c r="F1321" s="1" t="s">
        <v>156</v>
      </c>
      <c r="H1321" s="1" t="s">
        <v>9983</v>
      </c>
      <c r="I1321" s="1" t="s">
        <v>19</v>
      </c>
      <c r="J1321" s="1" t="s">
        <v>6</v>
      </c>
      <c r="K1321" s="1" t="s">
        <v>24</v>
      </c>
      <c r="L1321" s="1">
        <v>5102908</v>
      </c>
      <c r="M1321" s="2">
        <v>43208</v>
      </c>
      <c r="N1321" s="1" t="s">
        <v>8</v>
      </c>
      <c r="O1321" s="2">
        <v>44304</v>
      </c>
    </row>
    <row r="1322" spans="1:15" ht="28.8" x14ac:dyDescent="0.3">
      <c r="A1322" s="1" t="s">
        <v>23267</v>
      </c>
      <c r="B1322" s="1" t="str">
        <f>"Zoe Cruickshank SJM Property Services"</f>
        <v>Zoe Cruickshank SJM Property Services</v>
      </c>
      <c r="C1322" s="1" t="s">
        <v>23268</v>
      </c>
      <c r="D1322" s="1" t="s">
        <v>3097</v>
      </c>
      <c r="F1322" s="1" t="s">
        <v>380</v>
      </c>
      <c r="H1322" s="1" t="s">
        <v>23269</v>
      </c>
      <c r="I1322" s="1" t="s">
        <v>5</v>
      </c>
      <c r="J1322" s="1" t="s">
        <v>6</v>
      </c>
      <c r="K1322" s="1" t="s">
        <v>34</v>
      </c>
      <c r="M1322" s="2">
        <v>43208</v>
      </c>
      <c r="N1322" s="1" t="s">
        <v>8</v>
      </c>
      <c r="O1322" s="2">
        <v>44304</v>
      </c>
    </row>
    <row r="1323" spans="1:15" ht="28.8" x14ac:dyDescent="0.3">
      <c r="A1323" s="1" t="s">
        <v>8858</v>
      </c>
      <c r="B1323" s="1" t="str">
        <f>"Giles Davies Limited"</f>
        <v>Giles Davies Limited</v>
      </c>
      <c r="C1323" s="1" t="s">
        <v>8859</v>
      </c>
      <c r="D1323" s="1" t="s">
        <v>5722</v>
      </c>
      <c r="F1323" s="1" t="s">
        <v>380</v>
      </c>
      <c r="H1323" s="1" t="s">
        <v>8860</v>
      </c>
      <c r="I1323" s="1" t="s">
        <v>19</v>
      </c>
      <c r="J1323" s="1" t="s">
        <v>6</v>
      </c>
      <c r="K1323" s="1" t="s">
        <v>24</v>
      </c>
      <c r="L1323" s="1">
        <v>5879449</v>
      </c>
      <c r="M1323" s="2">
        <v>43207</v>
      </c>
      <c r="N1323" s="1" t="s">
        <v>8</v>
      </c>
      <c r="O1323" s="2">
        <v>44303</v>
      </c>
    </row>
    <row r="1324" spans="1:15" ht="28.8" x14ac:dyDescent="0.3">
      <c r="A1324" s="1" t="s">
        <v>8861</v>
      </c>
      <c r="B1324" s="1" t="str">
        <f>"Brightwater Education LTD"</f>
        <v>Brightwater Education LTD</v>
      </c>
      <c r="C1324" s="1" t="s">
        <v>8862</v>
      </c>
      <c r="F1324" s="1" t="s">
        <v>64</v>
      </c>
      <c r="H1324" s="1" t="s">
        <v>8863</v>
      </c>
      <c r="I1324" s="1" t="s">
        <v>19</v>
      </c>
      <c r="J1324" s="1" t="s">
        <v>6</v>
      </c>
      <c r="K1324" s="1" t="s">
        <v>34</v>
      </c>
      <c r="L1324" s="1">
        <v>3251517</v>
      </c>
      <c r="M1324" s="2">
        <v>43207</v>
      </c>
      <c r="N1324" s="1" t="s">
        <v>8</v>
      </c>
      <c r="O1324" s="2">
        <v>44303</v>
      </c>
    </row>
    <row r="1325" spans="1:15" ht="43.2" x14ac:dyDescent="0.3">
      <c r="A1325" s="1" t="s">
        <v>9979</v>
      </c>
      <c r="B1325" s="1" t="str">
        <f>"North Wales Wildlife Trust"</f>
        <v>North Wales Wildlife Trust</v>
      </c>
      <c r="C1325" s="1" t="s">
        <v>9980</v>
      </c>
      <c r="F1325" s="1" t="s">
        <v>1321</v>
      </c>
      <c r="H1325" s="1" t="s">
        <v>9483</v>
      </c>
      <c r="I1325" s="1" t="s">
        <v>125</v>
      </c>
      <c r="J1325" s="1" t="s">
        <v>67</v>
      </c>
      <c r="K1325" s="1" t="s">
        <v>14</v>
      </c>
      <c r="M1325" s="2">
        <v>43207</v>
      </c>
      <c r="N1325" s="1" t="s">
        <v>8</v>
      </c>
      <c r="O1325" s="1" t="s">
        <v>68</v>
      </c>
    </row>
    <row r="1326" spans="1:15" ht="43.2" x14ac:dyDescent="0.3">
      <c r="A1326" s="1" t="s">
        <v>22563</v>
      </c>
      <c r="B1326" s="1" t="str">
        <f>"Graeme Sears"</f>
        <v>Graeme Sears</v>
      </c>
      <c r="C1326" s="1" t="s">
        <v>20298</v>
      </c>
      <c r="F1326" s="1" t="s">
        <v>64</v>
      </c>
      <c r="H1326" s="1" t="s">
        <v>6651</v>
      </c>
      <c r="I1326" s="1" t="s">
        <v>5</v>
      </c>
      <c r="J1326" s="1" t="s">
        <v>67</v>
      </c>
      <c r="K1326" s="1" t="s">
        <v>14</v>
      </c>
      <c r="M1326" s="2">
        <v>43207</v>
      </c>
      <c r="N1326" s="1" t="s">
        <v>8</v>
      </c>
      <c r="O1326" s="1" t="s">
        <v>68</v>
      </c>
    </row>
    <row r="1327" spans="1:15" ht="28.8" x14ac:dyDescent="0.3">
      <c r="A1327" s="1" t="s">
        <v>22564</v>
      </c>
      <c r="B1327" s="1" t="str">
        <f>"Brian Lerwell Brian Lerwell"</f>
        <v>Brian Lerwell Brian Lerwell</v>
      </c>
      <c r="C1327" s="1" t="s">
        <v>22565</v>
      </c>
      <c r="F1327" s="1" t="s">
        <v>64</v>
      </c>
      <c r="H1327" s="1" t="s">
        <v>22566</v>
      </c>
      <c r="I1327" s="1" t="s">
        <v>5</v>
      </c>
      <c r="J1327" s="1" t="s">
        <v>6</v>
      </c>
      <c r="K1327" s="1" t="s">
        <v>24</v>
      </c>
      <c r="M1327" s="2">
        <v>43207</v>
      </c>
      <c r="N1327" s="1" t="s">
        <v>8</v>
      </c>
      <c r="O1327" s="2">
        <v>44303</v>
      </c>
    </row>
    <row r="1328" spans="1:15" ht="43.2" x14ac:dyDescent="0.3">
      <c r="A1328" s="1" t="s">
        <v>8850</v>
      </c>
      <c r="B1328" s="1" t="str">
        <f>"ABM Catering for Leisure LTD"</f>
        <v>ABM Catering for Leisure LTD</v>
      </c>
      <c r="C1328" s="1" t="s">
        <v>8851</v>
      </c>
      <c r="D1328" s="1" t="s">
        <v>8852</v>
      </c>
      <c r="F1328" s="1" t="s">
        <v>123</v>
      </c>
      <c r="H1328" s="1" t="s">
        <v>8853</v>
      </c>
      <c r="I1328" s="1" t="s">
        <v>19</v>
      </c>
      <c r="J1328" s="1" t="s">
        <v>6</v>
      </c>
      <c r="K1328" s="1" t="s">
        <v>24</v>
      </c>
      <c r="L1328" s="1">
        <v>2221416</v>
      </c>
      <c r="M1328" s="2">
        <v>43206</v>
      </c>
      <c r="N1328" s="1" t="s">
        <v>8</v>
      </c>
      <c r="O1328" s="2">
        <v>44302</v>
      </c>
    </row>
    <row r="1329" spans="1:15" ht="28.8" x14ac:dyDescent="0.3">
      <c r="A1329" s="1" t="s">
        <v>8854</v>
      </c>
      <c r="B1329" s="1" t="str">
        <f>"Scott Commercials Limited"</f>
        <v>Scott Commercials Limited</v>
      </c>
      <c r="C1329" s="1" t="s">
        <v>8855</v>
      </c>
      <c r="D1329" s="1" t="s">
        <v>8856</v>
      </c>
      <c r="E1329" s="1" t="s">
        <v>546</v>
      </c>
      <c r="F1329" s="1" t="s">
        <v>156</v>
      </c>
      <c r="H1329" s="1" t="s">
        <v>8857</v>
      </c>
      <c r="I1329" s="1" t="s">
        <v>19</v>
      </c>
      <c r="J1329" s="1" t="s">
        <v>6</v>
      </c>
      <c r="K1329" s="1" t="s">
        <v>34</v>
      </c>
      <c r="L1329" s="1">
        <v>8385663</v>
      </c>
      <c r="M1329" s="2">
        <v>43206</v>
      </c>
      <c r="N1329" s="1" t="s">
        <v>8</v>
      </c>
      <c r="O1329" s="2">
        <v>44302</v>
      </c>
    </row>
    <row r="1330" spans="1:15" ht="43.2" x14ac:dyDescent="0.3">
      <c r="A1330" s="1" t="s">
        <v>22554</v>
      </c>
      <c r="B1330" s="1" t="str">
        <f>"Emilio Ortiz"</f>
        <v>Emilio Ortiz</v>
      </c>
      <c r="C1330" s="1" t="s">
        <v>22555</v>
      </c>
      <c r="D1330" s="1" t="s">
        <v>1264</v>
      </c>
      <c r="F1330" s="1" t="s">
        <v>556</v>
      </c>
      <c r="H1330" s="1" t="s">
        <v>22556</v>
      </c>
      <c r="I1330" s="1" t="s">
        <v>5</v>
      </c>
      <c r="J1330" s="1" t="s">
        <v>67</v>
      </c>
      <c r="K1330" s="1" t="s">
        <v>14</v>
      </c>
      <c r="M1330" s="2">
        <v>43206</v>
      </c>
      <c r="N1330" s="1" t="s">
        <v>8</v>
      </c>
      <c r="O1330" s="1" t="s">
        <v>68</v>
      </c>
    </row>
    <row r="1331" spans="1:15" ht="43.2" x14ac:dyDescent="0.3">
      <c r="A1331" s="1" t="s">
        <v>22557</v>
      </c>
      <c r="B1331" s="1" t="str">
        <f>"Janice Palin"</f>
        <v>Janice Palin</v>
      </c>
      <c r="C1331" s="1" t="s">
        <v>22558</v>
      </c>
      <c r="F1331" s="1" t="s">
        <v>839</v>
      </c>
      <c r="H1331" s="1" t="s">
        <v>22559</v>
      </c>
      <c r="I1331" s="1" t="s">
        <v>5</v>
      </c>
      <c r="J1331" s="1" t="s">
        <v>67</v>
      </c>
      <c r="K1331" s="1" t="s">
        <v>14</v>
      </c>
      <c r="M1331" s="2">
        <v>43206</v>
      </c>
      <c r="N1331" s="1" t="s">
        <v>8</v>
      </c>
      <c r="O1331" s="1" t="s">
        <v>68</v>
      </c>
    </row>
    <row r="1332" spans="1:15" ht="28.8" x14ac:dyDescent="0.3">
      <c r="A1332" s="1" t="s">
        <v>22560</v>
      </c>
      <c r="B1332" s="1" t="str">
        <f>"Lee Murray Lee Murray"</f>
        <v>Lee Murray Lee Murray</v>
      </c>
      <c r="C1332" s="1" t="s">
        <v>22561</v>
      </c>
      <c r="F1332" s="1" t="s">
        <v>556</v>
      </c>
      <c r="H1332" s="1" t="s">
        <v>22562</v>
      </c>
      <c r="I1332" s="1" t="s">
        <v>5</v>
      </c>
      <c r="J1332" s="1" t="s">
        <v>6</v>
      </c>
      <c r="K1332" s="1" t="s">
        <v>34</v>
      </c>
      <c r="M1332" s="2">
        <v>43206</v>
      </c>
      <c r="N1332" s="1" t="s">
        <v>8</v>
      </c>
      <c r="O1332" s="2">
        <v>44302</v>
      </c>
    </row>
    <row r="1333" spans="1:15" ht="43.2" x14ac:dyDescent="0.3">
      <c r="A1333" s="1" t="s">
        <v>8839</v>
      </c>
      <c r="B1333" s="1" t="str">
        <f>"Topstone Construction ltd"</f>
        <v>Topstone Construction ltd</v>
      </c>
      <c r="C1333" s="1" t="s">
        <v>8840</v>
      </c>
      <c r="F1333" s="1" t="s">
        <v>8841</v>
      </c>
      <c r="H1333" s="1" t="s">
        <v>8842</v>
      </c>
      <c r="I1333" s="1" t="s">
        <v>19</v>
      </c>
      <c r="J1333" s="1" t="s">
        <v>6</v>
      </c>
      <c r="K1333" s="1" t="s">
        <v>24</v>
      </c>
      <c r="L1333" s="1">
        <v>10358913</v>
      </c>
      <c r="M1333" s="2">
        <v>43201</v>
      </c>
      <c r="N1333" s="1" t="s">
        <v>8</v>
      </c>
      <c r="O1333" s="2">
        <v>44297</v>
      </c>
    </row>
    <row r="1334" spans="1:15" ht="43.2" x14ac:dyDescent="0.3">
      <c r="A1334" s="1" t="s">
        <v>8843</v>
      </c>
      <c r="B1334" s="1" t="str">
        <f>"AV Coatings "</f>
        <v xml:space="preserve">AV Coatings </v>
      </c>
      <c r="C1334" s="1" t="s">
        <v>8844</v>
      </c>
      <c r="F1334" s="1" t="s">
        <v>665</v>
      </c>
      <c r="H1334" s="1" t="s">
        <v>8845</v>
      </c>
      <c r="I1334" s="1" t="s">
        <v>19</v>
      </c>
      <c r="J1334" s="1" t="s">
        <v>67</v>
      </c>
      <c r="K1334" s="1" t="s">
        <v>14</v>
      </c>
      <c r="M1334" s="2">
        <v>43201</v>
      </c>
      <c r="N1334" s="1" t="s">
        <v>8</v>
      </c>
      <c r="O1334" s="1" t="s">
        <v>68</v>
      </c>
    </row>
    <row r="1335" spans="1:15" ht="43.2" x14ac:dyDescent="0.3">
      <c r="A1335" s="1" t="s">
        <v>8846</v>
      </c>
      <c r="B1335" s="1" t="str">
        <f>"cheapskateLtd"</f>
        <v>cheapskateLtd</v>
      </c>
      <c r="C1335" s="1" t="s">
        <v>8847</v>
      </c>
      <c r="D1335" s="1" t="s">
        <v>8848</v>
      </c>
      <c r="F1335" s="1" t="s">
        <v>323</v>
      </c>
      <c r="H1335" s="1" t="s">
        <v>8849</v>
      </c>
      <c r="I1335" s="1" t="s">
        <v>19</v>
      </c>
      <c r="J1335" s="1" t="s">
        <v>67</v>
      </c>
      <c r="K1335" s="1" t="s">
        <v>14</v>
      </c>
      <c r="M1335" s="2">
        <v>43201</v>
      </c>
      <c r="N1335" s="1" t="s">
        <v>8</v>
      </c>
      <c r="O1335" s="1" t="s">
        <v>68</v>
      </c>
    </row>
    <row r="1336" spans="1:15" ht="43.2" x14ac:dyDescent="0.3">
      <c r="A1336" s="1" t="s">
        <v>22551</v>
      </c>
      <c r="B1336" s="1" t="str">
        <f>"paul parry"</f>
        <v>paul parry</v>
      </c>
      <c r="C1336" s="1" t="s">
        <v>22552</v>
      </c>
      <c r="F1336" s="1" t="s">
        <v>720</v>
      </c>
      <c r="H1336" s="1" t="s">
        <v>22553</v>
      </c>
      <c r="I1336" s="1" t="s">
        <v>5</v>
      </c>
      <c r="J1336" s="1" t="s">
        <v>67</v>
      </c>
      <c r="K1336" s="1" t="s">
        <v>14</v>
      </c>
      <c r="M1336" s="2">
        <v>43201</v>
      </c>
      <c r="N1336" s="1" t="s">
        <v>8</v>
      </c>
      <c r="O1336" s="1" t="s">
        <v>68</v>
      </c>
    </row>
    <row r="1337" spans="1:15" ht="28.8" x14ac:dyDescent="0.3">
      <c r="A1337" s="1" t="s">
        <v>7706</v>
      </c>
      <c r="B1337" s="1" t="str">
        <f>"J A SKIP HIRE"</f>
        <v>J A SKIP HIRE</v>
      </c>
      <c r="C1337" s="1" t="s">
        <v>7707</v>
      </c>
      <c r="D1337" s="1" t="s">
        <v>7708</v>
      </c>
      <c r="F1337" s="1" t="s">
        <v>7709</v>
      </c>
      <c r="H1337" s="1" t="s">
        <v>7710</v>
      </c>
      <c r="I1337" s="1" t="s">
        <v>125</v>
      </c>
      <c r="J1337" s="1" t="s">
        <v>6</v>
      </c>
      <c r="K1337" s="1" t="s">
        <v>34</v>
      </c>
      <c r="M1337" s="2">
        <v>43200</v>
      </c>
      <c r="N1337" s="1" t="s">
        <v>8</v>
      </c>
      <c r="O1337" s="2">
        <v>44296</v>
      </c>
    </row>
    <row r="1338" spans="1:15" ht="43.2" x14ac:dyDescent="0.3">
      <c r="A1338" s="1" t="s">
        <v>7711</v>
      </c>
      <c r="B1338" s="1" t="str">
        <f>"Jersey Bakery Ltd"</f>
        <v>Jersey Bakery Ltd</v>
      </c>
      <c r="C1338" s="1" t="s">
        <v>7712</v>
      </c>
      <c r="F1338" s="1" t="s">
        <v>32</v>
      </c>
      <c r="H1338" s="1" t="s">
        <v>7713</v>
      </c>
      <c r="I1338" s="1" t="s">
        <v>19</v>
      </c>
      <c r="J1338" s="1" t="s">
        <v>67</v>
      </c>
      <c r="K1338" s="1" t="s">
        <v>14</v>
      </c>
      <c r="M1338" s="2">
        <v>43200</v>
      </c>
      <c r="N1338" s="1" t="s">
        <v>8</v>
      </c>
      <c r="O1338" s="1" t="s">
        <v>68</v>
      </c>
    </row>
    <row r="1339" spans="1:15" ht="28.8" x14ac:dyDescent="0.3">
      <c r="A1339" s="1" t="s">
        <v>8832</v>
      </c>
      <c r="B1339" s="1" t="str">
        <f>"Stovesworld ltd"</f>
        <v>Stovesworld ltd</v>
      </c>
      <c r="C1339" s="1" t="s">
        <v>8833</v>
      </c>
      <c r="D1339" s="1" t="s">
        <v>8834</v>
      </c>
      <c r="F1339" s="1" t="s">
        <v>5963</v>
      </c>
      <c r="H1339" s="1" t="s">
        <v>8835</v>
      </c>
      <c r="I1339" s="1" t="s">
        <v>19</v>
      </c>
      <c r="J1339" s="1" t="s">
        <v>6</v>
      </c>
      <c r="K1339" s="1" t="s">
        <v>24</v>
      </c>
      <c r="L1339" s="1">
        <v>10284886</v>
      </c>
      <c r="M1339" s="2">
        <v>43200</v>
      </c>
      <c r="N1339" s="1" t="s">
        <v>8</v>
      </c>
      <c r="O1339" s="2">
        <v>44296</v>
      </c>
    </row>
    <row r="1340" spans="1:15" ht="43.2" x14ac:dyDescent="0.3">
      <c r="A1340" s="1" t="s">
        <v>8836</v>
      </c>
      <c r="B1340" s="1" t="str">
        <f>"d&amp;j &amp;sons "</f>
        <v xml:space="preserve">d&amp;j &amp;sons </v>
      </c>
      <c r="C1340" s="1" t="s">
        <v>8837</v>
      </c>
      <c r="F1340" s="1" t="s">
        <v>156</v>
      </c>
      <c r="H1340" s="1" t="s">
        <v>8838</v>
      </c>
      <c r="I1340" s="1" t="s">
        <v>188</v>
      </c>
      <c r="J1340" s="1" t="s">
        <v>67</v>
      </c>
      <c r="K1340" s="1" t="s">
        <v>14</v>
      </c>
      <c r="M1340" s="2">
        <v>43200</v>
      </c>
      <c r="N1340" s="1" t="s">
        <v>8</v>
      </c>
      <c r="O1340" s="1" t="s">
        <v>68</v>
      </c>
    </row>
    <row r="1341" spans="1:15" ht="43.2" x14ac:dyDescent="0.3">
      <c r="A1341" s="1" t="s">
        <v>21694</v>
      </c>
      <c r="B1341" s="1" t="str">
        <f>"Iulica-zaharia patru"</f>
        <v>Iulica-zaharia patru</v>
      </c>
      <c r="C1341" s="1" t="s">
        <v>21695</v>
      </c>
      <c r="F1341" s="1" t="s">
        <v>21696</v>
      </c>
      <c r="H1341" s="1" t="s">
        <v>21697</v>
      </c>
      <c r="I1341" s="1" t="s">
        <v>5</v>
      </c>
      <c r="J1341" s="1" t="s">
        <v>67</v>
      </c>
      <c r="K1341" s="1" t="s">
        <v>14</v>
      </c>
      <c r="M1341" s="2">
        <v>43200</v>
      </c>
      <c r="N1341" s="1" t="s">
        <v>8</v>
      </c>
      <c r="O1341" s="1" t="s">
        <v>68</v>
      </c>
    </row>
    <row r="1342" spans="1:15" ht="43.2" x14ac:dyDescent="0.3">
      <c r="A1342" s="1" t="s">
        <v>21698</v>
      </c>
      <c r="B1342" s="1" t="str">
        <f>"PETRU-BURCUS VLAIC"</f>
        <v>PETRU-BURCUS VLAIC</v>
      </c>
      <c r="C1342" s="1" t="s">
        <v>21699</v>
      </c>
      <c r="F1342" s="1" t="s">
        <v>21696</v>
      </c>
      <c r="H1342" s="1" t="s">
        <v>21700</v>
      </c>
      <c r="I1342" s="1" t="s">
        <v>5</v>
      </c>
      <c r="J1342" s="1" t="s">
        <v>67</v>
      </c>
      <c r="K1342" s="1" t="s">
        <v>14</v>
      </c>
      <c r="M1342" s="2">
        <v>43200</v>
      </c>
      <c r="N1342" s="1" t="s">
        <v>8</v>
      </c>
      <c r="O1342" s="1" t="s">
        <v>68</v>
      </c>
    </row>
    <row r="1343" spans="1:15" ht="43.2" x14ac:dyDescent="0.3">
      <c r="A1343" s="1" t="s">
        <v>21701</v>
      </c>
      <c r="B1343" s="1" t="str">
        <f>"Martin Fido"</f>
        <v>Martin Fido</v>
      </c>
      <c r="C1343" s="1" t="s">
        <v>21702</v>
      </c>
      <c r="F1343" s="1" t="s">
        <v>706</v>
      </c>
      <c r="H1343" s="1" t="s">
        <v>21703</v>
      </c>
      <c r="I1343" s="1" t="s">
        <v>5</v>
      </c>
      <c r="J1343" s="1" t="s">
        <v>67</v>
      </c>
      <c r="K1343" s="1" t="s">
        <v>14</v>
      </c>
      <c r="M1343" s="2">
        <v>43200</v>
      </c>
      <c r="N1343" s="1" t="s">
        <v>8</v>
      </c>
      <c r="O1343" s="1" t="s">
        <v>68</v>
      </c>
    </row>
    <row r="1344" spans="1:15" ht="28.8" x14ac:dyDescent="0.3">
      <c r="A1344" s="1" t="s">
        <v>21704</v>
      </c>
      <c r="B1344" s="1" t="str">
        <f>"Daniel Baker Dan the man with a van"</f>
        <v>Daniel Baker Dan the man with a van</v>
      </c>
      <c r="C1344" s="1" t="s">
        <v>21705</v>
      </c>
      <c r="F1344" s="1" t="s">
        <v>64</v>
      </c>
      <c r="G1344" s="1" t="s">
        <v>65</v>
      </c>
      <c r="H1344" s="1" t="s">
        <v>21706</v>
      </c>
      <c r="I1344" s="1" t="s">
        <v>5</v>
      </c>
      <c r="J1344" s="1" t="s">
        <v>6</v>
      </c>
      <c r="K1344" s="1" t="s">
        <v>24</v>
      </c>
      <c r="M1344" s="2">
        <v>43200</v>
      </c>
      <c r="N1344" s="1" t="s">
        <v>8</v>
      </c>
      <c r="O1344" s="2">
        <v>44295</v>
      </c>
    </row>
    <row r="1345" spans="1:15" ht="43.2" x14ac:dyDescent="0.3">
      <c r="A1345" s="1" t="s">
        <v>21707</v>
      </c>
      <c r="B1345" s="1" t="str">
        <f>"Martin Fido"</f>
        <v>Martin Fido</v>
      </c>
      <c r="C1345" s="1" t="s">
        <v>21702</v>
      </c>
      <c r="F1345" s="1" t="s">
        <v>706</v>
      </c>
      <c r="H1345" s="1" t="s">
        <v>21703</v>
      </c>
      <c r="I1345" s="1" t="s">
        <v>5</v>
      </c>
      <c r="J1345" s="1" t="s">
        <v>67</v>
      </c>
      <c r="K1345" s="1" t="s">
        <v>14</v>
      </c>
      <c r="M1345" s="2">
        <v>43200</v>
      </c>
      <c r="N1345" s="1" t="s">
        <v>8</v>
      </c>
      <c r="O1345" s="1" t="s">
        <v>68</v>
      </c>
    </row>
    <row r="1346" spans="1:15" ht="28.8" x14ac:dyDescent="0.3">
      <c r="A1346" s="1" t="s">
        <v>21708</v>
      </c>
      <c r="B1346" s="1" t="str">
        <f>"Justin Watson Justin Watson"</f>
        <v>Justin Watson Justin Watson</v>
      </c>
      <c r="C1346" s="1" t="s">
        <v>21709</v>
      </c>
      <c r="F1346" s="1" t="s">
        <v>665</v>
      </c>
      <c r="H1346" s="1" t="s">
        <v>21710</v>
      </c>
      <c r="I1346" s="1" t="s">
        <v>5</v>
      </c>
      <c r="J1346" s="1" t="s">
        <v>6</v>
      </c>
      <c r="K1346" s="1" t="s">
        <v>24</v>
      </c>
      <c r="M1346" s="2">
        <v>43200</v>
      </c>
      <c r="N1346" s="1" t="s">
        <v>8</v>
      </c>
      <c r="O1346" s="2">
        <v>44296</v>
      </c>
    </row>
    <row r="1347" spans="1:15" ht="28.8" x14ac:dyDescent="0.3">
      <c r="A1347" s="1" t="s">
        <v>21711</v>
      </c>
      <c r="B1347" s="1" t="str">
        <f>"Craig Jeffs C L Jeffs"</f>
        <v>Craig Jeffs C L Jeffs</v>
      </c>
      <c r="C1347" s="1" t="s">
        <v>21712</v>
      </c>
      <c r="D1347" s="1" t="s">
        <v>21713</v>
      </c>
      <c r="F1347" s="1" t="s">
        <v>720</v>
      </c>
      <c r="H1347" s="1" t="s">
        <v>21714</v>
      </c>
      <c r="I1347" s="1" t="s">
        <v>5</v>
      </c>
      <c r="J1347" s="1" t="s">
        <v>6</v>
      </c>
      <c r="K1347" s="1" t="s">
        <v>34</v>
      </c>
      <c r="M1347" s="2">
        <v>43200</v>
      </c>
      <c r="N1347" s="1" t="s">
        <v>8</v>
      </c>
      <c r="O1347" s="2">
        <v>44296</v>
      </c>
    </row>
    <row r="1348" spans="1:15" ht="28.8" x14ac:dyDescent="0.3">
      <c r="A1348" s="1" t="s">
        <v>21715</v>
      </c>
      <c r="B1348" s="1" t="str">
        <f>"Gavin Walsh Gavin Lee Walsh"</f>
        <v>Gavin Walsh Gavin Lee Walsh</v>
      </c>
      <c r="C1348" s="1" t="s">
        <v>21716</v>
      </c>
      <c r="F1348" s="1" t="s">
        <v>556</v>
      </c>
      <c r="H1348" s="1" t="s">
        <v>21717</v>
      </c>
      <c r="I1348" s="1" t="s">
        <v>5</v>
      </c>
      <c r="J1348" s="1" t="s">
        <v>6</v>
      </c>
      <c r="K1348" s="1" t="s">
        <v>34</v>
      </c>
      <c r="M1348" s="2">
        <v>43200</v>
      </c>
      <c r="N1348" s="1" t="s">
        <v>8</v>
      </c>
      <c r="O1348" s="2">
        <v>44296</v>
      </c>
    </row>
    <row r="1349" spans="1:15" ht="43.2" x14ac:dyDescent="0.3">
      <c r="A1349" s="1" t="s">
        <v>22549</v>
      </c>
      <c r="B1349" s="1" t="str">
        <f>"Paul Williams Paul Williams electrical contactor "</f>
        <v xml:space="preserve">Paul Williams Paul Williams electrical contactor </v>
      </c>
      <c r="C1349" s="1" t="s">
        <v>22550</v>
      </c>
      <c r="F1349" s="1" t="s">
        <v>487</v>
      </c>
      <c r="H1349" s="1" t="s">
        <v>21986</v>
      </c>
      <c r="I1349" s="1" t="s">
        <v>5</v>
      </c>
      <c r="J1349" s="1" t="s">
        <v>6</v>
      </c>
      <c r="K1349" s="1" t="s">
        <v>24</v>
      </c>
      <c r="M1349" s="2">
        <v>43200</v>
      </c>
      <c r="N1349" s="1" t="s">
        <v>8</v>
      </c>
      <c r="O1349" s="2">
        <v>44296</v>
      </c>
    </row>
    <row r="1350" spans="1:15" ht="28.8" x14ac:dyDescent="0.3">
      <c r="A1350" s="1" t="s">
        <v>6654</v>
      </c>
      <c r="B1350" s="1" t="str">
        <f>"NHS Wales Health Courier Service"</f>
        <v>NHS Wales Health Courier Service</v>
      </c>
      <c r="C1350" s="1" t="s">
        <v>6655</v>
      </c>
      <c r="D1350" s="1" t="s">
        <v>6656</v>
      </c>
      <c r="F1350" s="1" t="s">
        <v>123</v>
      </c>
      <c r="H1350" s="1" t="s">
        <v>6657</v>
      </c>
      <c r="I1350" s="1" t="s">
        <v>188</v>
      </c>
      <c r="J1350" s="1" t="s">
        <v>6</v>
      </c>
      <c r="K1350" s="1" t="s">
        <v>34</v>
      </c>
      <c r="M1350" s="2">
        <v>43199</v>
      </c>
      <c r="N1350" s="1" t="s">
        <v>8</v>
      </c>
      <c r="O1350" s="2">
        <v>44295</v>
      </c>
    </row>
    <row r="1351" spans="1:15" ht="43.2" x14ac:dyDescent="0.3">
      <c r="A1351" s="1" t="s">
        <v>6658</v>
      </c>
      <c r="B1351" s="1" t="str">
        <f>"At home Healthcare"</f>
        <v>At home Healthcare</v>
      </c>
      <c r="C1351" s="1" t="s">
        <v>6659</v>
      </c>
      <c r="D1351" s="1" t="s">
        <v>546</v>
      </c>
      <c r="F1351" s="1" t="s">
        <v>156</v>
      </c>
      <c r="H1351" s="1" t="s">
        <v>6660</v>
      </c>
      <c r="I1351" s="1" t="s">
        <v>19</v>
      </c>
      <c r="J1351" s="1" t="s">
        <v>67</v>
      </c>
      <c r="K1351" s="1" t="s">
        <v>14</v>
      </c>
      <c r="M1351" s="2">
        <v>43199</v>
      </c>
      <c r="N1351" s="1" t="s">
        <v>8</v>
      </c>
      <c r="O1351" s="1" t="s">
        <v>68</v>
      </c>
    </row>
    <row r="1352" spans="1:15" ht="43.2" x14ac:dyDescent="0.3">
      <c r="A1352" s="1" t="s">
        <v>6661</v>
      </c>
      <c r="B1352" s="1" t="str">
        <f>"Dream Clean Facilities Management "</f>
        <v xml:space="preserve">Dream Clean Facilities Management </v>
      </c>
      <c r="C1352" s="1" t="s">
        <v>6662</v>
      </c>
      <c r="F1352" s="1" t="s">
        <v>123</v>
      </c>
      <c r="H1352" s="1" t="s">
        <v>6663</v>
      </c>
      <c r="I1352" s="1" t="s">
        <v>125</v>
      </c>
      <c r="J1352" s="1" t="s">
        <v>67</v>
      </c>
      <c r="K1352" s="1" t="s">
        <v>24</v>
      </c>
      <c r="M1352" s="2">
        <v>43199</v>
      </c>
      <c r="N1352" s="1" t="s">
        <v>8</v>
      </c>
      <c r="O1352" s="1" t="s">
        <v>68</v>
      </c>
    </row>
    <row r="1353" spans="1:15" ht="28.8" x14ac:dyDescent="0.3">
      <c r="A1353" s="1" t="s">
        <v>20168</v>
      </c>
      <c r="B1353" s="1" t="str">
        <f>"Henry Price Henry &amp; Eiofe Price"</f>
        <v>Henry Price Henry &amp; Eiofe Price</v>
      </c>
      <c r="C1353" s="1" t="s">
        <v>20169</v>
      </c>
      <c r="F1353" s="1" t="s">
        <v>123</v>
      </c>
      <c r="H1353" s="1" t="s">
        <v>20170</v>
      </c>
      <c r="I1353" s="1" t="s">
        <v>5</v>
      </c>
      <c r="J1353" s="1" t="s">
        <v>6</v>
      </c>
      <c r="K1353" s="1" t="s">
        <v>34</v>
      </c>
      <c r="M1353" s="2">
        <v>43199</v>
      </c>
      <c r="N1353" s="1" t="s">
        <v>8</v>
      </c>
      <c r="O1353" s="2">
        <v>44295</v>
      </c>
    </row>
    <row r="1354" spans="1:15" ht="43.2" x14ac:dyDescent="0.3">
      <c r="A1354" s="1" t="s">
        <v>20958</v>
      </c>
      <c r="B1354" s="1" t="str">
        <f>"Aaron Hay Aaron Hay Carpentry &amp; General Build"</f>
        <v>Aaron Hay Aaron Hay Carpentry &amp; General Build</v>
      </c>
      <c r="C1354" s="1" t="s">
        <v>20959</v>
      </c>
      <c r="F1354" s="1" t="s">
        <v>491</v>
      </c>
      <c r="H1354" s="1" t="s">
        <v>20960</v>
      </c>
      <c r="I1354" s="1" t="s">
        <v>5</v>
      </c>
      <c r="J1354" s="1" t="s">
        <v>6</v>
      </c>
      <c r="K1354" s="1" t="s">
        <v>34</v>
      </c>
      <c r="M1354" s="2">
        <v>43199</v>
      </c>
      <c r="N1354" s="1" t="s">
        <v>8</v>
      </c>
      <c r="O1354" s="2">
        <v>44333</v>
      </c>
    </row>
    <row r="1355" spans="1:15" ht="43.2" x14ac:dyDescent="0.3">
      <c r="A1355" s="1" t="s">
        <v>20961</v>
      </c>
      <c r="B1355" s="1" t="str">
        <f>"Ryan  Paul"</f>
        <v>Ryan  Paul</v>
      </c>
      <c r="C1355" s="1" t="s">
        <v>20962</v>
      </c>
      <c r="F1355" s="1" t="s">
        <v>123</v>
      </c>
      <c r="H1355" s="1" t="s">
        <v>20963</v>
      </c>
      <c r="I1355" s="1" t="s">
        <v>5</v>
      </c>
      <c r="J1355" s="1" t="s">
        <v>67</v>
      </c>
      <c r="K1355" s="1" t="s">
        <v>14</v>
      </c>
      <c r="M1355" s="2">
        <v>43199</v>
      </c>
      <c r="N1355" s="1" t="s">
        <v>8</v>
      </c>
      <c r="O1355" s="1" t="s">
        <v>68</v>
      </c>
    </row>
    <row r="1356" spans="1:15" ht="43.2" x14ac:dyDescent="0.3">
      <c r="A1356" s="1" t="s">
        <v>20964</v>
      </c>
      <c r="B1356" s="1" t="str">
        <f>"adrian-cristian solomon"</f>
        <v>adrian-cristian solomon</v>
      </c>
      <c r="C1356" s="1" t="s">
        <v>20965</v>
      </c>
      <c r="F1356" s="1" t="s">
        <v>170</v>
      </c>
      <c r="H1356" s="1" t="s">
        <v>20966</v>
      </c>
      <c r="I1356" s="1" t="s">
        <v>5</v>
      </c>
      <c r="J1356" s="1" t="s">
        <v>67</v>
      </c>
      <c r="K1356" s="1" t="s">
        <v>14</v>
      </c>
      <c r="M1356" s="2">
        <v>43199</v>
      </c>
      <c r="N1356" s="1" t="s">
        <v>8</v>
      </c>
      <c r="O1356" s="1" t="s">
        <v>68</v>
      </c>
    </row>
    <row r="1357" spans="1:15" ht="43.2" x14ac:dyDescent="0.3">
      <c r="A1357" s="1" t="s">
        <v>5417</v>
      </c>
      <c r="B1357" s="1" t="str">
        <f>"BDC Aggregates Limited"</f>
        <v>BDC Aggregates Limited</v>
      </c>
      <c r="C1357" s="1" t="s">
        <v>5418</v>
      </c>
      <c r="F1357" s="1" t="s">
        <v>706</v>
      </c>
      <c r="H1357" s="1" t="s">
        <v>5419</v>
      </c>
      <c r="I1357" s="1" t="s">
        <v>19</v>
      </c>
      <c r="J1357" s="1" t="s">
        <v>67</v>
      </c>
      <c r="K1357" s="1" t="s">
        <v>14</v>
      </c>
      <c r="M1357" s="2">
        <v>43198</v>
      </c>
      <c r="N1357" s="1" t="s">
        <v>8</v>
      </c>
      <c r="O1357" s="1" t="s">
        <v>68</v>
      </c>
    </row>
    <row r="1358" spans="1:15" x14ac:dyDescent="0.3">
      <c r="A1358" s="1" t="s">
        <v>5420</v>
      </c>
      <c r="B1358" s="1" t="str">
        <f>"Mr CHAUFFEUR Ltd "</f>
        <v xml:space="preserve">Mr CHAUFFEUR Ltd </v>
      </c>
      <c r="C1358" s="1" t="s">
        <v>5421</v>
      </c>
      <c r="F1358" s="1" t="s">
        <v>5422</v>
      </c>
      <c r="H1358" s="1" t="s">
        <v>5423</v>
      </c>
      <c r="I1358" s="1" t="s">
        <v>19</v>
      </c>
      <c r="J1358" s="1" t="s">
        <v>6</v>
      </c>
      <c r="K1358" s="1" t="s">
        <v>24</v>
      </c>
      <c r="L1358" s="1">
        <v>10627947</v>
      </c>
      <c r="M1358" s="2">
        <v>43198</v>
      </c>
      <c r="N1358" s="1" t="s">
        <v>8</v>
      </c>
      <c r="O1358" s="2">
        <v>44331</v>
      </c>
    </row>
    <row r="1359" spans="1:15" ht="43.2" x14ac:dyDescent="0.3">
      <c r="A1359" s="1" t="s">
        <v>20165</v>
      </c>
      <c r="B1359" s="1" t="str">
        <f>"Thomas  Bowden"</f>
        <v>Thomas  Bowden</v>
      </c>
      <c r="C1359" s="1" t="s">
        <v>20166</v>
      </c>
      <c r="F1359" s="1" t="s">
        <v>230</v>
      </c>
      <c r="H1359" s="1" t="s">
        <v>20167</v>
      </c>
      <c r="I1359" s="1" t="s">
        <v>5</v>
      </c>
      <c r="J1359" s="1" t="s">
        <v>67</v>
      </c>
      <c r="K1359" s="1" t="s">
        <v>14</v>
      </c>
      <c r="M1359" s="2">
        <v>43198</v>
      </c>
      <c r="N1359" s="1" t="s">
        <v>8</v>
      </c>
      <c r="O1359" s="1" t="s">
        <v>68</v>
      </c>
    </row>
    <row r="1360" spans="1:15" ht="43.2" x14ac:dyDescent="0.3">
      <c r="A1360" s="1" t="s">
        <v>4348</v>
      </c>
      <c r="B1360" s="1" t="str">
        <f>"GARTH MOTORS LTD"</f>
        <v>GARTH MOTORS LTD</v>
      </c>
      <c r="C1360" s="1" t="s">
        <v>4349</v>
      </c>
      <c r="F1360" s="1" t="s">
        <v>359</v>
      </c>
      <c r="H1360" s="1" t="s">
        <v>4350</v>
      </c>
      <c r="I1360" s="1" t="s">
        <v>19</v>
      </c>
      <c r="J1360" s="1" t="s">
        <v>67</v>
      </c>
      <c r="K1360" s="1" t="s">
        <v>14</v>
      </c>
      <c r="M1360" s="2">
        <v>43196</v>
      </c>
      <c r="N1360" s="1" t="s">
        <v>8</v>
      </c>
      <c r="O1360" s="1" t="s">
        <v>68</v>
      </c>
    </row>
    <row r="1361" spans="1:15" ht="28.8" x14ac:dyDescent="0.3">
      <c r="A1361" s="1" t="s">
        <v>5411</v>
      </c>
      <c r="B1361" s="1" t="str">
        <f>"KW Jones Civil Contractor"</f>
        <v>KW Jones Civil Contractor</v>
      </c>
      <c r="C1361" s="1" t="s">
        <v>5412</v>
      </c>
      <c r="F1361" s="1" t="s">
        <v>4033</v>
      </c>
      <c r="H1361" s="1" t="s">
        <v>5413</v>
      </c>
      <c r="I1361" s="1" t="s">
        <v>125</v>
      </c>
      <c r="J1361" s="1" t="s">
        <v>6</v>
      </c>
      <c r="K1361" s="1" t="s">
        <v>34</v>
      </c>
      <c r="M1361" s="2">
        <v>43196</v>
      </c>
      <c r="N1361" s="1" t="s">
        <v>8</v>
      </c>
      <c r="O1361" s="2">
        <v>44292</v>
      </c>
    </row>
    <row r="1362" spans="1:15" ht="43.2" x14ac:dyDescent="0.3">
      <c r="A1362" s="1" t="s">
        <v>5414</v>
      </c>
      <c r="B1362" s="1" t="str">
        <f>"Aubreys Snack Shack "</f>
        <v xml:space="preserve">Aubreys Snack Shack </v>
      </c>
      <c r="C1362" s="1" t="s">
        <v>5415</v>
      </c>
      <c r="F1362" s="1" t="s">
        <v>123</v>
      </c>
      <c r="H1362" s="1" t="s">
        <v>5416</v>
      </c>
      <c r="I1362" s="1" t="s">
        <v>125</v>
      </c>
      <c r="J1362" s="1" t="s">
        <v>67</v>
      </c>
      <c r="K1362" s="1" t="s">
        <v>14</v>
      </c>
      <c r="M1362" s="2">
        <v>43196</v>
      </c>
      <c r="N1362" s="1" t="s">
        <v>8</v>
      </c>
      <c r="O1362" s="1" t="s">
        <v>68</v>
      </c>
    </row>
    <row r="1363" spans="1:15" ht="28.8" x14ac:dyDescent="0.3">
      <c r="A1363" s="1" t="s">
        <v>19351</v>
      </c>
      <c r="B1363" s="1" t="str">
        <f>"Paul Duffield  Paul Duffield "</f>
        <v xml:space="preserve">Paul Duffield  Paul Duffield </v>
      </c>
      <c r="C1363" s="1" t="s">
        <v>19352</v>
      </c>
      <c r="F1363" s="1" t="s">
        <v>7844</v>
      </c>
      <c r="H1363" s="1" t="s">
        <v>19353</v>
      </c>
      <c r="I1363" s="1" t="s">
        <v>5</v>
      </c>
      <c r="J1363" s="1" t="s">
        <v>6</v>
      </c>
      <c r="K1363" s="1" t="s">
        <v>24</v>
      </c>
      <c r="M1363" s="2">
        <v>43196</v>
      </c>
      <c r="N1363" s="1" t="s">
        <v>8</v>
      </c>
      <c r="O1363" s="2">
        <v>44311</v>
      </c>
    </row>
    <row r="1364" spans="1:15" ht="28.8" x14ac:dyDescent="0.3">
      <c r="A1364" s="1" t="s">
        <v>20162</v>
      </c>
      <c r="B1364" s="1" t="str">
        <f>"David Whitefoot David Whitefoot"</f>
        <v>David Whitefoot David Whitefoot</v>
      </c>
      <c r="C1364" s="1" t="s">
        <v>20163</v>
      </c>
      <c r="F1364" s="1" t="s">
        <v>1093</v>
      </c>
      <c r="H1364" s="1" t="s">
        <v>20164</v>
      </c>
      <c r="I1364" s="1" t="s">
        <v>5</v>
      </c>
      <c r="J1364" s="1" t="s">
        <v>6</v>
      </c>
      <c r="K1364" s="1" t="s">
        <v>24</v>
      </c>
      <c r="M1364" s="2">
        <v>43196</v>
      </c>
      <c r="N1364" s="1" t="s">
        <v>8</v>
      </c>
      <c r="O1364" s="2">
        <v>44292</v>
      </c>
    </row>
    <row r="1365" spans="1:15" ht="28.8" x14ac:dyDescent="0.3">
      <c r="A1365" s="1" t="s">
        <v>4338</v>
      </c>
      <c r="B1365" s="1" t="str">
        <f>"Adrian Gibbs Roofing LTD"</f>
        <v>Adrian Gibbs Roofing LTD</v>
      </c>
      <c r="C1365" s="1" t="s">
        <v>4339</v>
      </c>
      <c r="D1365" s="1" t="s">
        <v>4340</v>
      </c>
      <c r="F1365" s="1" t="s">
        <v>1058</v>
      </c>
      <c r="H1365" s="1" t="s">
        <v>4341</v>
      </c>
      <c r="I1365" s="1" t="s">
        <v>19</v>
      </c>
      <c r="J1365" s="1" t="s">
        <v>6</v>
      </c>
      <c r="K1365" s="1" t="s">
        <v>24</v>
      </c>
      <c r="L1365" s="1">
        <v>6850778</v>
      </c>
      <c r="M1365" s="2">
        <v>43195</v>
      </c>
      <c r="N1365" s="1" t="s">
        <v>8</v>
      </c>
      <c r="O1365" s="2">
        <v>44291</v>
      </c>
    </row>
    <row r="1366" spans="1:15" x14ac:dyDescent="0.3">
      <c r="A1366" s="1" t="s">
        <v>4342</v>
      </c>
      <c r="B1366" s="1" t="str">
        <f>"K &amp; TA Jones"</f>
        <v>K &amp; TA Jones</v>
      </c>
      <c r="C1366" s="1" t="s">
        <v>4343</v>
      </c>
      <c r="F1366" s="1" t="s">
        <v>2</v>
      </c>
      <c r="H1366" s="1" t="s">
        <v>4344</v>
      </c>
      <c r="I1366" s="1" t="s">
        <v>125</v>
      </c>
      <c r="J1366" s="1" t="s">
        <v>6</v>
      </c>
      <c r="K1366" s="1" t="s">
        <v>24</v>
      </c>
      <c r="M1366" s="2">
        <v>43195</v>
      </c>
      <c r="N1366" s="1" t="s">
        <v>8</v>
      </c>
      <c r="O1366" s="2">
        <v>44291</v>
      </c>
    </row>
    <row r="1367" spans="1:15" ht="43.2" x14ac:dyDescent="0.3">
      <c r="A1367" s="1" t="s">
        <v>4345</v>
      </c>
      <c r="B1367" s="1" t="str">
        <f>"Ocean View Property solutions"</f>
        <v>Ocean View Property solutions</v>
      </c>
      <c r="C1367" s="1" t="s">
        <v>4346</v>
      </c>
      <c r="F1367" s="1" t="s">
        <v>1063</v>
      </c>
      <c r="H1367" s="1" t="s">
        <v>4347</v>
      </c>
      <c r="I1367" s="1" t="s">
        <v>19</v>
      </c>
      <c r="J1367" s="1" t="s">
        <v>67</v>
      </c>
      <c r="K1367" s="1" t="s">
        <v>14</v>
      </c>
      <c r="M1367" s="2">
        <v>43195</v>
      </c>
      <c r="N1367" s="1" t="s">
        <v>8</v>
      </c>
      <c r="O1367" s="1" t="s">
        <v>68</v>
      </c>
    </row>
    <row r="1368" spans="1:15" ht="43.2" x14ac:dyDescent="0.3">
      <c r="A1368" s="1" t="s">
        <v>19348</v>
      </c>
      <c r="B1368" s="1" t="str">
        <f>"Robert  Davies"</f>
        <v>Robert  Davies</v>
      </c>
      <c r="C1368" s="1" t="s">
        <v>19349</v>
      </c>
      <c r="F1368" s="1" t="s">
        <v>532</v>
      </c>
      <c r="H1368" s="1" t="s">
        <v>19350</v>
      </c>
      <c r="I1368" s="1" t="s">
        <v>5</v>
      </c>
      <c r="J1368" s="1" t="s">
        <v>67</v>
      </c>
      <c r="K1368" s="1" t="s">
        <v>14</v>
      </c>
      <c r="M1368" s="2">
        <v>43195</v>
      </c>
      <c r="N1368" s="1" t="s">
        <v>8</v>
      </c>
      <c r="O1368" s="1" t="s">
        <v>68</v>
      </c>
    </row>
    <row r="1369" spans="1:15" ht="28.8" x14ac:dyDescent="0.3">
      <c r="A1369" s="1" t="s">
        <v>17953</v>
      </c>
      <c r="B1369" s="1" t="str">
        <f>"Wales International Freight"</f>
        <v>Wales International Freight</v>
      </c>
      <c r="C1369" s="1" t="s">
        <v>17954</v>
      </c>
      <c r="F1369" s="1" t="s">
        <v>123</v>
      </c>
      <c r="H1369" s="1" t="s">
        <v>15354</v>
      </c>
      <c r="I1369" s="1" t="s">
        <v>19</v>
      </c>
      <c r="J1369" s="1" t="s">
        <v>6</v>
      </c>
      <c r="K1369" s="1" t="s">
        <v>34</v>
      </c>
      <c r="L1369" s="1">
        <v>5472179</v>
      </c>
      <c r="M1369" s="2">
        <v>43194</v>
      </c>
      <c r="N1369" s="1" t="s">
        <v>8</v>
      </c>
      <c r="O1369" s="2">
        <v>44290</v>
      </c>
    </row>
    <row r="1370" spans="1:15" ht="43.2" x14ac:dyDescent="0.3">
      <c r="A1370" s="1" t="s">
        <v>17955</v>
      </c>
      <c r="B1370" s="1" t="str">
        <f>"Cardiff University"</f>
        <v>Cardiff University</v>
      </c>
      <c r="C1370" s="1" t="s">
        <v>17956</v>
      </c>
      <c r="D1370" s="1" t="s">
        <v>17957</v>
      </c>
      <c r="F1370" s="1" t="s">
        <v>123</v>
      </c>
      <c r="H1370" s="1" t="s">
        <v>17958</v>
      </c>
      <c r="I1370" s="1" t="s">
        <v>125</v>
      </c>
      <c r="J1370" s="1" t="s">
        <v>67</v>
      </c>
      <c r="K1370" s="1" t="s">
        <v>14</v>
      </c>
      <c r="M1370" s="2">
        <v>43194</v>
      </c>
      <c r="N1370" s="1" t="s">
        <v>8</v>
      </c>
      <c r="O1370" s="1" t="s">
        <v>68</v>
      </c>
    </row>
    <row r="1371" spans="1:15" ht="28.8" x14ac:dyDescent="0.3">
      <c r="A1371" s="1" t="s">
        <v>29653</v>
      </c>
      <c r="B1371" s="1" t="str">
        <f>"Andrew Hatton Andrew Hatton Maintenance "</f>
        <v xml:space="preserve">Andrew Hatton Andrew Hatton Maintenance </v>
      </c>
      <c r="C1371" s="1" t="s">
        <v>29654</v>
      </c>
      <c r="F1371" s="1" t="s">
        <v>1206</v>
      </c>
      <c r="H1371" s="1" t="s">
        <v>29655</v>
      </c>
      <c r="I1371" s="1" t="s">
        <v>5</v>
      </c>
      <c r="J1371" s="1" t="s">
        <v>6</v>
      </c>
      <c r="K1371" s="1" t="s">
        <v>34</v>
      </c>
      <c r="M1371" s="2">
        <v>43194</v>
      </c>
      <c r="N1371" s="1" t="s">
        <v>8</v>
      </c>
      <c r="O1371" s="2">
        <v>44298</v>
      </c>
    </row>
    <row r="1372" spans="1:15" ht="28.8" x14ac:dyDescent="0.3">
      <c r="A1372" s="1" t="s">
        <v>29656</v>
      </c>
      <c r="B1372" s="1" t="str">
        <f>"ALWYN JONES ALWYN JONES ADEILADWR"</f>
        <v>ALWYN JONES ALWYN JONES ADEILADWR</v>
      </c>
      <c r="C1372" s="1" t="s">
        <v>29657</v>
      </c>
      <c r="D1372" s="1" t="s">
        <v>1785</v>
      </c>
      <c r="F1372" s="1" t="s">
        <v>1786</v>
      </c>
      <c r="H1372" s="1" t="s">
        <v>1787</v>
      </c>
      <c r="I1372" s="1" t="s">
        <v>5</v>
      </c>
      <c r="J1372" s="1" t="s">
        <v>6</v>
      </c>
      <c r="K1372" s="1" t="s">
        <v>24</v>
      </c>
      <c r="M1372" s="2">
        <v>43194</v>
      </c>
      <c r="N1372" s="1" t="s">
        <v>8</v>
      </c>
      <c r="O1372" s="2">
        <v>44289</v>
      </c>
    </row>
    <row r="1373" spans="1:15" ht="28.8" x14ac:dyDescent="0.3">
      <c r="A1373" s="1" t="s">
        <v>16903</v>
      </c>
      <c r="B1373" s="1" t="str">
        <f>"Gwilym Parry &amp; Son LTD"</f>
        <v>Gwilym Parry &amp; Son LTD</v>
      </c>
      <c r="C1373" s="1" t="s">
        <v>16904</v>
      </c>
      <c r="D1373" s="1" t="s">
        <v>95</v>
      </c>
      <c r="F1373" s="1" t="s">
        <v>532</v>
      </c>
      <c r="H1373" s="1" t="s">
        <v>16905</v>
      </c>
      <c r="I1373" s="1" t="s">
        <v>19</v>
      </c>
      <c r="J1373" s="1" t="s">
        <v>6</v>
      </c>
      <c r="K1373" s="1" t="s">
        <v>24</v>
      </c>
      <c r="L1373" s="1">
        <v>4661879</v>
      </c>
      <c r="M1373" s="2">
        <v>43193</v>
      </c>
      <c r="N1373" s="1" t="s">
        <v>8</v>
      </c>
      <c r="O1373" s="2">
        <v>44289</v>
      </c>
    </row>
    <row r="1374" spans="1:15" ht="28.8" x14ac:dyDescent="0.3">
      <c r="A1374" s="1" t="s">
        <v>16906</v>
      </c>
      <c r="B1374" s="1" t="str">
        <f>"I.M. &amp; D.M. OWEN (ADEILADWYR) CYF"</f>
        <v>I.M. &amp; D.M. OWEN (ADEILADWYR) CYF</v>
      </c>
      <c r="C1374" s="1" t="s">
        <v>16907</v>
      </c>
      <c r="F1374" s="1" t="s">
        <v>1880</v>
      </c>
      <c r="H1374" s="1" t="s">
        <v>16908</v>
      </c>
      <c r="I1374" s="1" t="s">
        <v>19</v>
      </c>
      <c r="J1374" s="1" t="s">
        <v>6</v>
      </c>
      <c r="K1374" s="1" t="s">
        <v>24</v>
      </c>
      <c r="L1374" s="1">
        <v>6525996</v>
      </c>
      <c r="M1374" s="2">
        <v>43193</v>
      </c>
      <c r="N1374" s="1" t="s">
        <v>8</v>
      </c>
      <c r="O1374" s="2">
        <v>44289</v>
      </c>
    </row>
    <row r="1375" spans="1:15" ht="43.2" x14ac:dyDescent="0.3">
      <c r="A1375" s="1" t="s">
        <v>16909</v>
      </c>
      <c r="B1375" s="1" t="str">
        <f>"Just Move  Clear &amp; Deliver "</f>
        <v xml:space="preserve">Just Move  Clear &amp; Deliver </v>
      </c>
      <c r="C1375" s="1" t="s">
        <v>16910</v>
      </c>
      <c r="D1375" s="1" t="s">
        <v>16911</v>
      </c>
      <c r="F1375" s="1" t="s">
        <v>64</v>
      </c>
      <c r="H1375" s="1" t="s">
        <v>16912</v>
      </c>
      <c r="I1375" s="1" t="s">
        <v>188</v>
      </c>
      <c r="J1375" s="1" t="s">
        <v>67</v>
      </c>
      <c r="K1375" s="1" t="s">
        <v>14</v>
      </c>
      <c r="M1375" s="2">
        <v>43193</v>
      </c>
      <c r="N1375" s="1" t="s">
        <v>8</v>
      </c>
      <c r="O1375" s="1" t="s">
        <v>68</v>
      </c>
    </row>
    <row r="1376" spans="1:15" ht="43.2" x14ac:dyDescent="0.3">
      <c r="A1376" s="1" t="s">
        <v>28876</v>
      </c>
      <c r="B1376" s="1" t="str">
        <f>"Peter  Morris"</f>
        <v>Peter  Morris</v>
      </c>
      <c r="C1376" s="1" t="s">
        <v>28877</v>
      </c>
      <c r="F1376" s="1" t="s">
        <v>1226</v>
      </c>
      <c r="H1376" s="1" t="s">
        <v>28878</v>
      </c>
      <c r="I1376" s="1" t="s">
        <v>5</v>
      </c>
      <c r="J1376" s="1" t="s">
        <v>67</v>
      </c>
      <c r="K1376" s="1" t="s">
        <v>14</v>
      </c>
      <c r="M1376" s="2">
        <v>43193</v>
      </c>
      <c r="N1376" s="1" t="s">
        <v>8</v>
      </c>
      <c r="O1376" s="1" t="s">
        <v>68</v>
      </c>
    </row>
    <row r="1377" spans="1:15" ht="28.8" x14ac:dyDescent="0.3">
      <c r="A1377" s="1" t="s">
        <v>28879</v>
      </c>
      <c r="B1377" s="1" t="str">
        <f>"STEWART COOKE MR STEWART COOKE"</f>
        <v>STEWART COOKE MR STEWART COOKE</v>
      </c>
      <c r="C1377" s="1" t="s">
        <v>28880</v>
      </c>
      <c r="F1377" s="1" t="s">
        <v>4635</v>
      </c>
      <c r="H1377" s="1" t="s">
        <v>28881</v>
      </c>
      <c r="I1377" s="1" t="s">
        <v>5</v>
      </c>
      <c r="J1377" s="1" t="s">
        <v>6</v>
      </c>
      <c r="K1377" s="1" t="s">
        <v>34</v>
      </c>
      <c r="M1377" s="2">
        <v>43193</v>
      </c>
      <c r="N1377" s="1" t="s">
        <v>8</v>
      </c>
      <c r="O1377" s="2">
        <v>44325</v>
      </c>
    </row>
    <row r="1378" spans="1:15" ht="28.8" x14ac:dyDescent="0.3">
      <c r="A1378" s="1" t="s">
        <v>28882</v>
      </c>
      <c r="B1378" s="1" t="str">
        <f>"ADAM SAMMONS BILLYCAN"</f>
        <v>ADAM SAMMONS BILLYCAN</v>
      </c>
      <c r="C1378" s="1" t="s">
        <v>6877</v>
      </c>
      <c r="F1378" s="1" t="s">
        <v>1063</v>
      </c>
      <c r="H1378" s="1" t="s">
        <v>28883</v>
      </c>
      <c r="I1378" s="1" t="s">
        <v>5</v>
      </c>
      <c r="J1378" s="1" t="s">
        <v>6</v>
      </c>
      <c r="K1378" s="1" t="s">
        <v>34</v>
      </c>
      <c r="M1378" s="2">
        <v>43193</v>
      </c>
      <c r="N1378" s="1" t="s">
        <v>8</v>
      </c>
      <c r="O1378" s="2">
        <v>44325</v>
      </c>
    </row>
    <row r="1379" spans="1:15" ht="28.8" x14ac:dyDescent="0.3">
      <c r="A1379" s="1" t="s">
        <v>28884</v>
      </c>
      <c r="B1379" s="1" t="str">
        <f>"Gareth Wyn Jones"</f>
        <v>Gareth Wyn Jones</v>
      </c>
      <c r="C1379" s="1" t="s">
        <v>28885</v>
      </c>
      <c r="F1379" s="1" t="s">
        <v>64</v>
      </c>
      <c r="H1379" s="1" t="s">
        <v>28886</v>
      </c>
      <c r="I1379" s="1" t="s">
        <v>5</v>
      </c>
      <c r="J1379" s="1" t="s">
        <v>6</v>
      </c>
      <c r="K1379" s="1" t="s">
        <v>34</v>
      </c>
      <c r="M1379" s="2">
        <v>43193</v>
      </c>
      <c r="N1379" s="1" t="s">
        <v>8</v>
      </c>
      <c r="O1379" s="2">
        <v>44289</v>
      </c>
    </row>
    <row r="1380" spans="1:15" ht="28.8" x14ac:dyDescent="0.3">
      <c r="A1380" s="1" t="s">
        <v>28887</v>
      </c>
      <c r="B1380" s="1" t="str">
        <f>"Peter Christopher Shone"</f>
        <v>Peter Christopher Shone</v>
      </c>
      <c r="C1380" s="1" t="s">
        <v>28888</v>
      </c>
      <c r="F1380" s="1" t="s">
        <v>72</v>
      </c>
      <c r="H1380" s="1" t="s">
        <v>28889</v>
      </c>
      <c r="I1380" s="1" t="s">
        <v>5</v>
      </c>
      <c r="J1380" s="1" t="s">
        <v>6</v>
      </c>
      <c r="K1380" s="1" t="s">
        <v>24</v>
      </c>
      <c r="M1380" s="2">
        <v>43193</v>
      </c>
      <c r="N1380" s="1" t="s">
        <v>8</v>
      </c>
      <c r="O1380" s="2">
        <v>44289</v>
      </c>
    </row>
    <row r="1381" spans="1:15" ht="28.8" x14ac:dyDescent="0.3">
      <c r="A1381" s="1" t="s">
        <v>29648</v>
      </c>
      <c r="B1381" s="1" t="str">
        <f>"LOUIS EVAN"</f>
        <v>LOUIS EVAN</v>
      </c>
      <c r="C1381" s="1" t="s">
        <v>29649</v>
      </c>
      <c r="F1381" s="1" t="s">
        <v>123</v>
      </c>
      <c r="H1381" s="1" t="s">
        <v>29650</v>
      </c>
      <c r="I1381" s="1" t="s">
        <v>5</v>
      </c>
      <c r="J1381" s="1" t="s">
        <v>6</v>
      </c>
      <c r="K1381" s="1" t="s">
        <v>34</v>
      </c>
      <c r="M1381" s="2">
        <v>43193</v>
      </c>
      <c r="N1381" s="1" t="s">
        <v>8</v>
      </c>
      <c r="O1381" s="2">
        <v>44325</v>
      </c>
    </row>
    <row r="1382" spans="1:15" ht="43.2" x14ac:dyDescent="0.3">
      <c r="A1382" s="1" t="s">
        <v>29651</v>
      </c>
      <c r="B1382" s="1" t="str">
        <f>"Dave Golding"</f>
        <v>Dave Golding</v>
      </c>
      <c r="C1382" s="1" t="s">
        <v>29652</v>
      </c>
      <c r="F1382" s="1" t="s">
        <v>1776</v>
      </c>
      <c r="H1382" s="1" t="s">
        <v>27349</v>
      </c>
      <c r="I1382" s="1" t="s">
        <v>5</v>
      </c>
      <c r="J1382" s="1" t="s">
        <v>67</v>
      </c>
      <c r="K1382" s="1" t="s">
        <v>14</v>
      </c>
      <c r="M1382" s="2">
        <v>43193</v>
      </c>
      <c r="N1382" s="1" t="s">
        <v>8</v>
      </c>
      <c r="O1382" s="1" t="s">
        <v>68</v>
      </c>
    </row>
    <row r="1383" spans="1:15" ht="28.8" x14ac:dyDescent="0.3">
      <c r="A1383" s="1" t="s">
        <v>15935</v>
      </c>
      <c r="B1383" s="1" t="str">
        <f>"POWER ON DEMAND LTD"</f>
        <v>POWER ON DEMAND LTD</v>
      </c>
      <c r="C1383" s="1" t="s">
        <v>15936</v>
      </c>
      <c r="F1383" s="1" t="s">
        <v>666</v>
      </c>
      <c r="H1383" s="1" t="s">
        <v>15937</v>
      </c>
      <c r="I1383" s="1" t="s">
        <v>19</v>
      </c>
      <c r="J1383" s="1" t="s">
        <v>6</v>
      </c>
      <c r="K1383" s="1" t="s">
        <v>34</v>
      </c>
      <c r="L1383" s="1">
        <v>8054149</v>
      </c>
      <c r="M1383" s="2">
        <v>43191</v>
      </c>
      <c r="N1383" s="1" t="s">
        <v>8</v>
      </c>
      <c r="O1383" s="2">
        <v>44304</v>
      </c>
    </row>
    <row r="1384" spans="1:15" ht="43.2" x14ac:dyDescent="0.3">
      <c r="A1384" s="1" t="s">
        <v>27278</v>
      </c>
      <c r="B1384" s="1" t="str">
        <f>"William Paul Morgan"</f>
        <v>William Paul Morgan</v>
      </c>
      <c r="C1384" s="1" t="s">
        <v>27279</v>
      </c>
      <c r="F1384" s="1" t="s">
        <v>1093</v>
      </c>
      <c r="H1384" s="1" t="s">
        <v>27280</v>
      </c>
      <c r="I1384" s="1" t="s">
        <v>5</v>
      </c>
      <c r="J1384" s="1" t="s">
        <v>67</v>
      </c>
      <c r="K1384" s="1" t="s">
        <v>14</v>
      </c>
      <c r="M1384" s="2">
        <v>43190</v>
      </c>
      <c r="N1384" s="1" t="s">
        <v>8</v>
      </c>
      <c r="O1384" s="1" t="s">
        <v>68</v>
      </c>
    </row>
    <row r="1385" spans="1:15" ht="43.2" x14ac:dyDescent="0.3">
      <c r="A1385" s="1" t="s">
        <v>27281</v>
      </c>
      <c r="B1385" s="1" t="str">
        <f>"Jonathan Thomas "</f>
        <v xml:space="preserve">Jonathan Thomas </v>
      </c>
      <c r="C1385" s="1" t="s">
        <v>27282</v>
      </c>
      <c r="F1385" s="1" t="s">
        <v>4867</v>
      </c>
      <c r="H1385" s="1" t="s">
        <v>20039</v>
      </c>
      <c r="I1385" s="1" t="s">
        <v>5</v>
      </c>
      <c r="J1385" s="1" t="s">
        <v>67</v>
      </c>
      <c r="K1385" s="1" t="s">
        <v>14</v>
      </c>
      <c r="M1385" s="2">
        <v>43190</v>
      </c>
      <c r="N1385" s="1" t="s">
        <v>8</v>
      </c>
      <c r="O1385" s="1" t="s">
        <v>68</v>
      </c>
    </row>
    <row r="1386" spans="1:15" ht="43.2" x14ac:dyDescent="0.3">
      <c r="A1386" s="1" t="s">
        <v>27283</v>
      </c>
      <c r="B1386" s="1" t="str">
        <f>"Christine Steuer"</f>
        <v>Christine Steuer</v>
      </c>
      <c r="C1386" s="1" t="s">
        <v>27284</v>
      </c>
      <c r="D1386" s="1" t="s">
        <v>2710</v>
      </c>
      <c r="F1386" s="1" t="s">
        <v>1239</v>
      </c>
      <c r="H1386" s="1" t="s">
        <v>27285</v>
      </c>
      <c r="I1386" s="1" t="s">
        <v>5</v>
      </c>
      <c r="J1386" s="1" t="s">
        <v>67</v>
      </c>
      <c r="K1386" s="1" t="s">
        <v>14</v>
      </c>
      <c r="M1386" s="2">
        <v>43190</v>
      </c>
      <c r="N1386" s="1" t="s">
        <v>8</v>
      </c>
      <c r="O1386" s="1" t="s">
        <v>68</v>
      </c>
    </row>
    <row r="1387" spans="1:15" ht="43.2" x14ac:dyDescent="0.3">
      <c r="A1387" s="1" t="s">
        <v>14959</v>
      </c>
      <c r="B1387" s="1" t="str">
        <f>"A Trans"</f>
        <v>A Trans</v>
      </c>
      <c r="C1387" s="1" t="s">
        <v>14960</v>
      </c>
      <c r="F1387" s="1" t="s">
        <v>102</v>
      </c>
      <c r="H1387" s="1" t="s">
        <v>14961</v>
      </c>
      <c r="I1387" s="1" t="s">
        <v>1872</v>
      </c>
      <c r="J1387" s="1" t="s">
        <v>67</v>
      </c>
      <c r="K1387" s="1" t="s">
        <v>14</v>
      </c>
      <c r="M1387" s="2">
        <v>43188</v>
      </c>
      <c r="N1387" s="1" t="s">
        <v>8</v>
      </c>
      <c r="O1387" s="1" t="s">
        <v>68</v>
      </c>
    </row>
    <row r="1388" spans="1:15" ht="28.8" x14ac:dyDescent="0.3">
      <c r="A1388" s="1" t="s">
        <v>14962</v>
      </c>
      <c r="B1388" s="1" t="str">
        <f>"DENBIGH TIMBER PRODUCTS LTD"</f>
        <v>DENBIGH TIMBER PRODUCTS LTD</v>
      </c>
      <c r="C1388" s="1" t="s">
        <v>14963</v>
      </c>
      <c r="D1388" s="1" t="s">
        <v>5613</v>
      </c>
      <c r="F1388" s="1" t="s">
        <v>922</v>
      </c>
      <c r="H1388" s="1" t="s">
        <v>5614</v>
      </c>
      <c r="I1388" s="1" t="s">
        <v>19</v>
      </c>
      <c r="J1388" s="1" t="s">
        <v>6</v>
      </c>
      <c r="K1388" s="1" t="s">
        <v>34</v>
      </c>
      <c r="L1388" s="1">
        <v>4614222</v>
      </c>
      <c r="M1388" s="2">
        <v>43188</v>
      </c>
      <c r="N1388" s="1" t="s">
        <v>8</v>
      </c>
      <c r="O1388" s="2">
        <v>44325</v>
      </c>
    </row>
    <row r="1389" spans="1:15" ht="43.2" x14ac:dyDescent="0.3">
      <c r="A1389" s="1" t="s">
        <v>14964</v>
      </c>
      <c r="B1389" s="1" t="str">
        <f>"ML Landscapes"</f>
        <v>ML Landscapes</v>
      </c>
      <c r="C1389" s="1" t="s">
        <v>14965</v>
      </c>
      <c r="F1389" s="1" t="s">
        <v>37</v>
      </c>
      <c r="H1389" s="1" t="s">
        <v>14966</v>
      </c>
      <c r="I1389" s="1" t="s">
        <v>125</v>
      </c>
      <c r="J1389" s="1" t="s">
        <v>67</v>
      </c>
      <c r="K1389" s="1" t="s">
        <v>14</v>
      </c>
      <c r="M1389" s="2">
        <v>43188</v>
      </c>
      <c r="N1389" s="1" t="s">
        <v>8</v>
      </c>
      <c r="O1389" s="1" t="s">
        <v>68</v>
      </c>
    </row>
    <row r="1390" spans="1:15" ht="28.8" x14ac:dyDescent="0.3">
      <c r="A1390" s="1" t="s">
        <v>27272</v>
      </c>
      <c r="B1390" s="1" t="str">
        <f>"Enzo Merola Enzo Merola"</f>
        <v>Enzo Merola Enzo Merola</v>
      </c>
      <c r="C1390" s="1" t="s">
        <v>27273</v>
      </c>
      <c r="F1390" s="1" t="s">
        <v>720</v>
      </c>
      <c r="H1390" s="1" t="s">
        <v>27274</v>
      </c>
      <c r="I1390" s="1" t="s">
        <v>5</v>
      </c>
      <c r="J1390" s="1" t="s">
        <v>6</v>
      </c>
      <c r="K1390" s="1" t="s">
        <v>24</v>
      </c>
      <c r="M1390" s="2">
        <v>43188</v>
      </c>
      <c r="N1390" s="1" t="s">
        <v>8</v>
      </c>
      <c r="O1390" s="2">
        <v>44304</v>
      </c>
    </row>
    <row r="1391" spans="1:15" ht="43.2" x14ac:dyDescent="0.3">
      <c r="A1391" s="1" t="s">
        <v>27275</v>
      </c>
      <c r="B1391" s="1" t="str">
        <f>"Andrew Earlam"</f>
        <v>Andrew Earlam</v>
      </c>
      <c r="C1391" s="1" t="s">
        <v>27276</v>
      </c>
      <c r="F1391" s="1" t="s">
        <v>532</v>
      </c>
      <c r="H1391" s="1" t="s">
        <v>27277</v>
      </c>
      <c r="I1391" s="1" t="s">
        <v>5</v>
      </c>
      <c r="J1391" s="1" t="s">
        <v>67</v>
      </c>
      <c r="K1391" s="1" t="s">
        <v>14</v>
      </c>
      <c r="M1391" s="2">
        <v>43188</v>
      </c>
      <c r="N1391" s="1" t="s">
        <v>8</v>
      </c>
      <c r="O1391" s="1" t="s">
        <v>68</v>
      </c>
    </row>
    <row r="1392" spans="1:15" ht="43.2" x14ac:dyDescent="0.3">
      <c r="A1392" s="1" t="s">
        <v>14083</v>
      </c>
      <c r="B1392" s="1" t="str">
        <f>"Give A Hand Uk Charity"</f>
        <v>Give A Hand Uk Charity</v>
      </c>
      <c r="C1392" s="1" t="s">
        <v>14084</v>
      </c>
      <c r="F1392" s="1" t="s">
        <v>4614</v>
      </c>
      <c r="H1392" s="1" t="s">
        <v>14085</v>
      </c>
      <c r="I1392" s="1" t="s">
        <v>1872</v>
      </c>
      <c r="J1392" s="1" t="s">
        <v>67</v>
      </c>
      <c r="K1392" s="1" t="s">
        <v>14</v>
      </c>
      <c r="M1392" s="2">
        <v>43187</v>
      </c>
      <c r="N1392" s="1" t="s">
        <v>8</v>
      </c>
      <c r="O1392" s="1" t="s">
        <v>68</v>
      </c>
    </row>
    <row r="1393" spans="1:15" ht="28.8" x14ac:dyDescent="0.3">
      <c r="A1393" s="1" t="s">
        <v>14086</v>
      </c>
      <c r="B1393" s="1" t="str">
        <f>"Valley Aggregates LTD "</f>
        <v xml:space="preserve">Valley Aggregates LTD </v>
      </c>
      <c r="C1393" s="1" t="s">
        <v>14087</v>
      </c>
      <c r="F1393" s="1" t="s">
        <v>641</v>
      </c>
      <c r="H1393" s="1" t="s">
        <v>14088</v>
      </c>
      <c r="I1393" s="1" t="s">
        <v>19</v>
      </c>
      <c r="J1393" s="1" t="s">
        <v>6</v>
      </c>
      <c r="K1393" s="1" t="s">
        <v>1859</v>
      </c>
      <c r="L1393" s="1">
        <v>10868596</v>
      </c>
      <c r="M1393" s="2">
        <v>43187</v>
      </c>
      <c r="N1393" s="1" t="s">
        <v>8</v>
      </c>
      <c r="O1393" s="2">
        <v>44296</v>
      </c>
    </row>
    <row r="1394" spans="1:15" ht="28.8" x14ac:dyDescent="0.3">
      <c r="A1394" s="1" t="s">
        <v>26458</v>
      </c>
      <c r="B1394" s="1" t="str">
        <f>"paul luce paul and son gardening"</f>
        <v>paul luce paul and son gardening</v>
      </c>
      <c r="C1394" s="1" t="s">
        <v>26459</v>
      </c>
      <c r="F1394" s="1" t="s">
        <v>706</v>
      </c>
      <c r="H1394" s="1" t="s">
        <v>26460</v>
      </c>
      <c r="I1394" s="1" t="s">
        <v>5</v>
      </c>
      <c r="J1394" s="1" t="s">
        <v>6</v>
      </c>
      <c r="K1394" s="1" t="s">
        <v>24</v>
      </c>
      <c r="M1394" s="2">
        <v>43187</v>
      </c>
      <c r="N1394" s="1" t="s">
        <v>8</v>
      </c>
      <c r="O1394" s="2">
        <v>44310</v>
      </c>
    </row>
    <row r="1395" spans="1:15" ht="43.2" x14ac:dyDescent="0.3">
      <c r="A1395" s="1" t="s">
        <v>26461</v>
      </c>
      <c r="B1395" s="1" t="str">
        <f>"Chris  Wetten"</f>
        <v>Chris  Wetten</v>
      </c>
      <c r="C1395" s="1" t="s">
        <v>26462</v>
      </c>
      <c r="F1395" s="1" t="s">
        <v>230</v>
      </c>
      <c r="H1395" s="1" t="s">
        <v>26463</v>
      </c>
      <c r="I1395" s="1" t="s">
        <v>5</v>
      </c>
      <c r="J1395" s="1" t="s">
        <v>67</v>
      </c>
      <c r="K1395" s="1" t="s">
        <v>14</v>
      </c>
      <c r="M1395" s="2">
        <v>43187</v>
      </c>
      <c r="N1395" s="1" t="s">
        <v>8</v>
      </c>
      <c r="O1395" s="1" t="s">
        <v>68</v>
      </c>
    </row>
    <row r="1396" spans="1:15" ht="28.8" x14ac:dyDescent="0.3">
      <c r="A1396" s="1" t="s">
        <v>26464</v>
      </c>
      <c r="B1396" s="1" t="str">
        <f>"Ken Haynes A1 Construction Services"</f>
        <v>Ken Haynes A1 Construction Services</v>
      </c>
      <c r="C1396" s="1" t="s">
        <v>26465</v>
      </c>
      <c r="D1396" s="1" t="s">
        <v>596</v>
      </c>
      <c r="F1396" s="1" t="s">
        <v>64</v>
      </c>
      <c r="H1396" s="1" t="s">
        <v>26466</v>
      </c>
      <c r="I1396" s="1" t="s">
        <v>5</v>
      </c>
      <c r="J1396" s="1" t="s">
        <v>6</v>
      </c>
      <c r="K1396" s="1" t="s">
        <v>24</v>
      </c>
      <c r="M1396" s="2">
        <v>43187</v>
      </c>
      <c r="N1396" s="1" t="s">
        <v>8</v>
      </c>
      <c r="O1396" s="2">
        <v>44291</v>
      </c>
    </row>
    <row r="1397" spans="1:15" ht="43.2" x14ac:dyDescent="0.3">
      <c r="A1397" s="1" t="s">
        <v>27269</v>
      </c>
      <c r="B1397" s="1" t="str">
        <f>"john temple"</f>
        <v>john temple</v>
      </c>
      <c r="C1397" s="1" t="s">
        <v>27270</v>
      </c>
      <c r="F1397" s="1" t="s">
        <v>4587</v>
      </c>
      <c r="H1397" s="1" t="s">
        <v>27271</v>
      </c>
      <c r="I1397" s="1" t="s">
        <v>5</v>
      </c>
      <c r="J1397" s="1" t="s">
        <v>67</v>
      </c>
      <c r="K1397" s="1" t="s">
        <v>14</v>
      </c>
      <c r="M1397" s="2">
        <v>43187</v>
      </c>
      <c r="N1397" s="1" t="s">
        <v>8</v>
      </c>
      <c r="O1397" s="1" t="s">
        <v>68</v>
      </c>
    </row>
    <row r="1398" spans="1:15" ht="43.2" x14ac:dyDescent="0.3">
      <c r="A1398" s="1" t="s">
        <v>13053</v>
      </c>
      <c r="B1398" s="1" t="str">
        <f>"Transwave Ltd"</f>
        <v>Transwave Ltd</v>
      </c>
      <c r="C1398" s="1" t="s">
        <v>13054</v>
      </c>
      <c r="D1398" s="1" t="s">
        <v>3465</v>
      </c>
      <c r="F1398" s="1" t="s">
        <v>641</v>
      </c>
      <c r="H1398" s="1" t="s">
        <v>10893</v>
      </c>
      <c r="I1398" s="1" t="s">
        <v>19</v>
      </c>
      <c r="J1398" s="1" t="s">
        <v>67</v>
      </c>
      <c r="K1398" s="1" t="s">
        <v>14</v>
      </c>
      <c r="M1398" s="2">
        <v>43186</v>
      </c>
      <c r="N1398" s="1" t="s">
        <v>8</v>
      </c>
      <c r="O1398" s="1" t="s">
        <v>68</v>
      </c>
    </row>
    <row r="1399" spans="1:15" x14ac:dyDescent="0.3">
      <c r="A1399" s="1" t="s">
        <v>13055</v>
      </c>
      <c r="B1399" s="1" t="str">
        <f>"NIs-Spec1st LTD"</f>
        <v>NIs-Spec1st LTD</v>
      </c>
      <c r="C1399" s="1" t="s">
        <v>13056</v>
      </c>
      <c r="F1399" s="1" t="s">
        <v>2459</v>
      </c>
      <c r="H1399" s="1" t="s">
        <v>13057</v>
      </c>
      <c r="I1399" s="1" t="s">
        <v>19</v>
      </c>
      <c r="J1399" s="1" t="s">
        <v>6</v>
      </c>
      <c r="K1399" s="1" t="s">
        <v>24</v>
      </c>
      <c r="L1399" s="1">
        <v>7908649</v>
      </c>
      <c r="M1399" s="2">
        <v>43186</v>
      </c>
      <c r="N1399" s="1" t="s">
        <v>8</v>
      </c>
      <c r="O1399" s="2">
        <v>44282</v>
      </c>
    </row>
    <row r="1400" spans="1:15" ht="28.8" x14ac:dyDescent="0.3">
      <c r="A1400" s="1" t="s">
        <v>13058</v>
      </c>
      <c r="B1400" s="1" t="str">
        <f>"T  Alun Jones Ltd."</f>
        <v>T  Alun Jones Ltd.</v>
      </c>
      <c r="C1400" s="1" t="s">
        <v>13059</v>
      </c>
      <c r="F1400" s="1" t="s">
        <v>2459</v>
      </c>
      <c r="H1400" s="1" t="s">
        <v>13060</v>
      </c>
      <c r="I1400" s="1" t="s">
        <v>19</v>
      </c>
      <c r="J1400" s="1" t="s">
        <v>6</v>
      </c>
      <c r="K1400" s="1" t="s">
        <v>24</v>
      </c>
      <c r="L1400" s="1">
        <v>1196085</v>
      </c>
      <c r="M1400" s="2">
        <v>43186</v>
      </c>
      <c r="N1400" s="1" t="s">
        <v>8</v>
      </c>
      <c r="O1400" s="2">
        <v>44282</v>
      </c>
    </row>
    <row r="1401" spans="1:15" ht="28.8" x14ac:dyDescent="0.3">
      <c r="A1401" s="1" t="s">
        <v>13061</v>
      </c>
      <c r="B1401" s="1" t="str">
        <f>"Sherratt Landscape Contractors Ltd"</f>
        <v>Sherratt Landscape Contractors Ltd</v>
      </c>
      <c r="C1401" s="1" t="s">
        <v>13062</v>
      </c>
      <c r="D1401" s="1" t="s">
        <v>13063</v>
      </c>
      <c r="F1401" s="1" t="s">
        <v>720</v>
      </c>
      <c r="H1401" s="1" t="s">
        <v>13064</v>
      </c>
      <c r="I1401" s="1" t="s">
        <v>19</v>
      </c>
      <c r="J1401" s="1" t="s">
        <v>6</v>
      </c>
      <c r="K1401" s="1" t="s">
        <v>24</v>
      </c>
      <c r="L1401" s="1">
        <v>5404164</v>
      </c>
      <c r="M1401" s="2">
        <v>43186</v>
      </c>
      <c r="N1401" s="1" t="s">
        <v>8</v>
      </c>
      <c r="O1401" s="2">
        <v>44289</v>
      </c>
    </row>
    <row r="1402" spans="1:15" ht="43.2" x14ac:dyDescent="0.3">
      <c r="A1402" s="1" t="s">
        <v>13065</v>
      </c>
      <c r="B1402" s="1" t="str">
        <f>"ty hafan"</f>
        <v>ty hafan</v>
      </c>
      <c r="C1402" s="1" t="s">
        <v>13066</v>
      </c>
      <c r="F1402" s="1" t="s">
        <v>930</v>
      </c>
      <c r="H1402" s="1" t="s">
        <v>13067</v>
      </c>
      <c r="I1402" s="1" t="s">
        <v>1872</v>
      </c>
      <c r="J1402" s="1" t="s">
        <v>67</v>
      </c>
      <c r="K1402" s="1" t="s">
        <v>14</v>
      </c>
      <c r="M1402" s="2">
        <v>43186</v>
      </c>
      <c r="N1402" s="1" t="s">
        <v>8</v>
      </c>
      <c r="O1402" s="1" t="s">
        <v>68</v>
      </c>
    </row>
    <row r="1403" spans="1:15" ht="43.2" x14ac:dyDescent="0.3">
      <c r="A1403" s="1" t="s">
        <v>13068</v>
      </c>
      <c r="B1403" s="1" t="str">
        <f>"Solar Sunshades Limited"</f>
        <v>Solar Sunshades Limited</v>
      </c>
      <c r="C1403" s="1" t="s">
        <v>13069</v>
      </c>
      <c r="F1403" s="1" t="s">
        <v>179</v>
      </c>
      <c r="H1403" s="1" t="s">
        <v>13070</v>
      </c>
      <c r="I1403" s="1" t="s">
        <v>19</v>
      </c>
      <c r="J1403" s="1" t="s">
        <v>67</v>
      </c>
      <c r="K1403" s="1" t="s">
        <v>14</v>
      </c>
      <c r="M1403" s="2">
        <v>43186</v>
      </c>
      <c r="N1403" s="1" t="s">
        <v>8</v>
      </c>
      <c r="O1403" s="1" t="s">
        <v>68</v>
      </c>
    </row>
    <row r="1404" spans="1:15" ht="28.8" x14ac:dyDescent="0.3">
      <c r="A1404" s="1" t="s">
        <v>13071</v>
      </c>
      <c r="B1404" s="1" t="str">
        <f>"Dampshield South Wales LTD"</f>
        <v>Dampshield South Wales LTD</v>
      </c>
      <c r="C1404" s="1" t="s">
        <v>13072</v>
      </c>
      <c r="D1404" s="1" t="s">
        <v>5617</v>
      </c>
      <c r="F1404" s="1" t="s">
        <v>64</v>
      </c>
      <c r="H1404" s="1" t="s">
        <v>259</v>
      </c>
      <c r="I1404" s="1" t="s">
        <v>19</v>
      </c>
      <c r="J1404" s="1" t="s">
        <v>6</v>
      </c>
      <c r="K1404" s="1" t="s">
        <v>34</v>
      </c>
      <c r="L1404" s="1">
        <v>8421084</v>
      </c>
      <c r="M1404" s="2">
        <v>43186</v>
      </c>
      <c r="N1404" s="1" t="s">
        <v>8</v>
      </c>
      <c r="O1404" s="2">
        <v>44282</v>
      </c>
    </row>
    <row r="1405" spans="1:15" ht="43.2" x14ac:dyDescent="0.3">
      <c r="A1405" s="1" t="s">
        <v>13073</v>
      </c>
      <c r="B1405" s="1" t="str">
        <f>"Light Control Systems (UK) LTD"</f>
        <v>Light Control Systems (UK) LTD</v>
      </c>
      <c r="C1405" s="1" t="s">
        <v>13069</v>
      </c>
      <c r="F1405" s="1" t="s">
        <v>179</v>
      </c>
      <c r="H1405" s="1" t="s">
        <v>13070</v>
      </c>
      <c r="I1405" s="1" t="s">
        <v>19</v>
      </c>
      <c r="J1405" s="1" t="s">
        <v>67</v>
      </c>
      <c r="K1405" s="1" t="s">
        <v>14</v>
      </c>
      <c r="M1405" s="2">
        <v>43186</v>
      </c>
      <c r="N1405" s="1" t="s">
        <v>8</v>
      </c>
      <c r="O1405" s="1" t="s">
        <v>68</v>
      </c>
    </row>
    <row r="1406" spans="1:15" ht="28.8" x14ac:dyDescent="0.3">
      <c r="A1406" s="1" t="s">
        <v>13074</v>
      </c>
      <c r="B1406" s="1" t="str">
        <f>"Ystwyth Homes Limited"</f>
        <v>Ystwyth Homes Limited</v>
      </c>
      <c r="C1406" s="1" t="s">
        <v>13075</v>
      </c>
      <c r="F1406" s="1" t="s">
        <v>37</v>
      </c>
      <c r="H1406" s="1" t="s">
        <v>13076</v>
      </c>
      <c r="I1406" s="1" t="s">
        <v>19</v>
      </c>
      <c r="J1406" s="1" t="s">
        <v>6</v>
      </c>
      <c r="K1406" s="1" t="s">
        <v>24</v>
      </c>
      <c r="L1406" s="1">
        <v>2075597</v>
      </c>
      <c r="M1406" s="2">
        <v>43186</v>
      </c>
      <c r="N1406" s="1" t="s">
        <v>8</v>
      </c>
      <c r="O1406" s="2">
        <v>44281</v>
      </c>
    </row>
    <row r="1407" spans="1:15" ht="43.2" x14ac:dyDescent="0.3">
      <c r="A1407" s="1" t="s">
        <v>13077</v>
      </c>
      <c r="B1407" s="1" t="str">
        <f>"HVAC Ltd"</f>
        <v>HVAC Ltd</v>
      </c>
      <c r="C1407" s="1" t="s">
        <v>13078</v>
      </c>
      <c r="F1407" s="1" t="s">
        <v>8488</v>
      </c>
      <c r="H1407" s="1" t="s">
        <v>13079</v>
      </c>
      <c r="I1407" s="1" t="s">
        <v>19</v>
      </c>
      <c r="J1407" s="1" t="s">
        <v>67</v>
      </c>
      <c r="K1407" s="1" t="s">
        <v>14</v>
      </c>
      <c r="M1407" s="2">
        <v>43186</v>
      </c>
      <c r="N1407" s="1" t="s">
        <v>8</v>
      </c>
      <c r="O1407" s="1" t="s">
        <v>68</v>
      </c>
    </row>
    <row r="1408" spans="1:15" ht="43.2" x14ac:dyDescent="0.3">
      <c r="A1408" s="1" t="s">
        <v>13080</v>
      </c>
      <c r="B1408" s="1" t="str">
        <f>"Urban Jungle Solutions Ltd"</f>
        <v>Urban Jungle Solutions Ltd</v>
      </c>
      <c r="C1408" s="1" t="s">
        <v>13081</v>
      </c>
      <c r="F1408" s="1" t="s">
        <v>123</v>
      </c>
      <c r="H1408" s="1" t="s">
        <v>13082</v>
      </c>
      <c r="I1408" s="1" t="s">
        <v>19</v>
      </c>
      <c r="J1408" s="1" t="s">
        <v>67</v>
      </c>
      <c r="K1408" s="1" t="s">
        <v>14</v>
      </c>
      <c r="M1408" s="2">
        <v>43186</v>
      </c>
      <c r="N1408" s="1" t="s">
        <v>8</v>
      </c>
      <c r="O1408" s="1" t="s">
        <v>68</v>
      </c>
    </row>
    <row r="1409" spans="1:15" ht="43.2" x14ac:dyDescent="0.3">
      <c r="A1409" s="1" t="s">
        <v>14071</v>
      </c>
      <c r="B1409" s="1" t="str">
        <f>"parker davies portobello ltd"</f>
        <v>parker davies portobello ltd</v>
      </c>
      <c r="C1409" s="1" t="s">
        <v>14072</v>
      </c>
      <c r="F1409" s="1" t="s">
        <v>354</v>
      </c>
      <c r="H1409" s="1" t="s">
        <v>14073</v>
      </c>
      <c r="I1409" s="1" t="s">
        <v>19</v>
      </c>
      <c r="J1409" s="1" t="s">
        <v>67</v>
      </c>
      <c r="K1409" s="1" t="s">
        <v>14</v>
      </c>
      <c r="M1409" s="2">
        <v>43186</v>
      </c>
      <c r="N1409" s="1" t="s">
        <v>8</v>
      </c>
      <c r="O1409" s="1" t="s">
        <v>68</v>
      </c>
    </row>
    <row r="1410" spans="1:15" ht="43.2" x14ac:dyDescent="0.3">
      <c r="A1410" s="1" t="s">
        <v>14074</v>
      </c>
      <c r="B1410" s="1" t="str">
        <f>"J&amp;S recycling"</f>
        <v>J&amp;S recycling</v>
      </c>
      <c r="C1410" s="1" t="s">
        <v>14075</v>
      </c>
      <c r="F1410" s="1" t="s">
        <v>354</v>
      </c>
      <c r="H1410" s="1" t="s">
        <v>14076</v>
      </c>
      <c r="I1410" s="1" t="s">
        <v>188</v>
      </c>
      <c r="J1410" s="1" t="s">
        <v>67</v>
      </c>
      <c r="K1410" s="1" t="s">
        <v>14</v>
      </c>
      <c r="M1410" s="2">
        <v>43186</v>
      </c>
      <c r="N1410" s="1" t="s">
        <v>8</v>
      </c>
      <c r="O1410" s="1" t="s">
        <v>68</v>
      </c>
    </row>
    <row r="1411" spans="1:15" ht="28.8" x14ac:dyDescent="0.3">
      <c r="A1411" s="1" t="s">
        <v>14077</v>
      </c>
      <c r="B1411" s="1" t="str">
        <f>"Pembrokeshire metal recycling ltd"</f>
        <v>Pembrokeshire metal recycling ltd</v>
      </c>
      <c r="C1411" s="1" t="s">
        <v>14078</v>
      </c>
      <c r="F1411" s="1" t="s">
        <v>491</v>
      </c>
      <c r="H1411" s="1" t="s">
        <v>14079</v>
      </c>
      <c r="I1411" s="1" t="s">
        <v>19</v>
      </c>
      <c r="J1411" s="1" t="s">
        <v>6</v>
      </c>
      <c r="K1411" s="1" t="s">
        <v>34</v>
      </c>
      <c r="L1411" s="1">
        <v>8999143</v>
      </c>
      <c r="M1411" s="2">
        <v>43186</v>
      </c>
      <c r="N1411" s="1" t="s">
        <v>8</v>
      </c>
      <c r="O1411" s="2">
        <v>44281</v>
      </c>
    </row>
    <row r="1412" spans="1:15" x14ac:dyDescent="0.3">
      <c r="A1412" s="1" t="s">
        <v>14080</v>
      </c>
      <c r="B1412" s="1" t="str">
        <f>"love 2 recycle ltd"</f>
        <v>love 2 recycle ltd</v>
      </c>
      <c r="C1412" s="1" t="s">
        <v>14081</v>
      </c>
      <c r="F1412" s="1" t="s">
        <v>64</v>
      </c>
      <c r="H1412" s="1" t="s">
        <v>14082</v>
      </c>
      <c r="I1412" s="1" t="s">
        <v>19</v>
      </c>
      <c r="J1412" s="1" t="s">
        <v>6</v>
      </c>
      <c r="K1412" s="1" t="s">
        <v>24</v>
      </c>
      <c r="L1412" s="1">
        <v>7421370</v>
      </c>
      <c r="M1412" s="2">
        <v>43186</v>
      </c>
      <c r="N1412" s="1" t="s">
        <v>8</v>
      </c>
      <c r="O1412" s="2">
        <v>44289</v>
      </c>
    </row>
    <row r="1413" spans="1:15" ht="28.8" x14ac:dyDescent="0.3">
      <c r="A1413" s="1" t="s">
        <v>25696</v>
      </c>
      <c r="B1413" s="1" t="str">
        <f>"RICKY MURPHY J &amp; M METALS"</f>
        <v>RICKY MURPHY J &amp; M METALS</v>
      </c>
      <c r="C1413" s="1" t="s">
        <v>25697</v>
      </c>
      <c r="F1413" s="1" t="s">
        <v>1776</v>
      </c>
      <c r="H1413" s="1" t="s">
        <v>18814</v>
      </c>
      <c r="I1413" s="1" t="s">
        <v>5</v>
      </c>
      <c r="J1413" s="1" t="s">
        <v>6</v>
      </c>
      <c r="K1413" s="1" t="s">
        <v>34</v>
      </c>
      <c r="M1413" s="2">
        <v>43186</v>
      </c>
      <c r="N1413" s="1" t="s">
        <v>8</v>
      </c>
      <c r="O1413" s="2">
        <v>44302</v>
      </c>
    </row>
    <row r="1414" spans="1:15" ht="43.2" x14ac:dyDescent="0.3">
      <c r="A1414" s="1" t="s">
        <v>25698</v>
      </c>
      <c r="B1414" s="1" t="str">
        <f>"Dean Smith Branched out tree services and land"</f>
        <v>Dean Smith Branched out tree services and land</v>
      </c>
      <c r="C1414" s="1" t="s">
        <v>25699</v>
      </c>
      <c r="F1414" s="1" t="s">
        <v>156</v>
      </c>
      <c r="H1414" s="1" t="s">
        <v>25700</v>
      </c>
      <c r="I1414" s="1" t="s">
        <v>5</v>
      </c>
      <c r="J1414" s="1" t="s">
        <v>6</v>
      </c>
      <c r="K1414" s="1" t="s">
        <v>24</v>
      </c>
      <c r="M1414" s="2">
        <v>43186</v>
      </c>
      <c r="N1414" s="1" t="s">
        <v>8</v>
      </c>
      <c r="O1414" s="2">
        <v>44316</v>
      </c>
    </row>
    <row r="1415" spans="1:15" ht="43.2" x14ac:dyDescent="0.3">
      <c r="A1415" s="1" t="s">
        <v>12064</v>
      </c>
      <c r="B1415" s="1" t="str">
        <f>"Baseline Matters CIC"</f>
        <v>Baseline Matters CIC</v>
      </c>
      <c r="C1415" s="1" t="s">
        <v>12065</v>
      </c>
      <c r="F1415" s="1" t="s">
        <v>532</v>
      </c>
      <c r="H1415" s="1" t="s">
        <v>12066</v>
      </c>
      <c r="I1415" s="1" t="s">
        <v>1872</v>
      </c>
      <c r="J1415" s="1" t="s">
        <v>67</v>
      </c>
      <c r="K1415" s="1" t="s">
        <v>14</v>
      </c>
      <c r="M1415" s="2">
        <v>43185</v>
      </c>
      <c r="N1415" s="1" t="s">
        <v>8</v>
      </c>
      <c r="O1415" s="1" t="s">
        <v>68</v>
      </c>
    </row>
    <row r="1416" spans="1:15" ht="28.8" x14ac:dyDescent="0.3">
      <c r="A1416" s="1" t="s">
        <v>12067</v>
      </c>
      <c r="B1416" s="1" t="str">
        <f>"twiltex ltd"</f>
        <v>twiltex ltd</v>
      </c>
      <c r="C1416" s="1" t="s">
        <v>12068</v>
      </c>
      <c r="F1416" s="1" t="s">
        <v>476</v>
      </c>
      <c r="H1416" s="1" t="s">
        <v>12069</v>
      </c>
      <c r="I1416" s="1" t="s">
        <v>19</v>
      </c>
      <c r="J1416" s="1" t="s">
        <v>6</v>
      </c>
      <c r="K1416" s="1" t="s">
        <v>34</v>
      </c>
      <c r="L1416" s="1">
        <v>1268066</v>
      </c>
      <c r="M1416" s="2">
        <v>43185</v>
      </c>
      <c r="N1416" s="1" t="s">
        <v>8</v>
      </c>
      <c r="O1416" s="2">
        <v>44283</v>
      </c>
    </row>
    <row r="1417" spans="1:15" ht="43.2" x14ac:dyDescent="0.3">
      <c r="A1417" s="1" t="s">
        <v>24951</v>
      </c>
      <c r="B1417" s="1" t="str">
        <f>"Nick Beynon"</f>
        <v>Nick Beynon</v>
      </c>
      <c r="C1417" s="1" t="s">
        <v>21442</v>
      </c>
      <c r="F1417" s="1" t="s">
        <v>32</v>
      </c>
      <c r="H1417" s="1" t="s">
        <v>21443</v>
      </c>
      <c r="I1417" s="1" t="s">
        <v>5</v>
      </c>
      <c r="J1417" s="1" t="s">
        <v>67</v>
      </c>
      <c r="K1417" s="1" t="s">
        <v>14</v>
      </c>
      <c r="M1417" s="2">
        <v>43185</v>
      </c>
      <c r="N1417" s="1" t="s">
        <v>8</v>
      </c>
      <c r="O1417" s="1" t="s">
        <v>68</v>
      </c>
    </row>
    <row r="1418" spans="1:15" ht="43.2" x14ac:dyDescent="0.3">
      <c r="A1418" s="1" t="s">
        <v>12057</v>
      </c>
      <c r="B1418" s="1" t="str">
        <f>"AC Electronics"</f>
        <v>AC Electronics</v>
      </c>
      <c r="C1418" s="1" t="s">
        <v>12058</v>
      </c>
      <c r="F1418" s="1" t="s">
        <v>4105</v>
      </c>
      <c r="H1418" s="1" t="s">
        <v>12059</v>
      </c>
      <c r="I1418" s="1" t="s">
        <v>125</v>
      </c>
      <c r="J1418" s="1" t="s">
        <v>67</v>
      </c>
      <c r="K1418" s="1" t="s">
        <v>14</v>
      </c>
      <c r="M1418" s="2">
        <v>43184</v>
      </c>
      <c r="N1418" s="1" t="s">
        <v>8</v>
      </c>
      <c r="O1418" s="1" t="s">
        <v>68</v>
      </c>
    </row>
    <row r="1419" spans="1:15" ht="28.8" x14ac:dyDescent="0.3">
      <c r="A1419" s="1" t="s">
        <v>12060</v>
      </c>
      <c r="B1419" s="1" t="str">
        <f>"Owens civil Engineering Limited "</f>
        <v xml:space="preserve">Owens civil Engineering Limited </v>
      </c>
      <c r="C1419" s="1" t="s">
        <v>12061</v>
      </c>
      <c r="D1419" s="1" t="s">
        <v>12062</v>
      </c>
      <c r="F1419" s="1" t="s">
        <v>2459</v>
      </c>
      <c r="H1419" s="1" t="s">
        <v>12063</v>
      </c>
      <c r="I1419" s="1" t="s">
        <v>19</v>
      </c>
      <c r="J1419" s="1" t="s">
        <v>6</v>
      </c>
      <c r="K1419" s="1" t="s">
        <v>34</v>
      </c>
      <c r="L1419" s="1">
        <v>10031138</v>
      </c>
      <c r="M1419" s="2">
        <v>43184</v>
      </c>
      <c r="N1419" s="1" t="s">
        <v>8</v>
      </c>
      <c r="O1419" s="2">
        <v>44280</v>
      </c>
    </row>
    <row r="1420" spans="1:15" ht="28.8" x14ac:dyDescent="0.3">
      <c r="A1420" s="1" t="s">
        <v>24942</v>
      </c>
      <c r="B1420" s="1" t="str">
        <f>"Neil  Lazenby Neil  Lazenby"</f>
        <v>Neil  Lazenby Neil  Lazenby</v>
      </c>
      <c r="C1420" s="1" t="s">
        <v>24943</v>
      </c>
      <c r="F1420" s="1" t="s">
        <v>1093</v>
      </c>
      <c r="H1420" s="1" t="s">
        <v>24944</v>
      </c>
      <c r="I1420" s="1" t="s">
        <v>5</v>
      </c>
      <c r="J1420" s="1" t="s">
        <v>6</v>
      </c>
      <c r="K1420" s="1" t="s">
        <v>34</v>
      </c>
      <c r="M1420" s="2">
        <v>43184</v>
      </c>
      <c r="N1420" s="1" t="s">
        <v>8</v>
      </c>
      <c r="O1420" s="2">
        <v>44280</v>
      </c>
    </row>
    <row r="1421" spans="1:15" ht="43.2" x14ac:dyDescent="0.3">
      <c r="A1421" s="1" t="s">
        <v>24945</v>
      </c>
      <c r="B1421" s="1" t="str">
        <f>"David Nurse"</f>
        <v>David Nurse</v>
      </c>
      <c r="C1421" s="1" t="s">
        <v>24946</v>
      </c>
      <c r="F1421" s="1" t="s">
        <v>42</v>
      </c>
      <c r="H1421" s="1" t="s">
        <v>24947</v>
      </c>
      <c r="I1421" s="1" t="s">
        <v>5</v>
      </c>
      <c r="J1421" s="1" t="s">
        <v>67</v>
      </c>
      <c r="K1421" s="1" t="s">
        <v>14</v>
      </c>
      <c r="M1421" s="2">
        <v>43184</v>
      </c>
      <c r="N1421" s="1" t="s">
        <v>8</v>
      </c>
      <c r="O1421" s="1" t="s">
        <v>68</v>
      </c>
    </row>
    <row r="1422" spans="1:15" ht="28.8" x14ac:dyDescent="0.3">
      <c r="A1422" s="1" t="s">
        <v>24948</v>
      </c>
      <c r="B1422" s="1" t="str">
        <f>"Andy Broomhall "</f>
        <v xml:space="preserve">Andy Broomhall </v>
      </c>
      <c r="C1422" s="1" t="s">
        <v>24949</v>
      </c>
      <c r="F1422" s="1" t="s">
        <v>5291</v>
      </c>
      <c r="H1422" s="1" t="s">
        <v>24950</v>
      </c>
      <c r="I1422" s="1" t="s">
        <v>5</v>
      </c>
      <c r="J1422" s="1" t="s">
        <v>6</v>
      </c>
      <c r="K1422" s="1" t="s">
        <v>34</v>
      </c>
      <c r="M1422" s="2">
        <v>43184</v>
      </c>
      <c r="N1422" s="1" t="s">
        <v>8</v>
      </c>
      <c r="O1422" s="2">
        <v>44280</v>
      </c>
    </row>
    <row r="1423" spans="1:15" ht="28.8" x14ac:dyDescent="0.3">
      <c r="A1423" s="1" t="s">
        <v>11050</v>
      </c>
      <c r="B1423" s="1" t="str">
        <f>"Orange Clearance Limited"</f>
        <v>Orange Clearance Limited</v>
      </c>
      <c r="C1423" s="1" t="s">
        <v>11051</v>
      </c>
      <c r="F1423" s="1" t="s">
        <v>10149</v>
      </c>
      <c r="H1423" s="1" t="s">
        <v>11052</v>
      </c>
      <c r="I1423" s="1" t="s">
        <v>19</v>
      </c>
      <c r="J1423" s="1" t="s">
        <v>6</v>
      </c>
      <c r="K1423" s="1" t="s">
        <v>24</v>
      </c>
      <c r="L1423" s="1">
        <v>11270631</v>
      </c>
      <c r="M1423" s="2">
        <v>43183</v>
      </c>
      <c r="N1423" s="1" t="s">
        <v>8</v>
      </c>
      <c r="O1423" s="2">
        <v>44279</v>
      </c>
    </row>
    <row r="1424" spans="1:15" ht="28.8" x14ac:dyDescent="0.3">
      <c r="A1424" s="1" t="s">
        <v>11022</v>
      </c>
      <c r="B1424" s="1" t="str">
        <f>"D&amp;M Groundworks &amp; Utilities LTD"</f>
        <v>D&amp;M Groundworks &amp; Utilities LTD</v>
      </c>
      <c r="C1424" s="1" t="s">
        <v>11023</v>
      </c>
      <c r="F1424" s="1" t="s">
        <v>6400</v>
      </c>
      <c r="H1424" s="1" t="s">
        <v>11024</v>
      </c>
      <c r="I1424" s="1" t="s">
        <v>19</v>
      </c>
      <c r="J1424" s="1" t="s">
        <v>6</v>
      </c>
      <c r="K1424" s="1" t="s">
        <v>24</v>
      </c>
      <c r="L1424" s="1">
        <v>10819274</v>
      </c>
      <c r="M1424" s="2">
        <v>43182</v>
      </c>
      <c r="N1424" s="1" t="s">
        <v>8</v>
      </c>
      <c r="O1424" s="2">
        <v>44278</v>
      </c>
    </row>
    <row r="1425" spans="1:15" ht="43.2" x14ac:dyDescent="0.3">
      <c r="A1425" s="1" t="s">
        <v>11025</v>
      </c>
      <c r="B1425" s="1" t="str">
        <f>"Harrington Scaffolding"</f>
        <v>Harrington Scaffolding</v>
      </c>
      <c r="C1425" s="1" t="s">
        <v>11026</v>
      </c>
      <c r="D1425" s="1" t="s">
        <v>11027</v>
      </c>
      <c r="F1425" s="1" t="s">
        <v>11028</v>
      </c>
      <c r="H1425" s="1" t="s">
        <v>11029</v>
      </c>
      <c r="I1425" s="1" t="s">
        <v>19</v>
      </c>
      <c r="J1425" s="1" t="s">
        <v>67</v>
      </c>
      <c r="K1425" s="1" t="s">
        <v>14</v>
      </c>
      <c r="M1425" s="2">
        <v>43182</v>
      </c>
      <c r="N1425" s="1" t="s">
        <v>8</v>
      </c>
      <c r="O1425" s="1" t="s">
        <v>68</v>
      </c>
    </row>
    <row r="1426" spans="1:15" ht="28.8" x14ac:dyDescent="0.3">
      <c r="A1426" s="1" t="s">
        <v>11030</v>
      </c>
      <c r="B1426" s="1" t="str">
        <f>"gareth smart transport limited"</f>
        <v>gareth smart transport limited</v>
      </c>
      <c r="C1426" s="1" t="s">
        <v>11031</v>
      </c>
      <c r="F1426" s="1" t="s">
        <v>1206</v>
      </c>
      <c r="H1426" s="1" t="s">
        <v>11032</v>
      </c>
      <c r="I1426" s="1" t="s">
        <v>19</v>
      </c>
      <c r="J1426" s="1" t="s">
        <v>6</v>
      </c>
      <c r="K1426" s="1" t="s">
        <v>24</v>
      </c>
      <c r="L1426" s="1">
        <v>8645175</v>
      </c>
      <c r="M1426" s="2">
        <v>43182</v>
      </c>
      <c r="N1426" s="1" t="s">
        <v>8</v>
      </c>
      <c r="O1426" s="2">
        <v>44278</v>
      </c>
    </row>
    <row r="1427" spans="1:15" ht="28.8" x14ac:dyDescent="0.3">
      <c r="A1427" s="1" t="s">
        <v>11033</v>
      </c>
      <c r="B1427" s="1" t="str">
        <f>"NT GROUNDWORKS LTD"</f>
        <v>NT GROUNDWORKS LTD</v>
      </c>
      <c r="C1427" s="1" t="s">
        <v>11034</v>
      </c>
      <c r="F1427" s="1" t="s">
        <v>32</v>
      </c>
      <c r="H1427" s="1" t="s">
        <v>11035</v>
      </c>
      <c r="I1427" s="1" t="s">
        <v>19</v>
      </c>
      <c r="J1427" s="1" t="s">
        <v>6</v>
      </c>
      <c r="K1427" s="1" t="s">
        <v>34</v>
      </c>
      <c r="L1427" s="1">
        <v>6667476</v>
      </c>
      <c r="M1427" s="2">
        <v>43182</v>
      </c>
      <c r="N1427" s="1" t="s">
        <v>8</v>
      </c>
      <c r="O1427" s="2">
        <v>44278</v>
      </c>
    </row>
    <row r="1428" spans="1:15" x14ac:dyDescent="0.3">
      <c r="A1428" s="1" t="s">
        <v>11036</v>
      </c>
      <c r="B1428" s="1" t="str">
        <f>"ACOP GROUP LTD"</f>
        <v>ACOP GROUP LTD</v>
      </c>
      <c r="C1428" s="1" t="s">
        <v>11037</v>
      </c>
      <c r="F1428" s="1" t="s">
        <v>42</v>
      </c>
      <c r="H1428" s="1" t="s">
        <v>11038</v>
      </c>
      <c r="I1428" s="1" t="s">
        <v>19</v>
      </c>
      <c r="J1428" s="1" t="s">
        <v>6</v>
      </c>
      <c r="K1428" s="1" t="s">
        <v>24</v>
      </c>
      <c r="L1428" s="1">
        <v>6570166</v>
      </c>
      <c r="M1428" s="2">
        <v>43182</v>
      </c>
      <c r="N1428" s="1" t="s">
        <v>8</v>
      </c>
      <c r="O1428" s="2">
        <v>44278</v>
      </c>
    </row>
    <row r="1429" spans="1:15" ht="43.2" x14ac:dyDescent="0.3">
      <c r="A1429" s="1" t="s">
        <v>11039</v>
      </c>
      <c r="B1429" s="1" t="str">
        <f>"Mevagissey Garages Limited"</f>
        <v>Mevagissey Garages Limited</v>
      </c>
      <c r="C1429" s="1" t="s">
        <v>11040</v>
      </c>
      <c r="D1429" s="1" t="s">
        <v>11041</v>
      </c>
      <c r="F1429" s="1" t="s">
        <v>11042</v>
      </c>
      <c r="H1429" s="1" t="s">
        <v>11043</v>
      </c>
      <c r="I1429" s="1" t="s">
        <v>19</v>
      </c>
      <c r="J1429" s="1" t="s">
        <v>67</v>
      </c>
      <c r="K1429" s="1" t="s">
        <v>14</v>
      </c>
      <c r="M1429" s="2">
        <v>43182</v>
      </c>
      <c r="N1429" s="1" t="s">
        <v>8</v>
      </c>
      <c r="O1429" s="1" t="s">
        <v>68</v>
      </c>
    </row>
    <row r="1430" spans="1:15" ht="43.2" x14ac:dyDescent="0.3">
      <c r="A1430" s="1" t="s">
        <v>11044</v>
      </c>
      <c r="B1430" s="1" t="str">
        <f>"Heritage Electrics Limited"</f>
        <v>Heritage Electrics Limited</v>
      </c>
      <c r="C1430" s="1" t="s">
        <v>11045</v>
      </c>
      <c r="F1430" s="1" t="s">
        <v>1058</v>
      </c>
      <c r="H1430" s="1" t="s">
        <v>11046</v>
      </c>
      <c r="I1430" s="1" t="s">
        <v>19</v>
      </c>
      <c r="J1430" s="1" t="s">
        <v>67</v>
      </c>
      <c r="K1430" s="1" t="s">
        <v>14</v>
      </c>
      <c r="M1430" s="2">
        <v>43182</v>
      </c>
      <c r="N1430" s="1" t="s">
        <v>8</v>
      </c>
      <c r="O1430" s="1" t="s">
        <v>68</v>
      </c>
    </row>
    <row r="1431" spans="1:15" ht="28.8" x14ac:dyDescent="0.3">
      <c r="A1431" s="1" t="s">
        <v>11047</v>
      </c>
      <c r="B1431" s="1" t="str">
        <f>"Nextline"</f>
        <v>Nextline</v>
      </c>
      <c r="C1431" s="1" t="s">
        <v>11048</v>
      </c>
      <c r="F1431" s="1" t="s">
        <v>123</v>
      </c>
      <c r="H1431" s="1" t="s">
        <v>11049</v>
      </c>
      <c r="I1431" s="1" t="s">
        <v>125</v>
      </c>
      <c r="J1431" s="1" t="s">
        <v>6</v>
      </c>
      <c r="K1431" s="1" t="s">
        <v>34</v>
      </c>
      <c r="M1431" s="2">
        <v>43182</v>
      </c>
      <c r="N1431" s="1" t="s">
        <v>8</v>
      </c>
      <c r="O1431" s="2">
        <v>44278</v>
      </c>
    </row>
    <row r="1432" spans="1:15" ht="43.2" x14ac:dyDescent="0.3">
      <c r="A1432" s="1" t="s">
        <v>24104</v>
      </c>
      <c r="B1432" s="1" t="str">
        <f>"Lee Williamson"</f>
        <v>Lee Williamson</v>
      </c>
      <c r="C1432" s="1" t="s">
        <v>24105</v>
      </c>
      <c r="D1432" s="1" t="s">
        <v>24106</v>
      </c>
      <c r="F1432" s="1" t="s">
        <v>64</v>
      </c>
      <c r="H1432" s="1" t="s">
        <v>24107</v>
      </c>
      <c r="I1432" s="1" t="s">
        <v>5</v>
      </c>
      <c r="J1432" s="1" t="s">
        <v>67</v>
      </c>
      <c r="K1432" s="1" t="s">
        <v>14</v>
      </c>
      <c r="M1432" s="2">
        <v>43182</v>
      </c>
      <c r="N1432" s="1" t="s">
        <v>8</v>
      </c>
      <c r="O1432" s="1" t="s">
        <v>68</v>
      </c>
    </row>
    <row r="1433" spans="1:15" ht="28.8" x14ac:dyDescent="0.3">
      <c r="A1433" s="1" t="s">
        <v>24108</v>
      </c>
      <c r="B1433" s="1" t="str">
        <f>"Frederick Flay FJ Flay"</f>
        <v>Frederick Flay FJ Flay</v>
      </c>
      <c r="C1433" s="1" t="s">
        <v>24109</v>
      </c>
      <c r="D1433" s="1" t="s">
        <v>7012</v>
      </c>
      <c r="F1433" s="1" t="s">
        <v>123</v>
      </c>
      <c r="H1433" s="1" t="s">
        <v>24110</v>
      </c>
      <c r="I1433" s="1" t="s">
        <v>5</v>
      </c>
      <c r="J1433" s="1" t="s">
        <v>6</v>
      </c>
      <c r="K1433" s="1" t="s">
        <v>24</v>
      </c>
      <c r="M1433" s="2">
        <v>43182</v>
      </c>
      <c r="N1433" s="1" t="s">
        <v>8</v>
      </c>
      <c r="O1433" s="2">
        <v>44278</v>
      </c>
    </row>
    <row r="1434" spans="1:15" ht="43.2" x14ac:dyDescent="0.3">
      <c r="A1434" s="1" t="s">
        <v>24111</v>
      </c>
      <c r="B1434" s="1" t="str">
        <f>"Christopher Williams Williams Environmental Services"</f>
        <v>Christopher Williams Williams Environmental Services</v>
      </c>
      <c r="C1434" s="1" t="s">
        <v>24112</v>
      </c>
      <c r="F1434" s="1" t="s">
        <v>665</v>
      </c>
      <c r="G1434" s="1" t="s">
        <v>51</v>
      </c>
      <c r="H1434" s="1" t="s">
        <v>24113</v>
      </c>
      <c r="I1434" s="1" t="s">
        <v>5</v>
      </c>
      <c r="J1434" s="1" t="s">
        <v>67</v>
      </c>
      <c r="K1434" s="1" t="s">
        <v>34</v>
      </c>
      <c r="M1434" s="2">
        <v>43182</v>
      </c>
      <c r="N1434" s="1" t="s">
        <v>8</v>
      </c>
      <c r="O1434" s="1" t="s">
        <v>68</v>
      </c>
    </row>
    <row r="1435" spans="1:15" ht="28.8" x14ac:dyDescent="0.3">
      <c r="A1435" s="1" t="s">
        <v>9973</v>
      </c>
      <c r="B1435" s="1" t="str">
        <f>"COLLIER HOLDINGS LTD"</f>
        <v>COLLIER HOLDINGS LTD</v>
      </c>
      <c r="C1435" s="1" t="s">
        <v>9974</v>
      </c>
      <c r="F1435" s="1" t="s">
        <v>323</v>
      </c>
      <c r="H1435" s="1" t="s">
        <v>9975</v>
      </c>
      <c r="I1435" s="1" t="s">
        <v>19</v>
      </c>
      <c r="J1435" s="1" t="s">
        <v>6</v>
      </c>
      <c r="K1435" s="1" t="s">
        <v>34</v>
      </c>
      <c r="L1435" s="1">
        <v>4559160</v>
      </c>
      <c r="M1435" s="2">
        <v>43181</v>
      </c>
      <c r="N1435" s="1" t="s">
        <v>8</v>
      </c>
      <c r="O1435" s="2">
        <v>44277</v>
      </c>
    </row>
    <row r="1436" spans="1:15" ht="43.2" x14ac:dyDescent="0.3">
      <c r="A1436" s="1" t="s">
        <v>9976</v>
      </c>
      <c r="B1436" s="1" t="str">
        <f>"Ramble On and Drink"</f>
        <v>Ramble On and Drink</v>
      </c>
      <c r="C1436" s="1" t="s">
        <v>9977</v>
      </c>
      <c r="F1436" s="1" t="s">
        <v>156</v>
      </c>
      <c r="H1436" s="1" t="s">
        <v>9978</v>
      </c>
      <c r="I1436" s="1" t="s">
        <v>19</v>
      </c>
      <c r="J1436" s="1" t="s">
        <v>67</v>
      </c>
      <c r="K1436" s="1" t="s">
        <v>14</v>
      </c>
      <c r="M1436" s="2">
        <v>43181</v>
      </c>
      <c r="N1436" s="1" t="s">
        <v>8</v>
      </c>
      <c r="O1436" s="1" t="s">
        <v>68</v>
      </c>
    </row>
    <row r="1437" spans="1:15" ht="43.2" x14ac:dyDescent="0.3">
      <c r="A1437" s="1" t="s">
        <v>24098</v>
      </c>
      <c r="B1437" s="1" t="str">
        <f>"Charlie Mitchell C Mitchell Handyman Services "</f>
        <v xml:space="preserve">Charlie Mitchell C Mitchell Handyman Services </v>
      </c>
      <c r="C1437" s="1" t="s">
        <v>24099</v>
      </c>
      <c r="F1437" s="1" t="s">
        <v>930</v>
      </c>
      <c r="H1437" s="1" t="s">
        <v>24100</v>
      </c>
      <c r="I1437" s="1" t="s">
        <v>5</v>
      </c>
      <c r="J1437" s="1" t="s">
        <v>6</v>
      </c>
      <c r="K1437" s="1" t="s">
        <v>34</v>
      </c>
      <c r="M1437" s="2">
        <v>43181</v>
      </c>
      <c r="N1437" s="1" t="s">
        <v>8</v>
      </c>
      <c r="O1437" s="2">
        <v>44276</v>
      </c>
    </row>
    <row r="1438" spans="1:15" ht="28.8" x14ac:dyDescent="0.3">
      <c r="A1438" s="1" t="s">
        <v>24101</v>
      </c>
      <c r="B1438" s="1" t="str">
        <f>"Andrew Green A.G Services"</f>
        <v>Andrew Green A.G Services</v>
      </c>
      <c r="C1438" s="1" t="s">
        <v>24102</v>
      </c>
      <c r="F1438" s="1" t="s">
        <v>17870</v>
      </c>
      <c r="H1438" s="1" t="s">
        <v>24103</v>
      </c>
      <c r="I1438" s="1" t="s">
        <v>5</v>
      </c>
      <c r="J1438" s="1" t="s">
        <v>6</v>
      </c>
      <c r="K1438" s="1" t="s">
        <v>24</v>
      </c>
      <c r="M1438" s="2">
        <v>43181</v>
      </c>
      <c r="N1438" s="1" t="s">
        <v>8</v>
      </c>
      <c r="O1438" s="2">
        <v>44277</v>
      </c>
    </row>
    <row r="1439" spans="1:15" ht="28.8" x14ac:dyDescent="0.3">
      <c r="A1439" s="1" t="s">
        <v>9962</v>
      </c>
      <c r="B1439" s="1" t="str">
        <f>"Swansea Auto Spares Ltd"</f>
        <v>Swansea Auto Spares Ltd</v>
      </c>
      <c r="C1439" s="1" t="s">
        <v>9963</v>
      </c>
      <c r="D1439" s="1" t="s">
        <v>1524</v>
      </c>
      <c r="F1439" s="1" t="s">
        <v>1525</v>
      </c>
      <c r="H1439" s="1" t="s">
        <v>9964</v>
      </c>
      <c r="I1439" s="1" t="s">
        <v>19</v>
      </c>
      <c r="J1439" s="1" t="s">
        <v>6</v>
      </c>
      <c r="K1439" s="1" t="s">
        <v>34</v>
      </c>
      <c r="L1439" s="1">
        <v>9801640</v>
      </c>
      <c r="M1439" s="2">
        <v>43180</v>
      </c>
      <c r="N1439" s="1" t="s">
        <v>8</v>
      </c>
      <c r="O1439" s="2">
        <v>44276</v>
      </c>
    </row>
    <row r="1440" spans="1:15" ht="43.2" x14ac:dyDescent="0.3">
      <c r="A1440" s="1" t="s">
        <v>9965</v>
      </c>
      <c r="B1440" s="1" t="str">
        <f>"balkan car parts ltd"</f>
        <v>balkan car parts ltd</v>
      </c>
      <c r="C1440" s="1" t="s">
        <v>9966</v>
      </c>
      <c r="D1440" s="1" t="s">
        <v>4811</v>
      </c>
      <c r="E1440" s="1" t="s">
        <v>4812</v>
      </c>
      <c r="F1440" s="1" t="s">
        <v>4813</v>
      </c>
      <c r="H1440" s="1" t="s">
        <v>4814</v>
      </c>
      <c r="I1440" s="1" t="s">
        <v>19</v>
      </c>
      <c r="J1440" s="1" t="s">
        <v>67</v>
      </c>
      <c r="K1440" s="1" t="s">
        <v>14</v>
      </c>
      <c r="M1440" s="2">
        <v>43180</v>
      </c>
      <c r="N1440" s="1" t="s">
        <v>8</v>
      </c>
      <c r="O1440" s="1" t="s">
        <v>68</v>
      </c>
    </row>
    <row r="1441" spans="1:15" ht="28.8" x14ac:dyDescent="0.3">
      <c r="A1441" s="1" t="s">
        <v>9967</v>
      </c>
      <c r="B1441" s="1" t="str">
        <f>"Teifi Valley Construction Ltd"</f>
        <v>Teifi Valley Construction Ltd</v>
      </c>
      <c r="C1441" s="1" t="s">
        <v>9968</v>
      </c>
      <c r="F1441" s="1" t="s">
        <v>2961</v>
      </c>
      <c r="H1441" s="1" t="s">
        <v>9969</v>
      </c>
      <c r="I1441" s="1" t="s">
        <v>19</v>
      </c>
      <c r="J1441" s="1" t="s">
        <v>6</v>
      </c>
      <c r="K1441" s="1" t="s">
        <v>34</v>
      </c>
      <c r="L1441" s="1">
        <v>10790658</v>
      </c>
      <c r="M1441" s="2">
        <v>43180</v>
      </c>
      <c r="N1441" s="1" t="s">
        <v>8</v>
      </c>
      <c r="O1441" s="2">
        <v>44276</v>
      </c>
    </row>
    <row r="1442" spans="1:15" ht="43.2" x14ac:dyDescent="0.3">
      <c r="A1442" s="1" t="s">
        <v>9970</v>
      </c>
      <c r="B1442" s="1" t="str">
        <f>"Deelis Roofing Ltd "</f>
        <v xml:space="preserve">Deelis Roofing Ltd </v>
      </c>
      <c r="C1442" s="1" t="s">
        <v>9971</v>
      </c>
      <c r="F1442" s="1" t="s">
        <v>3834</v>
      </c>
      <c r="H1442" s="1" t="s">
        <v>9972</v>
      </c>
      <c r="I1442" s="1" t="s">
        <v>19</v>
      </c>
      <c r="J1442" s="1" t="s">
        <v>67</v>
      </c>
      <c r="K1442" s="1" t="s">
        <v>34</v>
      </c>
      <c r="L1442" s="1">
        <v>10939087</v>
      </c>
      <c r="M1442" s="2">
        <v>43180</v>
      </c>
      <c r="N1442" s="1" t="s">
        <v>8</v>
      </c>
      <c r="O1442" s="1" t="s">
        <v>68</v>
      </c>
    </row>
    <row r="1443" spans="1:15" ht="43.2" x14ac:dyDescent="0.3">
      <c r="A1443" s="1" t="s">
        <v>23264</v>
      </c>
      <c r="B1443" s="1" t="str">
        <f>"Alun Harrison"</f>
        <v>Alun Harrison</v>
      </c>
      <c r="C1443" s="1" t="s">
        <v>23265</v>
      </c>
      <c r="F1443" s="1" t="s">
        <v>380</v>
      </c>
      <c r="H1443" s="1" t="s">
        <v>23266</v>
      </c>
      <c r="I1443" s="1" t="s">
        <v>5</v>
      </c>
      <c r="J1443" s="1" t="s">
        <v>67</v>
      </c>
      <c r="K1443" s="1" t="s">
        <v>14</v>
      </c>
      <c r="M1443" s="2">
        <v>43180</v>
      </c>
      <c r="N1443" s="1" t="s">
        <v>8</v>
      </c>
      <c r="O1443" s="1" t="s">
        <v>68</v>
      </c>
    </row>
    <row r="1444" spans="1:15" ht="28.8" x14ac:dyDescent="0.3">
      <c r="A1444" s="1" t="s">
        <v>8814</v>
      </c>
      <c r="B1444" s="1" t="str">
        <f>"Gavin Griffiths Recycling LTD"</f>
        <v>Gavin Griffiths Recycling LTD</v>
      </c>
      <c r="C1444" s="1" t="s">
        <v>8815</v>
      </c>
      <c r="D1444" s="1" t="s">
        <v>4747</v>
      </c>
      <c r="F1444" s="1" t="s">
        <v>64</v>
      </c>
      <c r="H1444" s="1" t="s">
        <v>8816</v>
      </c>
      <c r="I1444" s="1" t="s">
        <v>19</v>
      </c>
      <c r="J1444" s="1" t="s">
        <v>6</v>
      </c>
      <c r="K1444" s="1" t="s">
        <v>34</v>
      </c>
      <c r="L1444" s="1">
        <v>5640715</v>
      </c>
      <c r="M1444" s="2">
        <v>43179</v>
      </c>
      <c r="N1444" s="1" t="s">
        <v>8</v>
      </c>
      <c r="O1444" s="2">
        <v>44275</v>
      </c>
    </row>
    <row r="1445" spans="1:15" ht="28.8" x14ac:dyDescent="0.3">
      <c r="A1445" s="1" t="s">
        <v>8817</v>
      </c>
      <c r="B1445" s="1" t="str">
        <f>"Jones &amp; Andrews Ltd"</f>
        <v>Jones &amp; Andrews Ltd</v>
      </c>
      <c r="C1445" s="1" t="s">
        <v>8818</v>
      </c>
      <c r="F1445" s="1" t="s">
        <v>64</v>
      </c>
      <c r="H1445" s="1" t="s">
        <v>8819</v>
      </c>
      <c r="I1445" s="1" t="s">
        <v>19</v>
      </c>
      <c r="J1445" s="1" t="s">
        <v>6</v>
      </c>
      <c r="K1445" s="1" t="s">
        <v>34</v>
      </c>
      <c r="L1445" s="1">
        <v>890477</v>
      </c>
      <c r="M1445" s="2">
        <v>43179</v>
      </c>
      <c r="N1445" s="1" t="s">
        <v>8</v>
      </c>
      <c r="O1445" s="2">
        <v>44274</v>
      </c>
    </row>
    <row r="1446" spans="1:15" ht="43.2" x14ac:dyDescent="0.3">
      <c r="A1446" s="1" t="s">
        <v>8820</v>
      </c>
      <c r="B1446" s="1" t="str">
        <f>"Reflexallen UK Limited"</f>
        <v>Reflexallen UK Limited</v>
      </c>
      <c r="C1446" s="1" t="s">
        <v>8821</v>
      </c>
      <c r="D1446" s="1" t="s">
        <v>8264</v>
      </c>
      <c r="E1446" s="1" t="s">
        <v>6799</v>
      </c>
      <c r="F1446" s="1" t="s">
        <v>476</v>
      </c>
      <c r="H1446" s="1" t="s">
        <v>8265</v>
      </c>
      <c r="I1446" s="1" t="s">
        <v>19</v>
      </c>
      <c r="J1446" s="1" t="s">
        <v>67</v>
      </c>
      <c r="K1446" s="1" t="s">
        <v>14</v>
      </c>
      <c r="M1446" s="2">
        <v>43179</v>
      </c>
      <c r="N1446" s="1" t="s">
        <v>8</v>
      </c>
      <c r="O1446" s="1" t="s">
        <v>68</v>
      </c>
    </row>
    <row r="1447" spans="1:15" ht="43.2" x14ac:dyDescent="0.3">
      <c r="A1447" s="1" t="s">
        <v>8822</v>
      </c>
      <c r="B1447" s="1" t="str">
        <f>"Animals at Home Swansea Ltd"</f>
        <v>Animals at Home Swansea Ltd</v>
      </c>
      <c r="C1447" s="1" t="s">
        <v>8823</v>
      </c>
      <c r="F1447" s="1" t="s">
        <v>64</v>
      </c>
      <c r="H1447" s="1" t="s">
        <v>8824</v>
      </c>
      <c r="I1447" s="1" t="s">
        <v>19</v>
      </c>
      <c r="J1447" s="1" t="s">
        <v>67</v>
      </c>
      <c r="K1447" s="1" t="s">
        <v>14</v>
      </c>
      <c r="M1447" s="2">
        <v>43179</v>
      </c>
      <c r="N1447" s="1" t="s">
        <v>8</v>
      </c>
      <c r="O1447" s="1" t="s">
        <v>68</v>
      </c>
    </row>
    <row r="1448" spans="1:15" ht="43.2" x14ac:dyDescent="0.3">
      <c r="A1448" s="1" t="s">
        <v>8825</v>
      </c>
      <c r="B1448" s="1" t="str">
        <f>"Vasile stan"</f>
        <v>Vasile stan</v>
      </c>
      <c r="C1448" s="1" t="s">
        <v>8826</v>
      </c>
      <c r="F1448" s="1" t="s">
        <v>5110</v>
      </c>
      <c r="H1448" s="1" t="s">
        <v>8827</v>
      </c>
      <c r="I1448" s="1" t="s">
        <v>188</v>
      </c>
      <c r="J1448" s="1" t="s">
        <v>67</v>
      </c>
      <c r="K1448" s="1" t="s">
        <v>14</v>
      </c>
      <c r="M1448" s="2">
        <v>43179</v>
      </c>
      <c r="N1448" s="1" t="s">
        <v>8</v>
      </c>
      <c r="O1448" s="1" t="s">
        <v>68</v>
      </c>
    </row>
    <row r="1449" spans="1:15" ht="43.2" x14ac:dyDescent="0.3">
      <c r="A1449" s="1" t="s">
        <v>8828</v>
      </c>
      <c r="B1449" s="1" t="str">
        <f>"Pearsons"</f>
        <v>Pearsons</v>
      </c>
      <c r="C1449" s="1" t="s">
        <v>8829</v>
      </c>
      <c r="D1449" s="1" t="s">
        <v>8830</v>
      </c>
      <c r="F1449" s="1" t="s">
        <v>1058</v>
      </c>
      <c r="H1449" s="1" t="s">
        <v>8831</v>
      </c>
      <c r="I1449" s="1" t="s">
        <v>125</v>
      </c>
      <c r="J1449" s="1" t="s">
        <v>67</v>
      </c>
      <c r="K1449" s="1" t="s">
        <v>14</v>
      </c>
      <c r="M1449" s="2">
        <v>43179</v>
      </c>
      <c r="N1449" s="1" t="s">
        <v>8</v>
      </c>
      <c r="O1449" s="1" t="s">
        <v>68</v>
      </c>
    </row>
    <row r="1450" spans="1:15" ht="43.2" x14ac:dyDescent="0.3">
      <c r="A1450" s="1" t="s">
        <v>9959</v>
      </c>
      <c r="B1450" s="1" t="str">
        <f>"MULLAI GROUP LTD"</f>
        <v>MULLAI GROUP LTD</v>
      </c>
      <c r="C1450" s="1" t="s">
        <v>9960</v>
      </c>
      <c r="F1450" s="1" t="s">
        <v>1351</v>
      </c>
      <c r="H1450" s="1" t="s">
        <v>9961</v>
      </c>
      <c r="I1450" s="1" t="s">
        <v>19</v>
      </c>
      <c r="J1450" s="1" t="s">
        <v>67</v>
      </c>
      <c r="K1450" s="1" t="s">
        <v>14</v>
      </c>
      <c r="M1450" s="2">
        <v>43179</v>
      </c>
      <c r="N1450" s="1" t="s">
        <v>8</v>
      </c>
      <c r="O1450" s="1" t="s">
        <v>68</v>
      </c>
    </row>
    <row r="1451" spans="1:15" ht="43.2" x14ac:dyDescent="0.3">
      <c r="A1451" s="1" t="s">
        <v>22524</v>
      </c>
      <c r="B1451" s="1" t="str">
        <f>"Donald Blears"</f>
        <v>Donald Blears</v>
      </c>
      <c r="C1451" s="1" t="s">
        <v>22525</v>
      </c>
      <c r="F1451" s="1" t="s">
        <v>476</v>
      </c>
      <c r="H1451" s="1" t="s">
        <v>22526</v>
      </c>
      <c r="I1451" s="1" t="s">
        <v>5</v>
      </c>
      <c r="J1451" s="1" t="s">
        <v>67</v>
      </c>
      <c r="K1451" s="1" t="s">
        <v>14</v>
      </c>
      <c r="M1451" s="2">
        <v>43179</v>
      </c>
      <c r="N1451" s="1" t="s">
        <v>8</v>
      </c>
      <c r="O1451" s="1" t="s">
        <v>68</v>
      </c>
    </row>
    <row r="1452" spans="1:15" ht="43.2" x14ac:dyDescent="0.3">
      <c r="A1452" s="1" t="s">
        <v>22527</v>
      </c>
      <c r="B1452" s="1" t="str">
        <f>"david  griffiths"</f>
        <v>david  griffiths</v>
      </c>
      <c r="C1452" s="1" t="s">
        <v>14496</v>
      </c>
      <c r="F1452" s="1" t="s">
        <v>665</v>
      </c>
      <c r="H1452" s="1" t="s">
        <v>22528</v>
      </c>
      <c r="I1452" s="1" t="s">
        <v>5</v>
      </c>
      <c r="J1452" s="1" t="s">
        <v>67</v>
      </c>
      <c r="K1452" s="1" t="s">
        <v>14</v>
      </c>
      <c r="M1452" s="2">
        <v>43179</v>
      </c>
      <c r="N1452" s="1" t="s">
        <v>8</v>
      </c>
      <c r="O1452" s="1" t="s">
        <v>68</v>
      </c>
    </row>
    <row r="1453" spans="1:15" ht="28.8" x14ac:dyDescent="0.3">
      <c r="A1453" s="1" t="s">
        <v>22529</v>
      </c>
      <c r="B1453" s="1" t="str">
        <f>"lee nicholas n&amp;n roofing and building"</f>
        <v>lee nicholas n&amp;n roofing and building</v>
      </c>
      <c r="C1453" s="1" t="s">
        <v>22530</v>
      </c>
      <c r="F1453" s="1" t="s">
        <v>1351</v>
      </c>
      <c r="H1453" s="1" t="s">
        <v>22531</v>
      </c>
      <c r="I1453" s="1" t="s">
        <v>5</v>
      </c>
      <c r="J1453" s="1" t="s">
        <v>6</v>
      </c>
      <c r="K1453" s="1" t="s">
        <v>24</v>
      </c>
      <c r="M1453" s="2">
        <v>43179</v>
      </c>
      <c r="N1453" s="1" t="s">
        <v>8</v>
      </c>
      <c r="O1453" s="2">
        <v>44275</v>
      </c>
    </row>
    <row r="1454" spans="1:15" ht="28.8" x14ac:dyDescent="0.3">
      <c r="A1454" s="1" t="s">
        <v>22532</v>
      </c>
      <c r="B1454" s="1" t="str">
        <f>"Bryan Powell bryan powell and sons"</f>
        <v>Bryan Powell bryan powell and sons</v>
      </c>
      <c r="C1454" s="1" t="s">
        <v>22533</v>
      </c>
      <c r="D1454" s="1" t="s">
        <v>22534</v>
      </c>
      <c r="F1454" s="1" t="s">
        <v>18053</v>
      </c>
      <c r="H1454" s="1" t="s">
        <v>9824</v>
      </c>
      <c r="I1454" s="1" t="s">
        <v>5</v>
      </c>
      <c r="J1454" s="1" t="s">
        <v>6</v>
      </c>
      <c r="K1454" s="1" t="s">
        <v>34</v>
      </c>
      <c r="M1454" s="2">
        <v>43179</v>
      </c>
      <c r="N1454" s="1" t="s">
        <v>8</v>
      </c>
      <c r="O1454" s="2">
        <v>44275</v>
      </c>
    </row>
    <row r="1455" spans="1:15" x14ac:dyDescent="0.3">
      <c r="A1455" s="1" t="s">
        <v>22535</v>
      </c>
      <c r="B1455" s="1" t="str">
        <f>"Philip Flew"</f>
        <v>Philip Flew</v>
      </c>
      <c r="C1455" s="1" t="s">
        <v>22536</v>
      </c>
      <c r="F1455" s="1" t="s">
        <v>1093</v>
      </c>
      <c r="H1455" s="1" t="s">
        <v>22537</v>
      </c>
      <c r="I1455" s="1" t="s">
        <v>5</v>
      </c>
      <c r="J1455" s="1" t="s">
        <v>6</v>
      </c>
      <c r="K1455" s="1" t="s">
        <v>24</v>
      </c>
      <c r="M1455" s="2">
        <v>43179</v>
      </c>
      <c r="N1455" s="1" t="s">
        <v>8</v>
      </c>
      <c r="O1455" s="2">
        <v>44275</v>
      </c>
    </row>
    <row r="1456" spans="1:15" ht="43.2" x14ac:dyDescent="0.3">
      <c r="A1456" s="1" t="s">
        <v>22538</v>
      </c>
      <c r="B1456" s="1" t="str">
        <f>"Panayiotis Skitinis"</f>
        <v>Panayiotis Skitinis</v>
      </c>
      <c r="C1456" s="1" t="s">
        <v>22539</v>
      </c>
      <c r="D1456" s="1" t="s">
        <v>22540</v>
      </c>
      <c r="F1456" s="1" t="s">
        <v>22541</v>
      </c>
      <c r="H1456" s="1" t="s">
        <v>22542</v>
      </c>
      <c r="I1456" s="1" t="s">
        <v>5</v>
      </c>
      <c r="J1456" s="1" t="s">
        <v>67</v>
      </c>
      <c r="K1456" s="1" t="s">
        <v>14</v>
      </c>
      <c r="M1456" s="2">
        <v>43179</v>
      </c>
      <c r="N1456" s="1" t="s">
        <v>8</v>
      </c>
      <c r="O1456" s="1" t="s">
        <v>68</v>
      </c>
    </row>
    <row r="1457" spans="1:15" ht="28.8" x14ac:dyDescent="0.3">
      <c r="A1457" s="1" t="s">
        <v>22543</v>
      </c>
      <c r="B1457" s="1" t="str">
        <f>"SIMON STONE Crownhill topsoil"</f>
        <v>SIMON STONE Crownhill topsoil</v>
      </c>
      <c r="C1457" s="1" t="s">
        <v>18719</v>
      </c>
      <c r="D1457" s="1" t="s">
        <v>1286</v>
      </c>
      <c r="F1457" s="1" t="s">
        <v>401</v>
      </c>
      <c r="H1457" s="1" t="s">
        <v>18720</v>
      </c>
      <c r="I1457" s="1" t="s">
        <v>5</v>
      </c>
      <c r="J1457" s="1" t="s">
        <v>6</v>
      </c>
      <c r="K1457" s="1" t="s">
        <v>24</v>
      </c>
      <c r="M1457" s="2">
        <v>43179</v>
      </c>
      <c r="N1457" s="1" t="s">
        <v>8</v>
      </c>
      <c r="O1457" s="2">
        <v>44275</v>
      </c>
    </row>
    <row r="1458" spans="1:15" ht="43.2" x14ac:dyDescent="0.3">
      <c r="A1458" s="1" t="s">
        <v>22544</v>
      </c>
      <c r="B1458" s="1" t="str">
        <f>"Wayne Towell"</f>
        <v>Wayne Towell</v>
      </c>
      <c r="C1458" s="1" t="s">
        <v>22545</v>
      </c>
      <c r="F1458" s="1" t="s">
        <v>64</v>
      </c>
      <c r="H1458" s="1" t="s">
        <v>22546</v>
      </c>
      <c r="I1458" s="1" t="s">
        <v>5</v>
      </c>
      <c r="J1458" s="1" t="s">
        <v>67</v>
      </c>
      <c r="K1458" s="1" t="s">
        <v>14</v>
      </c>
      <c r="M1458" s="2">
        <v>43179</v>
      </c>
      <c r="N1458" s="1" t="s">
        <v>8</v>
      </c>
      <c r="O1458" s="1" t="s">
        <v>68</v>
      </c>
    </row>
    <row r="1459" spans="1:15" ht="43.2" x14ac:dyDescent="0.3">
      <c r="A1459" s="1" t="s">
        <v>22547</v>
      </c>
      <c r="B1459" s="1" t="str">
        <f>"Justin Newman JJN Landscaping &amp; Building Services"</f>
        <v>Justin Newman JJN Landscaping &amp; Building Services</v>
      </c>
      <c r="C1459" s="1" t="s">
        <v>22548</v>
      </c>
      <c r="F1459" s="1" t="s">
        <v>179</v>
      </c>
      <c r="H1459" s="1" t="s">
        <v>18846</v>
      </c>
      <c r="I1459" s="1" t="s">
        <v>5</v>
      </c>
      <c r="J1459" s="1" t="s">
        <v>6</v>
      </c>
      <c r="K1459" s="1" t="s">
        <v>34</v>
      </c>
      <c r="M1459" s="2">
        <v>43179</v>
      </c>
      <c r="N1459" s="1" t="s">
        <v>8</v>
      </c>
      <c r="O1459" s="2">
        <v>44275</v>
      </c>
    </row>
    <row r="1460" spans="1:15" ht="28.8" x14ac:dyDescent="0.3">
      <c r="A1460" s="1" t="s">
        <v>6652</v>
      </c>
      <c r="B1460" s="1" t="str">
        <f>"CSO Heating LTD"</f>
        <v>CSO Heating LTD</v>
      </c>
      <c r="C1460" s="1" t="s">
        <v>6653</v>
      </c>
      <c r="F1460" s="1" t="s">
        <v>64</v>
      </c>
      <c r="H1460" s="1" t="s">
        <v>1673</v>
      </c>
      <c r="I1460" s="1" t="s">
        <v>19</v>
      </c>
      <c r="J1460" s="1" t="s">
        <v>6</v>
      </c>
      <c r="K1460" s="1" t="s">
        <v>34</v>
      </c>
      <c r="L1460" s="1">
        <v>9657496</v>
      </c>
      <c r="M1460" s="2">
        <v>43178</v>
      </c>
      <c r="N1460" s="1" t="s">
        <v>8</v>
      </c>
      <c r="O1460" s="2">
        <v>44274</v>
      </c>
    </row>
    <row r="1461" spans="1:15" ht="28.8" x14ac:dyDescent="0.3">
      <c r="A1461" s="1" t="s">
        <v>7690</v>
      </c>
      <c r="B1461" s="1" t="str">
        <f>"Grabco uk"</f>
        <v>Grabco uk</v>
      </c>
      <c r="C1461" s="1" t="s">
        <v>7691</v>
      </c>
      <c r="F1461" s="1" t="s">
        <v>7692</v>
      </c>
      <c r="H1461" s="1" t="s">
        <v>7693</v>
      </c>
      <c r="I1461" s="1" t="s">
        <v>19</v>
      </c>
      <c r="J1461" s="1" t="s">
        <v>6</v>
      </c>
      <c r="K1461" s="1" t="s">
        <v>24</v>
      </c>
      <c r="L1461" s="1">
        <v>11185590</v>
      </c>
      <c r="M1461" s="2">
        <v>43178</v>
      </c>
      <c r="N1461" s="1" t="s">
        <v>8</v>
      </c>
      <c r="O1461" s="2">
        <v>44274</v>
      </c>
    </row>
    <row r="1462" spans="1:15" ht="28.8" x14ac:dyDescent="0.3">
      <c r="A1462" s="1" t="s">
        <v>7694</v>
      </c>
      <c r="B1462" s="1" t="str">
        <f>"Sansum Cleaning Solutions Ltd"</f>
        <v>Sansum Cleaning Solutions Ltd</v>
      </c>
      <c r="C1462" s="1" t="s">
        <v>7695</v>
      </c>
      <c r="F1462" s="1" t="s">
        <v>7696</v>
      </c>
      <c r="H1462" s="1" t="s">
        <v>7697</v>
      </c>
      <c r="I1462" s="1" t="s">
        <v>19</v>
      </c>
      <c r="J1462" s="1" t="s">
        <v>6</v>
      </c>
      <c r="K1462" s="1" t="s">
        <v>1859</v>
      </c>
      <c r="L1462" s="1">
        <v>10365916</v>
      </c>
      <c r="M1462" s="2">
        <v>43178</v>
      </c>
      <c r="N1462" s="1" t="s">
        <v>8</v>
      </c>
      <c r="O1462" s="2">
        <v>44274</v>
      </c>
    </row>
    <row r="1463" spans="1:15" ht="28.8" x14ac:dyDescent="0.3">
      <c r="A1463" s="1" t="s">
        <v>7698</v>
      </c>
      <c r="B1463" s="1" t="str">
        <f>"GMS Garden Machinery Limited"</f>
        <v>GMS Garden Machinery Limited</v>
      </c>
      <c r="C1463" s="1" t="s">
        <v>7699</v>
      </c>
      <c r="F1463" s="1" t="s">
        <v>7700</v>
      </c>
      <c r="H1463" s="1" t="s">
        <v>7701</v>
      </c>
      <c r="I1463" s="1" t="s">
        <v>19</v>
      </c>
      <c r="J1463" s="1" t="s">
        <v>6</v>
      </c>
      <c r="K1463" s="1" t="s">
        <v>24</v>
      </c>
      <c r="L1463" s="1">
        <v>9867469</v>
      </c>
      <c r="M1463" s="2">
        <v>43178</v>
      </c>
      <c r="N1463" s="1" t="s">
        <v>8</v>
      </c>
      <c r="O1463" s="2">
        <v>44274</v>
      </c>
    </row>
    <row r="1464" spans="1:15" ht="28.8" x14ac:dyDescent="0.3">
      <c r="A1464" s="1" t="s">
        <v>7702</v>
      </c>
      <c r="B1464" s="1" t="str">
        <f>"TJM Build Ltd"</f>
        <v>TJM Build Ltd</v>
      </c>
      <c r="C1464" s="1" t="s">
        <v>7703</v>
      </c>
      <c r="D1464" s="1" t="s">
        <v>7704</v>
      </c>
      <c r="F1464" s="1" t="s">
        <v>7218</v>
      </c>
      <c r="H1464" s="1" t="s">
        <v>7705</v>
      </c>
      <c r="I1464" s="1" t="s">
        <v>19</v>
      </c>
      <c r="J1464" s="1" t="s">
        <v>6</v>
      </c>
      <c r="K1464" s="1" t="s">
        <v>24</v>
      </c>
      <c r="L1464" s="1">
        <v>8436976</v>
      </c>
      <c r="M1464" s="2">
        <v>43178</v>
      </c>
      <c r="N1464" s="1" t="s">
        <v>8</v>
      </c>
      <c r="O1464" s="2">
        <v>44274</v>
      </c>
    </row>
    <row r="1465" spans="1:15" ht="43.2" x14ac:dyDescent="0.3">
      <c r="A1465" s="1" t="s">
        <v>20955</v>
      </c>
      <c r="B1465" s="1" t="str">
        <f>"David Altomstone"</f>
        <v>David Altomstone</v>
      </c>
      <c r="C1465" s="1" t="s">
        <v>20956</v>
      </c>
      <c r="F1465" s="1" t="s">
        <v>64</v>
      </c>
      <c r="H1465" s="1" t="s">
        <v>20957</v>
      </c>
      <c r="I1465" s="1" t="s">
        <v>5</v>
      </c>
      <c r="J1465" s="1" t="s">
        <v>67</v>
      </c>
      <c r="K1465" s="1" t="s">
        <v>14</v>
      </c>
      <c r="M1465" s="2">
        <v>43178</v>
      </c>
      <c r="N1465" s="1" t="s">
        <v>8</v>
      </c>
      <c r="O1465" s="1" t="s">
        <v>68</v>
      </c>
    </row>
    <row r="1466" spans="1:15" ht="43.2" x14ac:dyDescent="0.3">
      <c r="A1466" s="1" t="s">
        <v>21679</v>
      </c>
      <c r="B1466" s="1" t="str">
        <f>"Craig White"</f>
        <v>Craig White</v>
      </c>
      <c r="C1466" s="1" t="s">
        <v>21680</v>
      </c>
      <c r="F1466" s="1" t="s">
        <v>476</v>
      </c>
      <c r="H1466" s="1" t="s">
        <v>21681</v>
      </c>
      <c r="I1466" s="1" t="s">
        <v>5</v>
      </c>
      <c r="J1466" s="1" t="s">
        <v>67</v>
      </c>
      <c r="K1466" s="1" t="s">
        <v>14</v>
      </c>
      <c r="M1466" s="2">
        <v>43178</v>
      </c>
      <c r="N1466" s="1" t="s">
        <v>8</v>
      </c>
      <c r="O1466" s="1" t="s">
        <v>68</v>
      </c>
    </row>
    <row r="1467" spans="1:15" ht="28.8" x14ac:dyDescent="0.3">
      <c r="A1467" s="1" t="s">
        <v>21682</v>
      </c>
      <c r="B1467" s="1" t="str">
        <f>"Mark Fisher 2 J's Gardens and Landscape "</f>
        <v xml:space="preserve">Mark Fisher 2 J's Gardens and Landscape </v>
      </c>
      <c r="C1467" s="1" t="s">
        <v>21683</v>
      </c>
      <c r="D1467" s="1" t="s">
        <v>2596</v>
      </c>
      <c r="F1467" s="1" t="s">
        <v>532</v>
      </c>
      <c r="H1467" s="1" t="s">
        <v>21684</v>
      </c>
      <c r="I1467" s="1" t="s">
        <v>5</v>
      </c>
      <c r="J1467" s="1" t="s">
        <v>6</v>
      </c>
      <c r="K1467" s="1" t="s">
        <v>24</v>
      </c>
      <c r="M1467" s="2">
        <v>43178</v>
      </c>
      <c r="N1467" s="1" t="s">
        <v>8</v>
      </c>
      <c r="O1467" s="2">
        <v>44274</v>
      </c>
    </row>
    <row r="1468" spans="1:15" ht="43.2" x14ac:dyDescent="0.3">
      <c r="A1468" s="1" t="s">
        <v>21685</v>
      </c>
      <c r="B1468" s="1" t="str">
        <f>"Faye Lewis"</f>
        <v>Faye Lewis</v>
      </c>
      <c r="C1468" s="1" t="s">
        <v>21686</v>
      </c>
      <c r="F1468" s="1" t="s">
        <v>556</v>
      </c>
      <c r="H1468" s="1" t="s">
        <v>21687</v>
      </c>
      <c r="I1468" s="1" t="s">
        <v>5</v>
      </c>
      <c r="J1468" s="1" t="s">
        <v>67</v>
      </c>
      <c r="K1468" s="1" t="s">
        <v>14</v>
      </c>
      <c r="M1468" s="2">
        <v>43178</v>
      </c>
      <c r="N1468" s="1" t="s">
        <v>8</v>
      </c>
      <c r="O1468" s="1" t="s">
        <v>68</v>
      </c>
    </row>
    <row r="1469" spans="1:15" ht="28.8" x14ac:dyDescent="0.3">
      <c r="A1469" s="1" t="s">
        <v>21688</v>
      </c>
      <c r="B1469" s="1" t="str">
        <f>"Daryl Jenkins Jenkins Property Maintenance"</f>
        <v>Daryl Jenkins Jenkins Property Maintenance</v>
      </c>
      <c r="C1469" s="1" t="s">
        <v>21689</v>
      </c>
      <c r="F1469" s="1" t="s">
        <v>32</v>
      </c>
      <c r="H1469" s="1" t="s">
        <v>21690</v>
      </c>
      <c r="I1469" s="1" t="s">
        <v>5</v>
      </c>
      <c r="J1469" s="1" t="s">
        <v>6</v>
      </c>
      <c r="K1469" s="1" t="s">
        <v>24</v>
      </c>
      <c r="M1469" s="2">
        <v>43178</v>
      </c>
      <c r="N1469" s="1" t="s">
        <v>8</v>
      </c>
      <c r="O1469" s="2">
        <v>44274</v>
      </c>
    </row>
    <row r="1470" spans="1:15" ht="43.2" x14ac:dyDescent="0.3">
      <c r="A1470" s="1" t="s">
        <v>21691</v>
      </c>
      <c r="B1470" s="1" t="str">
        <f>"Lloyd  Morrison "</f>
        <v xml:space="preserve">Lloyd  Morrison </v>
      </c>
      <c r="C1470" s="1" t="s">
        <v>21692</v>
      </c>
      <c r="F1470" s="1" t="s">
        <v>3472</v>
      </c>
      <c r="H1470" s="1" t="s">
        <v>21693</v>
      </c>
      <c r="I1470" s="1" t="s">
        <v>5</v>
      </c>
      <c r="J1470" s="1" t="s">
        <v>67</v>
      </c>
      <c r="K1470" s="1" t="s">
        <v>14</v>
      </c>
      <c r="M1470" s="2">
        <v>43178</v>
      </c>
      <c r="N1470" s="1" t="s">
        <v>8</v>
      </c>
      <c r="O1470" s="1" t="s">
        <v>68</v>
      </c>
    </row>
    <row r="1471" spans="1:15" ht="28.8" x14ac:dyDescent="0.3">
      <c r="A1471" s="1" t="s">
        <v>6649</v>
      </c>
      <c r="B1471" s="1" t="str">
        <f>"Accurate Inspection Limited"</f>
        <v>Accurate Inspection Limited</v>
      </c>
      <c r="C1471" s="1" t="s">
        <v>6650</v>
      </c>
      <c r="F1471" s="1" t="s">
        <v>64</v>
      </c>
      <c r="H1471" s="1" t="s">
        <v>6651</v>
      </c>
      <c r="I1471" s="1" t="s">
        <v>19</v>
      </c>
      <c r="J1471" s="1" t="s">
        <v>6</v>
      </c>
      <c r="K1471" s="1" t="s">
        <v>24</v>
      </c>
      <c r="L1471" s="1">
        <v>5891781</v>
      </c>
      <c r="M1471" s="2">
        <v>43177</v>
      </c>
      <c r="N1471" s="1" t="s">
        <v>8</v>
      </c>
      <c r="O1471" s="2">
        <v>44273</v>
      </c>
    </row>
    <row r="1472" spans="1:15" ht="43.2" x14ac:dyDescent="0.3">
      <c r="A1472" s="1" t="s">
        <v>6645</v>
      </c>
      <c r="B1472" s="1" t="str">
        <f>"South Coast Vehicles &amp; Metals Ltd"</f>
        <v>South Coast Vehicles &amp; Metals Ltd</v>
      </c>
      <c r="C1472" s="1" t="s">
        <v>6646</v>
      </c>
      <c r="F1472" s="1" t="s">
        <v>6647</v>
      </c>
      <c r="H1472" s="1" t="s">
        <v>6648</v>
      </c>
      <c r="I1472" s="1" t="s">
        <v>19</v>
      </c>
      <c r="J1472" s="1" t="s">
        <v>67</v>
      </c>
      <c r="K1472" s="1" t="s">
        <v>14</v>
      </c>
      <c r="M1472" s="2">
        <v>43176</v>
      </c>
      <c r="N1472" s="1" t="s">
        <v>8</v>
      </c>
      <c r="O1472" s="1" t="s">
        <v>68</v>
      </c>
    </row>
    <row r="1473" spans="1:15" ht="43.2" x14ac:dyDescent="0.3">
      <c r="A1473" s="1" t="s">
        <v>6627</v>
      </c>
      <c r="B1473" s="1" t="str">
        <f>"Nwp Electrical &amp; Mechanical Ltd."</f>
        <v>Nwp Electrical &amp; Mechanical Ltd.</v>
      </c>
      <c r="C1473" s="1" t="s">
        <v>5910</v>
      </c>
      <c r="D1473" s="1" t="s">
        <v>2236</v>
      </c>
      <c r="F1473" s="1" t="s">
        <v>476</v>
      </c>
      <c r="H1473" s="1" t="s">
        <v>2237</v>
      </c>
      <c r="I1473" s="1" t="s">
        <v>19</v>
      </c>
      <c r="J1473" s="1" t="s">
        <v>67</v>
      </c>
      <c r="K1473" s="1" t="s">
        <v>24</v>
      </c>
      <c r="L1473" s="1">
        <v>6115752</v>
      </c>
      <c r="M1473" s="2">
        <v>43175</v>
      </c>
      <c r="N1473" s="1" t="s">
        <v>8</v>
      </c>
      <c r="O1473" s="1" t="s">
        <v>68</v>
      </c>
    </row>
    <row r="1474" spans="1:15" ht="43.2" x14ac:dyDescent="0.3">
      <c r="A1474" s="1" t="s">
        <v>6628</v>
      </c>
      <c r="B1474" s="1" t="str">
        <f>"Hartson fire ltd"</f>
        <v>Hartson fire ltd</v>
      </c>
      <c r="C1474" s="1" t="s">
        <v>6629</v>
      </c>
      <c r="F1474" s="1" t="s">
        <v>64</v>
      </c>
      <c r="H1474" s="1" t="s">
        <v>6630</v>
      </c>
      <c r="I1474" s="1" t="s">
        <v>19</v>
      </c>
      <c r="J1474" s="1" t="s">
        <v>67</v>
      </c>
      <c r="K1474" s="1" t="s">
        <v>14</v>
      </c>
      <c r="M1474" s="2">
        <v>43175</v>
      </c>
      <c r="N1474" s="1" t="s">
        <v>8</v>
      </c>
      <c r="O1474" s="1" t="s">
        <v>68</v>
      </c>
    </row>
    <row r="1475" spans="1:15" ht="43.2" x14ac:dyDescent="0.3">
      <c r="A1475" s="1" t="s">
        <v>6631</v>
      </c>
      <c r="B1475" s="1" t="str">
        <f>"Popty Cara"</f>
        <v>Popty Cara</v>
      </c>
      <c r="C1475" s="1" t="s">
        <v>6632</v>
      </c>
      <c r="F1475" s="1" t="s">
        <v>6633</v>
      </c>
      <c r="H1475" s="1" t="s">
        <v>6634</v>
      </c>
      <c r="I1475" s="1" t="s">
        <v>125</v>
      </c>
      <c r="J1475" s="1" t="s">
        <v>67</v>
      </c>
      <c r="K1475" s="1" t="s">
        <v>14</v>
      </c>
      <c r="M1475" s="2">
        <v>43175</v>
      </c>
      <c r="N1475" s="1" t="s">
        <v>8</v>
      </c>
      <c r="O1475" s="1" t="s">
        <v>68</v>
      </c>
    </row>
    <row r="1476" spans="1:15" ht="28.8" x14ac:dyDescent="0.3">
      <c r="A1476" s="1" t="s">
        <v>6635</v>
      </c>
      <c r="B1476" s="1" t="str">
        <f>"Homes &amp; Steeple"</f>
        <v>Homes &amp; Steeple</v>
      </c>
      <c r="C1476" s="1" t="s">
        <v>6636</v>
      </c>
      <c r="F1476" s="1" t="s">
        <v>6637</v>
      </c>
      <c r="H1476" s="1" t="s">
        <v>6638</v>
      </c>
      <c r="I1476" s="1" t="s">
        <v>19</v>
      </c>
      <c r="J1476" s="1" t="s">
        <v>6</v>
      </c>
      <c r="K1476" s="1" t="s">
        <v>34</v>
      </c>
      <c r="L1476" s="1">
        <v>6364884</v>
      </c>
      <c r="M1476" s="2">
        <v>43175</v>
      </c>
      <c r="N1476" s="1" t="s">
        <v>8</v>
      </c>
      <c r="O1476" s="2">
        <v>44271</v>
      </c>
    </row>
    <row r="1477" spans="1:15" x14ac:dyDescent="0.3">
      <c r="A1477" s="1" t="s">
        <v>6639</v>
      </c>
      <c r="B1477" s="1" t="str">
        <f>"K&amp;d handymen "</f>
        <v xml:space="preserve">K&amp;d handymen </v>
      </c>
      <c r="C1477" s="1" t="s">
        <v>6640</v>
      </c>
      <c r="F1477" s="1" t="s">
        <v>401</v>
      </c>
      <c r="H1477" s="1" t="s">
        <v>6641</v>
      </c>
      <c r="I1477" s="1" t="s">
        <v>125</v>
      </c>
      <c r="J1477" s="1" t="s">
        <v>6</v>
      </c>
      <c r="K1477" s="1" t="s">
        <v>24</v>
      </c>
      <c r="M1477" s="2">
        <v>43175</v>
      </c>
      <c r="N1477" s="1" t="s">
        <v>8</v>
      </c>
      <c r="O1477" s="2">
        <v>44271</v>
      </c>
    </row>
    <row r="1478" spans="1:15" ht="28.8" x14ac:dyDescent="0.3">
      <c r="A1478" s="1" t="s">
        <v>6642</v>
      </c>
      <c r="B1478" s="1" t="str">
        <f>"ensol limited"</f>
        <v>ensol limited</v>
      </c>
      <c r="C1478" s="1" t="s">
        <v>6643</v>
      </c>
      <c r="F1478" s="1" t="s">
        <v>6265</v>
      </c>
      <c r="H1478" s="1" t="s">
        <v>6644</v>
      </c>
      <c r="I1478" s="1" t="s">
        <v>19</v>
      </c>
      <c r="J1478" s="1" t="s">
        <v>6</v>
      </c>
      <c r="K1478" s="1" t="s">
        <v>34</v>
      </c>
      <c r="L1478" s="1">
        <v>2774690</v>
      </c>
      <c r="M1478" s="2">
        <v>43175</v>
      </c>
      <c r="N1478" s="1" t="s">
        <v>8</v>
      </c>
      <c r="O1478" s="2">
        <v>44271</v>
      </c>
    </row>
    <row r="1479" spans="1:15" ht="28.8" x14ac:dyDescent="0.3">
      <c r="A1479" s="1" t="s">
        <v>20938</v>
      </c>
      <c r="B1479" s="1" t="str">
        <f>"Daniel  Griffith Daniel Griffith"</f>
        <v>Daniel  Griffith Daniel Griffith</v>
      </c>
      <c r="C1479" s="1" t="s">
        <v>20939</v>
      </c>
      <c r="F1479" s="1" t="s">
        <v>1321</v>
      </c>
      <c r="H1479" s="1" t="s">
        <v>20940</v>
      </c>
      <c r="I1479" s="1" t="s">
        <v>5</v>
      </c>
      <c r="J1479" s="1" t="s">
        <v>6</v>
      </c>
      <c r="K1479" s="1" t="s">
        <v>24</v>
      </c>
      <c r="M1479" s="2">
        <v>43175</v>
      </c>
      <c r="N1479" s="1" t="s">
        <v>8</v>
      </c>
      <c r="O1479" s="2">
        <v>44271</v>
      </c>
    </row>
    <row r="1480" spans="1:15" ht="43.2" x14ac:dyDescent="0.3">
      <c r="A1480" s="1" t="s">
        <v>20941</v>
      </c>
      <c r="B1480" s="1" t="str">
        <f>"Stuart Hayes"</f>
        <v>Stuart Hayes</v>
      </c>
      <c r="C1480" s="1" t="s">
        <v>20942</v>
      </c>
      <c r="F1480" s="1" t="s">
        <v>720</v>
      </c>
      <c r="H1480" s="1" t="s">
        <v>20943</v>
      </c>
      <c r="I1480" s="1" t="s">
        <v>5</v>
      </c>
      <c r="J1480" s="1" t="s">
        <v>67</v>
      </c>
      <c r="K1480" s="1" t="s">
        <v>14</v>
      </c>
      <c r="M1480" s="2">
        <v>43175</v>
      </c>
      <c r="N1480" s="1" t="s">
        <v>8</v>
      </c>
      <c r="O1480" s="1" t="s">
        <v>68</v>
      </c>
    </row>
    <row r="1481" spans="1:15" ht="28.8" x14ac:dyDescent="0.3">
      <c r="A1481" s="1" t="s">
        <v>20944</v>
      </c>
      <c r="B1481" s="1" t="str">
        <f>"Anthony  Austin AA Skip Hire "</f>
        <v xml:space="preserve">Anthony  Austin AA Skip Hire </v>
      </c>
      <c r="C1481" s="1" t="s">
        <v>20945</v>
      </c>
      <c r="F1481" s="1" t="s">
        <v>64</v>
      </c>
      <c r="H1481" s="1" t="s">
        <v>20946</v>
      </c>
      <c r="I1481" s="1" t="s">
        <v>5</v>
      </c>
      <c r="J1481" s="1" t="s">
        <v>6</v>
      </c>
      <c r="K1481" s="1" t="s">
        <v>24</v>
      </c>
      <c r="M1481" s="2">
        <v>43175</v>
      </c>
      <c r="N1481" s="1" t="s">
        <v>8</v>
      </c>
      <c r="O1481" s="2">
        <v>44271</v>
      </c>
    </row>
    <row r="1482" spans="1:15" ht="28.8" x14ac:dyDescent="0.3">
      <c r="A1482" s="1" t="s">
        <v>20947</v>
      </c>
      <c r="B1482" s="1" t="str">
        <f>"JASON PHILLIPS J P AUTOS"</f>
        <v>JASON PHILLIPS J P AUTOS</v>
      </c>
      <c r="C1482" s="1" t="s">
        <v>20948</v>
      </c>
      <c r="F1482" s="1" t="s">
        <v>123</v>
      </c>
      <c r="H1482" s="1" t="s">
        <v>20949</v>
      </c>
      <c r="I1482" s="1" t="s">
        <v>5</v>
      </c>
      <c r="J1482" s="1" t="s">
        <v>6</v>
      </c>
      <c r="K1482" s="1" t="s">
        <v>34</v>
      </c>
      <c r="M1482" s="2">
        <v>43175</v>
      </c>
      <c r="N1482" s="1" t="s">
        <v>8</v>
      </c>
      <c r="O1482" s="2">
        <v>44271</v>
      </c>
    </row>
    <row r="1483" spans="1:15" ht="43.2" x14ac:dyDescent="0.3">
      <c r="A1483" s="1" t="s">
        <v>20950</v>
      </c>
      <c r="B1483" s="1" t="str">
        <f>"heather wynne"</f>
        <v>heather wynne</v>
      </c>
      <c r="C1483" s="1" t="s">
        <v>20951</v>
      </c>
      <c r="F1483" s="1" t="s">
        <v>556</v>
      </c>
      <c r="H1483" s="1" t="s">
        <v>5373</v>
      </c>
      <c r="I1483" s="1" t="s">
        <v>5</v>
      </c>
      <c r="J1483" s="1" t="s">
        <v>67</v>
      </c>
      <c r="K1483" s="1" t="s">
        <v>14</v>
      </c>
      <c r="M1483" s="2">
        <v>43175</v>
      </c>
      <c r="N1483" s="1" t="s">
        <v>8</v>
      </c>
      <c r="O1483" s="1" t="s">
        <v>68</v>
      </c>
    </row>
    <row r="1484" spans="1:15" x14ac:dyDescent="0.3">
      <c r="A1484" s="1" t="s">
        <v>20952</v>
      </c>
      <c r="B1484" s="1" t="str">
        <f>"Christopher Gray"</f>
        <v>Christopher Gray</v>
      </c>
      <c r="C1484" s="1" t="s">
        <v>20953</v>
      </c>
      <c r="F1484" s="1" t="s">
        <v>6637</v>
      </c>
      <c r="H1484" s="1" t="s">
        <v>20954</v>
      </c>
      <c r="I1484" s="1" t="s">
        <v>5</v>
      </c>
      <c r="J1484" s="1" t="s">
        <v>6</v>
      </c>
      <c r="K1484" s="1" t="s">
        <v>24</v>
      </c>
      <c r="M1484" s="2">
        <v>43175</v>
      </c>
      <c r="N1484" s="1" t="s">
        <v>8</v>
      </c>
      <c r="O1484" s="2">
        <v>44271</v>
      </c>
    </row>
    <row r="1485" spans="1:15" ht="28.8" x14ac:dyDescent="0.3">
      <c r="A1485" s="1" t="s">
        <v>5387</v>
      </c>
      <c r="B1485" s="1" t="str">
        <f>"Gth roofing &amp; son ltd"</f>
        <v>Gth roofing &amp; son ltd</v>
      </c>
      <c r="C1485" s="1" t="s">
        <v>5388</v>
      </c>
      <c r="F1485" s="1" t="s">
        <v>556</v>
      </c>
      <c r="H1485" s="1" t="s">
        <v>5389</v>
      </c>
      <c r="I1485" s="1" t="s">
        <v>19</v>
      </c>
      <c r="J1485" s="1" t="s">
        <v>6</v>
      </c>
      <c r="K1485" s="1" t="s">
        <v>34</v>
      </c>
      <c r="L1485" s="1">
        <v>9100237</v>
      </c>
      <c r="M1485" s="2">
        <v>43174</v>
      </c>
      <c r="N1485" s="1" t="s">
        <v>8</v>
      </c>
      <c r="O1485" s="2">
        <v>44270</v>
      </c>
    </row>
    <row r="1486" spans="1:15" ht="43.2" x14ac:dyDescent="0.3">
      <c r="A1486" s="1" t="s">
        <v>5390</v>
      </c>
      <c r="B1486" s="1" t="str">
        <f>"ESA Treecare Limited"</f>
        <v>ESA Treecare Limited</v>
      </c>
      <c r="C1486" s="1" t="s">
        <v>5391</v>
      </c>
      <c r="F1486" s="1" t="s">
        <v>782</v>
      </c>
      <c r="H1486" s="1" t="s">
        <v>5392</v>
      </c>
      <c r="I1486" s="1" t="s">
        <v>19</v>
      </c>
      <c r="J1486" s="1" t="s">
        <v>67</v>
      </c>
      <c r="K1486" s="1" t="s">
        <v>14</v>
      </c>
      <c r="M1486" s="2">
        <v>43174</v>
      </c>
      <c r="N1486" s="1" t="s">
        <v>8</v>
      </c>
      <c r="O1486" s="1" t="s">
        <v>68</v>
      </c>
    </row>
    <row r="1487" spans="1:15" ht="28.8" x14ac:dyDescent="0.3">
      <c r="A1487" s="1" t="s">
        <v>5393</v>
      </c>
      <c r="B1487" s="1" t="str">
        <f>"Cymraeg Glazing Services"</f>
        <v>Cymraeg Glazing Services</v>
      </c>
      <c r="C1487" s="1" t="s">
        <v>5394</v>
      </c>
      <c r="D1487" s="1" t="s">
        <v>1329</v>
      </c>
      <c r="F1487" s="1" t="s">
        <v>706</v>
      </c>
      <c r="H1487" s="1" t="s">
        <v>5395</v>
      </c>
      <c r="I1487" s="1" t="s">
        <v>19</v>
      </c>
      <c r="J1487" s="1" t="s">
        <v>6</v>
      </c>
      <c r="K1487" s="1" t="s">
        <v>24</v>
      </c>
      <c r="L1487" s="1">
        <v>5874392</v>
      </c>
      <c r="M1487" s="2">
        <v>43174</v>
      </c>
      <c r="N1487" s="1" t="s">
        <v>8</v>
      </c>
      <c r="O1487" s="2">
        <v>44270</v>
      </c>
    </row>
    <row r="1488" spans="1:15" ht="28.8" x14ac:dyDescent="0.3">
      <c r="A1488" s="1" t="s">
        <v>5396</v>
      </c>
      <c r="B1488" s="1" t="str">
        <f>"floors on floors ltd"</f>
        <v>floors on floors ltd</v>
      </c>
      <c r="C1488" s="1" t="s">
        <v>5397</v>
      </c>
      <c r="F1488" s="1" t="s">
        <v>930</v>
      </c>
      <c r="H1488" s="1" t="s">
        <v>5398</v>
      </c>
      <c r="I1488" s="1" t="s">
        <v>19</v>
      </c>
      <c r="J1488" s="1" t="s">
        <v>6</v>
      </c>
      <c r="K1488" s="1" t="s">
        <v>34</v>
      </c>
      <c r="L1488" s="1">
        <v>7119803</v>
      </c>
      <c r="M1488" s="2">
        <v>43174</v>
      </c>
      <c r="N1488" s="1" t="s">
        <v>8</v>
      </c>
      <c r="O1488" s="2">
        <v>44270</v>
      </c>
    </row>
    <row r="1489" spans="1:15" ht="28.8" x14ac:dyDescent="0.3">
      <c r="A1489" s="1" t="s">
        <v>5399</v>
      </c>
      <c r="B1489" s="1" t="str">
        <f>"Fire Queen Limited"</f>
        <v>Fire Queen Limited</v>
      </c>
      <c r="C1489" s="1" t="s">
        <v>5400</v>
      </c>
      <c r="F1489" s="1" t="s">
        <v>5401</v>
      </c>
      <c r="H1489" s="1" t="s">
        <v>5402</v>
      </c>
      <c r="I1489" s="1" t="s">
        <v>19</v>
      </c>
      <c r="J1489" s="1" t="s">
        <v>6</v>
      </c>
      <c r="K1489" s="1" t="s">
        <v>24</v>
      </c>
      <c r="L1489" s="1">
        <v>1219302</v>
      </c>
      <c r="M1489" s="2">
        <v>43174</v>
      </c>
      <c r="N1489" s="1" t="s">
        <v>8</v>
      </c>
      <c r="O1489" s="2">
        <v>44270</v>
      </c>
    </row>
    <row r="1490" spans="1:15" x14ac:dyDescent="0.3">
      <c r="A1490" s="1" t="s">
        <v>5403</v>
      </c>
      <c r="B1490" s="1" t="str">
        <f>"Reside Developments"</f>
        <v>Reside Developments</v>
      </c>
      <c r="C1490" s="1" t="s">
        <v>5404</v>
      </c>
      <c r="F1490" s="1" t="s">
        <v>5405</v>
      </c>
      <c r="H1490" s="1" t="s">
        <v>5406</v>
      </c>
      <c r="I1490" s="1" t="s">
        <v>19</v>
      </c>
      <c r="J1490" s="1" t="s">
        <v>6</v>
      </c>
      <c r="K1490" s="1" t="s">
        <v>24</v>
      </c>
      <c r="L1490" s="1">
        <v>3425192</v>
      </c>
      <c r="M1490" s="2">
        <v>43174</v>
      </c>
      <c r="N1490" s="1" t="s">
        <v>8</v>
      </c>
      <c r="O1490" s="2">
        <v>44270</v>
      </c>
    </row>
    <row r="1491" spans="1:15" ht="28.8" x14ac:dyDescent="0.3">
      <c r="A1491" s="1" t="s">
        <v>5407</v>
      </c>
      <c r="B1491" s="1" t="str">
        <f>"T W Jones and Son "</f>
        <v xml:space="preserve">T W Jones and Son </v>
      </c>
      <c r="C1491" s="1" t="s">
        <v>5408</v>
      </c>
      <c r="F1491" s="1" t="s">
        <v>5409</v>
      </c>
      <c r="H1491" s="1" t="s">
        <v>5410</v>
      </c>
      <c r="I1491" s="1" t="s">
        <v>125</v>
      </c>
      <c r="J1491" s="1" t="s">
        <v>6</v>
      </c>
      <c r="K1491" s="1" t="s">
        <v>24</v>
      </c>
      <c r="M1491" s="2">
        <v>43174</v>
      </c>
      <c r="N1491" s="1" t="s">
        <v>8</v>
      </c>
      <c r="O1491" s="2">
        <v>44270</v>
      </c>
    </row>
    <row r="1492" spans="1:15" ht="28.8" x14ac:dyDescent="0.3">
      <c r="A1492" s="1" t="s">
        <v>20159</v>
      </c>
      <c r="B1492" s="1" t="str">
        <f>"martin jones martins recovery"</f>
        <v>martin jones martins recovery</v>
      </c>
      <c r="C1492" s="1" t="s">
        <v>20160</v>
      </c>
      <c r="F1492" s="1" t="s">
        <v>42</v>
      </c>
      <c r="H1492" s="1" t="s">
        <v>20161</v>
      </c>
      <c r="I1492" s="1" t="s">
        <v>5</v>
      </c>
      <c r="J1492" s="1" t="s">
        <v>6</v>
      </c>
      <c r="K1492" s="1" t="s">
        <v>34</v>
      </c>
      <c r="M1492" s="2">
        <v>43174</v>
      </c>
      <c r="N1492" s="1" t="s">
        <v>8</v>
      </c>
      <c r="O1492" s="2">
        <v>44270</v>
      </c>
    </row>
    <row r="1493" spans="1:15" ht="28.8" x14ac:dyDescent="0.3">
      <c r="A1493" s="1" t="s">
        <v>20935</v>
      </c>
      <c r="B1493" s="1" t="str">
        <f>"Ricky Pegrum Fuse Electrical"</f>
        <v>Ricky Pegrum Fuse Electrical</v>
      </c>
      <c r="C1493" s="1" t="s">
        <v>20936</v>
      </c>
      <c r="F1493" s="1" t="s">
        <v>4813</v>
      </c>
      <c r="H1493" s="1" t="s">
        <v>20937</v>
      </c>
      <c r="I1493" s="1" t="s">
        <v>5</v>
      </c>
      <c r="J1493" s="1" t="s">
        <v>6</v>
      </c>
      <c r="K1493" s="1" t="s">
        <v>34</v>
      </c>
      <c r="M1493" s="2">
        <v>43174</v>
      </c>
      <c r="N1493" s="1" t="s">
        <v>8</v>
      </c>
      <c r="O1493" s="2">
        <v>44270</v>
      </c>
    </row>
    <row r="1494" spans="1:15" ht="28.8" x14ac:dyDescent="0.3">
      <c r="A1494" s="1" t="s">
        <v>5359</v>
      </c>
      <c r="B1494" s="1" t="str">
        <f>"R J Plant and Construction Ltd "</f>
        <v xml:space="preserve">R J Plant and Construction Ltd </v>
      </c>
      <c r="C1494" s="1" t="s">
        <v>5360</v>
      </c>
      <c r="F1494" s="1" t="s">
        <v>102</v>
      </c>
      <c r="H1494" s="1" t="s">
        <v>5361</v>
      </c>
      <c r="I1494" s="1" t="s">
        <v>19</v>
      </c>
      <c r="J1494" s="1" t="s">
        <v>6</v>
      </c>
      <c r="K1494" s="1" t="s">
        <v>24</v>
      </c>
      <c r="L1494" s="1">
        <v>9703749</v>
      </c>
      <c r="M1494" s="2">
        <v>43173</v>
      </c>
      <c r="N1494" s="1" t="s">
        <v>8</v>
      </c>
      <c r="O1494" s="2">
        <v>44269</v>
      </c>
    </row>
    <row r="1495" spans="1:15" ht="43.2" x14ac:dyDescent="0.3">
      <c r="A1495" s="1" t="s">
        <v>5362</v>
      </c>
      <c r="B1495" s="1" t="str">
        <f>"PRV Engineering Ltd"</f>
        <v>PRV Engineering Ltd</v>
      </c>
      <c r="C1495" s="1" t="s">
        <v>5363</v>
      </c>
      <c r="D1495" s="1" t="s">
        <v>1174</v>
      </c>
      <c r="F1495" s="1" t="s">
        <v>1058</v>
      </c>
      <c r="H1495" s="1" t="s">
        <v>3341</v>
      </c>
      <c r="I1495" s="1" t="s">
        <v>19</v>
      </c>
      <c r="J1495" s="1" t="s">
        <v>67</v>
      </c>
      <c r="K1495" s="1" t="s">
        <v>14</v>
      </c>
      <c r="M1495" s="2">
        <v>43173</v>
      </c>
      <c r="N1495" s="1" t="s">
        <v>8</v>
      </c>
      <c r="O1495" s="1" t="s">
        <v>68</v>
      </c>
    </row>
    <row r="1496" spans="1:15" ht="28.8" x14ac:dyDescent="0.3">
      <c r="A1496" s="1" t="s">
        <v>5364</v>
      </c>
      <c r="B1496" s="1" t="str">
        <f>"Pipetek Services Ltd"</f>
        <v>Pipetek Services Ltd</v>
      </c>
      <c r="C1496" s="1" t="s">
        <v>5365</v>
      </c>
      <c r="F1496" s="1" t="s">
        <v>5366</v>
      </c>
      <c r="H1496" s="1" t="s">
        <v>5367</v>
      </c>
      <c r="I1496" s="1" t="s">
        <v>19</v>
      </c>
      <c r="J1496" s="1" t="s">
        <v>6</v>
      </c>
      <c r="K1496" s="1" t="s">
        <v>34</v>
      </c>
      <c r="L1496" s="1">
        <v>4792117</v>
      </c>
      <c r="M1496" s="2">
        <v>43173</v>
      </c>
      <c r="N1496" s="1" t="s">
        <v>8</v>
      </c>
      <c r="O1496" s="2">
        <v>44269</v>
      </c>
    </row>
    <row r="1497" spans="1:15" ht="43.2" x14ac:dyDescent="0.3">
      <c r="A1497" s="1" t="s">
        <v>5368</v>
      </c>
      <c r="B1497" s="1" t="str">
        <f>"Ryan Parry"</f>
        <v>Ryan Parry</v>
      </c>
      <c r="C1497" s="1" t="s">
        <v>5369</v>
      </c>
      <c r="F1497" s="1" t="s">
        <v>214</v>
      </c>
      <c r="H1497" s="1" t="s">
        <v>5370</v>
      </c>
      <c r="I1497" s="1" t="s">
        <v>188</v>
      </c>
      <c r="J1497" s="1" t="s">
        <v>67</v>
      </c>
      <c r="K1497" s="1" t="s">
        <v>14</v>
      </c>
      <c r="M1497" s="2">
        <v>43173</v>
      </c>
      <c r="N1497" s="1" t="s">
        <v>8</v>
      </c>
      <c r="O1497" s="1" t="s">
        <v>68</v>
      </c>
    </row>
    <row r="1498" spans="1:15" ht="43.2" x14ac:dyDescent="0.3">
      <c r="A1498" s="1" t="s">
        <v>5371</v>
      </c>
      <c r="B1498" s="1" t="str">
        <f>"The Silver Bullet Pub LTD"</f>
        <v>The Silver Bullet Pub LTD</v>
      </c>
      <c r="C1498" s="1" t="s">
        <v>5372</v>
      </c>
      <c r="F1498" s="1" t="s">
        <v>556</v>
      </c>
      <c r="H1498" s="1" t="s">
        <v>5373</v>
      </c>
      <c r="I1498" s="1" t="s">
        <v>19</v>
      </c>
      <c r="J1498" s="1" t="s">
        <v>67</v>
      </c>
      <c r="K1498" s="1" t="s">
        <v>14</v>
      </c>
      <c r="M1498" s="2">
        <v>43173</v>
      </c>
      <c r="N1498" s="1" t="s">
        <v>8</v>
      </c>
      <c r="O1498" s="1" t="s">
        <v>68</v>
      </c>
    </row>
    <row r="1499" spans="1:15" x14ac:dyDescent="0.3">
      <c r="A1499" s="1" t="s">
        <v>5374</v>
      </c>
      <c r="B1499" s="1" t="str">
        <f>"BV Expeditiebedr  V H"</f>
        <v>BV Expeditiebedr  V H</v>
      </c>
      <c r="C1499" s="1" t="s">
        <v>5375</v>
      </c>
      <c r="D1499" s="1" t="s">
        <v>5376</v>
      </c>
      <c r="E1499" s="1" t="s">
        <v>5377</v>
      </c>
      <c r="G1499" s="1" t="s">
        <v>5378</v>
      </c>
      <c r="I1499" s="1" t="s">
        <v>125</v>
      </c>
      <c r="J1499" s="1" t="s">
        <v>6</v>
      </c>
      <c r="K1499" s="1" t="s">
        <v>24</v>
      </c>
      <c r="M1499" s="2">
        <v>43173</v>
      </c>
      <c r="N1499" s="1" t="s">
        <v>8</v>
      </c>
      <c r="O1499" s="2">
        <v>44269</v>
      </c>
    </row>
    <row r="1500" spans="1:15" ht="28.8" x14ac:dyDescent="0.3">
      <c r="A1500" s="1" t="s">
        <v>5379</v>
      </c>
      <c r="B1500" s="1" t="str">
        <f>"Rugbi Environmental Ltd"</f>
        <v>Rugbi Environmental Ltd</v>
      </c>
      <c r="C1500" s="1" t="s">
        <v>5380</v>
      </c>
      <c r="D1500" s="1" t="s">
        <v>5381</v>
      </c>
      <c r="F1500" s="1" t="s">
        <v>1351</v>
      </c>
      <c r="H1500" s="1" t="s">
        <v>5382</v>
      </c>
      <c r="I1500" s="1" t="s">
        <v>19</v>
      </c>
      <c r="J1500" s="1" t="s">
        <v>6</v>
      </c>
      <c r="K1500" s="1" t="s">
        <v>24</v>
      </c>
      <c r="L1500" s="1">
        <v>10522432</v>
      </c>
      <c r="M1500" s="2">
        <v>43173</v>
      </c>
      <c r="N1500" s="1" t="s">
        <v>8</v>
      </c>
      <c r="O1500" s="2">
        <v>44269</v>
      </c>
    </row>
    <row r="1501" spans="1:15" ht="28.8" x14ac:dyDescent="0.3">
      <c r="A1501" s="1" t="s">
        <v>5383</v>
      </c>
      <c r="B1501" s="1" t="str">
        <f>"Orange Utilities Services"</f>
        <v>Orange Utilities Services</v>
      </c>
      <c r="C1501" s="1" t="s">
        <v>5384</v>
      </c>
      <c r="F1501" s="1" t="s">
        <v>5385</v>
      </c>
      <c r="H1501" s="1" t="s">
        <v>5386</v>
      </c>
      <c r="I1501" s="1" t="s">
        <v>19</v>
      </c>
      <c r="J1501" s="1" t="s">
        <v>6</v>
      </c>
      <c r="K1501" s="1" t="s">
        <v>24</v>
      </c>
      <c r="L1501" s="1">
        <v>9894736</v>
      </c>
      <c r="M1501" s="2">
        <v>43173</v>
      </c>
      <c r="N1501" s="1" t="s">
        <v>8</v>
      </c>
      <c r="O1501" s="2">
        <v>44269</v>
      </c>
    </row>
    <row r="1502" spans="1:15" ht="43.2" x14ac:dyDescent="0.3">
      <c r="A1502" s="1" t="s">
        <v>19345</v>
      </c>
      <c r="B1502" s="1" t="str">
        <f>"dudley maxfield"</f>
        <v>dudley maxfield</v>
      </c>
      <c r="C1502" s="1" t="s">
        <v>19346</v>
      </c>
      <c r="F1502" s="1" t="s">
        <v>37</v>
      </c>
      <c r="H1502" s="1" t="s">
        <v>19347</v>
      </c>
      <c r="I1502" s="1" t="s">
        <v>5</v>
      </c>
      <c r="J1502" s="1" t="s">
        <v>67</v>
      </c>
      <c r="K1502" s="1" t="s">
        <v>14</v>
      </c>
      <c r="M1502" s="2">
        <v>43173</v>
      </c>
      <c r="N1502" s="1" t="s">
        <v>8</v>
      </c>
      <c r="O1502" s="1" t="s">
        <v>68</v>
      </c>
    </row>
    <row r="1503" spans="1:15" ht="28.8" x14ac:dyDescent="0.3">
      <c r="A1503" s="1" t="s">
        <v>20150</v>
      </c>
      <c r="B1503" s="1" t="str">
        <f>"RICKY MARK LANGDON"</f>
        <v>RICKY MARK LANGDON</v>
      </c>
      <c r="C1503" s="1" t="s">
        <v>20151</v>
      </c>
      <c r="F1503" s="1" t="s">
        <v>64</v>
      </c>
      <c r="H1503" s="1" t="s">
        <v>20152</v>
      </c>
      <c r="I1503" s="1" t="s">
        <v>5</v>
      </c>
      <c r="J1503" s="1" t="s">
        <v>6</v>
      </c>
      <c r="K1503" s="1" t="s">
        <v>24</v>
      </c>
      <c r="M1503" s="2">
        <v>43173</v>
      </c>
      <c r="N1503" s="1" t="s">
        <v>8</v>
      </c>
      <c r="O1503" s="2">
        <v>44269</v>
      </c>
    </row>
    <row r="1504" spans="1:15" ht="43.2" x14ac:dyDescent="0.3">
      <c r="A1504" s="1" t="s">
        <v>20153</v>
      </c>
      <c r="B1504" s="1" t="str">
        <f>"Jon Reanney"</f>
        <v>Jon Reanney</v>
      </c>
      <c r="C1504" s="1" t="s">
        <v>20154</v>
      </c>
      <c r="F1504" s="1" t="s">
        <v>720</v>
      </c>
      <c r="H1504" s="1" t="s">
        <v>20155</v>
      </c>
      <c r="I1504" s="1" t="s">
        <v>5</v>
      </c>
      <c r="J1504" s="1" t="s">
        <v>67</v>
      </c>
      <c r="K1504" s="1" t="s">
        <v>14</v>
      </c>
      <c r="M1504" s="2">
        <v>43173</v>
      </c>
      <c r="N1504" s="1" t="s">
        <v>8</v>
      </c>
      <c r="O1504" s="1" t="s">
        <v>68</v>
      </c>
    </row>
    <row r="1505" spans="1:15" ht="28.8" x14ac:dyDescent="0.3">
      <c r="A1505" s="1" t="s">
        <v>20156</v>
      </c>
      <c r="B1505" s="1" t="str">
        <f>"Sean Mullan Sean Mullan"</f>
        <v>Sean Mullan Sean Mullan</v>
      </c>
      <c r="C1505" s="1" t="s">
        <v>20157</v>
      </c>
      <c r="F1505" s="1" t="s">
        <v>641</v>
      </c>
      <c r="H1505" s="1" t="s">
        <v>20158</v>
      </c>
      <c r="I1505" s="1" t="s">
        <v>5</v>
      </c>
      <c r="J1505" s="1" t="s">
        <v>6</v>
      </c>
      <c r="K1505" s="1" t="s">
        <v>24</v>
      </c>
      <c r="M1505" s="2">
        <v>43173</v>
      </c>
      <c r="N1505" s="1" t="s">
        <v>8</v>
      </c>
      <c r="O1505" s="2">
        <v>44269</v>
      </c>
    </row>
    <row r="1506" spans="1:15" ht="28.8" x14ac:dyDescent="0.3">
      <c r="A1506" s="1" t="s">
        <v>4317</v>
      </c>
      <c r="B1506" s="1" t="str">
        <f>"Holmes Contracting Ltd"</f>
        <v>Holmes Contracting Ltd</v>
      </c>
      <c r="C1506" s="1" t="s">
        <v>4318</v>
      </c>
      <c r="F1506" s="1" t="s">
        <v>56</v>
      </c>
      <c r="H1506" s="1" t="s">
        <v>4319</v>
      </c>
      <c r="I1506" s="1" t="s">
        <v>19</v>
      </c>
      <c r="J1506" s="1" t="s">
        <v>6</v>
      </c>
      <c r="K1506" s="1" t="s">
        <v>24</v>
      </c>
      <c r="L1506" s="1">
        <v>9164557</v>
      </c>
      <c r="M1506" s="2">
        <v>43172</v>
      </c>
      <c r="N1506" s="1" t="s">
        <v>8</v>
      </c>
      <c r="O1506" s="2">
        <v>44268</v>
      </c>
    </row>
    <row r="1507" spans="1:15" ht="43.2" x14ac:dyDescent="0.3">
      <c r="A1507" s="1" t="s">
        <v>4320</v>
      </c>
      <c r="B1507" s="1" t="str">
        <f>"CARDIFF ARMS ENVIRONMENTAL SER. LTD"</f>
        <v>CARDIFF ARMS ENVIRONMENTAL SER. LTD</v>
      </c>
      <c r="C1507" s="1" t="s">
        <v>4321</v>
      </c>
      <c r="F1507" s="1" t="s">
        <v>1137</v>
      </c>
      <c r="H1507" s="1" t="s">
        <v>28</v>
      </c>
      <c r="I1507" s="1" t="s">
        <v>19</v>
      </c>
      <c r="J1507" s="1" t="s">
        <v>6</v>
      </c>
      <c r="K1507" s="1" t="s">
        <v>34</v>
      </c>
      <c r="L1507" s="1">
        <v>5646507</v>
      </c>
      <c r="M1507" s="2">
        <v>43172</v>
      </c>
      <c r="N1507" s="1" t="s">
        <v>8</v>
      </c>
      <c r="O1507" s="2">
        <v>44268</v>
      </c>
    </row>
    <row r="1508" spans="1:15" ht="28.8" x14ac:dyDescent="0.3">
      <c r="A1508" s="1" t="s">
        <v>4322</v>
      </c>
      <c r="B1508" s="1" t="str">
        <f>"THOMAS AND SONS"</f>
        <v>THOMAS AND SONS</v>
      </c>
      <c r="C1508" s="1" t="s">
        <v>4323</v>
      </c>
      <c r="F1508" s="1" t="s">
        <v>56</v>
      </c>
      <c r="H1508" s="1" t="s">
        <v>4324</v>
      </c>
      <c r="I1508" s="1" t="s">
        <v>125</v>
      </c>
      <c r="J1508" s="1" t="s">
        <v>6</v>
      </c>
      <c r="K1508" s="1" t="s">
        <v>24</v>
      </c>
      <c r="M1508" s="2">
        <v>43172</v>
      </c>
      <c r="N1508" s="1" t="s">
        <v>8</v>
      </c>
      <c r="O1508" s="2">
        <v>44268</v>
      </c>
    </row>
    <row r="1509" spans="1:15" ht="43.2" x14ac:dyDescent="0.3">
      <c r="A1509" s="1" t="s">
        <v>4325</v>
      </c>
      <c r="B1509" s="1" t="str">
        <f>"Bride Valley Recovery Ltd "</f>
        <v xml:space="preserve">Bride Valley Recovery Ltd </v>
      </c>
      <c r="C1509" s="1" t="s">
        <v>4326</v>
      </c>
      <c r="F1509" s="1" t="s">
        <v>4327</v>
      </c>
      <c r="H1509" s="1" t="s">
        <v>4328</v>
      </c>
      <c r="I1509" s="1" t="s">
        <v>19</v>
      </c>
      <c r="J1509" s="1" t="s">
        <v>67</v>
      </c>
      <c r="K1509" s="1" t="s">
        <v>14</v>
      </c>
      <c r="M1509" s="2">
        <v>43172</v>
      </c>
      <c r="N1509" s="1" t="s">
        <v>8</v>
      </c>
      <c r="O1509" s="1" t="s">
        <v>68</v>
      </c>
    </row>
    <row r="1510" spans="1:15" ht="28.8" x14ac:dyDescent="0.3">
      <c r="A1510" s="1" t="s">
        <v>4329</v>
      </c>
      <c r="B1510" s="1" t="str">
        <f>"ADRIAN LLEWELLYN GROUNDWORKS LTD"</f>
        <v>ADRIAN LLEWELLYN GROUNDWORKS LTD</v>
      </c>
      <c r="C1510" s="1" t="s">
        <v>4330</v>
      </c>
      <c r="F1510" s="1" t="s">
        <v>4331</v>
      </c>
      <c r="H1510" s="1" t="s">
        <v>4332</v>
      </c>
      <c r="I1510" s="1" t="s">
        <v>19</v>
      </c>
      <c r="J1510" s="1" t="s">
        <v>6</v>
      </c>
      <c r="K1510" s="1" t="s">
        <v>24</v>
      </c>
      <c r="L1510" s="1">
        <v>4798560</v>
      </c>
      <c r="M1510" s="2">
        <v>43172</v>
      </c>
      <c r="N1510" s="1" t="s">
        <v>8</v>
      </c>
      <c r="O1510" s="2">
        <v>44268</v>
      </c>
    </row>
    <row r="1511" spans="1:15" ht="28.8" x14ac:dyDescent="0.3">
      <c r="A1511" s="1" t="s">
        <v>4333</v>
      </c>
      <c r="B1511" s="1" t="str">
        <f>"Greenwise Construction"</f>
        <v>Greenwise Construction</v>
      </c>
      <c r="C1511" s="1" t="s">
        <v>4334</v>
      </c>
      <c r="F1511" s="1" t="s">
        <v>1351</v>
      </c>
      <c r="H1511" s="1" t="s">
        <v>4335</v>
      </c>
      <c r="I1511" s="1" t="s">
        <v>19</v>
      </c>
      <c r="J1511" s="1" t="s">
        <v>6</v>
      </c>
      <c r="K1511" s="1" t="s">
        <v>24</v>
      </c>
      <c r="L1511" s="1">
        <v>6476431</v>
      </c>
      <c r="M1511" s="2">
        <v>43172</v>
      </c>
      <c r="N1511" s="1" t="s">
        <v>8</v>
      </c>
      <c r="O1511" s="2">
        <v>44268</v>
      </c>
    </row>
    <row r="1512" spans="1:15" ht="28.8" x14ac:dyDescent="0.3">
      <c r="A1512" s="1" t="s">
        <v>4336</v>
      </c>
      <c r="B1512" s="1" t="str">
        <f>"C&amp;T ECO Consultants Ltd"</f>
        <v>C&amp;T ECO Consultants Ltd</v>
      </c>
      <c r="C1512" s="1" t="s">
        <v>4337</v>
      </c>
      <c r="D1512" s="1" t="s">
        <v>108</v>
      </c>
      <c r="F1512" s="1" t="s">
        <v>64</v>
      </c>
      <c r="H1512" s="1" t="s">
        <v>2011</v>
      </c>
      <c r="I1512" s="1" t="s">
        <v>19</v>
      </c>
      <c r="J1512" s="1" t="s">
        <v>6</v>
      </c>
      <c r="K1512" s="1" t="s">
        <v>24</v>
      </c>
      <c r="L1512" s="1">
        <v>9312960</v>
      </c>
      <c r="M1512" s="2">
        <v>43172</v>
      </c>
      <c r="N1512" s="1" t="s">
        <v>8</v>
      </c>
      <c r="O1512" s="2">
        <v>44268</v>
      </c>
    </row>
    <row r="1513" spans="1:15" ht="43.2" x14ac:dyDescent="0.3">
      <c r="A1513" s="1" t="s">
        <v>19336</v>
      </c>
      <c r="B1513" s="1" t="str">
        <f>"Malcolm Colbran"</f>
        <v>Malcolm Colbran</v>
      </c>
      <c r="C1513" s="1" t="s">
        <v>19337</v>
      </c>
      <c r="F1513" s="1" t="s">
        <v>555</v>
      </c>
      <c r="H1513" s="1" t="s">
        <v>19338</v>
      </c>
      <c r="I1513" s="1" t="s">
        <v>5</v>
      </c>
      <c r="J1513" s="1" t="s">
        <v>67</v>
      </c>
      <c r="K1513" s="1" t="s">
        <v>14</v>
      </c>
      <c r="M1513" s="2">
        <v>43172</v>
      </c>
      <c r="N1513" s="1" t="s">
        <v>8</v>
      </c>
      <c r="O1513" s="1" t="s">
        <v>68</v>
      </c>
    </row>
    <row r="1514" spans="1:15" ht="43.2" x14ac:dyDescent="0.3">
      <c r="A1514" s="1" t="s">
        <v>19339</v>
      </c>
      <c r="B1514" s="1" t="str">
        <f>"William Cooper"</f>
        <v>William Cooper</v>
      </c>
      <c r="C1514" s="1" t="s">
        <v>19340</v>
      </c>
      <c r="D1514" s="1" t="s">
        <v>19341</v>
      </c>
      <c r="F1514" s="1" t="s">
        <v>3465</v>
      </c>
      <c r="H1514" s="1" t="s">
        <v>19342</v>
      </c>
      <c r="I1514" s="1" t="s">
        <v>5</v>
      </c>
      <c r="J1514" s="1" t="s">
        <v>67</v>
      </c>
      <c r="K1514" s="1" t="s">
        <v>14</v>
      </c>
      <c r="M1514" s="2">
        <v>43172</v>
      </c>
      <c r="N1514" s="1" t="s">
        <v>8</v>
      </c>
      <c r="O1514" s="1" t="s">
        <v>68</v>
      </c>
    </row>
    <row r="1515" spans="1:15" ht="43.2" x14ac:dyDescent="0.3">
      <c r="A1515" s="1" t="s">
        <v>19343</v>
      </c>
      <c r="B1515" s="1" t="str">
        <f>"Spencer Jones"</f>
        <v>Spencer Jones</v>
      </c>
      <c r="C1515" s="1" t="s">
        <v>19344</v>
      </c>
      <c r="D1515" s="1" t="s">
        <v>10339</v>
      </c>
      <c r="F1515" s="1" t="s">
        <v>532</v>
      </c>
      <c r="H1515" s="1" t="s">
        <v>10340</v>
      </c>
      <c r="I1515" s="1" t="s">
        <v>5</v>
      </c>
      <c r="J1515" s="1" t="s">
        <v>67</v>
      </c>
      <c r="K1515" s="1" t="s">
        <v>14</v>
      </c>
      <c r="M1515" s="2">
        <v>43172</v>
      </c>
      <c r="N1515" s="1" t="s">
        <v>8</v>
      </c>
      <c r="O1515" s="1" t="s">
        <v>68</v>
      </c>
    </row>
    <row r="1516" spans="1:15" ht="43.2" x14ac:dyDescent="0.3">
      <c r="A1516" s="1" t="s">
        <v>29645</v>
      </c>
      <c r="B1516" s="1" t="str">
        <f>"Benjamin  Allen  Benjamin's Advanced Carpentry Solti"</f>
        <v>Benjamin  Allen  Benjamin's Advanced Carpentry Solti</v>
      </c>
      <c r="C1516" s="1" t="s">
        <v>29646</v>
      </c>
      <c r="F1516" s="1" t="s">
        <v>665</v>
      </c>
      <c r="H1516" s="1" t="s">
        <v>29647</v>
      </c>
      <c r="I1516" s="1" t="s">
        <v>5</v>
      </c>
      <c r="J1516" s="1" t="s">
        <v>6</v>
      </c>
      <c r="K1516" s="1" t="s">
        <v>24</v>
      </c>
      <c r="M1516" s="2">
        <v>43172</v>
      </c>
      <c r="N1516" s="1" t="s">
        <v>8</v>
      </c>
      <c r="O1516" s="2">
        <v>44268</v>
      </c>
    </row>
    <row r="1517" spans="1:15" ht="28.8" x14ac:dyDescent="0.3">
      <c r="A1517" s="1" t="s">
        <v>17937</v>
      </c>
      <c r="B1517" s="1" t="str">
        <f>"ORANGE RECYCLING LTD"</f>
        <v>ORANGE RECYCLING LTD</v>
      </c>
      <c r="C1517" s="1" t="s">
        <v>17938</v>
      </c>
      <c r="F1517" s="1" t="s">
        <v>6637</v>
      </c>
      <c r="H1517" s="1" t="s">
        <v>17939</v>
      </c>
      <c r="I1517" s="1" t="s">
        <v>19</v>
      </c>
      <c r="J1517" s="1" t="s">
        <v>6</v>
      </c>
      <c r="K1517" s="1" t="s">
        <v>1859</v>
      </c>
      <c r="L1517" s="1">
        <v>11248575</v>
      </c>
      <c r="M1517" s="2">
        <v>43171</v>
      </c>
      <c r="N1517" s="1" t="s">
        <v>8</v>
      </c>
      <c r="O1517" s="2">
        <v>44267</v>
      </c>
    </row>
    <row r="1518" spans="1:15" ht="43.2" x14ac:dyDescent="0.3">
      <c r="A1518" s="1" t="s">
        <v>17940</v>
      </c>
      <c r="B1518" s="1" t="str">
        <f>"Total Sound Solutions"</f>
        <v>Total Sound Solutions</v>
      </c>
      <c r="C1518" s="1" t="s">
        <v>17941</v>
      </c>
      <c r="F1518" s="1" t="s">
        <v>32</v>
      </c>
      <c r="H1518" s="1" t="s">
        <v>17942</v>
      </c>
      <c r="I1518" s="1" t="s">
        <v>19</v>
      </c>
      <c r="J1518" s="1" t="s">
        <v>67</v>
      </c>
      <c r="K1518" s="1" t="s">
        <v>14</v>
      </c>
      <c r="M1518" s="2">
        <v>43171</v>
      </c>
      <c r="N1518" s="1" t="s">
        <v>8</v>
      </c>
      <c r="O1518" s="1" t="s">
        <v>68</v>
      </c>
    </row>
    <row r="1519" spans="1:15" ht="28.8" x14ac:dyDescent="0.3">
      <c r="A1519" s="1" t="s">
        <v>17943</v>
      </c>
      <c r="B1519" s="1" t="str">
        <f>"Clydach Construction Ltd"</f>
        <v>Clydach Construction Ltd</v>
      </c>
      <c r="C1519" s="1" t="s">
        <v>17944</v>
      </c>
      <c r="F1519" s="1" t="s">
        <v>64</v>
      </c>
      <c r="H1519" s="1" t="s">
        <v>17945</v>
      </c>
      <c r="I1519" s="1" t="s">
        <v>19</v>
      </c>
      <c r="J1519" s="1" t="s">
        <v>6</v>
      </c>
      <c r="K1519" s="1" t="s">
        <v>24</v>
      </c>
      <c r="L1519" s="1">
        <v>3701959</v>
      </c>
      <c r="M1519" s="2">
        <v>43171</v>
      </c>
      <c r="N1519" s="1" t="s">
        <v>8</v>
      </c>
      <c r="O1519" s="2">
        <v>44267</v>
      </c>
    </row>
    <row r="1520" spans="1:15" ht="28.8" x14ac:dyDescent="0.3">
      <c r="A1520" s="1" t="s">
        <v>17946</v>
      </c>
      <c r="B1520" s="1" t="str">
        <f>"Challis builders limited"</f>
        <v>Challis builders limited</v>
      </c>
      <c r="C1520" s="1" t="s">
        <v>17947</v>
      </c>
      <c r="D1520" s="1" t="s">
        <v>17948</v>
      </c>
      <c r="F1520" s="1" t="s">
        <v>12012</v>
      </c>
      <c r="H1520" s="1" t="s">
        <v>17949</v>
      </c>
      <c r="I1520" s="1" t="s">
        <v>19</v>
      </c>
      <c r="J1520" s="1" t="s">
        <v>6</v>
      </c>
      <c r="K1520" s="1" t="s">
        <v>34</v>
      </c>
      <c r="L1520" s="1">
        <v>6191835</v>
      </c>
      <c r="M1520" s="2">
        <v>43171</v>
      </c>
      <c r="N1520" s="1" t="s">
        <v>8</v>
      </c>
      <c r="O1520" s="2">
        <v>44267</v>
      </c>
    </row>
    <row r="1521" spans="1:15" ht="28.8" x14ac:dyDescent="0.3">
      <c r="A1521" s="1" t="s">
        <v>17950</v>
      </c>
      <c r="B1521" s="1" t="str">
        <f>"Wilday Construction Limited"</f>
        <v>Wilday Construction Limited</v>
      </c>
      <c r="C1521" s="1" t="s">
        <v>17951</v>
      </c>
      <c r="D1521" s="1" t="s">
        <v>17952</v>
      </c>
      <c r="F1521" s="1" t="s">
        <v>4645</v>
      </c>
      <c r="H1521" s="1" t="s">
        <v>10815</v>
      </c>
      <c r="I1521" s="1" t="s">
        <v>19</v>
      </c>
      <c r="J1521" s="1" t="s">
        <v>6</v>
      </c>
      <c r="K1521" s="1" t="s">
        <v>34</v>
      </c>
      <c r="L1521" s="1">
        <v>9899065</v>
      </c>
      <c r="M1521" s="2">
        <v>43171</v>
      </c>
      <c r="N1521" s="1" t="s">
        <v>8</v>
      </c>
      <c r="O1521" s="2">
        <v>44267</v>
      </c>
    </row>
    <row r="1522" spans="1:15" ht="43.2" x14ac:dyDescent="0.3">
      <c r="A1522" s="1" t="s">
        <v>29635</v>
      </c>
      <c r="B1522" s="1" t="str">
        <f>"Edward Jones Jones Construction and Landscapes"</f>
        <v>Edward Jones Jones Construction and Landscapes</v>
      </c>
      <c r="C1522" s="1" t="s">
        <v>29636</v>
      </c>
      <c r="F1522" s="1" t="s">
        <v>380</v>
      </c>
      <c r="H1522" s="1" t="s">
        <v>10974</v>
      </c>
      <c r="I1522" s="1" t="s">
        <v>5</v>
      </c>
      <c r="J1522" s="1" t="s">
        <v>6</v>
      </c>
      <c r="K1522" s="1" t="s">
        <v>24</v>
      </c>
      <c r="M1522" s="2">
        <v>43171</v>
      </c>
      <c r="N1522" s="1" t="s">
        <v>8</v>
      </c>
      <c r="O1522" s="2">
        <v>44267</v>
      </c>
    </row>
    <row r="1523" spans="1:15" ht="43.2" x14ac:dyDescent="0.3">
      <c r="A1523" s="1" t="s">
        <v>29637</v>
      </c>
      <c r="B1523" s="1" t="str">
        <f>"Shane Ewers"</f>
        <v>Shane Ewers</v>
      </c>
      <c r="C1523" s="1" t="s">
        <v>29638</v>
      </c>
      <c r="F1523" s="1" t="s">
        <v>230</v>
      </c>
      <c r="H1523" s="1" t="s">
        <v>29639</v>
      </c>
      <c r="I1523" s="1" t="s">
        <v>5</v>
      </c>
      <c r="J1523" s="1" t="s">
        <v>67</v>
      </c>
      <c r="K1523" s="1" t="s">
        <v>14</v>
      </c>
      <c r="M1523" s="2">
        <v>43171</v>
      </c>
      <c r="N1523" s="1" t="s">
        <v>8</v>
      </c>
      <c r="O1523" s="1" t="s">
        <v>68</v>
      </c>
    </row>
    <row r="1524" spans="1:15" ht="28.8" x14ac:dyDescent="0.3">
      <c r="A1524" s="1" t="s">
        <v>29640</v>
      </c>
      <c r="B1524" s="1" t="str">
        <f>"dean Ripley bespoke building contractors"</f>
        <v>dean Ripley bespoke building contractors</v>
      </c>
      <c r="C1524" s="1" t="s">
        <v>29641</v>
      </c>
      <c r="F1524" s="1" t="s">
        <v>64</v>
      </c>
      <c r="H1524" s="1" t="s">
        <v>8274</v>
      </c>
      <c r="I1524" s="1" t="s">
        <v>5</v>
      </c>
      <c r="J1524" s="1" t="s">
        <v>6</v>
      </c>
      <c r="K1524" s="1" t="s">
        <v>1859</v>
      </c>
      <c r="M1524" s="2">
        <v>43171</v>
      </c>
      <c r="N1524" s="1" t="s">
        <v>8</v>
      </c>
      <c r="O1524" s="2">
        <v>44267</v>
      </c>
    </row>
    <row r="1525" spans="1:15" ht="28.8" x14ac:dyDescent="0.3">
      <c r="A1525" s="1" t="s">
        <v>29642</v>
      </c>
      <c r="B1525" s="1" t="str">
        <f>"Terence  Page T&amp;S Rubbish Removals"</f>
        <v>Terence  Page T&amp;S Rubbish Removals</v>
      </c>
      <c r="C1525" s="1" t="s">
        <v>29643</v>
      </c>
      <c r="F1525" s="1" t="s">
        <v>19501</v>
      </c>
      <c r="H1525" s="1" t="s">
        <v>29644</v>
      </c>
      <c r="I1525" s="1" t="s">
        <v>5</v>
      </c>
      <c r="J1525" s="1" t="s">
        <v>6</v>
      </c>
      <c r="K1525" s="1" t="s">
        <v>24</v>
      </c>
      <c r="M1525" s="2">
        <v>43171</v>
      </c>
      <c r="N1525" s="1" t="s">
        <v>8</v>
      </c>
      <c r="O1525" s="2">
        <v>44267</v>
      </c>
    </row>
    <row r="1526" spans="1:15" ht="43.2" x14ac:dyDescent="0.3">
      <c r="A1526" s="1" t="s">
        <v>29631</v>
      </c>
      <c r="B1526" s="1" t="str">
        <f>"Paul kotkowicz"</f>
        <v>Paul kotkowicz</v>
      </c>
      <c r="C1526" s="1" t="s">
        <v>7067</v>
      </c>
      <c r="D1526" s="1" t="s">
        <v>8869</v>
      </c>
      <c r="F1526" s="1" t="s">
        <v>358</v>
      </c>
      <c r="H1526" s="1" t="s">
        <v>7069</v>
      </c>
      <c r="I1526" s="1" t="s">
        <v>5</v>
      </c>
      <c r="J1526" s="1" t="s">
        <v>67</v>
      </c>
      <c r="K1526" s="1" t="s">
        <v>14</v>
      </c>
      <c r="M1526" s="2">
        <v>43170</v>
      </c>
      <c r="N1526" s="1" t="s">
        <v>8</v>
      </c>
      <c r="O1526" s="1" t="s">
        <v>68</v>
      </c>
    </row>
    <row r="1527" spans="1:15" ht="28.8" x14ac:dyDescent="0.3">
      <c r="A1527" s="1" t="s">
        <v>29632</v>
      </c>
      <c r="B1527" s="1" t="str">
        <f>"Darren Williams Mr shift it"</f>
        <v>Darren Williams Mr shift it</v>
      </c>
      <c r="C1527" s="1" t="s">
        <v>29633</v>
      </c>
      <c r="F1527" s="1" t="s">
        <v>370</v>
      </c>
      <c r="H1527" s="1" t="s">
        <v>29634</v>
      </c>
      <c r="I1527" s="1" t="s">
        <v>5</v>
      </c>
      <c r="J1527" s="1" t="s">
        <v>6</v>
      </c>
      <c r="K1527" s="1" t="s">
        <v>24</v>
      </c>
      <c r="M1527" s="2">
        <v>43170</v>
      </c>
      <c r="N1527" s="1" t="s">
        <v>8</v>
      </c>
      <c r="O1527" s="2">
        <v>44266</v>
      </c>
    </row>
    <row r="1528" spans="1:15" ht="43.2" x14ac:dyDescent="0.3">
      <c r="A1528" s="1" t="s">
        <v>17934</v>
      </c>
      <c r="B1528" s="1" t="str">
        <f>"l-p homecare"</f>
        <v>l-p homecare</v>
      </c>
      <c r="C1528" s="1" t="s">
        <v>17935</v>
      </c>
      <c r="F1528" s="1" t="s">
        <v>1093</v>
      </c>
      <c r="H1528" s="1" t="s">
        <v>17936</v>
      </c>
      <c r="I1528" s="1" t="s">
        <v>125</v>
      </c>
      <c r="J1528" s="1" t="s">
        <v>67</v>
      </c>
      <c r="K1528" s="1" t="s">
        <v>14</v>
      </c>
      <c r="M1528" s="2">
        <v>43169</v>
      </c>
      <c r="N1528" s="1" t="s">
        <v>8</v>
      </c>
      <c r="O1528" s="1" t="s">
        <v>68</v>
      </c>
    </row>
    <row r="1529" spans="1:15" ht="28.8" x14ac:dyDescent="0.3">
      <c r="A1529" s="1" t="s">
        <v>29626</v>
      </c>
      <c r="B1529" s="1" t="str">
        <f>"wayne hodgins HODGE MUNICIPAL SERVICES"</f>
        <v>wayne hodgins HODGE MUNICIPAL SERVICES</v>
      </c>
      <c r="C1529" s="1" t="s">
        <v>29627</v>
      </c>
      <c r="D1529" s="1" t="s">
        <v>29628</v>
      </c>
      <c r="F1529" s="1" t="s">
        <v>29629</v>
      </c>
      <c r="H1529" s="1" t="s">
        <v>29630</v>
      </c>
      <c r="I1529" s="1" t="s">
        <v>5</v>
      </c>
      <c r="J1529" s="1" t="s">
        <v>6</v>
      </c>
      <c r="K1529" s="1" t="s">
        <v>24</v>
      </c>
      <c r="M1529" s="2">
        <v>43169</v>
      </c>
      <c r="N1529" s="1" t="s">
        <v>8</v>
      </c>
      <c r="O1529" s="2">
        <v>44265</v>
      </c>
    </row>
    <row r="1530" spans="1:15" ht="28.8" x14ac:dyDescent="0.3">
      <c r="A1530" s="1" t="s">
        <v>17926</v>
      </c>
      <c r="B1530" s="1" t="str">
        <f>"Steve Pryce Transport Limited"</f>
        <v>Steve Pryce Transport Limited</v>
      </c>
      <c r="C1530" s="1" t="s">
        <v>17927</v>
      </c>
      <c r="F1530" s="1" t="s">
        <v>3465</v>
      </c>
      <c r="H1530" s="1" t="s">
        <v>17928</v>
      </c>
      <c r="I1530" s="1" t="s">
        <v>19</v>
      </c>
      <c r="J1530" s="1" t="s">
        <v>6</v>
      </c>
      <c r="K1530" s="1" t="s">
        <v>24</v>
      </c>
      <c r="L1530" s="1">
        <v>10278965</v>
      </c>
      <c r="M1530" s="2">
        <v>43167</v>
      </c>
      <c r="N1530" s="1" t="s">
        <v>8</v>
      </c>
      <c r="O1530" s="2">
        <v>44263</v>
      </c>
    </row>
    <row r="1531" spans="1:15" ht="43.2" x14ac:dyDescent="0.3">
      <c r="A1531" s="1" t="s">
        <v>17929</v>
      </c>
      <c r="B1531" s="1" t="str">
        <f>"Shaw Environmental Services LTD"</f>
        <v>Shaw Environmental Services LTD</v>
      </c>
      <c r="C1531" s="1" t="s">
        <v>17930</v>
      </c>
      <c r="F1531" s="1" t="s">
        <v>123</v>
      </c>
      <c r="H1531" s="1" t="s">
        <v>3488</v>
      </c>
      <c r="I1531" s="1" t="s">
        <v>19</v>
      </c>
      <c r="J1531" s="1" t="s">
        <v>6</v>
      </c>
      <c r="K1531" s="1" t="s">
        <v>34</v>
      </c>
      <c r="L1531" s="1">
        <v>11145606</v>
      </c>
      <c r="M1531" s="2">
        <v>43167</v>
      </c>
      <c r="N1531" s="1" t="s">
        <v>8</v>
      </c>
      <c r="O1531" s="2">
        <v>44263</v>
      </c>
    </row>
    <row r="1532" spans="1:15" ht="28.8" x14ac:dyDescent="0.3">
      <c r="A1532" s="1" t="s">
        <v>17931</v>
      </c>
      <c r="B1532" s="1" t="str">
        <f>"Woodbin Community Wood Recycling Lt"</f>
        <v>Woodbin Community Wood Recycling Lt</v>
      </c>
      <c r="C1532" s="1" t="s">
        <v>17932</v>
      </c>
      <c r="D1532" s="1" t="s">
        <v>11513</v>
      </c>
      <c r="F1532" s="1" t="s">
        <v>64</v>
      </c>
      <c r="H1532" s="1" t="s">
        <v>17933</v>
      </c>
      <c r="I1532" s="1" t="s">
        <v>19</v>
      </c>
      <c r="J1532" s="1" t="s">
        <v>6</v>
      </c>
      <c r="K1532" s="1" t="s">
        <v>24</v>
      </c>
      <c r="L1532" s="1">
        <v>11218417</v>
      </c>
      <c r="M1532" s="2">
        <v>43167</v>
      </c>
      <c r="N1532" s="1" t="s">
        <v>8</v>
      </c>
      <c r="O1532" s="2">
        <v>44263</v>
      </c>
    </row>
    <row r="1533" spans="1:15" ht="28.8" x14ac:dyDescent="0.3">
      <c r="A1533" s="1" t="s">
        <v>28873</v>
      </c>
      <c r="B1533" s="1" t="str">
        <f>"Sarah Griffiths"</f>
        <v>Sarah Griffiths</v>
      </c>
      <c r="C1533" s="1" t="s">
        <v>28874</v>
      </c>
      <c r="F1533" s="1" t="s">
        <v>161</v>
      </c>
      <c r="H1533" s="1" t="s">
        <v>28875</v>
      </c>
      <c r="I1533" s="1" t="s">
        <v>5</v>
      </c>
      <c r="J1533" s="1" t="s">
        <v>6</v>
      </c>
      <c r="K1533" s="1" t="s">
        <v>34</v>
      </c>
      <c r="M1533" s="2">
        <v>43167</v>
      </c>
      <c r="N1533" s="1" t="s">
        <v>8</v>
      </c>
      <c r="O1533" s="2">
        <v>44263</v>
      </c>
    </row>
    <row r="1534" spans="1:15" ht="43.2" x14ac:dyDescent="0.3">
      <c r="A1534" s="1" t="s">
        <v>16889</v>
      </c>
      <c r="B1534" s="1" t="str">
        <f>"Archies recovery"</f>
        <v>Archies recovery</v>
      </c>
      <c r="C1534" s="1" t="s">
        <v>16890</v>
      </c>
      <c r="D1534" s="1" t="s">
        <v>16891</v>
      </c>
      <c r="F1534" s="1" t="s">
        <v>16892</v>
      </c>
      <c r="H1534" s="1" t="s">
        <v>16893</v>
      </c>
      <c r="I1534" s="1" t="s">
        <v>188</v>
      </c>
      <c r="J1534" s="1" t="s">
        <v>67</v>
      </c>
      <c r="K1534" s="1" t="s">
        <v>14</v>
      </c>
      <c r="M1534" s="2">
        <v>43166</v>
      </c>
      <c r="N1534" s="1" t="s">
        <v>8</v>
      </c>
      <c r="O1534" s="1" t="s">
        <v>68</v>
      </c>
    </row>
    <row r="1535" spans="1:15" ht="43.2" x14ac:dyDescent="0.3">
      <c r="A1535" s="1" t="s">
        <v>16894</v>
      </c>
      <c r="B1535" s="1" t="str">
        <f>"Cavanagh Lyminge Ltd"</f>
        <v>Cavanagh Lyminge Ltd</v>
      </c>
      <c r="C1535" s="1" t="s">
        <v>16895</v>
      </c>
      <c r="F1535" s="1" t="s">
        <v>4279</v>
      </c>
      <c r="H1535" s="1" t="s">
        <v>16896</v>
      </c>
      <c r="I1535" s="1" t="s">
        <v>19</v>
      </c>
      <c r="J1535" s="1" t="s">
        <v>67</v>
      </c>
      <c r="K1535" s="1" t="s">
        <v>14</v>
      </c>
      <c r="M1535" s="2">
        <v>43166</v>
      </c>
      <c r="N1535" s="1" t="s">
        <v>8</v>
      </c>
      <c r="O1535" s="1" t="s">
        <v>68</v>
      </c>
    </row>
    <row r="1536" spans="1:15" ht="28.8" x14ac:dyDescent="0.3">
      <c r="A1536" s="1" t="s">
        <v>16897</v>
      </c>
      <c r="B1536" s="1" t="str">
        <f>"C &amp; S ALUMINIUM WINDOWS LIMITED"</f>
        <v>C &amp; S ALUMINIUM WINDOWS LIMITED</v>
      </c>
      <c r="C1536" s="1" t="s">
        <v>16898</v>
      </c>
      <c r="F1536" s="1" t="s">
        <v>1479</v>
      </c>
      <c r="H1536" s="1" t="s">
        <v>16899</v>
      </c>
      <c r="I1536" s="1" t="s">
        <v>19</v>
      </c>
      <c r="J1536" s="1" t="s">
        <v>6</v>
      </c>
      <c r="K1536" s="1" t="s">
        <v>24</v>
      </c>
      <c r="L1536" s="1">
        <v>1584724</v>
      </c>
      <c r="M1536" s="2">
        <v>43166</v>
      </c>
      <c r="N1536" s="1" t="s">
        <v>8</v>
      </c>
      <c r="O1536" s="2">
        <v>44262</v>
      </c>
    </row>
    <row r="1537" spans="1:15" ht="43.2" x14ac:dyDescent="0.3">
      <c r="A1537" s="1" t="s">
        <v>16900</v>
      </c>
      <c r="B1537" s="1" t="str">
        <f>"LESLIE A. PARSONS &amp; SONS (BURRY PORT) LTD"</f>
        <v>LESLIE A. PARSONS &amp; SONS (BURRY PORT) LTD</v>
      </c>
      <c r="C1537" s="1" t="s">
        <v>16901</v>
      </c>
      <c r="F1537" s="1" t="s">
        <v>354</v>
      </c>
      <c r="H1537" s="1" t="s">
        <v>16902</v>
      </c>
      <c r="I1537" s="1" t="s">
        <v>19</v>
      </c>
      <c r="J1537" s="1" t="s">
        <v>6</v>
      </c>
      <c r="K1537" s="1" t="s">
        <v>24</v>
      </c>
      <c r="L1537" s="1">
        <v>1321660</v>
      </c>
      <c r="M1537" s="2">
        <v>43166</v>
      </c>
      <c r="N1537" s="1" t="s">
        <v>8</v>
      </c>
      <c r="O1537" s="2">
        <v>44262</v>
      </c>
    </row>
    <row r="1538" spans="1:15" ht="43.2" x14ac:dyDescent="0.3">
      <c r="A1538" s="1" t="s">
        <v>28864</v>
      </c>
      <c r="B1538" s="1" t="str">
        <f>"Kimberley  Wilkes"</f>
        <v>Kimberley  Wilkes</v>
      </c>
      <c r="C1538" s="1" t="s">
        <v>28865</v>
      </c>
      <c r="F1538" s="1" t="s">
        <v>1021</v>
      </c>
      <c r="H1538" s="1" t="s">
        <v>28866</v>
      </c>
      <c r="I1538" s="1" t="s">
        <v>5</v>
      </c>
      <c r="J1538" s="1" t="s">
        <v>67</v>
      </c>
      <c r="K1538" s="1" t="s">
        <v>14</v>
      </c>
      <c r="M1538" s="2">
        <v>43166</v>
      </c>
      <c r="N1538" s="1" t="s">
        <v>8</v>
      </c>
      <c r="O1538" s="1" t="s">
        <v>68</v>
      </c>
    </row>
    <row r="1539" spans="1:15" ht="28.8" x14ac:dyDescent="0.3">
      <c r="A1539" s="1" t="s">
        <v>28867</v>
      </c>
      <c r="B1539" s="1" t="str">
        <f>"Steven Abrams Abrams Carpentry"</f>
        <v>Steven Abrams Abrams Carpentry</v>
      </c>
      <c r="C1539" s="1" t="s">
        <v>28868</v>
      </c>
      <c r="F1539" s="1" t="s">
        <v>56</v>
      </c>
      <c r="H1539" s="1" t="s">
        <v>28869</v>
      </c>
      <c r="I1539" s="1" t="s">
        <v>5</v>
      </c>
      <c r="J1539" s="1" t="s">
        <v>6</v>
      </c>
      <c r="K1539" s="1" t="s">
        <v>24</v>
      </c>
      <c r="M1539" s="2">
        <v>43166</v>
      </c>
      <c r="N1539" s="1" t="s">
        <v>8</v>
      </c>
      <c r="O1539" s="2">
        <v>44262</v>
      </c>
    </row>
    <row r="1540" spans="1:15" ht="43.2" x14ac:dyDescent="0.3">
      <c r="A1540" s="1" t="s">
        <v>28870</v>
      </c>
      <c r="B1540" s="1" t="str">
        <f>"Aranwen Brown"</f>
        <v>Aranwen Brown</v>
      </c>
      <c r="C1540" s="1" t="s">
        <v>28871</v>
      </c>
      <c r="F1540" s="1" t="s">
        <v>354</v>
      </c>
      <c r="H1540" s="1" t="s">
        <v>28872</v>
      </c>
      <c r="I1540" s="1" t="s">
        <v>5</v>
      </c>
      <c r="J1540" s="1" t="s">
        <v>67</v>
      </c>
      <c r="K1540" s="1" t="s">
        <v>14</v>
      </c>
      <c r="M1540" s="2">
        <v>43166</v>
      </c>
      <c r="N1540" s="1" t="s">
        <v>8</v>
      </c>
      <c r="O1540" s="1" t="s">
        <v>68</v>
      </c>
    </row>
    <row r="1541" spans="1:15" ht="28.8" x14ac:dyDescent="0.3">
      <c r="A1541" s="1" t="s">
        <v>15924</v>
      </c>
      <c r="B1541" s="1" t="str">
        <f>"DOUBLESCALE LTD"</f>
        <v>DOUBLESCALE LTD</v>
      </c>
      <c r="C1541" s="1" t="s">
        <v>15925</v>
      </c>
      <c r="F1541" s="1" t="s">
        <v>665</v>
      </c>
      <c r="H1541" s="1" t="s">
        <v>15926</v>
      </c>
      <c r="I1541" s="1" t="s">
        <v>19</v>
      </c>
      <c r="J1541" s="1" t="s">
        <v>6</v>
      </c>
      <c r="K1541" s="1" t="s">
        <v>24</v>
      </c>
      <c r="L1541" s="1">
        <v>1647895</v>
      </c>
      <c r="M1541" s="2">
        <v>43165</v>
      </c>
      <c r="N1541" s="1" t="s">
        <v>8</v>
      </c>
      <c r="O1541" s="2">
        <v>44261</v>
      </c>
    </row>
    <row r="1542" spans="1:15" ht="28.8" x14ac:dyDescent="0.3">
      <c r="A1542" s="1" t="s">
        <v>15927</v>
      </c>
      <c r="B1542" s="1" t="str">
        <f>"Ty Carreg Developments LTD"</f>
        <v>Ty Carreg Developments LTD</v>
      </c>
      <c r="C1542" s="1" t="s">
        <v>15928</v>
      </c>
      <c r="D1542" s="1" t="s">
        <v>9807</v>
      </c>
      <c r="F1542" s="1" t="s">
        <v>64</v>
      </c>
      <c r="H1542" s="1" t="s">
        <v>15929</v>
      </c>
      <c r="I1542" s="1" t="s">
        <v>19</v>
      </c>
      <c r="J1542" s="1" t="s">
        <v>6</v>
      </c>
      <c r="K1542" s="1" t="s">
        <v>24</v>
      </c>
      <c r="L1542" s="1">
        <v>10975202</v>
      </c>
      <c r="M1542" s="2">
        <v>43165</v>
      </c>
      <c r="N1542" s="1" t="s">
        <v>8</v>
      </c>
      <c r="O1542" s="2">
        <v>44261</v>
      </c>
    </row>
    <row r="1543" spans="1:15" ht="28.8" x14ac:dyDescent="0.3">
      <c r="A1543" s="1" t="s">
        <v>15930</v>
      </c>
      <c r="B1543" s="1" t="str">
        <f>"Tai Calon Community Housing Ltd"</f>
        <v>Tai Calon Community Housing Ltd</v>
      </c>
      <c r="C1543" s="1" t="s">
        <v>15931</v>
      </c>
      <c r="D1543" s="1" t="s">
        <v>15932</v>
      </c>
      <c r="F1543" s="1" t="s">
        <v>10122</v>
      </c>
      <c r="H1543" s="1" t="s">
        <v>15933</v>
      </c>
      <c r="I1543" s="1" t="s">
        <v>188</v>
      </c>
      <c r="J1543" s="1" t="s">
        <v>6</v>
      </c>
      <c r="K1543" s="1" t="s">
        <v>34</v>
      </c>
      <c r="L1543" s="1" t="s">
        <v>15934</v>
      </c>
      <c r="M1543" s="2">
        <v>43165</v>
      </c>
      <c r="N1543" s="1" t="s">
        <v>8</v>
      </c>
      <c r="O1543" s="2">
        <v>44260</v>
      </c>
    </row>
    <row r="1544" spans="1:15" ht="43.2" x14ac:dyDescent="0.3">
      <c r="A1544" s="1" t="s">
        <v>28071</v>
      </c>
      <c r="B1544" s="1" t="str">
        <f>"Stuart Williams"</f>
        <v>Stuart Williams</v>
      </c>
      <c r="C1544" s="1" t="s">
        <v>28072</v>
      </c>
      <c r="F1544" s="1" t="s">
        <v>3242</v>
      </c>
      <c r="H1544" s="1" t="s">
        <v>16975</v>
      </c>
      <c r="I1544" s="1" t="s">
        <v>5</v>
      </c>
      <c r="J1544" s="1" t="s">
        <v>67</v>
      </c>
      <c r="K1544" s="1" t="s">
        <v>14</v>
      </c>
      <c r="M1544" s="2">
        <v>43165</v>
      </c>
      <c r="N1544" s="1" t="s">
        <v>8</v>
      </c>
      <c r="O1544" s="1" t="s">
        <v>68</v>
      </c>
    </row>
    <row r="1545" spans="1:15" ht="43.2" x14ac:dyDescent="0.3">
      <c r="A1545" s="1" t="s">
        <v>14956</v>
      </c>
      <c r="B1545" s="1" t="str">
        <f>"Handy man"</f>
        <v>Handy man</v>
      </c>
      <c r="C1545" s="1" t="s">
        <v>14957</v>
      </c>
      <c r="F1545" s="1" t="s">
        <v>214</v>
      </c>
      <c r="H1545" s="1" t="s">
        <v>14958</v>
      </c>
      <c r="I1545" s="1" t="s">
        <v>188</v>
      </c>
      <c r="J1545" s="1" t="s">
        <v>67</v>
      </c>
      <c r="K1545" s="1" t="s">
        <v>14</v>
      </c>
      <c r="M1545" s="2">
        <v>43164</v>
      </c>
      <c r="N1545" s="1" t="s">
        <v>8</v>
      </c>
      <c r="O1545" s="1" t="s">
        <v>68</v>
      </c>
    </row>
    <row r="1546" spans="1:15" ht="28.8" x14ac:dyDescent="0.3">
      <c r="A1546" s="1" t="s">
        <v>15910</v>
      </c>
      <c r="B1546" s="1" t="str">
        <f>"White Waste Clearance Limited"</f>
        <v>White Waste Clearance Limited</v>
      </c>
      <c r="C1546" s="1" t="s">
        <v>15911</v>
      </c>
      <c r="F1546" s="1" t="s">
        <v>7375</v>
      </c>
      <c r="H1546" s="1" t="s">
        <v>15912</v>
      </c>
      <c r="I1546" s="1" t="s">
        <v>19</v>
      </c>
      <c r="J1546" s="1" t="s">
        <v>6</v>
      </c>
      <c r="K1546" s="1" t="s">
        <v>24</v>
      </c>
      <c r="L1546" s="1">
        <v>8046497</v>
      </c>
      <c r="M1546" s="2">
        <v>43164</v>
      </c>
      <c r="N1546" s="1" t="s">
        <v>8</v>
      </c>
      <c r="O1546" s="2">
        <v>44260</v>
      </c>
    </row>
    <row r="1547" spans="1:15" ht="28.8" x14ac:dyDescent="0.3">
      <c r="A1547" s="1" t="s">
        <v>15913</v>
      </c>
      <c r="B1547" s="1" t="str">
        <f>"Bryndderwen Farm Partnership"</f>
        <v>Bryndderwen Farm Partnership</v>
      </c>
      <c r="C1547" s="1" t="s">
        <v>15914</v>
      </c>
      <c r="F1547" s="1" t="s">
        <v>15734</v>
      </c>
      <c r="H1547" s="1" t="s">
        <v>15915</v>
      </c>
      <c r="I1547" s="1" t="s">
        <v>125</v>
      </c>
      <c r="J1547" s="1" t="s">
        <v>6</v>
      </c>
      <c r="K1547" s="1" t="s">
        <v>24</v>
      </c>
      <c r="M1547" s="2">
        <v>43164</v>
      </c>
      <c r="N1547" s="1" t="s">
        <v>8</v>
      </c>
      <c r="O1547" s="2">
        <v>44260</v>
      </c>
    </row>
    <row r="1548" spans="1:15" ht="43.2" x14ac:dyDescent="0.3">
      <c r="A1548" s="1" t="s">
        <v>15916</v>
      </c>
      <c r="B1548" s="1" t="str">
        <f>"Interlec Systems (NEWPORT) LTD"</f>
        <v>Interlec Systems (NEWPORT) LTD</v>
      </c>
      <c r="C1548" s="1" t="s">
        <v>8051</v>
      </c>
      <c r="F1548" s="1" t="s">
        <v>156</v>
      </c>
      <c r="H1548" s="1" t="s">
        <v>892</v>
      </c>
      <c r="I1548" s="1" t="s">
        <v>19</v>
      </c>
      <c r="J1548" s="1" t="s">
        <v>67</v>
      </c>
      <c r="K1548" s="1" t="s">
        <v>14</v>
      </c>
      <c r="M1548" s="2">
        <v>43164</v>
      </c>
      <c r="N1548" s="1" t="s">
        <v>8</v>
      </c>
      <c r="O1548" s="1" t="s">
        <v>68</v>
      </c>
    </row>
    <row r="1549" spans="1:15" ht="28.8" x14ac:dyDescent="0.3">
      <c r="A1549" s="1" t="s">
        <v>15917</v>
      </c>
      <c r="B1549" s="1" t="str">
        <f>"PJ Extractions Wales"</f>
        <v>PJ Extractions Wales</v>
      </c>
      <c r="C1549" s="1" t="s">
        <v>15918</v>
      </c>
      <c r="D1549" s="1" t="s">
        <v>4980</v>
      </c>
      <c r="F1549" s="1" t="s">
        <v>767</v>
      </c>
      <c r="H1549" s="1" t="s">
        <v>15919</v>
      </c>
      <c r="I1549" s="1" t="s">
        <v>19</v>
      </c>
      <c r="J1549" s="1" t="s">
        <v>6</v>
      </c>
      <c r="K1549" s="1" t="s">
        <v>24</v>
      </c>
      <c r="L1549" s="1">
        <v>9080661</v>
      </c>
      <c r="M1549" s="2">
        <v>43164</v>
      </c>
      <c r="N1549" s="1" t="s">
        <v>8</v>
      </c>
      <c r="O1549" s="2">
        <v>44260</v>
      </c>
    </row>
    <row r="1550" spans="1:15" ht="43.2" x14ac:dyDescent="0.3">
      <c r="A1550" s="1" t="s">
        <v>15920</v>
      </c>
      <c r="B1550" s="1" t="str">
        <f>"Gordon Doyle haulage Ltd "</f>
        <v xml:space="preserve">Gordon Doyle haulage Ltd </v>
      </c>
      <c r="C1550" s="1" t="s">
        <v>15921</v>
      </c>
      <c r="F1550" s="1" t="s">
        <v>15922</v>
      </c>
      <c r="H1550" s="1" t="s">
        <v>15923</v>
      </c>
      <c r="I1550" s="1" t="s">
        <v>19</v>
      </c>
      <c r="J1550" s="1" t="s">
        <v>67</v>
      </c>
      <c r="K1550" s="1" t="s">
        <v>14</v>
      </c>
      <c r="M1550" s="2">
        <v>43164</v>
      </c>
      <c r="N1550" s="1" t="s">
        <v>8</v>
      </c>
      <c r="O1550" s="1" t="s">
        <v>68</v>
      </c>
    </row>
    <row r="1551" spans="1:15" ht="28.8" x14ac:dyDescent="0.3">
      <c r="A1551" s="1" t="s">
        <v>28063</v>
      </c>
      <c r="B1551" s="1" t="str">
        <f>"Anthony Owens Top Plant Construction"</f>
        <v>Anthony Owens Top Plant Construction</v>
      </c>
      <c r="C1551" s="1" t="s">
        <v>28064</v>
      </c>
      <c r="D1551" s="1" t="s">
        <v>28065</v>
      </c>
      <c r="F1551" s="1" t="s">
        <v>32</v>
      </c>
      <c r="H1551" s="1" t="s">
        <v>28066</v>
      </c>
      <c r="I1551" s="1" t="s">
        <v>5</v>
      </c>
      <c r="J1551" s="1" t="s">
        <v>6</v>
      </c>
      <c r="K1551" s="1" t="s">
        <v>34</v>
      </c>
      <c r="M1551" s="2">
        <v>43164</v>
      </c>
      <c r="N1551" s="1" t="s">
        <v>8</v>
      </c>
      <c r="O1551" s="2">
        <v>44260</v>
      </c>
    </row>
    <row r="1552" spans="1:15" ht="28.8" x14ac:dyDescent="0.3">
      <c r="A1552" s="1" t="s">
        <v>28067</v>
      </c>
      <c r="B1552" s="1" t="str">
        <f>"Andrew Morbey ASM group ltd"</f>
        <v>Andrew Morbey ASM group ltd</v>
      </c>
      <c r="C1552" s="1" t="s">
        <v>28068</v>
      </c>
      <c r="D1552" s="1" t="s">
        <v>15462</v>
      </c>
      <c r="F1552" s="1" t="s">
        <v>28069</v>
      </c>
      <c r="H1552" s="1" t="s">
        <v>28070</v>
      </c>
      <c r="I1552" s="1" t="s">
        <v>5</v>
      </c>
      <c r="J1552" s="1" t="s">
        <v>6</v>
      </c>
      <c r="K1552" s="1" t="s">
        <v>34</v>
      </c>
      <c r="M1552" s="2">
        <v>43164</v>
      </c>
      <c r="N1552" s="1" t="s">
        <v>8</v>
      </c>
      <c r="O1552" s="2">
        <v>44260</v>
      </c>
    </row>
    <row r="1553" spans="1:15" ht="43.2" x14ac:dyDescent="0.3">
      <c r="A1553" s="1" t="s">
        <v>27265</v>
      </c>
      <c r="B1553" s="1" t="str">
        <f>"Carl Thomas"</f>
        <v>Carl Thomas</v>
      </c>
      <c r="C1553" s="1" t="s">
        <v>27266</v>
      </c>
      <c r="F1553" s="1" t="s">
        <v>42</v>
      </c>
      <c r="H1553" s="1" t="s">
        <v>27267</v>
      </c>
      <c r="I1553" s="1" t="s">
        <v>5</v>
      </c>
      <c r="J1553" s="1" t="s">
        <v>67</v>
      </c>
      <c r="K1553" s="1" t="s">
        <v>14</v>
      </c>
      <c r="M1553" s="2">
        <v>43163</v>
      </c>
      <c r="N1553" s="1" t="s">
        <v>8</v>
      </c>
      <c r="O1553" s="1" t="s">
        <v>68</v>
      </c>
    </row>
    <row r="1554" spans="1:15" ht="28.8" x14ac:dyDescent="0.3">
      <c r="A1554" s="1" t="s">
        <v>27268</v>
      </c>
      <c r="B1554" s="1" t="str">
        <f>"Ryan Roberts Roberts and Son"</f>
        <v>Ryan Roberts Roberts and Son</v>
      </c>
      <c r="C1554" s="1" t="s">
        <v>900</v>
      </c>
      <c r="F1554" s="1" t="s">
        <v>42</v>
      </c>
      <c r="H1554" s="1" t="s">
        <v>901</v>
      </c>
      <c r="I1554" s="1" t="s">
        <v>5</v>
      </c>
      <c r="J1554" s="1" t="s">
        <v>6</v>
      </c>
      <c r="K1554" s="1" t="s">
        <v>24</v>
      </c>
      <c r="M1554" s="2">
        <v>43163</v>
      </c>
      <c r="N1554" s="1" t="s">
        <v>8</v>
      </c>
      <c r="O1554" s="2">
        <v>44259</v>
      </c>
    </row>
    <row r="1555" spans="1:15" ht="43.2" x14ac:dyDescent="0.3">
      <c r="A1555" s="1" t="s">
        <v>27263</v>
      </c>
      <c r="B1555" s="1" t="str">
        <f>"Robert Baljak"</f>
        <v>Robert Baljak</v>
      </c>
      <c r="C1555" s="1" t="s">
        <v>27264</v>
      </c>
      <c r="F1555" s="1" t="s">
        <v>64</v>
      </c>
      <c r="H1555" s="1" t="s">
        <v>27230</v>
      </c>
      <c r="I1555" s="1" t="s">
        <v>5</v>
      </c>
      <c r="J1555" s="1" t="s">
        <v>67</v>
      </c>
      <c r="K1555" s="1" t="s">
        <v>14</v>
      </c>
      <c r="M1555" s="2">
        <v>43162</v>
      </c>
      <c r="N1555" s="1" t="s">
        <v>8</v>
      </c>
      <c r="O1555" s="1" t="s">
        <v>68</v>
      </c>
    </row>
    <row r="1556" spans="1:15" ht="43.2" x14ac:dyDescent="0.3">
      <c r="A1556" s="1" t="s">
        <v>14953</v>
      </c>
      <c r="B1556" s="1" t="str">
        <f>"SIMS"</f>
        <v>SIMS</v>
      </c>
      <c r="C1556" s="1" t="s">
        <v>14954</v>
      </c>
      <c r="F1556" s="1" t="s">
        <v>170</v>
      </c>
      <c r="H1556" s="1" t="s">
        <v>14955</v>
      </c>
      <c r="I1556" s="1" t="s">
        <v>19</v>
      </c>
      <c r="J1556" s="1" t="s">
        <v>67</v>
      </c>
      <c r="K1556" s="1" t="s">
        <v>14</v>
      </c>
      <c r="M1556" s="2">
        <v>43161</v>
      </c>
      <c r="N1556" s="1" t="s">
        <v>8</v>
      </c>
      <c r="O1556" s="1" t="s">
        <v>68</v>
      </c>
    </row>
    <row r="1557" spans="1:15" ht="28.8" x14ac:dyDescent="0.3">
      <c r="A1557" s="1" t="s">
        <v>27254</v>
      </c>
      <c r="B1557" s="1" t="str">
        <f>"Jamie Moore Moore than removals "</f>
        <v xml:space="preserve">Jamie Moore Moore than removals </v>
      </c>
      <c r="C1557" s="1" t="s">
        <v>27255</v>
      </c>
      <c r="F1557" s="1" t="s">
        <v>64</v>
      </c>
      <c r="H1557" s="1" t="s">
        <v>27256</v>
      </c>
      <c r="I1557" s="1" t="s">
        <v>5</v>
      </c>
      <c r="J1557" s="1" t="s">
        <v>6</v>
      </c>
      <c r="K1557" s="1" t="s">
        <v>34</v>
      </c>
      <c r="M1557" s="2">
        <v>43161</v>
      </c>
      <c r="N1557" s="1" t="s">
        <v>8</v>
      </c>
      <c r="O1557" s="2">
        <v>44257</v>
      </c>
    </row>
    <row r="1558" spans="1:15" ht="28.8" x14ac:dyDescent="0.3">
      <c r="A1558" s="1" t="s">
        <v>27257</v>
      </c>
      <c r="B1558" s="1" t="str">
        <f>"CARL JONES MR CARL JONES"</f>
        <v>CARL JONES MR CARL JONES</v>
      </c>
      <c r="C1558" s="1" t="s">
        <v>27258</v>
      </c>
      <c r="D1558" s="1" t="s">
        <v>14738</v>
      </c>
      <c r="F1558" s="1" t="s">
        <v>922</v>
      </c>
      <c r="H1558" s="1" t="s">
        <v>27259</v>
      </c>
      <c r="I1558" s="1" t="s">
        <v>5</v>
      </c>
      <c r="J1558" s="1" t="s">
        <v>6</v>
      </c>
      <c r="K1558" s="1" t="s">
        <v>24</v>
      </c>
      <c r="M1558" s="2">
        <v>43161</v>
      </c>
      <c r="N1558" s="1" t="s">
        <v>8</v>
      </c>
      <c r="O1558" s="2">
        <v>44257</v>
      </c>
    </row>
    <row r="1559" spans="1:15" ht="28.8" x14ac:dyDescent="0.3">
      <c r="A1559" s="1" t="s">
        <v>27260</v>
      </c>
      <c r="B1559" s="1" t="str">
        <f>"MEURIG DAVIES TERRY'S AUTO REPAIRS"</f>
        <v>MEURIG DAVIES TERRY'S AUTO REPAIRS</v>
      </c>
      <c r="C1559" s="1" t="s">
        <v>27261</v>
      </c>
      <c r="F1559" s="1" t="s">
        <v>532</v>
      </c>
      <c r="H1559" s="1" t="s">
        <v>27262</v>
      </c>
      <c r="I1559" s="1" t="s">
        <v>5</v>
      </c>
      <c r="J1559" s="1" t="s">
        <v>6</v>
      </c>
      <c r="K1559" s="1" t="s">
        <v>24</v>
      </c>
      <c r="M1559" s="2">
        <v>43161</v>
      </c>
      <c r="N1559" s="1" t="s">
        <v>8</v>
      </c>
      <c r="O1559" s="2">
        <v>44257</v>
      </c>
    </row>
    <row r="1560" spans="1:15" ht="28.8" x14ac:dyDescent="0.3">
      <c r="A1560" s="1" t="s">
        <v>14950</v>
      </c>
      <c r="B1560" s="1" t="str">
        <f>"DARJEN CONTRACTORS LTD"</f>
        <v>DARJEN CONTRACTORS LTD</v>
      </c>
      <c r="C1560" s="1" t="s">
        <v>14951</v>
      </c>
      <c r="F1560" s="1" t="s">
        <v>22</v>
      </c>
      <c r="H1560" s="1" t="s">
        <v>14952</v>
      </c>
      <c r="I1560" s="1" t="s">
        <v>19</v>
      </c>
      <c r="J1560" s="1" t="s">
        <v>6</v>
      </c>
      <c r="K1560" s="1" t="s">
        <v>34</v>
      </c>
      <c r="L1560" s="1">
        <v>10360573</v>
      </c>
      <c r="M1560" s="2">
        <v>43160</v>
      </c>
      <c r="N1560" s="1" t="s">
        <v>8</v>
      </c>
      <c r="O1560" s="2">
        <v>44256</v>
      </c>
    </row>
    <row r="1561" spans="1:15" ht="28.8" x14ac:dyDescent="0.3">
      <c r="A1561" s="1" t="s">
        <v>14089</v>
      </c>
      <c r="B1561" s="1" t="str">
        <f>"AER CYMRU CYF"</f>
        <v>AER CYMRU CYF</v>
      </c>
      <c r="C1561" s="1" t="s">
        <v>14090</v>
      </c>
      <c r="F1561" s="1" t="s">
        <v>4033</v>
      </c>
      <c r="H1561" s="1" t="s">
        <v>14091</v>
      </c>
      <c r="I1561" s="1" t="s">
        <v>19</v>
      </c>
      <c r="J1561" s="1" t="s">
        <v>6</v>
      </c>
      <c r="K1561" s="1" t="s">
        <v>34</v>
      </c>
      <c r="L1561" s="1">
        <v>5271784</v>
      </c>
      <c r="M1561" s="2">
        <v>43159</v>
      </c>
      <c r="N1561" s="1" t="s">
        <v>8</v>
      </c>
      <c r="O1561" s="2">
        <v>44255</v>
      </c>
    </row>
    <row r="1562" spans="1:15" ht="43.2" x14ac:dyDescent="0.3">
      <c r="A1562" s="1" t="s">
        <v>14092</v>
      </c>
      <c r="B1562" s="1" t="str">
        <f>"ADVANCED SATELLITE SOLUTIONS LIMITED"</f>
        <v>ADVANCED SATELLITE SOLUTIONS LIMITED</v>
      </c>
      <c r="C1562" s="1" t="s">
        <v>812</v>
      </c>
      <c r="F1562" s="1" t="s">
        <v>156</v>
      </c>
      <c r="H1562" s="1" t="s">
        <v>813</v>
      </c>
      <c r="I1562" s="1" t="s">
        <v>19</v>
      </c>
      <c r="J1562" s="1" t="s">
        <v>67</v>
      </c>
      <c r="K1562" s="1" t="s">
        <v>24</v>
      </c>
      <c r="L1562" s="1">
        <v>5479318</v>
      </c>
      <c r="M1562" s="2">
        <v>43159</v>
      </c>
      <c r="N1562" s="1" t="s">
        <v>8</v>
      </c>
      <c r="O1562" s="1" t="s">
        <v>68</v>
      </c>
    </row>
    <row r="1563" spans="1:15" ht="43.2" x14ac:dyDescent="0.3">
      <c r="A1563" s="1" t="s">
        <v>26467</v>
      </c>
      <c r="B1563" s="1" t="str">
        <f>"Robert Peel"</f>
        <v>Robert Peel</v>
      </c>
      <c r="C1563" s="1" t="s">
        <v>26468</v>
      </c>
      <c r="F1563" s="1" t="s">
        <v>10918</v>
      </c>
      <c r="H1563" s="1" t="s">
        <v>26469</v>
      </c>
      <c r="I1563" s="1" t="s">
        <v>5</v>
      </c>
      <c r="J1563" s="1" t="s">
        <v>67</v>
      </c>
      <c r="K1563" s="1" t="s">
        <v>14</v>
      </c>
      <c r="M1563" s="2">
        <v>43159</v>
      </c>
      <c r="N1563" s="1" t="s">
        <v>8</v>
      </c>
      <c r="O1563" s="1" t="s">
        <v>68</v>
      </c>
    </row>
    <row r="1564" spans="1:15" ht="43.2" x14ac:dyDescent="0.3">
      <c r="A1564" s="1" t="s">
        <v>13086</v>
      </c>
      <c r="B1564" s="1" t="str">
        <f>"Johnstones Decorating Centre"</f>
        <v>Johnstones Decorating Centre</v>
      </c>
      <c r="C1564" s="1" t="s">
        <v>13087</v>
      </c>
      <c r="F1564" s="1" t="s">
        <v>64</v>
      </c>
      <c r="H1564" s="1" t="s">
        <v>13088</v>
      </c>
      <c r="I1564" s="1" t="s">
        <v>19</v>
      </c>
      <c r="J1564" s="1" t="s">
        <v>67</v>
      </c>
      <c r="K1564" s="1" t="s">
        <v>14</v>
      </c>
      <c r="M1564" s="2">
        <v>43158</v>
      </c>
      <c r="N1564" s="1" t="s">
        <v>8</v>
      </c>
      <c r="O1564" s="1" t="s">
        <v>68</v>
      </c>
    </row>
    <row r="1565" spans="1:15" ht="43.2" x14ac:dyDescent="0.3">
      <c r="A1565" s="1" t="s">
        <v>13089</v>
      </c>
      <c r="B1565" s="1" t="str">
        <f>"Peter Broughton Limited "</f>
        <v xml:space="preserve">Peter Broughton Limited </v>
      </c>
      <c r="C1565" s="1" t="s">
        <v>13090</v>
      </c>
      <c r="D1565" s="1" t="s">
        <v>13091</v>
      </c>
      <c r="F1565" s="1" t="s">
        <v>123</v>
      </c>
      <c r="H1565" s="1" t="s">
        <v>13092</v>
      </c>
      <c r="I1565" s="1" t="s">
        <v>19</v>
      </c>
      <c r="J1565" s="1" t="s">
        <v>67</v>
      </c>
      <c r="K1565" s="1" t="s">
        <v>14</v>
      </c>
      <c r="M1565" s="2">
        <v>43158</v>
      </c>
      <c r="N1565" s="1" t="s">
        <v>8</v>
      </c>
      <c r="O1565" s="1" t="s">
        <v>68</v>
      </c>
    </row>
    <row r="1566" spans="1:15" ht="28.8" x14ac:dyDescent="0.3">
      <c r="A1566" s="1" t="s">
        <v>13093</v>
      </c>
      <c r="B1566" s="1" t="str">
        <f>"50 shades of clean limited"</f>
        <v>50 shades of clean limited</v>
      </c>
      <c r="C1566" s="1" t="s">
        <v>13094</v>
      </c>
      <c r="D1566" s="1" t="s">
        <v>13095</v>
      </c>
      <c r="F1566" s="1" t="s">
        <v>1385</v>
      </c>
      <c r="H1566" s="1" t="s">
        <v>13096</v>
      </c>
      <c r="I1566" s="1" t="s">
        <v>19</v>
      </c>
      <c r="J1566" s="1" t="s">
        <v>6</v>
      </c>
      <c r="K1566" s="1" t="s">
        <v>24</v>
      </c>
      <c r="L1566" s="1">
        <v>10847521</v>
      </c>
      <c r="M1566" s="2">
        <v>43158</v>
      </c>
      <c r="N1566" s="1" t="s">
        <v>8</v>
      </c>
      <c r="O1566" s="2">
        <v>44254</v>
      </c>
    </row>
    <row r="1567" spans="1:15" ht="28.8" x14ac:dyDescent="0.3">
      <c r="A1567" s="1" t="s">
        <v>13097</v>
      </c>
      <c r="B1567" s="1" t="str">
        <f>"A W RENEWABLES LIMITED"</f>
        <v>A W RENEWABLES LIMITED</v>
      </c>
      <c r="C1567" s="1" t="s">
        <v>8005</v>
      </c>
      <c r="F1567" s="1" t="s">
        <v>1888</v>
      </c>
      <c r="H1567" s="1" t="s">
        <v>13098</v>
      </c>
      <c r="I1567" s="1" t="s">
        <v>19</v>
      </c>
      <c r="J1567" s="1" t="s">
        <v>6</v>
      </c>
      <c r="K1567" s="1" t="s">
        <v>24</v>
      </c>
      <c r="L1567" s="1">
        <v>6636373</v>
      </c>
      <c r="M1567" s="2">
        <v>43158</v>
      </c>
      <c r="N1567" s="1" t="s">
        <v>8</v>
      </c>
      <c r="O1567" s="2">
        <v>44254</v>
      </c>
    </row>
    <row r="1568" spans="1:15" ht="43.2" x14ac:dyDescent="0.3">
      <c r="A1568" s="1" t="s">
        <v>25704</v>
      </c>
      <c r="B1568" s="1" t="str">
        <f>"Robin Cushing"</f>
        <v>Robin Cushing</v>
      </c>
      <c r="C1568" s="1" t="s">
        <v>25705</v>
      </c>
      <c r="F1568" s="1" t="s">
        <v>1351</v>
      </c>
      <c r="H1568" s="1" t="s">
        <v>25706</v>
      </c>
      <c r="I1568" s="1" t="s">
        <v>5</v>
      </c>
      <c r="J1568" s="1" t="s">
        <v>67</v>
      </c>
      <c r="K1568" s="1" t="s">
        <v>14</v>
      </c>
      <c r="M1568" s="2">
        <v>43158</v>
      </c>
      <c r="N1568" s="1" t="s">
        <v>8</v>
      </c>
      <c r="O1568" s="1" t="s">
        <v>68</v>
      </c>
    </row>
    <row r="1569" spans="1:15" ht="28.8" x14ac:dyDescent="0.3">
      <c r="A1569" s="1" t="s">
        <v>25707</v>
      </c>
      <c r="B1569" s="1" t="str">
        <f>"Ioan Morris I E Morris"</f>
        <v>Ioan Morris I E Morris</v>
      </c>
      <c r="C1569" s="1" t="s">
        <v>25708</v>
      </c>
      <c r="F1569" s="1" t="s">
        <v>119</v>
      </c>
      <c r="H1569" s="1" t="s">
        <v>25709</v>
      </c>
      <c r="I1569" s="1" t="s">
        <v>5</v>
      </c>
      <c r="J1569" s="1" t="s">
        <v>6</v>
      </c>
      <c r="K1569" s="1" t="s">
        <v>34</v>
      </c>
      <c r="M1569" s="2">
        <v>43158</v>
      </c>
      <c r="N1569" s="1" t="s">
        <v>8</v>
      </c>
      <c r="O1569" s="2">
        <v>44278</v>
      </c>
    </row>
    <row r="1570" spans="1:15" ht="43.2" x14ac:dyDescent="0.3">
      <c r="A1570" s="1" t="s">
        <v>25710</v>
      </c>
      <c r="B1570" s="1" t="str">
        <f>"James Bassett"</f>
        <v>James Bassett</v>
      </c>
      <c r="C1570" s="1" t="s">
        <v>25711</v>
      </c>
      <c r="D1570" s="1" t="s">
        <v>25712</v>
      </c>
      <c r="F1570" s="1" t="s">
        <v>4831</v>
      </c>
      <c r="H1570" s="1" t="s">
        <v>25713</v>
      </c>
      <c r="I1570" s="1" t="s">
        <v>5</v>
      </c>
      <c r="J1570" s="1" t="s">
        <v>67</v>
      </c>
      <c r="K1570" s="1" t="s">
        <v>14</v>
      </c>
      <c r="M1570" s="2">
        <v>43158</v>
      </c>
      <c r="N1570" s="1" t="s">
        <v>8</v>
      </c>
      <c r="O1570" s="1" t="s">
        <v>68</v>
      </c>
    </row>
    <row r="1571" spans="1:15" ht="28.8" x14ac:dyDescent="0.3">
      <c r="A1571" s="1" t="s">
        <v>25714</v>
      </c>
      <c r="B1571" s="1" t="str">
        <f>"Clark Dixon Paul and Son"</f>
        <v>Clark Dixon Paul and Son</v>
      </c>
      <c r="C1571" s="1" t="s">
        <v>25715</v>
      </c>
      <c r="F1571" s="1" t="s">
        <v>156</v>
      </c>
      <c r="H1571" s="1" t="s">
        <v>25716</v>
      </c>
      <c r="I1571" s="1" t="s">
        <v>5</v>
      </c>
      <c r="J1571" s="1" t="s">
        <v>6</v>
      </c>
      <c r="K1571" s="1" t="s">
        <v>24</v>
      </c>
      <c r="M1571" s="2">
        <v>43158</v>
      </c>
      <c r="N1571" s="1" t="s">
        <v>8</v>
      </c>
      <c r="O1571" s="2">
        <v>44254</v>
      </c>
    </row>
    <row r="1572" spans="1:15" ht="28.8" x14ac:dyDescent="0.3">
      <c r="A1572" s="1" t="s">
        <v>13083</v>
      </c>
      <c r="B1572" s="1" t="str">
        <f>"S.t.construction ltd"</f>
        <v>S.t.construction ltd</v>
      </c>
      <c r="C1572" s="1" t="s">
        <v>13084</v>
      </c>
      <c r="F1572" s="1" t="s">
        <v>7309</v>
      </c>
      <c r="H1572" s="1" t="s">
        <v>13085</v>
      </c>
      <c r="I1572" s="1" t="s">
        <v>19</v>
      </c>
      <c r="J1572" s="1" t="s">
        <v>6</v>
      </c>
      <c r="K1572" s="1" t="s">
        <v>34</v>
      </c>
      <c r="L1572" s="1">
        <v>10902602</v>
      </c>
      <c r="M1572" s="2">
        <v>43157</v>
      </c>
      <c r="N1572" s="1" t="s">
        <v>8</v>
      </c>
      <c r="O1572" s="2">
        <v>44253</v>
      </c>
    </row>
    <row r="1573" spans="1:15" ht="43.2" x14ac:dyDescent="0.3">
      <c r="A1573" s="1" t="s">
        <v>24967</v>
      </c>
      <c r="B1573" s="1" t="str">
        <f>"Graham Taylor GT BATHROOMS &amp; KITCHENS"</f>
        <v>Graham Taylor GT BATHROOMS &amp; KITCHENS</v>
      </c>
      <c r="C1573" s="1" t="s">
        <v>24968</v>
      </c>
      <c r="F1573" s="1" t="s">
        <v>24969</v>
      </c>
      <c r="H1573" s="1" t="s">
        <v>24970</v>
      </c>
      <c r="I1573" s="1" t="s">
        <v>5</v>
      </c>
      <c r="J1573" s="1" t="s">
        <v>6</v>
      </c>
      <c r="K1573" s="1" t="s">
        <v>24</v>
      </c>
      <c r="M1573" s="2">
        <v>43157</v>
      </c>
      <c r="N1573" s="1" t="s">
        <v>8</v>
      </c>
      <c r="O1573" s="2">
        <v>44253</v>
      </c>
    </row>
    <row r="1574" spans="1:15" x14ac:dyDescent="0.3">
      <c r="A1574" s="1" t="s">
        <v>24971</v>
      </c>
      <c r="B1574" s="1" t="str">
        <f>"Parick Forbes"</f>
        <v>Parick Forbes</v>
      </c>
      <c r="C1574" s="1" t="s">
        <v>24972</v>
      </c>
      <c r="F1574" s="1" t="s">
        <v>64</v>
      </c>
      <c r="H1574" s="1" t="s">
        <v>24973</v>
      </c>
      <c r="I1574" s="1" t="s">
        <v>5</v>
      </c>
      <c r="J1574" s="1" t="s">
        <v>6</v>
      </c>
      <c r="K1574" s="1" t="s">
        <v>24</v>
      </c>
      <c r="M1574" s="2">
        <v>43157</v>
      </c>
      <c r="N1574" s="1" t="s">
        <v>8</v>
      </c>
      <c r="O1574" s="2">
        <v>44253</v>
      </c>
    </row>
    <row r="1575" spans="1:15" ht="28.8" x14ac:dyDescent="0.3">
      <c r="A1575" s="1" t="s">
        <v>24974</v>
      </c>
      <c r="B1575" s="1" t="str">
        <f>"Robert Davies Bob Davies"</f>
        <v>Robert Davies Bob Davies</v>
      </c>
      <c r="C1575" s="1" t="s">
        <v>24975</v>
      </c>
      <c r="F1575" s="1" t="s">
        <v>123</v>
      </c>
      <c r="H1575" s="1" t="s">
        <v>24976</v>
      </c>
      <c r="I1575" s="1" t="s">
        <v>5</v>
      </c>
      <c r="J1575" s="1" t="s">
        <v>6</v>
      </c>
      <c r="K1575" s="1" t="s">
        <v>34</v>
      </c>
      <c r="M1575" s="2">
        <v>43157</v>
      </c>
      <c r="N1575" s="1" t="s">
        <v>8</v>
      </c>
      <c r="O1575" s="2">
        <v>44253</v>
      </c>
    </row>
    <row r="1576" spans="1:15" ht="28.8" x14ac:dyDescent="0.3">
      <c r="A1576" s="1" t="s">
        <v>24977</v>
      </c>
      <c r="B1576" s="1" t="str">
        <f>"Stephen Davies Stephen Davies"</f>
        <v>Stephen Davies Stephen Davies</v>
      </c>
      <c r="C1576" s="1" t="s">
        <v>24978</v>
      </c>
      <c r="F1576" s="1" t="s">
        <v>64</v>
      </c>
      <c r="H1576" s="1" t="s">
        <v>24979</v>
      </c>
      <c r="I1576" s="1" t="s">
        <v>5</v>
      </c>
      <c r="J1576" s="1" t="s">
        <v>6</v>
      </c>
      <c r="K1576" s="1" t="s">
        <v>24</v>
      </c>
      <c r="M1576" s="2">
        <v>43157</v>
      </c>
      <c r="N1576" s="1" t="s">
        <v>8</v>
      </c>
      <c r="O1576" s="2">
        <v>44253</v>
      </c>
    </row>
    <row r="1577" spans="1:15" ht="43.2" x14ac:dyDescent="0.3">
      <c r="A1577" s="1" t="s">
        <v>25701</v>
      </c>
      <c r="B1577" s="1" t="str">
        <f>"Peter Davies "</f>
        <v xml:space="preserve">Peter Davies </v>
      </c>
      <c r="C1577" s="1" t="s">
        <v>25702</v>
      </c>
      <c r="F1577" s="1" t="s">
        <v>556</v>
      </c>
      <c r="H1577" s="1" t="s">
        <v>25703</v>
      </c>
      <c r="I1577" s="1" t="s">
        <v>5</v>
      </c>
      <c r="J1577" s="1" t="s">
        <v>67</v>
      </c>
      <c r="K1577" s="1" t="s">
        <v>14</v>
      </c>
      <c r="M1577" s="2">
        <v>43157</v>
      </c>
      <c r="N1577" s="1" t="s">
        <v>8</v>
      </c>
      <c r="O1577" s="1" t="s">
        <v>68</v>
      </c>
    </row>
    <row r="1578" spans="1:15" ht="43.2" x14ac:dyDescent="0.3">
      <c r="A1578" s="1" t="s">
        <v>12078</v>
      </c>
      <c r="B1578" s="1" t="str">
        <f>"Heath Services"</f>
        <v>Heath Services</v>
      </c>
      <c r="C1578" s="1" t="s">
        <v>12079</v>
      </c>
      <c r="F1578" s="1" t="s">
        <v>1818</v>
      </c>
      <c r="H1578" s="1" t="s">
        <v>12080</v>
      </c>
      <c r="I1578" s="1" t="s">
        <v>125</v>
      </c>
      <c r="J1578" s="1" t="s">
        <v>67</v>
      </c>
      <c r="K1578" s="1" t="s">
        <v>14</v>
      </c>
      <c r="M1578" s="2">
        <v>43156</v>
      </c>
      <c r="N1578" s="1" t="s">
        <v>8</v>
      </c>
      <c r="O1578" s="1" t="s">
        <v>68</v>
      </c>
    </row>
    <row r="1579" spans="1:15" ht="28.8" x14ac:dyDescent="0.3">
      <c r="A1579" s="1" t="s">
        <v>24962</v>
      </c>
      <c r="B1579" s="1" t="str">
        <f>"Geoffrey Harrison Plumbing 4U"</f>
        <v>Geoffrey Harrison Plumbing 4U</v>
      </c>
      <c r="C1579" s="1" t="s">
        <v>24963</v>
      </c>
      <c r="F1579" s="1" t="s">
        <v>358</v>
      </c>
      <c r="H1579" s="1" t="s">
        <v>24964</v>
      </c>
      <c r="I1579" s="1" t="s">
        <v>5</v>
      </c>
      <c r="J1579" s="1" t="s">
        <v>6</v>
      </c>
      <c r="K1579" s="1" t="s">
        <v>24</v>
      </c>
      <c r="M1579" s="2">
        <v>43156</v>
      </c>
      <c r="N1579" s="1" t="s">
        <v>8</v>
      </c>
      <c r="O1579" s="2">
        <v>44252</v>
      </c>
    </row>
    <row r="1580" spans="1:15" ht="43.2" x14ac:dyDescent="0.3">
      <c r="A1580" s="1" t="s">
        <v>24965</v>
      </c>
      <c r="B1580" s="1" t="str">
        <f>"ANNA SMITH"</f>
        <v>ANNA SMITH</v>
      </c>
      <c r="C1580" s="1" t="s">
        <v>24966</v>
      </c>
      <c r="F1580" s="1" t="s">
        <v>1986</v>
      </c>
      <c r="H1580" s="1" t="s">
        <v>17740</v>
      </c>
      <c r="I1580" s="1" t="s">
        <v>5</v>
      </c>
      <c r="J1580" s="1" t="s">
        <v>67</v>
      </c>
      <c r="K1580" s="1" t="s">
        <v>14</v>
      </c>
      <c r="M1580" s="2">
        <v>43156</v>
      </c>
      <c r="N1580" s="1" t="s">
        <v>8</v>
      </c>
      <c r="O1580" s="1" t="s">
        <v>68</v>
      </c>
    </row>
    <row r="1581" spans="1:15" ht="28.8" x14ac:dyDescent="0.3">
      <c r="A1581" s="1" t="s">
        <v>7678</v>
      </c>
      <c r="B1581" s="1" t="str">
        <f>"360 Civil Engineering Ltd "</f>
        <v xml:space="preserve">360 Civil Engineering Ltd </v>
      </c>
      <c r="C1581" s="1" t="s">
        <v>7679</v>
      </c>
      <c r="F1581" s="1" t="s">
        <v>7680</v>
      </c>
      <c r="H1581" s="1" t="s">
        <v>7681</v>
      </c>
      <c r="I1581" s="1" t="s">
        <v>19</v>
      </c>
      <c r="J1581" s="1" t="s">
        <v>6</v>
      </c>
      <c r="K1581" s="1" t="s">
        <v>34</v>
      </c>
      <c r="L1581" s="1">
        <v>10941484</v>
      </c>
      <c r="M1581" s="2">
        <v>43154</v>
      </c>
      <c r="N1581" s="1" t="s">
        <v>8</v>
      </c>
      <c r="O1581" s="2">
        <v>44250</v>
      </c>
    </row>
    <row r="1582" spans="1:15" ht="28.8" x14ac:dyDescent="0.3">
      <c r="A1582" s="1" t="s">
        <v>7682</v>
      </c>
      <c r="B1582" s="1" t="str">
        <f>"DEVELOPMENTS PLUS LTD"</f>
        <v>DEVELOPMENTS PLUS LTD</v>
      </c>
      <c r="C1582" s="1" t="s">
        <v>7683</v>
      </c>
      <c r="D1582" s="1" t="s">
        <v>2227</v>
      </c>
      <c r="F1582" s="1" t="s">
        <v>156</v>
      </c>
      <c r="H1582" s="1" t="s">
        <v>2228</v>
      </c>
      <c r="I1582" s="1" t="s">
        <v>19</v>
      </c>
      <c r="J1582" s="1" t="s">
        <v>6</v>
      </c>
      <c r="K1582" s="1" t="s">
        <v>34</v>
      </c>
      <c r="L1582" s="1">
        <v>8763734</v>
      </c>
      <c r="M1582" s="2">
        <v>43154</v>
      </c>
      <c r="N1582" s="1" t="s">
        <v>8</v>
      </c>
      <c r="O1582" s="2">
        <v>44250</v>
      </c>
    </row>
    <row r="1583" spans="1:15" ht="28.8" x14ac:dyDescent="0.3">
      <c r="A1583" s="1" t="s">
        <v>7684</v>
      </c>
      <c r="B1583" s="1" t="str">
        <f>"Anderson Apparel Ltd "</f>
        <v xml:space="preserve">Anderson Apparel Ltd </v>
      </c>
      <c r="C1583" s="1" t="s">
        <v>7685</v>
      </c>
      <c r="F1583" s="1" t="s">
        <v>7686</v>
      </c>
      <c r="H1583" s="1" t="s">
        <v>5467</v>
      </c>
      <c r="I1583" s="1" t="s">
        <v>19</v>
      </c>
      <c r="J1583" s="1" t="s">
        <v>6</v>
      </c>
      <c r="K1583" s="1" t="s">
        <v>24</v>
      </c>
      <c r="L1583" s="1">
        <v>3562001</v>
      </c>
      <c r="M1583" s="2">
        <v>43154</v>
      </c>
      <c r="N1583" s="1" t="s">
        <v>8</v>
      </c>
      <c r="O1583" s="2">
        <v>44250</v>
      </c>
    </row>
    <row r="1584" spans="1:15" ht="43.2" x14ac:dyDescent="0.3">
      <c r="A1584" s="1" t="s">
        <v>7687</v>
      </c>
      <c r="B1584" s="1" t="str">
        <f>"J T Miles &amp; Sons"</f>
        <v>J T Miles &amp; Sons</v>
      </c>
      <c r="C1584" s="1" t="s">
        <v>7688</v>
      </c>
      <c r="F1584" s="1" t="s">
        <v>555</v>
      </c>
      <c r="H1584" s="1" t="s">
        <v>7689</v>
      </c>
      <c r="I1584" s="1" t="s">
        <v>125</v>
      </c>
      <c r="J1584" s="1" t="s">
        <v>67</v>
      </c>
      <c r="K1584" s="1" t="s">
        <v>14</v>
      </c>
      <c r="M1584" s="2">
        <v>43154</v>
      </c>
      <c r="N1584" s="1" t="s">
        <v>8</v>
      </c>
      <c r="O1584" s="1" t="s">
        <v>68</v>
      </c>
    </row>
    <row r="1585" spans="1:15" ht="43.2" x14ac:dyDescent="0.3">
      <c r="A1585" s="1" t="s">
        <v>12070</v>
      </c>
      <c r="B1585" s="1" t="str">
        <f>"DARREN WILLIAMS CARPETS &amp; FLOORING"</f>
        <v>DARREN WILLIAMS CARPETS &amp; FLOORING</v>
      </c>
      <c r="C1585" s="1" t="s">
        <v>12071</v>
      </c>
      <c r="D1585" s="1" t="s">
        <v>12072</v>
      </c>
      <c r="F1585" s="1" t="s">
        <v>2459</v>
      </c>
      <c r="H1585" s="1" t="s">
        <v>8523</v>
      </c>
      <c r="I1585" s="1" t="s">
        <v>125</v>
      </c>
      <c r="J1585" s="1" t="s">
        <v>67</v>
      </c>
      <c r="K1585" s="1" t="s">
        <v>14</v>
      </c>
      <c r="M1585" s="2">
        <v>43154</v>
      </c>
      <c r="N1585" s="1" t="s">
        <v>8</v>
      </c>
      <c r="O1585" s="1" t="s">
        <v>68</v>
      </c>
    </row>
    <row r="1586" spans="1:15" ht="28.8" x14ac:dyDescent="0.3">
      <c r="A1586" s="1" t="s">
        <v>12073</v>
      </c>
      <c r="B1586" s="1" t="str">
        <f>"David Ponsford Services Ltd"</f>
        <v>David Ponsford Services Ltd</v>
      </c>
      <c r="C1586" s="1" t="s">
        <v>12074</v>
      </c>
      <c r="F1586" s="1" t="s">
        <v>2342</v>
      </c>
      <c r="H1586" s="1" t="s">
        <v>12075</v>
      </c>
      <c r="I1586" s="1" t="s">
        <v>19</v>
      </c>
      <c r="J1586" s="1" t="s">
        <v>6</v>
      </c>
      <c r="K1586" s="1" t="s">
        <v>34</v>
      </c>
      <c r="L1586" s="1">
        <v>9275700</v>
      </c>
      <c r="M1586" s="2">
        <v>43154</v>
      </c>
      <c r="N1586" s="1" t="s">
        <v>8</v>
      </c>
      <c r="O1586" s="2">
        <v>44250</v>
      </c>
    </row>
    <row r="1587" spans="1:15" ht="28.8" x14ac:dyDescent="0.3">
      <c r="A1587" s="1" t="s">
        <v>12076</v>
      </c>
      <c r="B1587" s="1" t="str">
        <f>"Pembrokeshire Security Services"</f>
        <v>Pembrokeshire Security Services</v>
      </c>
      <c r="C1587" s="1" t="s">
        <v>12077</v>
      </c>
      <c r="F1587" s="1" t="s">
        <v>9838</v>
      </c>
      <c r="H1587" s="1" t="s">
        <v>10672</v>
      </c>
      <c r="I1587" s="1" t="s">
        <v>125</v>
      </c>
      <c r="J1587" s="1" t="s">
        <v>6</v>
      </c>
      <c r="K1587" s="1" t="s">
        <v>24</v>
      </c>
      <c r="M1587" s="2">
        <v>43154</v>
      </c>
      <c r="N1587" s="1" t="s">
        <v>8</v>
      </c>
      <c r="O1587" s="2">
        <v>44250</v>
      </c>
    </row>
    <row r="1588" spans="1:15" ht="28.8" x14ac:dyDescent="0.3">
      <c r="A1588" s="1" t="s">
        <v>21670</v>
      </c>
      <c r="B1588" s="1" t="str">
        <f>"lee Ann  Jones Resell To Help "</f>
        <v xml:space="preserve">lee Ann  Jones Resell To Help </v>
      </c>
      <c r="C1588" s="1" t="s">
        <v>21671</v>
      </c>
      <c r="F1588" s="1" t="s">
        <v>3068</v>
      </c>
      <c r="H1588" s="1" t="s">
        <v>21672</v>
      </c>
      <c r="I1588" s="1" t="s">
        <v>5</v>
      </c>
      <c r="J1588" s="1" t="s">
        <v>6</v>
      </c>
      <c r="K1588" s="1" t="s">
        <v>34</v>
      </c>
      <c r="M1588" s="2">
        <v>43154</v>
      </c>
      <c r="N1588" s="1" t="s">
        <v>8</v>
      </c>
      <c r="O1588" s="2">
        <v>44250</v>
      </c>
    </row>
    <row r="1589" spans="1:15" ht="28.8" x14ac:dyDescent="0.3">
      <c r="A1589" s="1" t="s">
        <v>21673</v>
      </c>
      <c r="B1589" s="1" t="str">
        <f>"Meirion Hamer M. Hamer"</f>
        <v>Meirion Hamer M. Hamer</v>
      </c>
      <c r="C1589" s="1" t="s">
        <v>21674</v>
      </c>
      <c r="F1589" s="1" t="s">
        <v>32</v>
      </c>
      <c r="H1589" s="1" t="s">
        <v>21675</v>
      </c>
      <c r="I1589" s="1" t="s">
        <v>5</v>
      </c>
      <c r="J1589" s="1" t="s">
        <v>6</v>
      </c>
      <c r="K1589" s="1" t="s">
        <v>24</v>
      </c>
      <c r="M1589" s="2">
        <v>43154</v>
      </c>
      <c r="N1589" s="1" t="s">
        <v>8</v>
      </c>
      <c r="O1589" s="2">
        <v>44250</v>
      </c>
    </row>
    <row r="1590" spans="1:15" ht="28.8" x14ac:dyDescent="0.3">
      <c r="A1590" s="1" t="s">
        <v>21676</v>
      </c>
      <c r="B1590" s="1" t="str">
        <f>"Simon Padfield CGE Lifting Services"</f>
        <v>Simon Padfield CGE Lifting Services</v>
      </c>
      <c r="C1590" s="1" t="s">
        <v>21677</v>
      </c>
      <c r="F1590" s="1" t="s">
        <v>179</v>
      </c>
      <c r="H1590" s="1" t="s">
        <v>21678</v>
      </c>
      <c r="I1590" s="1" t="s">
        <v>5</v>
      </c>
      <c r="J1590" s="1" t="s">
        <v>6</v>
      </c>
      <c r="K1590" s="1" t="s">
        <v>24</v>
      </c>
      <c r="M1590" s="2">
        <v>43154</v>
      </c>
      <c r="N1590" s="1" t="s">
        <v>8</v>
      </c>
      <c r="O1590" s="2">
        <v>44250</v>
      </c>
    </row>
    <row r="1591" spans="1:15" ht="43.2" x14ac:dyDescent="0.3">
      <c r="A1591" s="1" t="s">
        <v>24952</v>
      </c>
      <c r="B1591" s="1" t="str">
        <f>"Patricia Vivian"</f>
        <v>Patricia Vivian</v>
      </c>
      <c r="C1591" s="1" t="s">
        <v>24953</v>
      </c>
      <c r="F1591" s="1" t="s">
        <v>556</v>
      </c>
      <c r="H1591" s="1" t="s">
        <v>24954</v>
      </c>
      <c r="I1591" s="1" t="s">
        <v>5</v>
      </c>
      <c r="J1591" s="1" t="s">
        <v>67</v>
      </c>
      <c r="K1591" s="1" t="s">
        <v>14</v>
      </c>
      <c r="M1591" s="2">
        <v>43154</v>
      </c>
      <c r="N1591" s="1" t="s">
        <v>8</v>
      </c>
      <c r="O1591" s="1" t="s">
        <v>68</v>
      </c>
    </row>
    <row r="1592" spans="1:15" ht="43.2" x14ac:dyDescent="0.3">
      <c r="A1592" s="1" t="s">
        <v>24955</v>
      </c>
      <c r="B1592" s="1" t="str">
        <f>"Ben  Bryan "</f>
        <v xml:space="preserve">Ben  Bryan </v>
      </c>
      <c r="C1592" s="1" t="s">
        <v>24956</v>
      </c>
      <c r="F1592" s="1" t="s">
        <v>24957</v>
      </c>
      <c r="H1592" s="1" t="s">
        <v>24958</v>
      </c>
      <c r="I1592" s="1" t="s">
        <v>5</v>
      </c>
      <c r="J1592" s="1" t="s">
        <v>67</v>
      </c>
      <c r="K1592" s="1" t="s">
        <v>14</v>
      </c>
      <c r="M1592" s="2">
        <v>43154</v>
      </c>
      <c r="N1592" s="1" t="s">
        <v>8</v>
      </c>
      <c r="O1592" s="1" t="s">
        <v>68</v>
      </c>
    </row>
    <row r="1593" spans="1:15" ht="43.2" x14ac:dyDescent="0.3">
      <c r="A1593" s="1" t="s">
        <v>24959</v>
      </c>
      <c r="B1593" s="1" t="str">
        <f>"Simon Izard Izzys Painting and Decorating"</f>
        <v>Simon Izard Izzys Painting and Decorating</v>
      </c>
      <c r="C1593" s="1" t="s">
        <v>24960</v>
      </c>
      <c r="F1593" s="1" t="s">
        <v>6317</v>
      </c>
      <c r="H1593" s="1" t="s">
        <v>24961</v>
      </c>
      <c r="I1593" s="1" t="s">
        <v>5</v>
      </c>
      <c r="J1593" s="1" t="s">
        <v>6</v>
      </c>
      <c r="K1593" s="1" t="s">
        <v>34</v>
      </c>
      <c r="M1593" s="2">
        <v>43154</v>
      </c>
      <c r="N1593" s="1" t="s">
        <v>8</v>
      </c>
      <c r="O1593" s="2">
        <v>44250</v>
      </c>
    </row>
    <row r="1594" spans="1:15" ht="43.2" x14ac:dyDescent="0.3">
      <c r="A1594" s="1" t="s">
        <v>6600</v>
      </c>
      <c r="B1594" s="1" t="str">
        <f>"Fighting Dragons Karate Association"</f>
        <v>Fighting Dragons Karate Association</v>
      </c>
      <c r="C1594" s="1" t="s">
        <v>6601</v>
      </c>
      <c r="F1594" s="1" t="s">
        <v>1093</v>
      </c>
      <c r="H1594" s="1" t="s">
        <v>6602</v>
      </c>
      <c r="I1594" s="1" t="s">
        <v>1872</v>
      </c>
      <c r="J1594" s="1" t="s">
        <v>67</v>
      </c>
      <c r="K1594" s="1" t="s">
        <v>14</v>
      </c>
      <c r="M1594" s="2">
        <v>43153</v>
      </c>
      <c r="N1594" s="1" t="s">
        <v>8</v>
      </c>
      <c r="O1594" s="1" t="s">
        <v>68</v>
      </c>
    </row>
    <row r="1595" spans="1:15" ht="28.8" x14ac:dyDescent="0.3">
      <c r="A1595" s="1" t="s">
        <v>6603</v>
      </c>
      <c r="B1595" s="1" t="str">
        <f>"WJ Atalan Ltd"</f>
        <v>WJ Atalan Ltd</v>
      </c>
      <c r="C1595" s="1" t="s">
        <v>6604</v>
      </c>
      <c r="F1595" s="1" t="s">
        <v>6605</v>
      </c>
      <c r="H1595" s="1" t="s">
        <v>6606</v>
      </c>
      <c r="I1595" s="1" t="s">
        <v>19</v>
      </c>
      <c r="J1595" s="1" t="s">
        <v>6</v>
      </c>
      <c r="K1595" s="1" t="s">
        <v>34</v>
      </c>
      <c r="L1595" s="1">
        <v>4325018</v>
      </c>
      <c r="M1595" s="2">
        <v>43153</v>
      </c>
      <c r="N1595" s="1" t="s">
        <v>8</v>
      </c>
      <c r="O1595" s="2">
        <v>44249</v>
      </c>
    </row>
    <row r="1596" spans="1:15" ht="43.2" x14ac:dyDescent="0.3">
      <c r="A1596" s="1" t="s">
        <v>6607</v>
      </c>
      <c r="B1596" s="1" t="str">
        <f>"SES BUILDING &amp; ENERGY SOLUTIONS LTD"</f>
        <v>SES BUILDING &amp; ENERGY SOLUTIONS LTD</v>
      </c>
      <c r="C1596" s="1" t="s">
        <v>6608</v>
      </c>
      <c r="F1596" s="1" t="s">
        <v>825</v>
      </c>
      <c r="H1596" s="1" t="s">
        <v>6609</v>
      </c>
      <c r="I1596" s="1" t="s">
        <v>19</v>
      </c>
      <c r="J1596" s="1" t="s">
        <v>6</v>
      </c>
      <c r="K1596" s="1" t="s">
        <v>24</v>
      </c>
      <c r="L1596" s="1">
        <v>4140175</v>
      </c>
      <c r="M1596" s="2">
        <v>43153</v>
      </c>
      <c r="N1596" s="1" t="s">
        <v>8</v>
      </c>
      <c r="O1596" s="2">
        <v>44311</v>
      </c>
    </row>
    <row r="1597" spans="1:15" ht="28.8" x14ac:dyDescent="0.3">
      <c r="A1597" s="1" t="s">
        <v>6610</v>
      </c>
      <c r="B1597" s="1" t="str">
        <f>"Jeffery Roofing &amp; Building Ltd"</f>
        <v>Jeffery Roofing &amp; Building Ltd</v>
      </c>
      <c r="C1597" s="1" t="s">
        <v>6611</v>
      </c>
      <c r="F1597" s="1" t="s">
        <v>170</v>
      </c>
      <c r="H1597" s="1" t="s">
        <v>6612</v>
      </c>
      <c r="I1597" s="1" t="s">
        <v>19</v>
      </c>
      <c r="J1597" s="1" t="s">
        <v>6</v>
      </c>
      <c r="K1597" s="1" t="s">
        <v>34</v>
      </c>
      <c r="L1597" s="1">
        <v>8541752</v>
      </c>
      <c r="M1597" s="2">
        <v>43153</v>
      </c>
      <c r="N1597" s="1" t="s">
        <v>8</v>
      </c>
      <c r="O1597" s="2">
        <v>44249</v>
      </c>
    </row>
    <row r="1598" spans="1:15" ht="43.2" x14ac:dyDescent="0.3">
      <c r="A1598" s="1" t="s">
        <v>6613</v>
      </c>
      <c r="B1598" s="1" t="str">
        <f>"ying wah"</f>
        <v>ying wah</v>
      </c>
      <c r="C1598" s="1" t="s">
        <v>6614</v>
      </c>
      <c r="F1598" s="1" t="s">
        <v>556</v>
      </c>
      <c r="H1598" s="1" t="s">
        <v>5373</v>
      </c>
      <c r="I1598" s="1" t="s">
        <v>19</v>
      </c>
      <c r="J1598" s="1" t="s">
        <v>67</v>
      </c>
      <c r="K1598" s="1" t="s">
        <v>14</v>
      </c>
      <c r="M1598" s="2">
        <v>43153</v>
      </c>
      <c r="N1598" s="1" t="s">
        <v>8</v>
      </c>
      <c r="O1598" s="1" t="s">
        <v>68</v>
      </c>
    </row>
    <row r="1599" spans="1:15" ht="43.2" x14ac:dyDescent="0.3">
      <c r="A1599" s="1" t="s">
        <v>6615</v>
      </c>
      <c r="B1599" s="1" t="str">
        <f>"ATH Building LTD"</f>
        <v>ATH Building LTD</v>
      </c>
      <c r="C1599" s="1" t="s">
        <v>6616</v>
      </c>
      <c r="F1599" s="1" t="s">
        <v>123</v>
      </c>
      <c r="H1599" s="1" t="s">
        <v>6617</v>
      </c>
      <c r="I1599" s="1" t="s">
        <v>19</v>
      </c>
      <c r="J1599" s="1" t="s">
        <v>6</v>
      </c>
      <c r="K1599" s="1" t="s">
        <v>34</v>
      </c>
      <c r="L1599" s="1">
        <v>5598730</v>
      </c>
      <c r="M1599" s="2">
        <v>43153</v>
      </c>
      <c r="N1599" s="1" t="s">
        <v>8</v>
      </c>
      <c r="O1599" s="2">
        <v>44249</v>
      </c>
    </row>
    <row r="1600" spans="1:15" ht="28.8" x14ac:dyDescent="0.3">
      <c r="A1600" s="1" t="s">
        <v>6618</v>
      </c>
      <c r="B1600" s="1" t="str">
        <f>"Brecon Storage and Removals"</f>
        <v>Brecon Storage and Removals</v>
      </c>
      <c r="C1600" s="1" t="s">
        <v>6619</v>
      </c>
      <c r="F1600" s="1" t="s">
        <v>1206</v>
      </c>
      <c r="H1600" s="1" t="s">
        <v>3199</v>
      </c>
      <c r="I1600" s="1" t="s">
        <v>19</v>
      </c>
      <c r="J1600" s="1" t="s">
        <v>6</v>
      </c>
      <c r="K1600" s="1" t="s">
        <v>34</v>
      </c>
      <c r="L1600" s="1">
        <v>11220037</v>
      </c>
      <c r="M1600" s="2">
        <v>43153</v>
      </c>
      <c r="N1600" s="1" t="s">
        <v>8</v>
      </c>
      <c r="O1600" s="2">
        <v>44249</v>
      </c>
    </row>
    <row r="1601" spans="1:15" ht="28.8" x14ac:dyDescent="0.3">
      <c r="A1601" s="1" t="s">
        <v>6620</v>
      </c>
      <c r="B1601" s="1" t="str">
        <f>"Blue Heating &amp; Plumbing Ltd"</f>
        <v>Blue Heating &amp; Plumbing Ltd</v>
      </c>
      <c r="C1601" s="1" t="s">
        <v>6621</v>
      </c>
      <c r="F1601" s="1" t="s">
        <v>123</v>
      </c>
      <c r="H1601" s="1" t="s">
        <v>5106</v>
      </c>
      <c r="I1601" s="1" t="s">
        <v>19</v>
      </c>
      <c r="J1601" s="1" t="s">
        <v>6</v>
      </c>
      <c r="K1601" s="1" t="s">
        <v>34</v>
      </c>
      <c r="L1601" s="1">
        <v>5754053</v>
      </c>
      <c r="M1601" s="2">
        <v>43153</v>
      </c>
      <c r="N1601" s="1" t="s">
        <v>8</v>
      </c>
      <c r="O1601" s="2">
        <v>44249</v>
      </c>
    </row>
    <row r="1602" spans="1:15" ht="28.8" x14ac:dyDescent="0.3">
      <c r="A1602" s="1" t="s">
        <v>6622</v>
      </c>
      <c r="B1602" s="1" t="str">
        <f>"TLP Construction"</f>
        <v>TLP Construction</v>
      </c>
      <c r="C1602" s="1" t="s">
        <v>6623</v>
      </c>
      <c r="F1602" s="1" t="s">
        <v>798</v>
      </c>
      <c r="H1602" s="1" t="s">
        <v>6624</v>
      </c>
      <c r="I1602" s="1" t="s">
        <v>125</v>
      </c>
      <c r="J1602" s="1" t="s">
        <v>6</v>
      </c>
      <c r="K1602" s="1" t="s">
        <v>34</v>
      </c>
      <c r="M1602" s="2">
        <v>43153</v>
      </c>
      <c r="N1602" s="1" t="s">
        <v>8</v>
      </c>
      <c r="O1602" s="2">
        <v>44249</v>
      </c>
    </row>
    <row r="1603" spans="1:15" ht="43.2" x14ac:dyDescent="0.3">
      <c r="A1603" s="1" t="s">
        <v>6625</v>
      </c>
      <c r="B1603" s="1" t="str">
        <f>"TURNER BROS BUILDERS &amp; CONTRACTORS LTD"</f>
        <v>TURNER BROS BUILDERS &amp; CONTRACTORS LTD</v>
      </c>
      <c r="C1603" s="1" t="s">
        <v>6626</v>
      </c>
      <c r="F1603" s="1" t="s">
        <v>72</v>
      </c>
      <c r="H1603" s="1" t="s">
        <v>2934</v>
      </c>
      <c r="I1603" s="1" t="s">
        <v>19</v>
      </c>
      <c r="J1603" s="1" t="s">
        <v>6</v>
      </c>
      <c r="K1603" s="1" t="s">
        <v>24</v>
      </c>
      <c r="L1603" s="1">
        <v>6589442</v>
      </c>
      <c r="M1603" s="2">
        <v>43153</v>
      </c>
      <c r="N1603" s="1" t="s">
        <v>8</v>
      </c>
      <c r="O1603" s="2">
        <v>44249</v>
      </c>
    </row>
    <row r="1604" spans="1:15" ht="43.2" x14ac:dyDescent="0.3">
      <c r="A1604" s="1" t="s">
        <v>7675</v>
      </c>
      <c r="B1604" s="1" t="str">
        <f>"N B SIGNAGE INSTALLATION LTD"</f>
        <v>N B SIGNAGE INSTALLATION LTD</v>
      </c>
      <c r="C1604" s="1" t="s">
        <v>7676</v>
      </c>
      <c r="F1604" s="1" t="s">
        <v>5350</v>
      </c>
      <c r="H1604" s="1" t="s">
        <v>7677</v>
      </c>
      <c r="I1604" s="1" t="s">
        <v>19</v>
      </c>
      <c r="J1604" s="1" t="s">
        <v>67</v>
      </c>
      <c r="K1604" s="1" t="s">
        <v>14</v>
      </c>
      <c r="M1604" s="2">
        <v>43153</v>
      </c>
      <c r="N1604" s="1" t="s">
        <v>8</v>
      </c>
      <c r="O1604" s="1" t="s">
        <v>68</v>
      </c>
    </row>
    <row r="1605" spans="1:15" ht="28.8" x14ac:dyDescent="0.3">
      <c r="A1605" s="1" t="s">
        <v>21663</v>
      </c>
      <c r="B1605" s="1" t="str">
        <f>"Colin Wilson J e wilson &amp; sons"</f>
        <v>Colin Wilson J e wilson &amp; sons</v>
      </c>
      <c r="C1605" s="1" t="s">
        <v>10308</v>
      </c>
      <c r="F1605" s="1" t="s">
        <v>720</v>
      </c>
      <c r="H1605" s="1" t="s">
        <v>8290</v>
      </c>
      <c r="I1605" s="1" t="s">
        <v>5</v>
      </c>
      <c r="J1605" s="1" t="s">
        <v>6</v>
      </c>
      <c r="K1605" s="1" t="s">
        <v>24</v>
      </c>
      <c r="M1605" s="2">
        <v>43153</v>
      </c>
      <c r="N1605" s="1" t="s">
        <v>8</v>
      </c>
      <c r="O1605" s="2">
        <v>44249</v>
      </c>
    </row>
    <row r="1606" spans="1:15" ht="28.8" x14ac:dyDescent="0.3">
      <c r="A1606" s="1" t="s">
        <v>21664</v>
      </c>
      <c r="B1606" s="1" t="str">
        <f>"Peter Blake Peter Blake"</f>
        <v>Peter Blake Peter Blake</v>
      </c>
      <c r="C1606" s="1" t="s">
        <v>21665</v>
      </c>
      <c r="D1606" s="1" t="s">
        <v>4181</v>
      </c>
      <c r="F1606" s="1" t="s">
        <v>532</v>
      </c>
      <c r="H1606" s="1" t="s">
        <v>21666</v>
      </c>
      <c r="I1606" s="1" t="s">
        <v>5</v>
      </c>
      <c r="J1606" s="1" t="s">
        <v>6</v>
      </c>
      <c r="K1606" s="1" t="s">
        <v>34</v>
      </c>
      <c r="M1606" s="2">
        <v>43153</v>
      </c>
      <c r="N1606" s="1" t="s">
        <v>8</v>
      </c>
      <c r="O1606" s="2">
        <v>44249</v>
      </c>
    </row>
    <row r="1607" spans="1:15" ht="43.2" x14ac:dyDescent="0.3">
      <c r="A1607" s="1" t="s">
        <v>21667</v>
      </c>
      <c r="B1607" s="1" t="str">
        <f>"Andrew Elliott"</f>
        <v>Andrew Elliott</v>
      </c>
      <c r="C1607" s="1" t="s">
        <v>21668</v>
      </c>
      <c r="F1607" s="1" t="s">
        <v>4689</v>
      </c>
      <c r="H1607" s="1" t="s">
        <v>21669</v>
      </c>
      <c r="I1607" s="1" t="s">
        <v>5</v>
      </c>
      <c r="J1607" s="1" t="s">
        <v>67</v>
      </c>
      <c r="K1607" s="1" t="s">
        <v>14</v>
      </c>
      <c r="M1607" s="2">
        <v>43153</v>
      </c>
      <c r="N1607" s="1" t="s">
        <v>8</v>
      </c>
      <c r="O1607" s="1" t="s">
        <v>68</v>
      </c>
    </row>
    <row r="1608" spans="1:15" ht="28.8" x14ac:dyDescent="0.3">
      <c r="A1608" s="1" t="s">
        <v>5352</v>
      </c>
      <c r="B1608" s="1" t="str">
        <f>"CREATIVE GARDENS BY IAN LTD"</f>
        <v>CREATIVE GARDENS BY IAN LTD</v>
      </c>
      <c r="C1608" s="1" t="s">
        <v>5353</v>
      </c>
      <c r="F1608" s="1" t="s">
        <v>5354</v>
      </c>
      <c r="H1608" s="1" t="s">
        <v>5355</v>
      </c>
      <c r="I1608" s="1" t="s">
        <v>19</v>
      </c>
      <c r="J1608" s="1" t="s">
        <v>6</v>
      </c>
      <c r="K1608" s="1" t="s">
        <v>34</v>
      </c>
      <c r="L1608" s="1">
        <v>4931760</v>
      </c>
      <c r="M1608" s="2">
        <v>43152</v>
      </c>
      <c r="N1608" s="1" t="s">
        <v>8</v>
      </c>
      <c r="O1608" s="2">
        <v>44248</v>
      </c>
    </row>
    <row r="1609" spans="1:15" ht="28.8" x14ac:dyDescent="0.3">
      <c r="A1609" s="1" t="s">
        <v>5356</v>
      </c>
      <c r="B1609" s="1" t="str">
        <f>"G &amp; R DECORATORS LTD"</f>
        <v>G &amp; R DECORATORS LTD</v>
      </c>
      <c r="C1609" s="1" t="s">
        <v>5357</v>
      </c>
      <c r="F1609" s="1" t="s">
        <v>156</v>
      </c>
      <c r="H1609" s="1" t="s">
        <v>5358</v>
      </c>
      <c r="I1609" s="1" t="s">
        <v>19</v>
      </c>
      <c r="J1609" s="1" t="s">
        <v>6</v>
      </c>
      <c r="K1609" s="1" t="s">
        <v>24</v>
      </c>
      <c r="L1609" s="1">
        <v>4739849</v>
      </c>
      <c r="M1609" s="2">
        <v>43152</v>
      </c>
      <c r="N1609" s="1" t="s">
        <v>8</v>
      </c>
      <c r="O1609" s="2">
        <v>44248</v>
      </c>
    </row>
    <row r="1610" spans="1:15" ht="43.2" x14ac:dyDescent="0.3">
      <c r="A1610" s="1" t="s">
        <v>6587</v>
      </c>
      <c r="B1610" s="1" t="str">
        <f>"The Firewood Company (UK) Ltd"</f>
        <v>The Firewood Company (UK) Ltd</v>
      </c>
      <c r="C1610" s="1" t="s">
        <v>5391</v>
      </c>
      <c r="F1610" s="1" t="s">
        <v>782</v>
      </c>
      <c r="H1610" s="1" t="s">
        <v>5392</v>
      </c>
      <c r="I1610" s="1" t="s">
        <v>19</v>
      </c>
      <c r="J1610" s="1" t="s">
        <v>67</v>
      </c>
      <c r="K1610" s="1" t="s">
        <v>14</v>
      </c>
      <c r="M1610" s="2">
        <v>43152</v>
      </c>
      <c r="N1610" s="1" t="s">
        <v>8</v>
      </c>
      <c r="O1610" s="1" t="s">
        <v>68</v>
      </c>
    </row>
    <row r="1611" spans="1:15" ht="28.8" x14ac:dyDescent="0.3">
      <c r="A1611" s="1" t="s">
        <v>6588</v>
      </c>
      <c r="B1611" s="1" t="str">
        <f>"D Jones Electrical Contractors Ltd"</f>
        <v>D Jones Electrical Contractors Ltd</v>
      </c>
      <c r="C1611" s="1" t="s">
        <v>6589</v>
      </c>
      <c r="F1611" s="1" t="s">
        <v>1230</v>
      </c>
      <c r="H1611" s="1" t="s">
        <v>6590</v>
      </c>
      <c r="I1611" s="1" t="s">
        <v>19</v>
      </c>
      <c r="J1611" s="1" t="s">
        <v>6</v>
      </c>
      <c r="K1611" s="1" t="s">
        <v>24</v>
      </c>
      <c r="L1611" s="1">
        <v>5105760</v>
      </c>
      <c r="M1611" s="2">
        <v>43152</v>
      </c>
      <c r="N1611" s="1" t="s">
        <v>8</v>
      </c>
      <c r="O1611" s="2">
        <v>44248</v>
      </c>
    </row>
    <row r="1612" spans="1:15" ht="43.2" x14ac:dyDescent="0.3">
      <c r="A1612" s="1" t="s">
        <v>6591</v>
      </c>
      <c r="B1612" s="1" t="str">
        <f>"Dot To Dot Productions Ltd"</f>
        <v>Dot To Dot Productions Ltd</v>
      </c>
      <c r="C1612" s="1" t="s">
        <v>6592</v>
      </c>
      <c r="F1612" s="1" t="s">
        <v>170</v>
      </c>
      <c r="H1612" s="1" t="s">
        <v>6593</v>
      </c>
      <c r="I1612" s="1" t="s">
        <v>19</v>
      </c>
      <c r="J1612" s="1" t="s">
        <v>67</v>
      </c>
      <c r="K1612" s="1" t="s">
        <v>14</v>
      </c>
      <c r="M1612" s="2">
        <v>43152</v>
      </c>
      <c r="N1612" s="1" t="s">
        <v>8</v>
      </c>
      <c r="O1612" s="1" t="s">
        <v>68</v>
      </c>
    </row>
    <row r="1613" spans="1:15" ht="28.8" x14ac:dyDescent="0.3">
      <c r="A1613" s="1" t="s">
        <v>6594</v>
      </c>
      <c r="B1613" s="1" t="str">
        <f>"Mark jude Floors ltd "</f>
        <v xml:space="preserve">Mark jude Floors ltd </v>
      </c>
      <c r="C1613" s="1" t="s">
        <v>6595</v>
      </c>
      <c r="F1613" s="1" t="s">
        <v>380</v>
      </c>
      <c r="H1613" s="1" t="s">
        <v>6596</v>
      </c>
      <c r="I1613" s="1" t="s">
        <v>19</v>
      </c>
      <c r="J1613" s="1" t="s">
        <v>6</v>
      </c>
      <c r="K1613" s="1" t="s">
        <v>24</v>
      </c>
      <c r="L1613" s="1">
        <v>5695615</v>
      </c>
      <c r="M1613" s="2">
        <v>43152</v>
      </c>
      <c r="N1613" s="1" t="s">
        <v>8</v>
      </c>
      <c r="O1613" s="2">
        <v>44248</v>
      </c>
    </row>
    <row r="1614" spans="1:15" ht="28.8" x14ac:dyDescent="0.3">
      <c r="A1614" s="1" t="s">
        <v>6597</v>
      </c>
      <c r="B1614" s="1" t="str">
        <f>"Martel Fluid Services Limited"</f>
        <v>Martel Fluid Services Limited</v>
      </c>
      <c r="C1614" s="1" t="s">
        <v>6598</v>
      </c>
      <c r="F1614" s="1" t="s">
        <v>156</v>
      </c>
      <c r="G1614" s="1" t="s">
        <v>156</v>
      </c>
      <c r="H1614" s="1" t="s">
        <v>6599</v>
      </c>
      <c r="I1614" s="1" t="s">
        <v>19</v>
      </c>
      <c r="J1614" s="1" t="s">
        <v>6</v>
      </c>
      <c r="K1614" s="1" t="s">
        <v>24</v>
      </c>
      <c r="L1614" s="1">
        <v>8823844</v>
      </c>
      <c r="M1614" s="2">
        <v>43152</v>
      </c>
      <c r="N1614" s="1" t="s">
        <v>8</v>
      </c>
      <c r="O1614" s="2">
        <v>44247</v>
      </c>
    </row>
    <row r="1615" spans="1:15" ht="43.2" x14ac:dyDescent="0.3">
      <c r="A1615" s="1" t="s">
        <v>20145</v>
      </c>
      <c r="B1615" s="1" t="str">
        <f>"William Rankin"</f>
        <v>William Rankin</v>
      </c>
      <c r="C1615" s="1" t="s">
        <v>20146</v>
      </c>
      <c r="F1615" s="1" t="s">
        <v>1058</v>
      </c>
      <c r="H1615" s="1" t="s">
        <v>20147</v>
      </c>
      <c r="I1615" s="1" t="s">
        <v>5</v>
      </c>
      <c r="J1615" s="1" t="s">
        <v>67</v>
      </c>
      <c r="K1615" s="1" t="s">
        <v>14</v>
      </c>
      <c r="M1615" s="2">
        <v>43152</v>
      </c>
      <c r="N1615" s="1" t="s">
        <v>8</v>
      </c>
      <c r="O1615" s="1" t="s">
        <v>68</v>
      </c>
    </row>
    <row r="1616" spans="1:15" ht="28.8" x14ac:dyDescent="0.3">
      <c r="A1616" s="1" t="s">
        <v>20148</v>
      </c>
      <c r="B1616" s="1" t="str">
        <f>"Mark Anderson M.A.LANDSCAPING"</f>
        <v>Mark Anderson M.A.LANDSCAPING</v>
      </c>
      <c r="C1616" s="1" t="s">
        <v>20149</v>
      </c>
      <c r="F1616" s="1" t="s">
        <v>476</v>
      </c>
      <c r="H1616" s="1" t="s">
        <v>12985</v>
      </c>
      <c r="I1616" s="1" t="s">
        <v>5</v>
      </c>
      <c r="J1616" s="1" t="s">
        <v>6</v>
      </c>
      <c r="K1616" s="1" t="s">
        <v>34</v>
      </c>
      <c r="M1616" s="2">
        <v>43152</v>
      </c>
      <c r="N1616" s="1" t="s">
        <v>8</v>
      </c>
      <c r="O1616" s="2">
        <v>44248</v>
      </c>
    </row>
    <row r="1617" spans="1:15" ht="43.2" x14ac:dyDescent="0.3">
      <c r="A1617" s="1" t="s">
        <v>20923</v>
      </c>
      <c r="B1617" s="1" t="str">
        <f>"anna smith"</f>
        <v>anna smith</v>
      </c>
      <c r="C1617" s="1" t="s">
        <v>20924</v>
      </c>
      <c r="F1617" s="1" t="s">
        <v>64</v>
      </c>
      <c r="H1617" s="1" t="s">
        <v>20925</v>
      </c>
      <c r="I1617" s="1" t="s">
        <v>5</v>
      </c>
      <c r="J1617" s="1" t="s">
        <v>67</v>
      </c>
      <c r="K1617" s="1" t="s">
        <v>14</v>
      </c>
      <c r="M1617" s="2">
        <v>43152</v>
      </c>
      <c r="N1617" s="1" t="s">
        <v>8</v>
      </c>
      <c r="O1617" s="1" t="s">
        <v>68</v>
      </c>
    </row>
    <row r="1618" spans="1:15" ht="28.8" x14ac:dyDescent="0.3">
      <c r="A1618" s="1" t="s">
        <v>20926</v>
      </c>
      <c r="B1618" s="1" t="str">
        <f>"Gavin Woodland G woodland hire"</f>
        <v>Gavin Woodland G woodland hire</v>
      </c>
      <c r="C1618" s="1" t="s">
        <v>20927</v>
      </c>
      <c r="F1618" s="1" t="s">
        <v>10122</v>
      </c>
      <c r="H1618" s="1" t="s">
        <v>20928</v>
      </c>
      <c r="I1618" s="1" t="s">
        <v>5</v>
      </c>
      <c r="J1618" s="1" t="s">
        <v>6</v>
      </c>
      <c r="K1618" s="1" t="s">
        <v>24</v>
      </c>
      <c r="M1618" s="2">
        <v>43152</v>
      </c>
      <c r="N1618" s="1" t="s">
        <v>8</v>
      </c>
      <c r="O1618" s="2">
        <v>44248</v>
      </c>
    </row>
    <row r="1619" spans="1:15" ht="28.8" x14ac:dyDescent="0.3">
      <c r="A1619" s="1" t="s">
        <v>20929</v>
      </c>
      <c r="B1619" s="1" t="str">
        <f>"geoffrey  stephens G S DELIVERY SERVICE"</f>
        <v>geoffrey  stephens G S DELIVERY SERVICE</v>
      </c>
      <c r="C1619" s="1" t="s">
        <v>20930</v>
      </c>
      <c r="F1619" s="1" t="s">
        <v>64</v>
      </c>
      <c r="H1619" s="1" t="s">
        <v>20931</v>
      </c>
      <c r="I1619" s="1" t="s">
        <v>5</v>
      </c>
      <c r="J1619" s="1" t="s">
        <v>6</v>
      </c>
      <c r="K1619" s="1" t="s">
        <v>24</v>
      </c>
      <c r="M1619" s="2">
        <v>43152</v>
      </c>
      <c r="N1619" s="1" t="s">
        <v>8</v>
      </c>
      <c r="O1619" s="2">
        <v>44248</v>
      </c>
    </row>
    <row r="1620" spans="1:15" ht="43.2" x14ac:dyDescent="0.3">
      <c r="A1620" s="1" t="s">
        <v>20932</v>
      </c>
      <c r="B1620" s="1" t="str">
        <f>"Giles Elliott"</f>
        <v>Giles Elliott</v>
      </c>
      <c r="C1620" s="1" t="s">
        <v>20933</v>
      </c>
      <c r="F1620" s="1" t="s">
        <v>710</v>
      </c>
      <c r="H1620" s="1" t="s">
        <v>20934</v>
      </c>
      <c r="I1620" s="1" t="s">
        <v>5</v>
      </c>
      <c r="J1620" s="1" t="s">
        <v>67</v>
      </c>
      <c r="K1620" s="1" t="s">
        <v>14</v>
      </c>
      <c r="M1620" s="2">
        <v>43152</v>
      </c>
      <c r="N1620" s="1" t="s">
        <v>8</v>
      </c>
      <c r="O1620" s="1" t="s">
        <v>68</v>
      </c>
    </row>
    <row r="1621" spans="1:15" ht="28.8" x14ac:dyDescent="0.3">
      <c r="A1621" s="1" t="s">
        <v>4293</v>
      </c>
      <c r="B1621" s="1" t="str">
        <f>"RE &amp; TE Pritchard"</f>
        <v>RE &amp; TE Pritchard</v>
      </c>
      <c r="C1621" s="1" t="s">
        <v>4294</v>
      </c>
      <c r="D1621" s="1" t="s">
        <v>1336</v>
      </c>
      <c r="F1621" s="1" t="s">
        <v>1321</v>
      </c>
      <c r="H1621" s="1" t="s">
        <v>4295</v>
      </c>
      <c r="I1621" s="1" t="s">
        <v>125</v>
      </c>
      <c r="J1621" s="1" t="s">
        <v>6</v>
      </c>
      <c r="K1621" s="1" t="s">
        <v>34</v>
      </c>
      <c r="M1621" s="2">
        <v>43151</v>
      </c>
      <c r="N1621" s="1" t="s">
        <v>8</v>
      </c>
      <c r="O1621" s="2">
        <v>44247</v>
      </c>
    </row>
    <row r="1622" spans="1:15" ht="28.8" x14ac:dyDescent="0.3">
      <c r="A1622" s="1" t="s">
        <v>4296</v>
      </c>
      <c r="B1622" s="1" t="str">
        <f>"Morgans of Usk LTD"</f>
        <v>Morgans of Usk LTD</v>
      </c>
      <c r="C1622" s="1" t="s">
        <v>4297</v>
      </c>
      <c r="F1622" s="1" t="s">
        <v>2066</v>
      </c>
      <c r="H1622" s="1" t="s">
        <v>4298</v>
      </c>
      <c r="I1622" s="1" t="s">
        <v>19</v>
      </c>
      <c r="J1622" s="1" t="s">
        <v>6</v>
      </c>
      <c r="K1622" s="1" t="s">
        <v>34</v>
      </c>
      <c r="L1622" s="1">
        <v>2137982</v>
      </c>
      <c r="M1622" s="2">
        <v>43151</v>
      </c>
      <c r="N1622" s="1" t="s">
        <v>8</v>
      </c>
      <c r="O1622" s="2">
        <v>44247</v>
      </c>
    </row>
    <row r="1623" spans="1:15" ht="28.8" x14ac:dyDescent="0.3">
      <c r="A1623" s="1" t="s">
        <v>4299</v>
      </c>
      <c r="B1623" s="1" t="str">
        <f>"EVANS COMMERCIAL SERVICES LIMITED"</f>
        <v>EVANS COMMERCIAL SERVICES LIMITED</v>
      </c>
      <c r="C1623" s="1" t="s">
        <v>4300</v>
      </c>
      <c r="D1623" s="1" t="s">
        <v>4301</v>
      </c>
      <c r="F1623" s="1" t="s">
        <v>585</v>
      </c>
      <c r="H1623" s="1" t="s">
        <v>4302</v>
      </c>
      <c r="I1623" s="1" t="s">
        <v>19</v>
      </c>
      <c r="J1623" s="1" t="s">
        <v>6</v>
      </c>
      <c r="K1623" s="1" t="s">
        <v>24</v>
      </c>
      <c r="L1623" s="1">
        <v>7283969</v>
      </c>
      <c r="M1623" s="2">
        <v>43151</v>
      </c>
      <c r="N1623" s="1" t="s">
        <v>8</v>
      </c>
      <c r="O1623" s="2">
        <v>44247</v>
      </c>
    </row>
    <row r="1624" spans="1:15" ht="43.2" x14ac:dyDescent="0.3">
      <c r="A1624" s="1" t="s">
        <v>4303</v>
      </c>
      <c r="B1624" s="1" t="str">
        <f>"DR M Griffiths &amp; Partners"</f>
        <v>DR M Griffiths &amp; Partners</v>
      </c>
      <c r="C1624" s="1" t="s">
        <v>4304</v>
      </c>
      <c r="F1624" s="1" t="s">
        <v>720</v>
      </c>
      <c r="H1624" s="1" t="s">
        <v>4305</v>
      </c>
      <c r="I1624" s="1" t="s">
        <v>125</v>
      </c>
      <c r="J1624" s="1" t="s">
        <v>67</v>
      </c>
      <c r="K1624" s="1" t="s">
        <v>14</v>
      </c>
      <c r="M1624" s="2">
        <v>43151</v>
      </c>
      <c r="N1624" s="1" t="s">
        <v>8</v>
      </c>
      <c r="O1624" s="1" t="s">
        <v>68</v>
      </c>
    </row>
    <row r="1625" spans="1:15" ht="28.8" x14ac:dyDescent="0.3">
      <c r="A1625" s="1" t="s">
        <v>4306</v>
      </c>
      <c r="B1625" s="1" t="str">
        <f>"EVANS MAINTENANCE SERVICES LTD"</f>
        <v>EVANS MAINTENANCE SERVICES LTD</v>
      </c>
      <c r="C1625" s="1" t="s">
        <v>4307</v>
      </c>
      <c r="D1625" s="1" t="s">
        <v>4308</v>
      </c>
      <c r="F1625" s="1" t="s">
        <v>532</v>
      </c>
      <c r="H1625" s="1" t="s">
        <v>4309</v>
      </c>
      <c r="I1625" s="1" t="s">
        <v>19</v>
      </c>
      <c r="J1625" s="1" t="s">
        <v>6</v>
      </c>
      <c r="K1625" s="1" t="s">
        <v>24</v>
      </c>
      <c r="L1625" s="1">
        <v>5024726</v>
      </c>
      <c r="M1625" s="2">
        <v>43151</v>
      </c>
      <c r="N1625" s="1" t="s">
        <v>8</v>
      </c>
      <c r="O1625" s="2">
        <v>44247</v>
      </c>
    </row>
    <row r="1626" spans="1:15" ht="43.2" x14ac:dyDescent="0.3">
      <c r="A1626" s="1" t="s">
        <v>4310</v>
      </c>
      <c r="B1626" s="1" t="str">
        <f>"Crime Scene Cleaning UK Ltd"</f>
        <v>Crime Scene Cleaning UK Ltd</v>
      </c>
      <c r="C1626" s="1" t="s">
        <v>4311</v>
      </c>
      <c r="D1626" s="1" t="s">
        <v>312</v>
      </c>
      <c r="F1626" s="1" t="s">
        <v>179</v>
      </c>
      <c r="H1626" s="1" t="s">
        <v>4312</v>
      </c>
      <c r="I1626" s="1" t="s">
        <v>19</v>
      </c>
      <c r="J1626" s="1" t="s">
        <v>67</v>
      </c>
      <c r="K1626" s="1" t="s">
        <v>24</v>
      </c>
      <c r="L1626" s="1">
        <v>6514324</v>
      </c>
      <c r="M1626" s="2">
        <v>43151</v>
      </c>
      <c r="N1626" s="1" t="s">
        <v>8</v>
      </c>
      <c r="O1626" s="1" t="s">
        <v>68</v>
      </c>
    </row>
    <row r="1627" spans="1:15" ht="28.8" x14ac:dyDescent="0.3">
      <c r="A1627" s="1" t="s">
        <v>4313</v>
      </c>
      <c r="B1627" s="1" t="str">
        <f>"W.D.L. (CONCRETE PRODUCTS) LIMITED"</f>
        <v>W.D.L. (CONCRETE PRODUCTS) LIMITED</v>
      </c>
      <c r="C1627" s="1" t="s">
        <v>4314</v>
      </c>
      <c r="D1627" s="1" t="s">
        <v>4315</v>
      </c>
      <c r="F1627" s="1" t="s">
        <v>140</v>
      </c>
      <c r="H1627" s="1" t="s">
        <v>4316</v>
      </c>
      <c r="I1627" s="1" t="s">
        <v>19</v>
      </c>
      <c r="J1627" s="1" t="s">
        <v>6</v>
      </c>
      <c r="K1627" s="1" t="s">
        <v>24</v>
      </c>
      <c r="L1627" s="1">
        <v>3886043</v>
      </c>
      <c r="M1627" s="2">
        <v>43151</v>
      </c>
      <c r="N1627" s="1" t="s">
        <v>8</v>
      </c>
      <c r="O1627" s="2">
        <v>44247</v>
      </c>
    </row>
    <row r="1628" spans="1:15" ht="43.2" x14ac:dyDescent="0.3">
      <c r="A1628" s="1" t="s">
        <v>5332</v>
      </c>
      <c r="B1628" s="1" t="str">
        <f>"Broetje Automation UK Ltd"</f>
        <v>Broetje Automation UK Ltd</v>
      </c>
      <c r="C1628" s="1" t="s">
        <v>5333</v>
      </c>
      <c r="D1628" s="1" t="s">
        <v>5334</v>
      </c>
      <c r="E1628" s="1" t="s">
        <v>4301</v>
      </c>
      <c r="F1628" s="1" t="s">
        <v>585</v>
      </c>
      <c r="H1628" s="1" t="s">
        <v>4302</v>
      </c>
      <c r="I1628" s="1" t="s">
        <v>19</v>
      </c>
      <c r="J1628" s="1" t="s">
        <v>67</v>
      </c>
      <c r="K1628" s="1" t="s">
        <v>14</v>
      </c>
      <c r="M1628" s="2">
        <v>43151</v>
      </c>
      <c r="N1628" s="1" t="s">
        <v>8</v>
      </c>
      <c r="O1628" s="1" t="s">
        <v>68</v>
      </c>
    </row>
    <row r="1629" spans="1:15" ht="43.2" x14ac:dyDescent="0.3">
      <c r="A1629" s="1" t="s">
        <v>5335</v>
      </c>
      <c r="B1629" s="1" t="str">
        <f>"FAMILY HOUSING ASSOCIATION(SWANSEA)LIMITED"</f>
        <v>FAMILY HOUSING ASSOCIATION(SWANSEA)LIMITED</v>
      </c>
      <c r="C1629" s="1" t="s">
        <v>5336</v>
      </c>
      <c r="F1629" s="1" t="s">
        <v>64</v>
      </c>
      <c r="H1629" s="1" t="s">
        <v>5337</v>
      </c>
      <c r="I1629" s="1" t="s">
        <v>125</v>
      </c>
      <c r="J1629" s="1" t="s">
        <v>6</v>
      </c>
      <c r="K1629" s="1" t="s">
        <v>34</v>
      </c>
      <c r="L1629" s="1" t="s">
        <v>5338</v>
      </c>
      <c r="M1629" s="2">
        <v>43151</v>
      </c>
      <c r="N1629" s="1" t="s">
        <v>8</v>
      </c>
      <c r="O1629" s="2">
        <v>44247</v>
      </c>
    </row>
    <row r="1630" spans="1:15" ht="43.2" x14ac:dyDescent="0.3">
      <c r="A1630" s="1" t="s">
        <v>5339</v>
      </c>
      <c r="B1630" s="1" t="str">
        <f>"Cardiff YMCA"</f>
        <v>Cardiff YMCA</v>
      </c>
      <c r="C1630" s="1" t="s">
        <v>5340</v>
      </c>
      <c r="F1630" s="1" t="s">
        <v>123</v>
      </c>
      <c r="H1630" s="1" t="s">
        <v>5341</v>
      </c>
      <c r="I1630" s="1" t="s">
        <v>1872</v>
      </c>
      <c r="J1630" s="1" t="s">
        <v>67</v>
      </c>
      <c r="K1630" s="1" t="s">
        <v>14</v>
      </c>
      <c r="M1630" s="2">
        <v>43151</v>
      </c>
      <c r="N1630" s="1" t="s">
        <v>8</v>
      </c>
      <c r="O1630" s="1" t="s">
        <v>68</v>
      </c>
    </row>
    <row r="1631" spans="1:15" ht="28.8" x14ac:dyDescent="0.3">
      <c r="A1631" s="1" t="s">
        <v>5342</v>
      </c>
      <c r="B1631" s="1" t="str">
        <f>"CORBETT BOOKMAKERS LIMITED"</f>
        <v>CORBETT BOOKMAKERS LIMITED</v>
      </c>
      <c r="C1631" s="1" t="s">
        <v>5343</v>
      </c>
      <c r="F1631" s="1" t="s">
        <v>323</v>
      </c>
      <c r="H1631" s="1" t="s">
        <v>5344</v>
      </c>
      <c r="I1631" s="1" t="s">
        <v>19</v>
      </c>
      <c r="J1631" s="1" t="s">
        <v>6</v>
      </c>
      <c r="K1631" s="1" t="s">
        <v>24</v>
      </c>
      <c r="L1631" s="1">
        <v>998813</v>
      </c>
      <c r="M1631" s="2">
        <v>43151</v>
      </c>
      <c r="N1631" s="1" t="s">
        <v>8</v>
      </c>
      <c r="O1631" s="2">
        <v>44338</v>
      </c>
    </row>
    <row r="1632" spans="1:15" ht="43.2" x14ac:dyDescent="0.3">
      <c r="A1632" s="1" t="s">
        <v>5345</v>
      </c>
      <c r="B1632" s="1" t="str">
        <f>"W.D.L. (CONTRACTING) LIMITED"</f>
        <v>W.D.L. (CONTRACTING) LIMITED</v>
      </c>
      <c r="C1632" s="1" t="s">
        <v>4314</v>
      </c>
      <c r="D1632" s="1" t="s">
        <v>4315</v>
      </c>
      <c r="F1632" s="1" t="s">
        <v>140</v>
      </c>
      <c r="H1632" s="1" t="s">
        <v>4316</v>
      </c>
      <c r="I1632" s="1" t="s">
        <v>19</v>
      </c>
      <c r="J1632" s="1" t="s">
        <v>6</v>
      </c>
      <c r="K1632" s="1" t="s">
        <v>24</v>
      </c>
      <c r="L1632" s="1">
        <v>3886047</v>
      </c>
      <c r="M1632" s="2">
        <v>43151</v>
      </c>
      <c r="N1632" s="1" t="s">
        <v>8</v>
      </c>
      <c r="O1632" s="2">
        <v>44247</v>
      </c>
    </row>
    <row r="1633" spans="1:15" ht="43.2" x14ac:dyDescent="0.3">
      <c r="A1633" s="1" t="s">
        <v>5346</v>
      </c>
      <c r="B1633" s="1" t="str">
        <f>"Integrated Protection Maintenance S"</f>
        <v>Integrated Protection Maintenance S</v>
      </c>
      <c r="C1633" s="1" t="s">
        <v>5347</v>
      </c>
      <c r="D1633" s="1" t="s">
        <v>5348</v>
      </c>
      <c r="E1633" s="1" t="s">
        <v>5349</v>
      </c>
      <c r="F1633" s="1" t="s">
        <v>5350</v>
      </c>
      <c r="H1633" s="1" t="s">
        <v>5351</v>
      </c>
      <c r="I1633" s="1" t="s">
        <v>19</v>
      </c>
      <c r="J1633" s="1" t="s">
        <v>67</v>
      </c>
      <c r="K1633" s="1" t="s">
        <v>14</v>
      </c>
      <c r="M1633" s="2">
        <v>43151</v>
      </c>
      <c r="N1633" s="1" t="s">
        <v>8</v>
      </c>
      <c r="O1633" s="1" t="s">
        <v>68</v>
      </c>
    </row>
    <row r="1634" spans="1:15" ht="43.2" x14ac:dyDescent="0.3">
      <c r="A1634" s="1" t="s">
        <v>19327</v>
      </c>
      <c r="B1634" s="1" t="str">
        <f>"Chris Wright Wright Wright gardens of Reigate"</f>
        <v>Chris Wright Wright Wright gardens of Reigate</v>
      </c>
      <c r="C1634" s="1" t="s">
        <v>19328</v>
      </c>
      <c r="F1634" s="1" t="s">
        <v>7680</v>
      </c>
      <c r="H1634" s="1" t="s">
        <v>19329</v>
      </c>
      <c r="I1634" s="1" t="s">
        <v>5</v>
      </c>
      <c r="J1634" s="1" t="s">
        <v>6</v>
      </c>
      <c r="K1634" s="1" t="s">
        <v>34</v>
      </c>
      <c r="M1634" s="2">
        <v>43151</v>
      </c>
      <c r="N1634" s="1" t="s">
        <v>8</v>
      </c>
      <c r="O1634" s="2">
        <v>44247</v>
      </c>
    </row>
    <row r="1635" spans="1:15" ht="43.2" x14ac:dyDescent="0.3">
      <c r="A1635" s="1" t="s">
        <v>19330</v>
      </c>
      <c r="B1635" s="1" t="str">
        <f>"Sam Warwick "</f>
        <v xml:space="preserve">Sam Warwick </v>
      </c>
      <c r="C1635" s="1" t="s">
        <v>19331</v>
      </c>
      <c r="F1635" s="1" t="s">
        <v>12291</v>
      </c>
      <c r="H1635" s="1" t="s">
        <v>19332</v>
      </c>
      <c r="I1635" s="1" t="s">
        <v>5</v>
      </c>
      <c r="J1635" s="1" t="s">
        <v>67</v>
      </c>
      <c r="K1635" s="1" t="s">
        <v>14</v>
      </c>
      <c r="M1635" s="2">
        <v>43151</v>
      </c>
      <c r="N1635" s="1" t="s">
        <v>8</v>
      </c>
      <c r="O1635" s="1" t="s">
        <v>68</v>
      </c>
    </row>
    <row r="1636" spans="1:15" ht="43.2" x14ac:dyDescent="0.3">
      <c r="A1636" s="1" t="s">
        <v>19333</v>
      </c>
      <c r="B1636" s="1" t="str">
        <f>"Judith Lowe"</f>
        <v>Judith Lowe</v>
      </c>
      <c r="C1636" s="1" t="s">
        <v>19334</v>
      </c>
      <c r="F1636" s="1" t="s">
        <v>354</v>
      </c>
      <c r="H1636" s="1" t="s">
        <v>19335</v>
      </c>
      <c r="I1636" s="1" t="s">
        <v>5</v>
      </c>
      <c r="J1636" s="1" t="s">
        <v>67</v>
      </c>
      <c r="K1636" s="1" t="s">
        <v>14</v>
      </c>
      <c r="M1636" s="2">
        <v>43151</v>
      </c>
      <c r="N1636" s="1" t="s">
        <v>8</v>
      </c>
      <c r="O1636" s="1" t="s">
        <v>68</v>
      </c>
    </row>
    <row r="1637" spans="1:15" ht="28.8" x14ac:dyDescent="0.3">
      <c r="A1637" s="1" t="s">
        <v>20132</v>
      </c>
      <c r="B1637" s="1" t="str">
        <f>"karl  roberts  boldmere fencing and sheds "</f>
        <v xml:space="preserve">karl  roberts  boldmere fencing and sheds </v>
      </c>
      <c r="C1637" s="1" t="s">
        <v>20133</v>
      </c>
      <c r="F1637" s="1" t="s">
        <v>7441</v>
      </c>
      <c r="H1637" s="1" t="s">
        <v>20134</v>
      </c>
      <c r="I1637" s="1" t="s">
        <v>5</v>
      </c>
      <c r="J1637" s="1" t="s">
        <v>6</v>
      </c>
      <c r="K1637" s="1" t="s">
        <v>24</v>
      </c>
      <c r="M1637" s="2">
        <v>43151</v>
      </c>
      <c r="N1637" s="1" t="s">
        <v>8</v>
      </c>
      <c r="O1637" s="2">
        <v>44247</v>
      </c>
    </row>
    <row r="1638" spans="1:15" ht="28.8" x14ac:dyDescent="0.3">
      <c r="A1638" s="1" t="s">
        <v>20135</v>
      </c>
      <c r="B1638" s="1" t="str">
        <f>"Huw  Pritchard Huw Pritchard"</f>
        <v>Huw  Pritchard Huw Pritchard</v>
      </c>
      <c r="C1638" s="1" t="s">
        <v>20136</v>
      </c>
      <c r="D1638" s="1" t="s">
        <v>20137</v>
      </c>
      <c r="F1638" s="1" t="s">
        <v>3549</v>
      </c>
      <c r="H1638" s="1" t="s">
        <v>20138</v>
      </c>
      <c r="I1638" s="1" t="s">
        <v>5</v>
      </c>
      <c r="J1638" s="1" t="s">
        <v>6</v>
      </c>
      <c r="K1638" s="1" t="s">
        <v>34</v>
      </c>
      <c r="M1638" s="2">
        <v>43151</v>
      </c>
      <c r="N1638" s="1" t="s">
        <v>8</v>
      </c>
      <c r="O1638" s="2">
        <v>44247</v>
      </c>
    </row>
    <row r="1639" spans="1:15" ht="43.2" x14ac:dyDescent="0.3">
      <c r="A1639" s="1" t="s">
        <v>20139</v>
      </c>
      <c r="B1639" s="1" t="str">
        <f>"simon amos Amos Fitting services"</f>
        <v>simon amos Amos Fitting services</v>
      </c>
      <c r="C1639" s="1" t="s">
        <v>20140</v>
      </c>
      <c r="F1639" s="1" t="s">
        <v>556</v>
      </c>
      <c r="H1639" s="1" t="s">
        <v>20141</v>
      </c>
      <c r="I1639" s="1" t="s">
        <v>5</v>
      </c>
      <c r="J1639" s="1" t="s">
        <v>67</v>
      </c>
      <c r="K1639" s="1" t="s">
        <v>24</v>
      </c>
      <c r="M1639" s="2">
        <v>43151</v>
      </c>
      <c r="N1639" s="1" t="s">
        <v>8</v>
      </c>
      <c r="O1639" s="1" t="s">
        <v>68</v>
      </c>
    </row>
    <row r="1640" spans="1:15" ht="28.8" x14ac:dyDescent="0.3">
      <c r="A1640" s="1" t="s">
        <v>20142</v>
      </c>
      <c r="B1640" s="1" t="str">
        <f>"Simon Knight Knights building services"</f>
        <v>Simon Knight Knights building services</v>
      </c>
      <c r="C1640" s="1" t="s">
        <v>20143</v>
      </c>
      <c r="D1640" s="1" t="s">
        <v>108</v>
      </c>
      <c r="F1640" s="1" t="s">
        <v>64</v>
      </c>
      <c r="H1640" s="1" t="s">
        <v>20144</v>
      </c>
      <c r="I1640" s="1" t="s">
        <v>5</v>
      </c>
      <c r="J1640" s="1" t="s">
        <v>6</v>
      </c>
      <c r="K1640" s="1" t="s">
        <v>34</v>
      </c>
      <c r="M1640" s="2">
        <v>43151</v>
      </c>
      <c r="N1640" s="1" t="s">
        <v>8</v>
      </c>
      <c r="O1640" s="2">
        <v>44247</v>
      </c>
    </row>
    <row r="1641" spans="1:15" ht="28.8" x14ac:dyDescent="0.3">
      <c r="A1641" s="1" t="s">
        <v>4290</v>
      </c>
      <c r="B1641" s="1" t="str">
        <f>"Woodland Homes South Wales Ltd"</f>
        <v>Woodland Homes South Wales Ltd</v>
      </c>
      <c r="C1641" s="1" t="s">
        <v>4291</v>
      </c>
      <c r="F1641" s="1" t="s">
        <v>487</v>
      </c>
      <c r="H1641" s="1" t="s">
        <v>4292</v>
      </c>
      <c r="I1641" s="1" t="s">
        <v>19</v>
      </c>
      <c r="J1641" s="1" t="s">
        <v>6</v>
      </c>
      <c r="K1641" s="1" t="s">
        <v>34</v>
      </c>
      <c r="L1641" s="1">
        <v>5633487</v>
      </c>
      <c r="M1641" s="2">
        <v>43150</v>
      </c>
      <c r="N1641" s="1" t="s">
        <v>8</v>
      </c>
      <c r="O1641" s="2">
        <v>44246</v>
      </c>
    </row>
    <row r="1642" spans="1:15" ht="43.2" x14ac:dyDescent="0.3">
      <c r="A1642" s="1" t="s">
        <v>16883</v>
      </c>
      <c r="B1642" s="1" t="str">
        <f>"jlc construction limited"</f>
        <v>jlc construction limited</v>
      </c>
      <c r="C1642" s="1" t="s">
        <v>16884</v>
      </c>
      <c r="F1642" s="1" t="s">
        <v>5385</v>
      </c>
      <c r="H1642" s="1" t="s">
        <v>16885</v>
      </c>
      <c r="I1642" s="1" t="s">
        <v>19</v>
      </c>
      <c r="J1642" s="1" t="s">
        <v>67</v>
      </c>
      <c r="K1642" s="1" t="s">
        <v>14</v>
      </c>
      <c r="M1642" s="2">
        <v>43150</v>
      </c>
      <c r="N1642" s="1" t="s">
        <v>8</v>
      </c>
      <c r="O1642" s="1" t="s">
        <v>68</v>
      </c>
    </row>
    <row r="1643" spans="1:15" ht="28.8" x14ac:dyDescent="0.3">
      <c r="A1643" s="1" t="s">
        <v>16886</v>
      </c>
      <c r="B1643" s="1" t="str">
        <f>"Supreme.cleaningservices"</f>
        <v>Supreme.cleaningservices</v>
      </c>
      <c r="C1643" s="1" t="s">
        <v>16887</v>
      </c>
      <c r="F1643" s="1" t="s">
        <v>5459</v>
      </c>
      <c r="H1643" s="1" t="s">
        <v>16888</v>
      </c>
      <c r="I1643" s="1" t="s">
        <v>125</v>
      </c>
      <c r="J1643" s="1" t="s">
        <v>6</v>
      </c>
      <c r="K1643" s="1" t="s">
        <v>24</v>
      </c>
      <c r="M1643" s="2">
        <v>43150</v>
      </c>
      <c r="N1643" s="1" t="s">
        <v>8</v>
      </c>
      <c r="O1643" s="2">
        <v>44246</v>
      </c>
    </row>
    <row r="1644" spans="1:15" ht="43.2" x14ac:dyDescent="0.3">
      <c r="A1644" s="1" t="s">
        <v>17904</v>
      </c>
      <c r="B1644" s="1" t="str">
        <f>"Dutties Limited "</f>
        <v xml:space="preserve">Dutties Limited </v>
      </c>
      <c r="C1644" s="1" t="s">
        <v>17905</v>
      </c>
      <c r="F1644" s="1" t="s">
        <v>170</v>
      </c>
      <c r="H1644" s="1" t="s">
        <v>17906</v>
      </c>
      <c r="I1644" s="1" t="s">
        <v>19</v>
      </c>
      <c r="J1644" s="1" t="s">
        <v>67</v>
      </c>
      <c r="K1644" s="1" t="s">
        <v>14</v>
      </c>
      <c r="M1644" s="2">
        <v>43150</v>
      </c>
      <c r="N1644" s="1" t="s">
        <v>8</v>
      </c>
      <c r="O1644" s="1" t="s">
        <v>68</v>
      </c>
    </row>
    <row r="1645" spans="1:15" ht="28.8" x14ac:dyDescent="0.3">
      <c r="A1645" s="1" t="s">
        <v>17907</v>
      </c>
      <c r="B1645" s="1" t="str">
        <f>"STEPHEN GOWING LIMITED"</f>
        <v>STEPHEN GOWING LIMITED</v>
      </c>
      <c r="C1645" s="1" t="s">
        <v>17908</v>
      </c>
      <c r="F1645" s="1" t="s">
        <v>358</v>
      </c>
      <c r="H1645" s="1" t="s">
        <v>17909</v>
      </c>
      <c r="I1645" s="1" t="s">
        <v>19</v>
      </c>
      <c r="J1645" s="1" t="s">
        <v>6</v>
      </c>
      <c r="K1645" s="1" t="s">
        <v>34</v>
      </c>
      <c r="L1645" s="1">
        <v>9392797</v>
      </c>
      <c r="M1645" s="2">
        <v>43150</v>
      </c>
      <c r="N1645" s="1" t="s">
        <v>8</v>
      </c>
      <c r="O1645" s="2">
        <v>44246</v>
      </c>
    </row>
    <row r="1646" spans="1:15" ht="28.8" x14ac:dyDescent="0.3">
      <c r="A1646" s="1" t="s">
        <v>17910</v>
      </c>
      <c r="B1646" s="1" t="str">
        <f>"RICHARDS SERVICES LIMITED"</f>
        <v>RICHARDS SERVICES LIMITED</v>
      </c>
      <c r="C1646" s="1" t="s">
        <v>16615</v>
      </c>
      <c r="F1646" s="1" t="s">
        <v>2459</v>
      </c>
      <c r="H1646" s="1" t="s">
        <v>2880</v>
      </c>
      <c r="I1646" s="1" t="s">
        <v>19</v>
      </c>
      <c r="J1646" s="1" t="s">
        <v>6</v>
      </c>
      <c r="K1646" s="1" t="s">
        <v>34</v>
      </c>
      <c r="L1646" s="1">
        <v>6439645</v>
      </c>
      <c r="M1646" s="2">
        <v>43150</v>
      </c>
      <c r="N1646" s="1" t="s">
        <v>8</v>
      </c>
      <c r="O1646" s="2">
        <v>44246</v>
      </c>
    </row>
    <row r="1647" spans="1:15" ht="43.2" x14ac:dyDescent="0.3">
      <c r="A1647" s="1" t="s">
        <v>17911</v>
      </c>
      <c r="B1647" s="1" t="str">
        <f>"b c domestics"</f>
        <v>b c domestics</v>
      </c>
      <c r="C1647" s="1" t="s">
        <v>17912</v>
      </c>
      <c r="D1647" s="1" t="s">
        <v>6127</v>
      </c>
      <c r="E1647" s="1" t="s">
        <v>2236</v>
      </c>
      <c r="F1647" s="1" t="s">
        <v>476</v>
      </c>
      <c r="H1647" s="1" t="s">
        <v>6128</v>
      </c>
      <c r="I1647" s="1" t="s">
        <v>125</v>
      </c>
      <c r="J1647" s="1" t="s">
        <v>67</v>
      </c>
      <c r="K1647" s="1" t="s">
        <v>14</v>
      </c>
      <c r="M1647" s="2">
        <v>43150</v>
      </c>
      <c r="N1647" s="1" t="s">
        <v>8</v>
      </c>
      <c r="O1647" s="1" t="s">
        <v>68</v>
      </c>
    </row>
    <row r="1648" spans="1:15" ht="43.2" x14ac:dyDescent="0.3">
      <c r="A1648" s="1" t="s">
        <v>17913</v>
      </c>
      <c r="B1648" s="1" t="str">
        <f>"rose&amp;crown ltd"</f>
        <v>rose&amp;crown ltd</v>
      </c>
      <c r="C1648" s="1" t="s">
        <v>17914</v>
      </c>
      <c r="F1648" s="1" t="s">
        <v>556</v>
      </c>
      <c r="H1648" s="1" t="s">
        <v>17915</v>
      </c>
      <c r="I1648" s="1" t="s">
        <v>19</v>
      </c>
      <c r="J1648" s="1" t="s">
        <v>67</v>
      </c>
      <c r="K1648" s="1" t="s">
        <v>14</v>
      </c>
      <c r="M1648" s="2">
        <v>43150</v>
      </c>
      <c r="N1648" s="1" t="s">
        <v>8</v>
      </c>
      <c r="O1648" s="1" t="s">
        <v>68</v>
      </c>
    </row>
    <row r="1649" spans="1:15" ht="28.8" x14ac:dyDescent="0.3">
      <c r="A1649" s="1" t="s">
        <v>17916</v>
      </c>
      <c r="B1649" s="1" t="str">
        <f>"Anglesey County Council Housing Rep"</f>
        <v>Anglesey County Council Housing Rep</v>
      </c>
      <c r="C1649" s="1" t="s">
        <v>3058</v>
      </c>
      <c r="F1649" s="1" t="s">
        <v>119</v>
      </c>
      <c r="H1649" s="1" t="s">
        <v>3059</v>
      </c>
      <c r="I1649" s="1" t="s">
        <v>188</v>
      </c>
      <c r="J1649" s="1" t="s">
        <v>6</v>
      </c>
      <c r="K1649" s="1" t="s">
        <v>34</v>
      </c>
      <c r="M1649" s="2">
        <v>43150</v>
      </c>
      <c r="N1649" s="1" t="s">
        <v>8</v>
      </c>
      <c r="O1649" s="2">
        <v>44245</v>
      </c>
    </row>
    <row r="1650" spans="1:15" ht="43.2" x14ac:dyDescent="0.3">
      <c r="A1650" s="1" t="s">
        <v>17917</v>
      </c>
      <c r="B1650" s="1" t="str">
        <f>"PPP"</f>
        <v>PPP</v>
      </c>
      <c r="C1650" s="1" t="s">
        <v>17918</v>
      </c>
      <c r="F1650" s="1" t="s">
        <v>1998</v>
      </c>
      <c r="H1650" s="1" t="s">
        <v>17919</v>
      </c>
      <c r="I1650" s="1" t="s">
        <v>1872</v>
      </c>
      <c r="J1650" s="1" t="s">
        <v>67</v>
      </c>
      <c r="K1650" s="1" t="s">
        <v>14</v>
      </c>
      <c r="M1650" s="2">
        <v>43150</v>
      </c>
      <c r="N1650" s="1" t="s">
        <v>8</v>
      </c>
      <c r="O1650" s="1" t="s">
        <v>68</v>
      </c>
    </row>
    <row r="1651" spans="1:15" x14ac:dyDescent="0.3">
      <c r="A1651" s="1" t="s">
        <v>17920</v>
      </c>
      <c r="B1651" s="1" t="str">
        <f>"Pm-Ddungu Removals"</f>
        <v>Pm-Ddungu Removals</v>
      </c>
      <c r="C1651" s="1" t="s">
        <v>17921</v>
      </c>
      <c r="F1651" s="1" t="s">
        <v>123</v>
      </c>
      <c r="H1651" s="1" t="s">
        <v>17922</v>
      </c>
      <c r="I1651" s="1" t="s">
        <v>19</v>
      </c>
      <c r="J1651" s="1" t="s">
        <v>6</v>
      </c>
      <c r="K1651" s="1" t="s">
        <v>24</v>
      </c>
      <c r="L1651" s="1">
        <v>8963253</v>
      </c>
      <c r="M1651" s="2">
        <v>43150</v>
      </c>
      <c r="N1651" s="1" t="s">
        <v>8</v>
      </c>
      <c r="O1651" s="2">
        <v>44246</v>
      </c>
    </row>
    <row r="1652" spans="1:15" ht="28.8" x14ac:dyDescent="0.3">
      <c r="A1652" s="1" t="s">
        <v>17923</v>
      </c>
      <c r="B1652" s="1" t="str">
        <f>"MD Heating Wales limited"</f>
        <v>MD Heating Wales limited</v>
      </c>
      <c r="C1652" s="1" t="s">
        <v>17924</v>
      </c>
      <c r="F1652" s="1" t="s">
        <v>156</v>
      </c>
      <c r="H1652" s="1" t="s">
        <v>17925</v>
      </c>
      <c r="I1652" s="1" t="s">
        <v>19</v>
      </c>
      <c r="J1652" s="1" t="s">
        <v>6</v>
      </c>
      <c r="K1652" s="1" t="s">
        <v>24</v>
      </c>
      <c r="L1652" s="1">
        <v>9557448</v>
      </c>
      <c r="M1652" s="2">
        <v>43150</v>
      </c>
      <c r="N1652" s="1" t="s">
        <v>8</v>
      </c>
      <c r="O1652" s="2">
        <v>44246</v>
      </c>
    </row>
    <row r="1653" spans="1:15" ht="28.8" x14ac:dyDescent="0.3">
      <c r="A1653" s="1" t="s">
        <v>19322</v>
      </c>
      <c r="B1653" s="1" t="str">
        <f>"JUSTIN FULLALOVE"</f>
        <v>JUSTIN FULLALOVE</v>
      </c>
      <c r="C1653" s="1" t="s">
        <v>19323</v>
      </c>
      <c r="F1653" s="1" t="s">
        <v>1093</v>
      </c>
      <c r="H1653" s="1" t="s">
        <v>19324</v>
      </c>
      <c r="I1653" s="1" t="s">
        <v>5</v>
      </c>
      <c r="J1653" s="1" t="s">
        <v>6</v>
      </c>
      <c r="K1653" s="1" t="s">
        <v>34</v>
      </c>
      <c r="M1653" s="2">
        <v>43150</v>
      </c>
      <c r="N1653" s="1" t="s">
        <v>8</v>
      </c>
      <c r="O1653" s="2">
        <v>44246</v>
      </c>
    </row>
    <row r="1654" spans="1:15" ht="43.2" x14ac:dyDescent="0.3">
      <c r="A1654" s="1" t="s">
        <v>19325</v>
      </c>
      <c r="B1654" s="1" t="str">
        <f>"Mark Gregory"</f>
        <v>Mark Gregory</v>
      </c>
      <c r="C1654" s="1" t="s">
        <v>19326</v>
      </c>
      <c r="F1654" s="1" t="s">
        <v>1058</v>
      </c>
      <c r="H1654" s="1" t="s">
        <v>2109</v>
      </c>
      <c r="I1654" s="1" t="s">
        <v>5</v>
      </c>
      <c r="J1654" s="1" t="s">
        <v>67</v>
      </c>
      <c r="K1654" s="1" t="s">
        <v>14</v>
      </c>
      <c r="M1654" s="2">
        <v>43150</v>
      </c>
      <c r="N1654" s="1" t="s">
        <v>8</v>
      </c>
      <c r="O1654" s="1" t="s">
        <v>68</v>
      </c>
    </row>
    <row r="1655" spans="1:15" ht="43.2" x14ac:dyDescent="0.3">
      <c r="A1655" s="1" t="s">
        <v>28861</v>
      </c>
      <c r="B1655" s="1" t="str">
        <f>"paul allam"</f>
        <v>paul allam</v>
      </c>
      <c r="C1655" s="1" t="s">
        <v>28862</v>
      </c>
      <c r="F1655" s="1" t="s">
        <v>798</v>
      </c>
      <c r="H1655" s="1" t="s">
        <v>28863</v>
      </c>
      <c r="I1655" s="1" t="s">
        <v>5</v>
      </c>
      <c r="J1655" s="1" t="s">
        <v>67</v>
      </c>
      <c r="K1655" s="1" t="s">
        <v>14</v>
      </c>
      <c r="M1655" s="2">
        <v>43150</v>
      </c>
      <c r="N1655" s="1" t="s">
        <v>8</v>
      </c>
      <c r="O1655" s="1" t="s">
        <v>68</v>
      </c>
    </row>
    <row r="1656" spans="1:15" ht="43.2" x14ac:dyDescent="0.3">
      <c r="A1656" s="1" t="s">
        <v>29606</v>
      </c>
      <c r="B1656" s="1" t="str">
        <f>"Daniel Stephenson Daniel stephenson"</f>
        <v>Daniel Stephenson Daniel stephenson</v>
      </c>
      <c r="C1656" s="1" t="s">
        <v>29607</v>
      </c>
      <c r="D1656" s="1" t="s">
        <v>29608</v>
      </c>
      <c r="F1656" s="1" t="s">
        <v>720</v>
      </c>
      <c r="H1656" s="1" t="s">
        <v>29609</v>
      </c>
      <c r="I1656" s="1" t="s">
        <v>5</v>
      </c>
      <c r="J1656" s="1" t="s">
        <v>67</v>
      </c>
      <c r="K1656" s="1" t="s">
        <v>24</v>
      </c>
      <c r="M1656" s="2">
        <v>43150</v>
      </c>
      <c r="N1656" s="1" t="s">
        <v>8</v>
      </c>
      <c r="O1656" s="1" t="s">
        <v>68</v>
      </c>
    </row>
    <row r="1657" spans="1:15" ht="28.8" x14ac:dyDescent="0.3">
      <c r="A1657" s="1" t="s">
        <v>29610</v>
      </c>
      <c r="B1657" s="1" t="str">
        <f>"Nigel Oldridge NMO Cleaning Services"</f>
        <v>Nigel Oldridge NMO Cleaning Services</v>
      </c>
      <c r="C1657" s="1" t="s">
        <v>29611</v>
      </c>
      <c r="F1657" s="1" t="s">
        <v>277</v>
      </c>
      <c r="H1657" s="1" t="s">
        <v>29612</v>
      </c>
      <c r="I1657" s="1" t="s">
        <v>5</v>
      </c>
      <c r="J1657" s="1" t="s">
        <v>6</v>
      </c>
      <c r="K1657" s="1" t="s">
        <v>24</v>
      </c>
      <c r="M1657" s="2">
        <v>43150</v>
      </c>
      <c r="N1657" s="1" t="s">
        <v>8</v>
      </c>
      <c r="O1657" s="2">
        <v>44246</v>
      </c>
    </row>
    <row r="1658" spans="1:15" ht="43.2" x14ac:dyDescent="0.3">
      <c r="A1658" s="1" t="s">
        <v>29613</v>
      </c>
      <c r="B1658" s="1" t="str">
        <f>"Jaspal  Dhesi"</f>
        <v>Jaspal  Dhesi</v>
      </c>
      <c r="C1658" s="1" t="s">
        <v>29614</v>
      </c>
      <c r="F1658" s="1" t="s">
        <v>364</v>
      </c>
      <c r="H1658" s="1" t="s">
        <v>29615</v>
      </c>
      <c r="I1658" s="1" t="s">
        <v>5</v>
      </c>
      <c r="J1658" s="1" t="s">
        <v>67</v>
      </c>
      <c r="K1658" s="1" t="s">
        <v>14</v>
      </c>
      <c r="M1658" s="2">
        <v>43150</v>
      </c>
      <c r="N1658" s="1" t="s">
        <v>8</v>
      </c>
      <c r="O1658" s="1" t="s">
        <v>68</v>
      </c>
    </row>
    <row r="1659" spans="1:15" ht="28.8" x14ac:dyDescent="0.3">
      <c r="A1659" s="1" t="s">
        <v>29616</v>
      </c>
      <c r="B1659" s="1" t="str">
        <f>"Jamie Thomas Bridgend roofing "</f>
        <v xml:space="preserve">Jamie Thomas Bridgend roofing </v>
      </c>
      <c r="C1659" s="1" t="s">
        <v>29617</v>
      </c>
      <c r="F1659" s="1" t="s">
        <v>179</v>
      </c>
      <c r="H1659" s="1" t="s">
        <v>29618</v>
      </c>
      <c r="I1659" s="1" t="s">
        <v>5</v>
      </c>
      <c r="J1659" s="1" t="s">
        <v>6</v>
      </c>
      <c r="K1659" s="1" t="s">
        <v>34</v>
      </c>
      <c r="M1659" s="2">
        <v>43150</v>
      </c>
      <c r="N1659" s="1" t="s">
        <v>8</v>
      </c>
      <c r="O1659" s="2">
        <v>44246</v>
      </c>
    </row>
    <row r="1660" spans="1:15" ht="28.8" x14ac:dyDescent="0.3">
      <c r="A1660" s="1" t="s">
        <v>29619</v>
      </c>
      <c r="B1660" s="1" t="str">
        <f>"Lewis Randell  Lewis Gardening services"</f>
        <v>Lewis Randell  Lewis Gardening services</v>
      </c>
      <c r="C1660" s="1" t="s">
        <v>29620</v>
      </c>
      <c r="D1660" s="1" t="s">
        <v>29621</v>
      </c>
      <c r="F1660" s="1" t="s">
        <v>277</v>
      </c>
      <c r="H1660" s="1" t="s">
        <v>29622</v>
      </c>
      <c r="I1660" s="1" t="s">
        <v>5</v>
      </c>
      <c r="J1660" s="1" t="s">
        <v>6</v>
      </c>
      <c r="K1660" s="1" t="s">
        <v>24</v>
      </c>
      <c r="M1660" s="2">
        <v>43150</v>
      </c>
      <c r="N1660" s="1" t="s">
        <v>8</v>
      </c>
      <c r="O1660" s="2">
        <v>44245</v>
      </c>
    </row>
    <row r="1661" spans="1:15" ht="43.2" x14ac:dyDescent="0.3">
      <c r="A1661" s="1" t="s">
        <v>29623</v>
      </c>
      <c r="B1661" s="1" t="str">
        <f>"John Jones"</f>
        <v>John Jones</v>
      </c>
      <c r="C1661" s="1" t="s">
        <v>29624</v>
      </c>
      <c r="F1661" s="1" t="s">
        <v>556</v>
      </c>
      <c r="H1661" s="1" t="s">
        <v>29625</v>
      </c>
      <c r="I1661" s="1" t="s">
        <v>5</v>
      </c>
      <c r="J1661" s="1" t="s">
        <v>67</v>
      </c>
      <c r="K1661" s="1" t="s">
        <v>24</v>
      </c>
      <c r="M1661" s="2">
        <v>43150</v>
      </c>
      <c r="N1661" s="1" t="s">
        <v>8</v>
      </c>
      <c r="O1661" s="1" t="s">
        <v>68</v>
      </c>
    </row>
    <row r="1662" spans="1:15" ht="43.2" x14ac:dyDescent="0.3">
      <c r="A1662" s="1" t="s">
        <v>16868</v>
      </c>
      <c r="B1662" s="1" t="str">
        <f>"J A BAKER &amp; SON LTD"</f>
        <v>J A BAKER &amp; SON LTD</v>
      </c>
      <c r="C1662" s="1" t="s">
        <v>16869</v>
      </c>
      <c r="F1662" s="1" t="s">
        <v>7844</v>
      </c>
      <c r="H1662" s="1" t="s">
        <v>16870</v>
      </c>
      <c r="I1662" s="1" t="s">
        <v>19</v>
      </c>
      <c r="J1662" s="1" t="s">
        <v>67</v>
      </c>
      <c r="K1662" s="1" t="s">
        <v>14</v>
      </c>
      <c r="M1662" s="2">
        <v>43149</v>
      </c>
      <c r="N1662" s="1" t="s">
        <v>8</v>
      </c>
      <c r="O1662" s="1" t="s">
        <v>68</v>
      </c>
    </row>
    <row r="1663" spans="1:15" ht="28.8" x14ac:dyDescent="0.3">
      <c r="A1663" s="1" t="s">
        <v>16871</v>
      </c>
      <c r="B1663" s="1" t="str">
        <f>"Jdb Landscapes ltd "</f>
        <v xml:space="preserve">Jdb Landscapes ltd </v>
      </c>
      <c r="C1663" s="1" t="s">
        <v>16872</v>
      </c>
      <c r="F1663" s="1" t="s">
        <v>16873</v>
      </c>
      <c r="H1663" s="1" t="s">
        <v>16874</v>
      </c>
      <c r="I1663" s="1" t="s">
        <v>19</v>
      </c>
      <c r="J1663" s="1" t="s">
        <v>6</v>
      </c>
      <c r="K1663" s="1" t="s">
        <v>34</v>
      </c>
      <c r="L1663" s="1">
        <v>10420139</v>
      </c>
      <c r="M1663" s="2">
        <v>43149</v>
      </c>
      <c r="N1663" s="1" t="s">
        <v>8</v>
      </c>
      <c r="O1663" s="2">
        <v>44245</v>
      </c>
    </row>
    <row r="1664" spans="1:15" ht="28.8" x14ac:dyDescent="0.3">
      <c r="A1664" s="1" t="s">
        <v>16875</v>
      </c>
      <c r="B1664" s="1" t="str">
        <f>"L S HEATING (north east) ltd"</f>
        <v>L S HEATING (north east) ltd</v>
      </c>
      <c r="C1664" s="1" t="s">
        <v>16876</v>
      </c>
      <c r="F1664" s="1" t="s">
        <v>16877</v>
      </c>
      <c r="H1664" s="1" t="s">
        <v>16878</v>
      </c>
      <c r="I1664" s="1" t="s">
        <v>19</v>
      </c>
      <c r="J1664" s="1" t="s">
        <v>6</v>
      </c>
      <c r="K1664" s="1" t="s">
        <v>34</v>
      </c>
      <c r="L1664" s="1">
        <v>10599935</v>
      </c>
      <c r="M1664" s="2">
        <v>43149</v>
      </c>
      <c r="N1664" s="1" t="s">
        <v>8</v>
      </c>
      <c r="O1664" s="2">
        <v>44245</v>
      </c>
    </row>
    <row r="1665" spans="1:15" ht="43.2" x14ac:dyDescent="0.3">
      <c r="A1665" s="1" t="s">
        <v>16879</v>
      </c>
      <c r="B1665" s="1" t="str">
        <f>"Lime Apples"</f>
        <v>Lime Apples</v>
      </c>
      <c r="C1665" s="1" t="s">
        <v>16880</v>
      </c>
      <c r="D1665" s="1" t="s">
        <v>16881</v>
      </c>
      <c r="F1665" s="1" t="s">
        <v>5042</v>
      </c>
      <c r="H1665" s="1" t="s">
        <v>16882</v>
      </c>
      <c r="I1665" s="1" t="s">
        <v>19</v>
      </c>
      <c r="J1665" s="1" t="s">
        <v>67</v>
      </c>
      <c r="K1665" s="1" t="s">
        <v>14</v>
      </c>
      <c r="M1665" s="2">
        <v>43149</v>
      </c>
      <c r="N1665" s="1" t="s">
        <v>8</v>
      </c>
      <c r="O1665" s="1" t="s">
        <v>68</v>
      </c>
    </row>
    <row r="1666" spans="1:15" ht="43.2" x14ac:dyDescent="0.3">
      <c r="A1666" s="1" t="s">
        <v>28060</v>
      </c>
      <c r="B1666" s="1" t="str">
        <f>"Stuart Tynan"</f>
        <v>Stuart Tynan</v>
      </c>
      <c r="C1666" s="1" t="s">
        <v>28061</v>
      </c>
      <c r="F1666" s="1" t="s">
        <v>179</v>
      </c>
      <c r="H1666" s="1" t="s">
        <v>28062</v>
      </c>
      <c r="I1666" s="1" t="s">
        <v>5</v>
      </c>
      <c r="J1666" s="1" t="s">
        <v>67</v>
      </c>
      <c r="K1666" s="1" t="s">
        <v>14</v>
      </c>
      <c r="M1666" s="2">
        <v>43149</v>
      </c>
      <c r="N1666" s="1" t="s">
        <v>8</v>
      </c>
      <c r="O1666" s="1" t="s">
        <v>68</v>
      </c>
    </row>
    <row r="1667" spans="1:15" ht="43.2" x14ac:dyDescent="0.3">
      <c r="A1667" s="1" t="s">
        <v>28841</v>
      </c>
      <c r="B1667" s="1" t="str">
        <f>"Joanne Warring"</f>
        <v>Joanne Warring</v>
      </c>
      <c r="C1667" s="1" t="s">
        <v>28842</v>
      </c>
      <c r="F1667" s="1" t="s">
        <v>64</v>
      </c>
      <c r="H1667" s="1" t="s">
        <v>28843</v>
      </c>
      <c r="I1667" s="1" t="s">
        <v>5</v>
      </c>
      <c r="J1667" s="1" t="s">
        <v>67</v>
      </c>
      <c r="K1667" s="1" t="s">
        <v>14</v>
      </c>
      <c r="M1667" s="2">
        <v>43149</v>
      </c>
      <c r="N1667" s="1" t="s">
        <v>8</v>
      </c>
      <c r="O1667" s="1" t="s">
        <v>68</v>
      </c>
    </row>
    <row r="1668" spans="1:15" ht="28.8" x14ac:dyDescent="0.3">
      <c r="A1668" s="1" t="s">
        <v>28844</v>
      </c>
      <c r="B1668" s="1" t="str">
        <f>"michael rees m.r. maintenance"</f>
        <v>michael rees m.r. maintenance</v>
      </c>
      <c r="C1668" s="1" t="s">
        <v>28845</v>
      </c>
      <c r="F1668" s="1" t="s">
        <v>6317</v>
      </c>
      <c r="H1668" s="1" t="s">
        <v>28846</v>
      </c>
      <c r="I1668" s="1" t="s">
        <v>5</v>
      </c>
      <c r="J1668" s="1" t="s">
        <v>6</v>
      </c>
      <c r="K1668" s="1" t="s">
        <v>24</v>
      </c>
      <c r="M1668" s="2">
        <v>43149</v>
      </c>
      <c r="N1668" s="1" t="s">
        <v>8</v>
      </c>
      <c r="O1668" s="2">
        <v>44245</v>
      </c>
    </row>
    <row r="1669" spans="1:15" ht="43.2" x14ac:dyDescent="0.3">
      <c r="A1669" s="1" t="s">
        <v>28847</v>
      </c>
      <c r="B1669" s="1" t="str">
        <f>"Balendran Thibakaran"</f>
        <v>Balendran Thibakaran</v>
      </c>
      <c r="C1669" s="1" t="s">
        <v>28848</v>
      </c>
      <c r="F1669" s="1" t="s">
        <v>8904</v>
      </c>
      <c r="H1669" s="1" t="s">
        <v>28849</v>
      </c>
      <c r="I1669" s="1" t="s">
        <v>5</v>
      </c>
      <c r="J1669" s="1" t="s">
        <v>67</v>
      </c>
      <c r="K1669" s="1" t="s">
        <v>14</v>
      </c>
      <c r="M1669" s="2">
        <v>43149</v>
      </c>
      <c r="N1669" s="1" t="s">
        <v>8</v>
      </c>
      <c r="O1669" s="1" t="s">
        <v>68</v>
      </c>
    </row>
    <row r="1670" spans="1:15" ht="43.2" x14ac:dyDescent="0.3">
      <c r="A1670" s="1" t="s">
        <v>28850</v>
      </c>
      <c r="B1670" s="1" t="str">
        <f>"Mark Gainfort"</f>
        <v>Mark Gainfort</v>
      </c>
      <c r="C1670" s="1" t="s">
        <v>28851</v>
      </c>
      <c r="F1670" s="1" t="s">
        <v>1776</v>
      </c>
      <c r="H1670" s="1" t="s">
        <v>28852</v>
      </c>
      <c r="I1670" s="1" t="s">
        <v>5</v>
      </c>
      <c r="J1670" s="1" t="s">
        <v>67</v>
      </c>
      <c r="K1670" s="1" t="s">
        <v>14</v>
      </c>
      <c r="M1670" s="2">
        <v>43149</v>
      </c>
      <c r="N1670" s="1" t="s">
        <v>8</v>
      </c>
      <c r="O1670" s="1" t="s">
        <v>68</v>
      </c>
    </row>
    <row r="1671" spans="1:15" ht="43.2" x14ac:dyDescent="0.3">
      <c r="A1671" s="1" t="s">
        <v>28853</v>
      </c>
      <c r="B1671" s="1" t="str">
        <f>"rhys sinclair"</f>
        <v>rhys sinclair</v>
      </c>
      <c r="C1671" s="1" t="s">
        <v>28854</v>
      </c>
      <c r="F1671" s="1" t="s">
        <v>28855</v>
      </c>
      <c r="H1671" s="1" t="s">
        <v>28856</v>
      </c>
      <c r="I1671" s="1" t="s">
        <v>5</v>
      </c>
      <c r="J1671" s="1" t="s">
        <v>67</v>
      </c>
      <c r="K1671" s="1" t="s">
        <v>14</v>
      </c>
      <c r="M1671" s="2">
        <v>43149</v>
      </c>
      <c r="N1671" s="1" t="s">
        <v>8</v>
      </c>
      <c r="O1671" s="1" t="s">
        <v>68</v>
      </c>
    </row>
    <row r="1672" spans="1:15" ht="28.8" x14ac:dyDescent="0.3">
      <c r="A1672" s="1" t="s">
        <v>28857</v>
      </c>
      <c r="B1672" s="1" t="str">
        <f>"josh williams williams contracting"</f>
        <v>josh williams williams contracting</v>
      </c>
      <c r="C1672" s="1" t="s">
        <v>28858</v>
      </c>
      <c r="D1672" s="1" t="s">
        <v>28859</v>
      </c>
      <c r="F1672" s="1" t="s">
        <v>5463</v>
      </c>
      <c r="H1672" s="1" t="s">
        <v>28860</v>
      </c>
      <c r="I1672" s="1" t="s">
        <v>5</v>
      </c>
      <c r="J1672" s="1" t="s">
        <v>6</v>
      </c>
      <c r="K1672" s="1" t="s">
        <v>24</v>
      </c>
      <c r="M1672" s="2">
        <v>43149</v>
      </c>
      <c r="N1672" s="1" t="s">
        <v>8</v>
      </c>
      <c r="O1672" s="2">
        <v>44245</v>
      </c>
    </row>
    <row r="1673" spans="1:15" ht="43.2" x14ac:dyDescent="0.3">
      <c r="A1673" s="1" t="s">
        <v>15897</v>
      </c>
      <c r="B1673" s="1" t="str">
        <f>"PACK AND STORE UK"</f>
        <v>PACK AND STORE UK</v>
      </c>
      <c r="C1673" s="1" t="s">
        <v>15898</v>
      </c>
      <c r="F1673" s="1" t="s">
        <v>10401</v>
      </c>
      <c r="H1673" s="1" t="s">
        <v>15899</v>
      </c>
      <c r="I1673" s="1" t="s">
        <v>19</v>
      </c>
      <c r="J1673" s="1" t="s">
        <v>67</v>
      </c>
      <c r="K1673" s="1" t="s">
        <v>14</v>
      </c>
      <c r="M1673" s="2">
        <v>43147</v>
      </c>
      <c r="N1673" s="1" t="s">
        <v>8</v>
      </c>
      <c r="O1673" s="1" t="s">
        <v>68</v>
      </c>
    </row>
    <row r="1674" spans="1:15" ht="28.8" x14ac:dyDescent="0.3">
      <c r="A1674" s="1" t="s">
        <v>15900</v>
      </c>
      <c r="B1674" s="1" t="str">
        <f>"QUEST LOGISTICS LTD"</f>
        <v>QUEST LOGISTICS LTD</v>
      </c>
      <c r="C1674" s="1" t="s">
        <v>15901</v>
      </c>
      <c r="D1674" s="1" t="s">
        <v>15902</v>
      </c>
      <c r="F1674" s="1" t="s">
        <v>15903</v>
      </c>
      <c r="H1674" s="1" t="s">
        <v>15904</v>
      </c>
      <c r="I1674" s="1" t="s">
        <v>19</v>
      </c>
      <c r="J1674" s="1" t="s">
        <v>6</v>
      </c>
      <c r="K1674" s="1" t="s">
        <v>34</v>
      </c>
      <c r="L1674" s="1">
        <v>7987985</v>
      </c>
      <c r="M1674" s="2">
        <v>43147</v>
      </c>
      <c r="N1674" s="1" t="s">
        <v>8</v>
      </c>
      <c r="O1674" s="2">
        <v>44243</v>
      </c>
    </row>
    <row r="1675" spans="1:15" ht="43.2" x14ac:dyDescent="0.3">
      <c r="A1675" s="1" t="s">
        <v>15905</v>
      </c>
      <c r="B1675" s="1" t="str">
        <f>"Kumar Stores Ltd"</f>
        <v>Kumar Stores Ltd</v>
      </c>
      <c r="C1675" s="1" t="s">
        <v>15906</v>
      </c>
      <c r="F1675" s="1" t="s">
        <v>32</v>
      </c>
      <c r="H1675" s="1" t="s">
        <v>2539</v>
      </c>
      <c r="I1675" s="1" t="s">
        <v>19</v>
      </c>
      <c r="J1675" s="1" t="s">
        <v>67</v>
      </c>
      <c r="K1675" s="1" t="s">
        <v>14</v>
      </c>
      <c r="M1675" s="2">
        <v>43147</v>
      </c>
      <c r="N1675" s="1" t="s">
        <v>8</v>
      </c>
      <c r="O1675" s="1" t="s">
        <v>68</v>
      </c>
    </row>
    <row r="1676" spans="1:15" ht="28.8" x14ac:dyDescent="0.3">
      <c r="A1676" s="1" t="s">
        <v>15907</v>
      </c>
      <c r="B1676" s="1" t="str">
        <f>"John Jones &amp; Son Ltd."</f>
        <v>John Jones &amp; Son Ltd.</v>
      </c>
      <c r="C1676" s="1" t="s">
        <v>15908</v>
      </c>
      <c r="D1676" s="1" t="s">
        <v>14595</v>
      </c>
      <c r="F1676" s="1" t="s">
        <v>42</v>
      </c>
      <c r="H1676" s="1" t="s">
        <v>15909</v>
      </c>
      <c r="I1676" s="1" t="s">
        <v>19</v>
      </c>
      <c r="J1676" s="1" t="s">
        <v>6</v>
      </c>
      <c r="K1676" s="1" t="s">
        <v>34</v>
      </c>
      <c r="L1676" s="1">
        <v>3832135</v>
      </c>
      <c r="M1676" s="2">
        <v>43147</v>
      </c>
      <c r="N1676" s="1" t="s">
        <v>8</v>
      </c>
      <c r="O1676" s="2">
        <v>44243</v>
      </c>
    </row>
    <row r="1677" spans="1:15" ht="43.2" x14ac:dyDescent="0.3">
      <c r="A1677" s="1" t="s">
        <v>28051</v>
      </c>
      <c r="B1677" s="1" t="str">
        <f>"Thomas Hope"</f>
        <v>Thomas Hope</v>
      </c>
      <c r="C1677" s="1" t="s">
        <v>28052</v>
      </c>
      <c r="F1677" s="1" t="s">
        <v>556</v>
      </c>
      <c r="H1677" s="1" t="s">
        <v>28053</v>
      </c>
      <c r="I1677" s="1" t="s">
        <v>5</v>
      </c>
      <c r="J1677" s="1" t="s">
        <v>67</v>
      </c>
      <c r="K1677" s="1" t="s">
        <v>14</v>
      </c>
      <c r="M1677" s="2">
        <v>43147</v>
      </c>
      <c r="N1677" s="1" t="s">
        <v>8</v>
      </c>
      <c r="O1677" s="1" t="s">
        <v>68</v>
      </c>
    </row>
    <row r="1678" spans="1:15" ht="43.2" x14ac:dyDescent="0.3">
      <c r="A1678" s="1" t="s">
        <v>28054</v>
      </c>
      <c r="B1678" s="1" t="str">
        <f>"Peter Jones"</f>
        <v>Peter Jones</v>
      </c>
      <c r="C1678" s="1" t="s">
        <v>28055</v>
      </c>
      <c r="F1678" s="1" t="s">
        <v>2961</v>
      </c>
      <c r="H1678" s="1" t="s">
        <v>28056</v>
      </c>
      <c r="I1678" s="1" t="s">
        <v>5</v>
      </c>
      <c r="J1678" s="1" t="s">
        <v>67</v>
      </c>
      <c r="K1678" s="1" t="s">
        <v>14</v>
      </c>
      <c r="M1678" s="2">
        <v>43147</v>
      </c>
      <c r="N1678" s="1" t="s">
        <v>8</v>
      </c>
      <c r="O1678" s="1" t="s">
        <v>68</v>
      </c>
    </row>
    <row r="1679" spans="1:15" ht="28.8" x14ac:dyDescent="0.3">
      <c r="A1679" s="1" t="s">
        <v>28057</v>
      </c>
      <c r="B1679" s="1" t="str">
        <f>"Vincent Williams Jeff's Clearance"</f>
        <v>Vincent Williams Jeff's Clearance</v>
      </c>
      <c r="C1679" s="1" t="s">
        <v>28058</v>
      </c>
      <c r="F1679" s="1" t="s">
        <v>42</v>
      </c>
      <c r="H1679" s="1" t="s">
        <v>28059</v>
      </c>
      <c r="I1679" s="1" t="s">
        <v>5</v>
      </c>
      <c r="J1679" s="1" t="s">
        <v>6</v>
      </c>
      <c r="K1679" s="1" t="s">
        <v>24</v>
      </c>
      <c r="M1679" s="2">
        <v>43147</v>
      </c>
      <c r="N1679" s="1" t="s">
        <v>8</v>
      </c>
      <c r="O1679" s="2">
        <v>44243</v>
      </c>
    </row>
    <row r="1680" spans="1:15" ht="28.8" x14ac:dyDescent="0.3">
      <c r="A1680" s="1" t="s">
        <v>14927</v>
      </c>
      <c r="B1680" s="1" t="str">
        <f>"Regal Plumbing Heating  Gas &amp; Rene"</f>
        <v>Regal Plumbing Heating  Gas &amp; Rene</v>
      </c>
      <c r="C1680" s="1" t="s">
        <v>14928</v>
      </c>
      <c r="F1680" s="1" t="s">
        <v>140</v>
      </c>
      <c r="H1680" s="1" t="s">
        <v>14929</v>
      </c>
      <c r="I1680" s="1" t="s">
        <v>125</v>
      </c>
      <c r="J1680" s="1" t="s">
        <v>6</v>
      </c>
      <c r="K1680" s="1" t="s">
        <v>24</v>
      </c>
      <c r="M1680" s="2">
        <v>43146</v>
      </c>
      <c r="N1680" s="1" t="s">
        <v>8</v>
      </c>
      <c r="O1680" s="2">
        <v>44242</v>
      </c>
    </row>
    <row r="1681" spans="1:15" x14ac:dyDescent="0.3">
      <c r="A1681" s="1" t="s">
        <v>14930</v>
      </c>
      <c r="B1681" s="1" t="str">
        <f>"Messrs Williams-Rees"</f>
        <v>Messrs Williams-Rees</v>
      </c>
      <c r="C1681" s="1" t="s">
        <v>14931</v>
      </c>
      <c r="F1681" s="1" t="s">
        <v>56</v>
      </c>
      <c r="H1681" s="1" t="s">
        <v>14932</v>
      </c>
      <c r="I1681" s="1" t="s">
        <v>125</v>
      </c>
      <c r="J1681" s="1" t="s">
        <v>6</v>
      </c>
      <c r="K1681" s="1" t="s">
        <v>24</v>
      </c>
      <c r="M1681" s="2">
        <v>43146</v>
      </c>
      <c r="N1681" s="1" t="s">
        <v>8</v>
      </c>
      <c r="O1681" s="2">
        <v>44242</v>
      </c>
    </row>
    <row r="1682" spans="1:15" ht="43.2" x14ac:dyDescent="0.3">
      <c r="A1682" s="1" t="s">
        <v>14933</v>
      </c>
      <c r="B1682" s="1" t="str">
        <f>"motorshop"</f>
        <v>motorshop</v>
      </c>
      <c r="C1682" s="1" t="s">
        <v>14934</v>
      </c>
      <c r="F1682" s="1" t="s">
        <v>14935</v>
      </c>
      <c r="H1682" s="1" t="s">
        <v>14936</v>
      </c>
      <c r="I1682" s="1" t="s">
        <v>125</v>
      </c>
      <c r="J1682" s="1" t="s">
        <v>67</v>
      </c>
      <c r="K1682" s="1" t="s">
        <v>14</v>
      </c>
      <c r="M1682" s="2">
        <v>43146</v>
      </c>
      <c r="N1682" s="1" t="s">
        <v>8</v>
      </c>
      <c r="O1682" s="1" t="s">
        <v>68</v>
      </c>
    </row>
    <row r="1683" spans="1:15" ht="43.2" x14ac:dyDescent="0.3">
      <c r="A1683" s="1" t="s">
        <v>14937</v>
      </c>
      <c r="B1683" s="1" t="str">
        <f>"Valley Heights Service Station"</f>
        <v>Valley Heights Service Station</v>
      </c>
      <c r="C1683" s="1" t="s">
        <v>8079</v>
      </c>
      <c r="F1683" s="1" t="s">
        <v>556</v>
      </c>
      <c r="H1683" s="1" t="s">
        <v>14938</v>
      </c>
      <c r="I1683" s="1" t="s">
        <v>19</v>
      </c>
      <c r="J1683" s="1" t="s">
        <v>67</v>
      </c>
      <c r="K1683" s="1" t="s">
        <v>14</v>
      </c>
      <c r="M1683" s="2">
        <v>43146</v>
      </c>
      <c r="N1683" s="1" t="s">
        <v>8</v>
      </c>
      <c r="O1683" s="1" t="s">
        <v>68</v>
      </c>
    </row>
    <row r="1684" spans="1:15" x14ac:dyDescent="0.3">
      <c r="A1684" s="1" t="s">
        <v>14939</v>
      </c>
      <c r="B1684" s="1" t="str">
        <f>"Bryn Awel Caravans"</f>
        <v>Bryn Awel Caravans</v>
      </c>
      <c r="C1684" s="1" t="s">
        <v>14940</v>
      </c>
      <c r="F1684" s="1" t="s">
        <v>5534</v>
      </c>
      <c r="H1684" s="1" t="s">
        <v>14941</v>
      </c>
      <c r="I1684" s="1" t="s">
        <v>125</v>
      </c>
      <c r="J1684" s="1" t="s">
        <v>6</v>
      </c>
      <c r="K1684" s="1" t="s">
        <v>24</v>
      </c>
      <c r="M1684" s="2">
        <v>43146</v>
      </c>
      <c r="N1684" s="1" t="s">
        <v>8</v>
      </c>
      <c r="O1684" s="2">
        <v>44242</v>
      </c>
    </row>
    <row r="1685" spans="1:15" ht="28.8" x14ac:dyDescent="0.3">
      <c r="A1685" s="1" t="s">
        <v>14942</v>
      </c>
      <c r="B1685" s="1" t="str">
        <f>"Cph house clearance waste ltd "</f>
        <v xml:space="preserve">Cph house clearance waste ltd </v>
      </c>
      <c r="C1685" s="1" t="s">
        <v>14943</v>
      </c>
      <c r="F1685" s="1" t="s">
        <v>179</v>
      </c>
      <c r="H1685" s="1" t="s">
        <v>14944</v>
      </c>
      <c r="I1685" s="1" t="s">
        <v>19</v>
      </c>
      <c r="J1685" s="1" t="s">
        <v>6</v>
      </c>
      <c r="K1685" s="1" t="s">
        <v>24</v>
      </c>
      <c r="L1685" s="1">
        <v>11024652</v>
      </c>
      <c r="M1685" s="2">
        <v>43146</v>
      </c>
      <c r="N1685" s="1" t="s">
        <v>8</v>
      </c>
      <c r="O1685" s="2">
        <v>44243</v>
      </c>
    </row>
    <row r="1686" spans="1:15" ht="28.8" x14ac:dyDescent="0.3">
      <c r="A1686" s="1" t="s">
        <v>14945</v>
      </c>
      <c r="B1686" s="1" t="str">
        <f>"BATTERY CENTRE LTD"</f>
        <v>BATTERY CENTRE LTD</v>
      </c>
      <c r="C1686" s="1" t="s">
        <v>14946</v>
      </c>
      <c r="F1686" s="1" t="s">
        <v>64</v>
      </c>
      <c r="H1686" s="1" t="s">
        <v>14947</v>
      </c>
      <c r="I1686" s="1" t="s">
        <v>19</v>
      </c>
      <c r="J1686" s="1" t="s">
        <v>6</v>
      </c>
      <c r="K1686" s="1" t="s">
        <v>34</v>
      </c>
      <c r="L1686" s="1">
        <v>1530408</v>
      </c>
      <c r="M1686" s="2">
        <v>43146</v>
      </c>
      <c r="N1686" s="1" t="s">
        <v>8</v>
      </c>
      <c r="O1686" s="2">
        <v>44242</v>
      </c>
    </row>
    <row r="1687" spans="1:15" ht="28.8" x14ac:dyDescent="0.3">
      <c r="A1687" s="1" t="s">
        <v>14948</v>
      </c>
      <c r="B1687" s="1" t="str">
        <f>"Vavougas Limited"</f>
        <v>Vavougas Limited</v>
      </c>
      <c r="C1687" s="1" t="s">
        <v>14949</v>
      </c>
      <c r="F1687" s="1" t="s">
        <v>156</v>
      </c>
      <c r="H1687" s="1" t="s">
        <v>8515</v>
      </c>
      <c r="I1687" s="1" t="s">
        <v>19</v>
      </c>
      <c r="J1687" s="1" t="s">
        <v>6</v>
      </c>
      <c r="K1687" s="1" t="s">
        <v>24</v>
      </c>
      <c r="L1687" s="1">
        <v>10757473</v>
      </c>
      <c r="M1687" s="2">
        <v>43146</v>
      </c>
      <c r="N1687" s="1" t="s">
        <v>8</v>
      </c>
      <c r="O1687" s="2">
        <v>44242</v>
      </c>
    </row>
    <row r="1688" spans="1:15" ht="28.8" x14ac:dyDescent="0.3">
      <c r="A1688" s="1" t="s">
        <v>27245</v>
      </c>
      <c r="B1688" s="1" t="str">
        <f>"WILLIAM CABLE WILL-RECYCLE"</f>
        <v>WILLIAM CABLE WILL-RECYCLE</v>
      </c>
      <c r="C1688" s="1" t="s">
        <v>27246</v>
      </c>
      <c r="F1688" s="1" t="s">
        <v>5350</v>
      </c>
      <c r="H1688" s="1" t="s">
        <v>27247</v>
      </c>
      <c r="I1688" s="1" t="s">
        <v>5</v>
      </c>
      <c r="J1688" s="1" t="s">
        <v>6</v>
      </c>
      <c r="K1688" s="1" t="s">
        <v>24</v>
      </c>
      <c r="M1688" s="2">
        <v>43146</v>
      </c>
      <c r="N1688" s="1" t="s">
        <v>8</v>
      </c>
      <c r="O1688" s="2">
        <v>44242</v>
      </c>
    </row>
    <row r="1689" spans="1:15" x14ac:dyDescent="0.3">
      <c r="A1689" s="1" t="s">
        <v>27248</v>
      </c>
      <c r="B1689" s="1" t="str">
        <f>"Jeffrey Wheeler"</f>
        <v>Jeffrey Wheeler</v>
      </c>
      <c r="C1689" s="1" t="s">
        <v>27249</v>
      </c>
      <c r="F1689" s="1" t="s">
        <v>1058</v>
      </c>
      <c r="H1689" s="1" t="s">
        <v>27250</v>
      </c>
      <c r="I1689" s="1" t="s">
        <v>5</v>
      </c>
      <c r="J1689" s="1" t="s">
        <v>6</v>
      </c>
      <c r="K1689" s="1" t="s">
        <v>24</v>
      </c>
      <c r="M1689" s="2">
        <v>43146</v>
      </c>
      <c r="N1689" s="1" t="s">
        <v>8</v>
      </c>
      <c r="O1689" s="2">
        <v>44242</v>
      </c>
    </row>
    <row r="1690" spans="1:15" ht="43.2" x14ac:dyDescent="0.3">
      <c r="A1690" s="1" t="s">
        <v>27251</v>
      </c>
      <c r="B1690" s="1" t="str">
        <f>"Kleighton  Butland "</f>
        <v xml:space="preserve">Kleighton  Butland </v>
      </c>
      <c r="C1690" s="1" t="s">
        <v>27252</v>
      </c>
      <c r="F1690" s="1" t="s">
        <v>3834</v>
      </c>
      <c r="H1690" s="1" t="s">
        <v>27253</v>
      </c>
      <c r="I1690" s="1" t="s">
        <v>5</v>
      </c>
      <c r="J1690" s="1" t="s">
        <v>67</v>
      </c>
      <c r="K1690" s="1" t="s">
        <v>14</v>
      </c>
      <c r="M1690" s="2">
        <v>43146</v>
      </c>
      <c r="N1690" s="1" t="s">
        <v>8</v>
      </c>
      <c r="O1690" s="1" t="s">
        <v>68</v>
      </c>
    </row>
    <row r="1691" spans="1:15" ht="43.2" x14ac:dyDescent="0.3">
      <c r="A1691" s="1" t="s">
        <v>28045</v>
      </c>
      <c r="B1691" s="1" t="str">
        <f>"stephen collings 16 gronffordd rhiwbina cardiff"</f>
        <v>stephen collings 16 gronffordd rhiwbina cardiff</v>
      </c>
      <c r="C1691" s="1" t="s">
        <v>28046</v>
      </c>
      <c r="F1691" s="1" t="s">
        <v>123</v>
      </c>
      <c r="H1691" s="1" t="s">
        <v>28047</v>
      </c>
      <c r="I1691" s="1" t="s">
        <v>5</v>
      </c>
      <c r="J1691" s="1" t="s">
        <v>6</v>
      </c>
      <c r="K1691" s="1" t="s">
        <v>24</v>
      </c>
      <c r="M1691" s="2">
        <v>43146</v>
      </c>
      <c r="N1691" s="1" t="s">
        <v>8</v>
      </c>
      <c r="O1691" s="2">
        <v>44242</v>
      </c>
    </row>
    <row r="1692" spans="1:15" ht="43.2" x14ac:dyDescent="0.3">
      <c r="A1692" s="1" t="s">
        <v>28048</v>
      </c>
      <c r="B1692" s="1" t="str">
        <f>"Anthony Jones AJS Garden and Property Maintenance"</f>
        <v>Anthony Jones AJS Garden and Property Maintenance</v>
      </c>
      <c r="C1692" s="1" t="s">
        <v>28049</v>
      </c>
      <c r="F1692" s="1" t="s">
        <v>64</v>
      </c>
      <c r="H1692" s="1" t="s">
        <v>28050</v>
      </c>
      <c r="I1692" s="1" t="s">
        <v>5</v>
      </c>
      <c r="J1692" s="1" t="s">
        <v>6</v>
      </c>
      <c r="K1692" s="1" t="s">
        <v>34</v>
      </c>
      <c r="M1692" s="2">
        <v>43146</v>
      </c>
      <c r="N1692" s="1" t="s">
        <v>8</v>
      </c>
      <c r="O1692" s="2">
        <v>44242</v>
      </c>
    </row>
    <row r="1693" spans="1:15" ht="28.8" x14ac:dyDescent="0.3">
      <c r="A1693" s="1" t="s">
        <v>14056</v>
      </c>
      <c r="B1693" s="1" t="str">
        <f>"Cledwyn Gardner"</f>
        <v>Cledwyn Gardner</v>
      </c>
      <c r="C1693" s="1" t="s">
        <v>14057</v>
      </c>
      <c r="F1693" s="1" t="s">
        <v>1206</v>
      </c>
      <c r="H1693" s="1" t="s">
        <v>14058</v>
      </c>
      <c r="I1693" s="1" t="s">
        <v>125</v>
      </c>
      <c r="J1693" s="1" t="s">
        <v>6</v>
      </c>
      <c r="K1693" s="1" t="s">
        <v>24</v>
      </c>
      <c r="M1693" s="2">
        <v>43145</v>
      </c>
      <c r="N1693" s="1" t="s">
        <v>8</v>
      </c>
      <c r="O1693" s="2">
        <v>44241</v>
      </c>
    </row>
    <row r="1694" spans="1:15" ht="28.8" x14ac:dyDescent="0.3">
      <c r="A1694" s="1" t="s">
        <v>14059</v>
      </c>
      <c r="B1694" s="1" t="str">
        <f>"Carlton Property Guardians Ltd"</f>
        <v>Carlton Property Guardians Ltd</v>
      </c>
      <c r="C1694" s="1" t="s">
        <v>14060</v>
      </c>
      <c r="F1694" s="1" t="s">
        <v>5904</v>
      </c>
      <c r="H1694" s="1" t="s">
        <v>14061</v>
      </c>
      <c r="I1694" s="1" t="s">
        <v>19</v>
      </c>
      <c r="J1694" s="1" t="s">
        <v>6</v>
      </c>
      <c r="K1694" s="1" t="s">
        <v>34</v>
      </c>
      <c r="L1694" s="1">
        <v>10818425</v>
      </c>
      <c r="M1694" s="2">
        <v>43145</v>
      </c>
      <c r="N1694" s="1" t="s">
        <v>8</v>
      </c>
      <c r="O1694" s="2">
        <v>44241</v>
      </c>
    </row>
    <row r="1695" spans="1:15" ht="43.2" x14ac:dyDescent="0.3">
      <c r="A1695" s="1" t="s">
        <v>14062</v>
      </c>
      <c r="B1695" s="1" t="str">
        <f>"St Kentigern Hospice"</f>
        <v>St Kentigern Hospice</v>
      </c>
      <c r="C1695" s="1" t="s">
        <v>14063</v>
      </c>
      <c r="D1695" s="1" t="s">
        <v>8264</v>
      </c>
      <c r="E1695" s="1" t="s">
        <v>6799</v>
      </c>
      <c r="F1695" s="1" t="s">
        <v>476</v>
      </c>
      <c r="H1695" s="1" t="s">
        <v>14064</v>
      </c>
      <c r="I1695" s="1" t="s">
        <v>1872</v>
      </c>
      <c r="J1695" s="1" t="s">
        <v>67</v>
      </c>
      <c r="K1695" s="1" t="s">
        <v>14</v>
      </c>
      <c r="M1695" s="2">
        <v>43145</v>
      </c>
      <c r="N1695" s="1" t="s">
        <v>8</v>
      </c>
      <c r="O1695" s="1" t="s">
        <v>68</v>
      </c>
    </row>
    <row r="1696" spans="1:15" ht="28.8" x14ac:dyDescent="0.3">
      <c r="A1696" s="1" t="s">
        <v>14065</v>
      </c>
      <c r="B1696" s="1" t="str">
        <f>"P BANHAM BUILDING CONTRACTOR LTD"</f>
        <v>P BANHAM BUILDING CONTRACTOR LTD</v>
      </c>
      <c r="C1696" s="1" t="s">
        <v>14066</v>
      </c>
      <c r="F1696" s="1" t="s">
        <v>1321</v>
      </c>
      <c r="H1696" s="1" t="s">
        <v>14067</v>
      </c>
      <c r="I1696" s="1" t="s">
        <v>19</v>
      </c>
      <c r="J1696" s="1" t="s">
        <v>6</v>
      </c>
      <c r="K1696" s="1" t="s">
        <v>24</v>
      </c>
      <c r="L1696" s="1">
        <v>6130469</v>
      </c>
      <c r="M1696" s="2">
        <v>43145</v>
      </c>
      <c r="N1696" s="1" t="s">
        <v>8</v>
      </c>
      <c r="O1696" s="2">
        <v>44241</v>
      </c>
    </row>
    <row r="1697" spans="1:15" ht="43.2" x14ac:dyDescent="0.3">
      <c r="A1697" s="1" t="s">
        <v>14068</v>
      </c>
      <c r="B1697" s="1" t="str">
        <f>"BRADFORD AUTO BREAKER"</f>
        <v>BRADFORD AUTO BREAKER</v>
      </c>
      <c r="C1697" s="1" t="s">
        <v>14069</v>
      </c>
      <c r="F1697" s="1" t="s">
        <v>3864</v>
      </c>
      <c r="H1697" s="1" t="s">
        <v>14070</v>
      </c>
      <c r="I1697" s="1" t="s">
        <v>19</v>
      </c>
      <c r="J1697" s="1" t="s">
        <v>67</v>
      </c>
      <c r="K1697" s="1" t="s">
        <v>14</v>
      </c>
      <c r="M1697" s="2">
        <v>43145</v>
      </c>
      <c r="N1697" s="1" t="s">
        <v>8</v>
      </c>
      <c r="O1697" s="1" t="s">
        <v>68</v>
      </c>
    </row>
    <row r="1698" spans="1:15" ht="43.2" x14ac:dyDescent="0.3">
      <c r="A1698" s="1" t="s">
        <v>14924</v>
      </c>
      <c r="B1698" s="1" t="str">
        <f>"Treehogs ltd"</f>
        <v>Treehogs ltd</v>
      </c>
      <c r="C1698" s="1" t="s">
        <v>14925</v>
      </c>
      <c r="F1698" s="1" t="s">
        <v>532</v>
      </c>
      <c r="H1698" s="1" t="s">
        <v>14926</v>
      </c>
      <c r="I1698" s="1" t="s">
        <v>19</v>
      </c>
      <c r="J1698" s="1" t="s">
        <v>67</v>
      </c>
      <c r="K1698" s="1" t="s">
        <v>14</v>
      </c>
      <c r="M1698" s="2">
        <v>43145</v>
      </c>
      <c r="N1698" s="1" t="s">
        <v>8</v>
      </c>
      <c r="O1698" s="1" t="s">
        <v>68</v>
      </c>
    </row>
    <row r="1699" spans="1:15" ht="43.2" x14ac:dyDescent="0.3">
      <c r="A1699" s="1" t="s">
        <v>26452</v>
      </c>
      <c r="B1699" s="1" t="str">
        <f>"Stephen Earwaker SE Removals Van &amp; Driver Hire"</f>
        <v>Stephen Earwaker SE Removals Van &amp; Driver Hire</v>
      </c>
      <c r="C1699" s="1" t="s">
        <v>26453</v>
      </c>
      <c r="F1699" s="1" t="s">
        <v>22</v>
      </c>
      <c r="H1699" s="1" t="s">
        <v>26454</v>
      </c>
      <c r="I1699" s="1" t="s">
        <v>5</v>
      </c>
      <c r="J1699" s="1" t="s">
        <v>6</v>
      </c>
      <c r="K1699" s="1" t="s">
        <v>24</v>
      </c>
      <c r="M1699" s="2">
        <v>43145</v>
      </c>
      <c r="N1699" s="1" t="s">
        <v>8</v>
      </c>
      <c r="O1699" s="2">
        <v>44241</v>
      </c>
    </row>
    <row r="1700" spans="1:15" x14ac:dyDescent="0.3">
      <c r="A1700" s="1" t="s">
        <v>26455</v>
      </c>
      <c r="B1700" s="1" t="str">
        <f>"john bailey Hifi Revival"</f>
        <v>john bailey Hifi Revival</v>
      </c>
      <c r="C1700" s="1" t="s">
        <v>26456</v>
      </c>
      <c r="F1700" s="1" t="s">
        <v>380</v>
      </c>
      <c r="H1700" s="1" t="s">
        <v>26457</v>
      </c>
      <c r="I1700" s="1" t="s">
        <v>5</v>
      </c>
      <c r="J1700" s="1" t="s">
        <v>6</v>
      </c>
      <c r="K1700" s="1" t="s">
        <v>24</v>
      </c>
      <c r="M1700" s="2">
        <v>43145</v>
      </c>
      <c r="N1700" s="1" t="s">
        <v>8</v>
      </c>
      <c r="O1700" s="2">
        <v>44241</v>
      </c>
    </row>
    <row r="1701" spans="1:15" ht="43.2" x14ac:dyDescent="0.3">
      <c r="A1701" s="1" t="s">
        <v>27228</v>
      </c>
      <c r="B1701" s="1" t="str">
        <f>"Robert Davis"</f>
        <v>Robert Davis</v>
      </c>
      <c r="C1701" s="1" t="s">
        <v>27229</v>
      </c>
      <c r="F1701" s="1" t="s">
        <v>64</v>
      </c>
      <c r="H1701" s="1" t="s">
        <v>27230</v>
      </c>
      <c r="I1701" s="1" t="s">
        <v>5</v>
      </c>
      <c r="J1701" s="1" t="s">
        <v>67</v>
      </c>
      <c r="K1701" s="1" t="s">
        <v>14</v>
      </c>
      <c r="M1701" s="2">
        <v>43145</v>
      </c>
      <c r="N1701" s="1" t="s">
        <v>8</v>
      </c>
      <c r="O1701" s="1" t="s">
        <v>68</v>
      </c>
    </row>
    <row r="1702" spans="1:15" ht="43.2" x14ac:dyDescent="0.3">
      <c r="A1702" s="1" t="s">
        <v>27231</v>
      </c>
      <c r="B1702" s="1" t="str">
        <f>"Daniel  James"</f>
        <v>Daniel  James</v>
      </c>
      <c r="C1702" s="1" t="s">
        <v>27232</v>
      </c>
      <c r="F1702" s="1" t="s">
        <v>487</v>
      </c>
      <c r="H1702" s="1" t="s">
        <v>27233</v>
      </c>
      <c r="I1702" s="1" t="s">
        <v>5</v>
      </c>
      <c r="J1702" s="1" t="s">
        <v>67</v>
      </c>
      <c r="K1702" s="1" t="s">
        <v>14</v>
      </c>
      <c r="M1702" s="2">
        <v>43145</v>
      </c>
      <c r="N1702" s="1" t="s">
        <v>8</v>
      </c>
      <c r="O1702" s="1" t="s">
        <v>68</v>
      </c>
    </row>
    <row r="1703" spans="1:15" ht="43.2" x14ac:dyDescent="0.3">
      <c r="A1703" s="1" t="s">
        <v>27234</v>
      </c>
      <c r="B1703" s="1" t="str">
        <f>"Kevin Thomas"</f>
        <v>Kevin Thomas</v>
      </c>
      <c r="C1703" s="1" t="s">
        <v>27235</v>
      </c>
      <c r="F1703" s="1" t="s">
        <v>3142</v>
      </c>
      <c r="H1703" s="1" t="s">
        <v>27236</v>
      </c>
      <c r="I1703" s="1" t="s">
        <v>5</v>
      </c>
      <c r="J1703" s="1" t="s">
        <v>67</v>
      </c>
      <c r="K1703" s="1" t="s">
        <v>14</v>
      </c>
      <c r="M1703" s="2">
        <v>43145</v>
      </c>
      <c r="N1703" s="1" t="s">
        <v>8</v>
      </c>
      <c r="O1703" s="1" t="s">
        <v>68</v>
      </c>
    </row>
    <row r="1704" spans="1:15" ht="43.2" x14ac:dyDescent="0.3">
      <c r="A1704" s="1" t="s">
        <v>27237</v>
      </c>
      <c r="B1704" s="1" t="str">
        <f>"John Davies"</f>
        <v>John Davies</v>
      </c>
      <c r="C1704" s="1" t="s">
        <v>27238</v>
      </c>
      <c r="D1704" s="1" t="s">
        <v>27239</v>
      </c>
      <c r="F1704" s="1" t="s">
        <v>64</v>
      </c>
      <c r="H1704" s="1" t="s">
        <v>27240</v>
      </c>
      <c r="I1704" s="1" t="s">
        <v>5</v>
      </c>
      <c r="J1704" s="1" t="s">
        <v>67</v>
      </c>
      <c r="K1704" s="1" t="s">
        <v>14</v>
      </c>
      <c r="M1704" s="2">
        <v>43145</v>
      </c>
      <c r="N1704" s="1" t="s">
        <v>8</v>
      </c>
      <c r="O1704" s="1" t="s">
        <v>68</v>
      </c>
    </row>
    <row r="1705" spans="1:15" ht="43.2" x14ac:dyDescent="0.3">
      <c r="A1705" s="1" t="s">
        <v>27241</v>
      </c>
      <c r="B1705" s="1" t="str">
        <f>"Michael Ryan"</f>
        <v>Michael Ryan</v>
      </c>
      <c r="C1705" s="1" t="s">
        <v>27242</v>
      </c>
      <c r="F1705" s="1" t="s">
        <v>27243</v>
      </c>
      <c r="H1705" s="1" t="s">
        <v>27244</v>
      </c>
      <c r="I1705" s="1" t="s">
        <v>5</v>
      </c>
      <c r="J1705" s="1" t="s">
        <v>67</v>
      </c>
      <c r="K1705" s="1" t="s">
        <v>14</v>
      </c>
      <c r="M1705" s="2">
        <v>43145</v>
      </c>
      <c r="N1705" s="1" t="s">
        <v>8</v>
      </c>
      <c r="O1705" s="1" t="s">
        <v>68</v>
      </c>
    </row>
    <row r="1706" spans="1:15" ht="43.2" x14ac:dyDescent="0.3">
      <c r="A1706" s="1" t="s">
        <v>13021</v>
      </c>
      <c r="B1706" s="1" t="str">
        <f>"Cheapskate "</f>
        <v xml:space="preserve">Cheapskate </v>
      </c>
      <c r="C1706" s="1" t="s">
        <v>13022</v>
      </c>
      <c r="F1706" s="1" t="s">
        <v>13023</v>
      </c>
      <c r="H1706" s="1" t="s">
        <v>13024</v>
      </c>
      <c r="I1706" s="1" t="s">
        <v>19</v>
      </c>
      <c r="J1706" s="1" t="s">
        <v>67</v>
      </c>
      <c r="K1706" s="1" t="s">
        <v>14</v>
      </c>
      <c r="M1706" s="2">
        <v>43144</v>
      </c>
      <c r="N1706" s="1" t="s">
        <v>8</v>
      </c>
      <c r="O1706" s="1" t="s">
        <v>68</v>
      </c>
    </row>
    <row r="1707" spans="1:15" ht="43.2" x14ac:dyDescent="0.3">
      <c r="A1707" s="1" t="s">
        <v>13025</v>
      </c>
      <c r="B1707" s="1" t="str">
        <f>"COOLFOODS"</f>
        <v>COOLFOODS</v>
      </c>
      <c r="C1707" s="1" t="s">
        <v>13026</v>
      </c>
      <c r="F1707" s="1" t="s">
        <v>556</v>
      </c>
      <c r="H1707" s="1" t="s">
        <v>4540</v>
      </c>
      <c r="I1707" s="1" t="s">
        <v>19</v>
      </c>
      <c r="J1707" s="1" t="s">
        <v>67</v>
      </c>
      <c r="K1707" s="1" t="s">
        <v>14</v>
      </c>
      <c r="M1707" s="2">
        <v>43144</v>
      </c>
      <c r="N1707" s="1" t="s">
        <v>8</v>
      </c>
      <c r="O1707" s="1" t="s">
        <v>68</v>
      </c>
    </row>
    <row r="1708" spans="1:15" x14ac:dyDescent="0.3">
      <c r="A1708" s="1" t="s">
        <v>13027</v>
      </c>
      <c r="B1708" s="1" t="str">
        <f>"P2ES Ltd"</f>
        <v>P2ES Ltd</v>
      </c>
      <c r="C1708" s="1" t="s">
        <v>13028</v>
      </c>
      <c r="F1708" s="1" t="s">
        <v>13029</v>
      </c>
      <c r="H1708" s="1" t="s">
        <v>13030</v>
      </c>
      <c r="I1708" s="1" t="s">
        <v>19</v>
      </c>
      <c r="J1708" s="1" t="s">
        <v>6</v>
      </c>
      <c r="K1708" s="1" t="s">
        <v>24</v>
      </c>
      <c r="L1708" s="1">
        <v>9745082</v>
      </c>
      <c r="M1708" s="2">
        <v>43144</v>
      </c>
      <c r="N1708" s="1" t="s">
        <v>8</v>
      </c>
      <c r="O1708" s="2">
        <v>44240</v>
      </c>
    </row>
    <row r="1709" spans="1:15" ht="28.8" x14ac:dyDescent="0.3">
      <c r="A1709" s="1" t="s">
        <v>13031</v>
      </c>
      <c r="B1709" s="1" t="str">
        <f>"5103 Ltd."</f>
        <v>5103 Ltd.</v>
      </c>
      <c r="C1709" s="1" t="s">
        <v>13032</v>
      </c>
      <c r="F1709" s="1" t="s">
        <v>64</v>
      </c>
      <c r="H1709" s="1" t="s">
        <v>13033</v>
      </c>
      <c r="I1709" s="1" t="s">
        <v>19</v>
      </c>
      <c r="J1709" s="1" t="s">
        <v>6</v>
      </c>
      <c r="K1709" s="1" t="s">
        <v>24</v>
      </c>
      <c r="L1709" s="1">
        <v>9130657</v>
      </c>
      <c r="M1709" s="2">
        <v>43144</v>
      </c>
      <c r="N1709" s="1" t="s">
        <v>8</v>
      </c>
      <c r="O1709" s="2">
        <v>44240</v>
      </c>
    </row>
    <row r="1710" spans="1:15" ht="28.8" x14ac:dyDescent="0.3">
      <c r="A1710" s="1" t="s">
        <v>13034</v>
      </c>
      <c r="B1710" s="1" t="str">
        <f>"BJ PROPERTY MAINTENANCE LTD"</f>
        <v>BJ PROPERTY MAINTENANCE LTD</v>
      </c>
      <c r="C1710" s="1" t="s">
        <v>13035</v>
      </c>
      <c r="F1710" s="1" t="s">
        <v>3465</v>
      </c>
      <c r="H1710" s="1" t="s">
        <v>13036</v>
      </c>
      <c r="I1710" s="1" t="s">
        <v>19</v>
      </c>
      <c r="J1710" s="1" t="s">
        <v>6</v>
      </c>
      <c r="K1710" s="1" t="s">
        <v>24</v>
      </c>
      <c r="L1710" s="1">
        <v>4820539</v>
      </c>
      <c r="M1710" s="2">
        <v>43144</v>
      </c>
      <c r="N1710" s="1" t="s">
        <v>8</v>
      </c>
      <c r="O1710" s="2">
        <v>44247</v>
      </c>
    </row>
    <row r="1711" spans="1:15" ht="43.2" x14ac:dyDescent="0.3">
      <c r="A1711" s="1" t="s">
        <v>13037</v>
      </c>
      <c r="B1711" s="1" t="str">
        <f>"APPLIED POWER SERVICES (SOUTH WESTERN) LTD"</f>
        <v>APPLIED POWER SERVICES (SOUTH WESTERN) LTD</v>
      </c>
      <c r="C1711" s="1" t="s">
        <v>6170</v>
      </c>
      <c r="F1711" s="1" t="s">
        <v>457</v>
      </c>
      <c r="H1711" s="1" t="s">
        <v>6171</v>
      </c>
      <c r="I1711" s="1" t="s">
        <v>19</v>
      </c>
      <c r="J1711" s="1" t="s">
        <v>6</v>
      </c>
      <c r="K1711" s="1" t="s">
        <v>34</v>
      </c>
      <c r="L1711" s="1">
        <v>2742606</v>
      </c>
      <c r="M1711" s="2">
        <v>43144</v>
      </c>
      <c r="N1711" s="1" t="s">
        <v>8</v>
      </c>
      <c r="O1711" s="2">
        <v>44240</v>
      </c>
    </row>
    <row r="1712" spans="1:15" ht="43.2" x14ac:dyDescent="0.3">
      <c r="A1712" s="1" t="s">
        <v>13038</v>
      </c>
      <c r="B1712" s="1" t="str">
        <f>"EcoServ West"</f>
        <v>EcoServ West</v>
      </c>
      <c r="C1712" s="1" t="s">
        <v>13039</v>
      </c>
      <c r="F1712" s="1" t="s">
        <v>32</v>
      </c>
      <c r="H1712" s="1" t="s">
        <v>13040</v>
      </c>
      <c r="I1712" s="1" t="s">
        <v>125</v>
      </c>
      <c r="J1712" s="1" t="s">
        <v>67</v>
      </c>
      <c r="K1712" s="1" t="s">
        <v>14</v>
      </c>
      <c r="M1712" s="2">
        <v>43144</v>
      </c>
      <c r="N1712" s="1" t="s">
        <v>8</v>
      </c>
      <c r="O1712" s="1" t="s">
        <v>68</v>
      </c>
    </row>
    <row r="1713" spans="1:15" ht="43.2" x14ac:dyDescent="0.3">
      <c r="A1713" s="1" t="s">
        <v>13041</v>
      </c>
      <c r="B1713" s="1" t="str">
        <f>"The Pembrokeshire Remakery"</f>
        <v>The Pembrokeshire Remakery</v>
      </c>
      <c r="C1713" s="1" t="s">
        <v>13042</v>
      </c>
      <c r="F1713" s="1" t="s">
        <v>1776</v>
      </c>
      <c r="H1713" s="1" t="s">
        <v>13043</v>
      </c>
      <c r="I1713" s="1" t="s">
        <v>1872</v>
      </c>
      <c r="J1713" s="1" t="s">
        <v>67</v>
      </c>
      <c r="K1713" s="1" t="s">
        <v>14</v>
      </c>
      <c r="M1713" s="2">
        <v>43144</v>
      </c>
      <c r="N1713" s="1" t="s">
        <v>8</v>
      </c>
      <c r="O1713" s="1" t="s">
        <v>68</v>
      </c>
    </row>
    <row r="1714" spans="1:15" ht="28.8" x14ac:dyDescent="0.3">
      <c r="A1714" s="1" t="s">
        <v>13044</v>
      </c>
      <c r="B1714" s="1" t="str">
        <f>"Adrian Miclaus"</f>
        <v>Adrian Miclaus</v>
      </c>
      <c r="C1714" s="1" t="s">
        <v>13045</v>
      </c>
      <c r="F1714" s="1" t="s">
        <v>170</v>
      </c>
      <c r="H1714" s="1" t="s">
        <v>13046</v>
      </c>
      <c r="I1714" s="1" t="s">
        <v>125</v>
      </c>
      <c r="J1714" s="1" t="s">
        <v>6</v>
      </c>
      <c r="K1714" s="1" t="s">
        <v>34</v>
      </c>
      <c r="M1714" s="2">
        <v>43144</v>
      </c>
      <c r="N1714" s="1" t="s">
        <v>8</v>
      </c>
      <c r="O1714" s="2">
        <v>44240</v>
      </c>
    </row>
    <row r="1715" spans="1:15" ht="28.8" x14ac:dyDescent="0.3">
      <c r="A1715" s="1" t="s">
        <v>13047</v>
      </c>
      <c r="B1715" s="1" t="str">
        <f>"JB Property Maintenance Ltd"</f>
        <v>JB Property Maintenance Ltd</v>
      </c>
      <c r="C1715" s="1" t="s">
        <v>13048</v>
      </c>
      <c r="F1715" s="1" t="s">
        <v>3052</v>
      </c>
      <c r="H1715" s="1" t="s">
        <v>13049</v>
      </c>
      <c r="I1715" s="1" t="s">
        <v>19</v>
      </c>
      <c r="J1715" s="1" t="s">
        <v>6</v>
      </c>
      <c r="K1715" s="1" t="s">
        <v>34</v>
      </c>
      <c r="L1715" s="1">
        <v>10436347</v>
      </c>
      <c r="M1715" s="2">
        <v>43144</v>
      </c>
      <c r="N1715" s="1" t="s">
        <v>8</v>
      </c>
      <c r="O1715" s="2">
        <v>44240</v>
      </c>
    </row>
    <row r="1716" spans="1:15" ht="28.8" x14ac:dyDescent="0.3">
      <c r="A1716" s="1" t="s">
        <v>13050</v>
      </c>
      <c r="B1716" s="1" t="str">
        <f>"The Wright Plumbing and Heating uk "</f>
        <v xml:space="preserve">The Wright Plumbing and Heating uk </v>
      </c>
      <c r="C1716" s="1" t="s">
        <v>13051</v>
      </c>
      <c r="F1716" s="1" t="s">
        <v>532</v>
      </c>
      <c r="H1716" s="1" t="s">
        <v>13052</v>
      </c>
      <c r="I1716" s="1" t="s">
        <v>19</v>
      </c>
      <c r="J1716" s="1" t="s">
        <v>6</v>
      </c>
      <c r="K1716" s="1" t="s">
        <v>24</v>
      </c>
      <c r="L1716" s="1">
        <v>7353899</v>
      </c>
      <c r="M1716" s="2">
        <v>43144</v>
      </c>
      <c r="N1716" s="1" t="s">
        <v>8</v>
      </c>
      <c r="O1716" s="2">
        <v>44240</v>
      </c>
    </row>
    <row r="1717" spans="1:15" ht="28.8" x14ac:dyDescent="0.3">
      <c r="A1717" s="1" t="s">
        <v>24930</v>
      </c>
      <c r="B1717" s="1" t="str">
        <f>"Adam Rose Intelli Light UK"</f>
        <v>Adam Rose Intelli Light UK</v>
      </c>
      <c r="C1717" s="1" t="s">
        <v>24931</v>
      </c>
      <c r="D1717" s="1" t="s">
        <v>24932</v>
      </c>
      <c r="F1717" s="1" t="s">
        <v>10925</v>
      </c>
      <c r="H1717" s="1" t="s">
        <v>24933</v>
      </c>
      <c r="I1717" s="1" t="s">
        <v>5</v>
      </c>
      <c r="J1717" s="1" t="s">
        <v>6</v>
      </c>
      <c r="K1717" s="1" t="s">
        <v>34</v>
      </c>
      <c r="M1717" s="2">
        <v>43144</v>
      </c>
      <c r="N1717" s="1" t="s">
        <v>8</v>
      </c>
      <c r="O1717" s="2">
        <v>44240</v>
      </c>
    </row>
    <row r="1718" spans="1:15" ht="28.8" x14ac:dyDescent="0.3">
      <c r="A1718" s="1" t="s">
        <v>24934</v>
      </c>
      <c r="B1718" s="1" t="str">
        <f>"clifford bowen c a bowen"</f>
        <v>clifford bowen c a bowen</v>
      </c>
      <c r="C1718" s="1" t="s">
        <v>24935</v>
      </c>
      <c r="F1718" s="1" t="s">
        <v>64</v>
      </c>
      <c r="H1718" s="1" t="s">
        <v>9574</v>
      </c>
      <c r="I1718" s="1" t="s">
        <v>5</v>
      </c>
      <c r="J1718" s="1" t="s">
        <v>6</v>
      </c>
      <c r="K1718" s="1" t="s">
        <v>34</v>
      </c>
      <c r="M1718" s="2">
        <v>43144</v>
      </c>
      <c r="N1718" s="1" t="s">
        <v>8</v>
      </c>
      <c r="O1718" s="2">
        <v>44240</v>
      </c>
    </row>
    <row r="1719" spans="1:15" ht="43.2" x14ac:dyDescent="0.3">
      <c r="A1719" s="1" t="s">
        <v>24936</v>
      </c>
      <c r="B1719" s="1" t="str">
        <f>"HAMID BARATINYA"</f>
        <v>HAMID BARATINYA</v>
      </c>
      <c r="C1719" s="1" t="s">
        <v>24937</v>
      </c>
      <c r="F1719" s="1" t="s">
        <v>3472</v>
      </c>
      <c r="H1719" s="1" t="s">
        <v>24938</v>
      </c>
      <c r="I1719" s="1" t="s">
        <v>5</v>
      </c>
      <c r="J1719" s="1" t="s">
        <v>67</v>
      </c>
      <c r="K1719" s="1" t="s">
        <v>14</v>
      </c>
      <c r="M1719" s="2">
        <v>43144</v>
      </c>
      <c r="N1719" s="1" t="s">
        <v>8</v>
      </c>
      <c r="O1719" s="1" t="s">
        <v>68</v>
      </c>
    </row>
    <row r="1720" spans="1:15" ht="43.2" x14ac:dyDescent="0.3">
      <c r="A1720" s="1" t="s">
        <v>24939</v>
      </c>
      <c r="B1720" s="1" t="str">
        <f>"Andy Mattok Npj construction and landscaping"</f>
        <v>Andy Mattok Npj construction and landscaping</v>
      </c>
      <c r="C1720" s="1" t="s">
        <v>24940</v>
      </c>
      <c r="F1720" s="1" t="s">
        <v>374</v>
      </c>
      <c r="H1720" s="1" t="s">
        <v>24941</v>
      </c>
      <c r="I1720" s="1" t="s">
        <v>5</v>
      </c>
      <c r="J1720" s="1" t="s">
        <v>6</v>
      </c>
      <c r="K1720" s="1" t="s">
        <v>24</v>
      </c>
      <c r="M1720" s="2">
        <v>43144</v>
      </c>
      <c r="N1720" s="1" t="s">
        <v>8</v>
      </c>
      <c r="O1720" s="2">
        <v>44240</v>
      </c>
    </row>
    <row r="1721" spans="1:15" ht="43.2" x14ac:dyDescent="0.3">
      <c r="A1721" s="1" t="s">
        <v>25679</v>
      </c>
      <c r="B1721" s="1" t="str">
        <f>"STEPHEN MCLEOD MCLEOD GARDEN MAINTENANCE"</f>
        <v>STEPHEN MCLEOD MCLEOD GARDEN MAINTENANCE</v>
      </c>
      <c r="C1721" s="1" t="s">
        <v>25680</v>
      </c>
      <c r="F1721" s="1" t="s">
        <v>358</v>
      </c>
      <c r="H1721" s="1" t="s">
        <v>25681</v>
      </c>
      <c r="I1721" s="1" t="s">
        <v>5</v>
      </c>
      <c r="J1721" s="1" t="s">
        <v>6</v>
      </c>
      <c r="K1721" s="1" t="s">
        <v>24</v>
      </c>
      <c r="M1721" s="2">
        <v>43144</v>
      </c>
      <c r="N1721" s="1" t="s">
        <v>8</v>
      </c>
      <c r="O1721" s="2">
        <v>44240</v>
      </c>
    </row>
    <row r="1722" spans="1:15" ht="28.8" x14ac:dyDescent="0.3">
      <c r="A1722" s="1" t="s">
        <v>25682</v>
      </c>
      <c r="B1722" s="1" t="str">
        <f>"WILLIAM EDWARDS W Edwards Haulage"</f>
        <v>WILLIAM EDWARDS W Edwards Haulage</v>
      </c>
      <c r="C1722" s="1" t="s">
        <v>25683</v>
      </c>
      <c r="D1722" s="1" t="s">
        <v>1336</v>
      </c>
      <c r="F1722" s="1" t="s">
        <v>1321</v>
      </c>
      <c r="H1722" s="1" t="s">
        <v>25684</v>
      </c>
      <c r="I1722" s="1" t="s">
        <v>5</v>
      </c>
      <c r="J1722" s="1" t="s">
        <v>6</v>
      </c>
      <c r="K1722" s="1" t="s">
        <v>24</v>
      </c>
      <c r="M1722" s="2">
        <v>43144</v>
      </c>
      <c r="N1722" s="1" t="s">
        <v>8</v>
      </c>
      <c r="O1722" s="2">
        <v>44240</v>
      </c>
    </row>
    <row r="1723" spans="1:15" ht="43.2" x14ac:dyDescent="0.3">
      <c r="A1723" s="1" t="s">
        <v>25685</v>
      </c>
      <c r="B1723" s="1" t="str">
        <f>"John Nicholls J Nicholls Construction &amp; Landscapes"</f>
        <v>John Nicholls J Nicholls Construction &amp; Landscapes</v>
      </c>
      <c r="C1723" s="1" t="s">
        <v>25686</v>
      </c>
      <c r="F1723" s="1" t="s">
        <v>706</v>
      </c>
      <c r="H1723" s="1" t="s">
        <v>25687</v>
      </c>
      <c r="I1723" s="1" t="s">
        <v>5</v>
      </c>
      <c r="J1723" s="1" t="s">
        <v>6</v>
      </c>
      <c r="K1723" s="1" t="s">
        <v>24</v>
      </c>
      <c r="M1723" s="2">
        <v>43144</v>
      </c>
      <c r="N1723" s="1" t="s">
        <v>8</v>
      </c>
      <c r="O1723" s="2">
        <v>44240</v>
      </c>
    </row>
    <row r="1724" spans="1:15" ht="43.2" x14ac:dyDescent="0.3">
      <c r="A1724" s="1" t="s">
        <v>25688</v>
      </c>
      <c r="B1724" s="1" t="str">
        <f>"Aldous Roberts"</f>
        <v>Aldous Roberts</v>
      </c>
      <c r="C1724" s="1" t="s">
        <v>25689</v>
      </c>
      <c r="F1724" s="1" t="s">
        <v>64</v>
      </c>
      <c r="H1724" s="1" t="s">
        <v>25690</v>
      </c>
      <c r="I1724" s="1" t="s">
        <v>5</v>
      </c>
      <c r="J1724" s="1" t="s">
        <v>67</v>
      </c>
      <c r="K1724" s="1" t="s">
        <v>14</v>
      </c>
      <c r="M1724" s="2">
        <v>43144</v>
      </c>
      <c r="N1724" s="1" t="s">
        <v>8</v>
      </c>
      <c r="O1724" s="1" t="s">
        <v>68</v>
      </c>
    </row>
    <row r="1725" spans="1:15" x14ac:dyDescent="0.3">
      <c r="A1725" s="1" t="s">
        <v>25691</v>
      </c>
      <c r="B1725" s="1" t="str">
        <f>"Steven Wyn Davies"</f>
        <v>Steven Wyn Davies</v>
      </c>
      <c r="C1725" s="1" t="s">
        <v>25692</v>
      </c>
      <c r="F1725" s="1" t="s">
        <v>161</v>
      </c>
      <c r="H1725" s="1" t="s">
        <v>25693</v>
      </c>
      <c r="I1725" s="1" t="s">
        <v>5</v>
      </c>
      <c r="J1725" s="1" t="s">
        <v>6</v>
      </c>
      <c r="K1725" s="1" t="s">
        <v>24</v>
      </c>
      <c r="M1725" s="2">
        <v>43144</v>
      </c>
      <c r="N1725" s="1" t="s">
        <v>8</v>
      </c>
      <c r="O1725" s="2">
        <v>44240</v>
      </c>
    </row>
    <row r="1726" spans="1:15" ht="43.2" x14ac:dyDescent="0.3">
      <c r="A1726" s="1" t="s">
        <v>25694</v>
      </c>
      <c r="B1726" s="1" t="str">
        <f>"Leon  Cousins "</f>
        <v xml:space="preserve">Leon  Cousins </v>
      </c>
      <c r="C1726" s="1" t="s">
        <v>25695</v>
      </c>
      <c r="F1726" s="1" t="s">
        <v>64</v>
      </c>
      <c r="H1726" s="1" t="s">
        <v>6703</v>
      </c>
      <c r="I1726" s="1" t="s">
        <v>5</v>
      </c>
      <c r="J1726" s="1" t="s">
        <v>67</v>
      </c>
      <c r="K1726" s="1" t="s">
        <v>14</v>
      </c>
      <c r="M1726" s="2">
        <v>43144</v>
      </c>
      <c r="N1726" s="1" t="s">
        <v>8</v>
      </c>
      <c r="O1726" s="1" t="s">
        <v>68</v>
      </c>
    </row>
    <row r="1727" spans="1:15" ht="28.8" x14ac:dyDescent="0.3">
      <c r="A1727" s="1" t="s">
        <v>11008</v>
      </c>
      <c r="B1727" s="1" t="str">
        <f>"N J M CONSTRUCTION LTD"</f>
        <v>N J M CONSTRUCTION LTD</v>
      </c>
      <c r="C1727" s="1" t="s">
        <v>11009</v>
      </c>
      <c r="F1727" s="1" t="s">
        <v>32</v>
      </c>
      <c r="H1727" s="1" t="s">
        <v>11010</v>
      </c>
      <c r="I1727" s="1" t="s">
        <v>19</v>
      </c>
      <c r="J1727" s="1" t="s">
        <v>6</v>
      </c>
      <c r="K1727" s="1" t="s">
        <v>34</v>
      </c>
      <c r="L1727" s="1">
        <v>6628521</v>
      </c>
      <c r="M1727" s="2">
        <v>43143</v>
      </c>
      <c r="N1727" s="1" t="s">
        <v>8</v>
      </c>
      <c r="O1727" s="2">
        <v>44239</v>
      </c>
    </row>
    <row r="1728" spans="1:15" ht="43.2" x14ac:dyDescent="0.3">
      <c r="A1728" s="1" t="s">
        <v>11011</v>
      </c>
      <c r="B1728" s="1" t="str">
        <f>"CWR GROUNDS MAINTENANCE LTD"</f>
        <v>CWR GROUNDS MAINTENANCE LTD</v>
      </c>
      <c r="C1728" s="1" t="s">
        <v>4069</v>
      </c>
      <c r="D1728" s="1" t="s">
        <v>4070</v>
      </c>
      <c r="F1728" s="1" t="s">
        <v>358</v>
      </c>
      <c r="H1728" s="1" t="s">
        <v>4071</v>
      </c>
      <c r="I1728" s="1" t="s">
        <v>19</v>
      </c>
      <c r="J1728" s="1" t="s">
        <v>67</v>
      </c>
      <c r="K1728" s="1" t="s">
        <v>14</v>
      </c>
      <c r="M1728" s="2">
        <v>43143</v>
      </c>
      <c r="N1728" s="1" t="s">
        <v>8</v>
      </c>
      <c r="O1728" s="1" t="s">
        <v>68</v>
      </c>
    </row>
    <row r="1729" spans="1:15" ht="28.8" x14ac:dyDescent="0.3">
      <c r="A1729" s="1" t="s">
        <v>11012</v>
      </c>
      <c r="B1729" s="1" t="str">
        <f>"MERTHYR SALVAGE LIMITED"</f>
        <v>MERTHYR SALVAGE LIMITED</v>
      </c>
      <c r="C1729" s="1" t="s">
        <v>6956</v>
      </c>
      <c r="F1729" s="1" t="s">
        <v>556</v>
      </c>
      <c r="H1729" s="1" t="s">
        <v>6957</v>
      </c>
      <c r="I1729" s="1" t="s">
        <v>19</v>
      </c>
      <c r="J1729" s="1" t="s">
        <v>6</v>
      </c>
      <c r="K1729" s="1" t="s">
        <v>24</v>
      </c>
      <c r="L1729" s="1">
        <v>4965757</v>
      </c>
      <c r="M1729" s="2">
        <v>43143</v>
      </c>
      <c r="N1729" s="1" t="s">
        <v>8</v>
      </c>
      <c r="O1729" s="2">
        <v>44239</v>
      </c>
    </row>
    <row r="1730" spans="1:15" ht="28.8" x14ac:dyDescent="0.3">
      <c r="A1730" s="1" t="s">
        <v>11013</v>
      </c>
      <c r="B1730" s="1" t="str">
        <f>"NOLAN RECYCLING LTD"</f>
        <v>NOLAN RECYCLING LTD</v>
      </c>
      <c r="C1730" s="1" t="s">
        <v>11014</v>
      </c>
      <c r="D1730" s="1" t="s">
        <v>564</v>
      </c>
      <c r="F1730" s="1" t="s">
        <v>179</v>
      </c>
      <c r="H1730" s="1" t="s">
        <v>10871</v>
      </c>
      <c r="I1730" s="1" t="s">
        <v>19</v>
      </c>
      <c r="J1730" s="1" t="s">
        <v>6</v>
      </c>
      <c r="K1730" s="1" t="s">
        <v>34</v>
      </c>
      <c r="L1730" s="1">
        <v>4215419</v>
      </c>
      <c r="M1730" s="2">
        <v>43143</v>
      </c>
      <c r="N1730" s="1" t="s">
        <v>8</v>
      </c>
      <c r="O1730" s="2">
        <v>44239</v>
      </c>
    </row>
    <row r="1731" spans="1:15" ht="28.8" x14ac:dyDescent="0.3">
      <c r="A1731" s="1" t="s">
        <v>11015</v>
      </c>
      <c r="B1731" s="1" t="str">
        <f>"T J Hayes and Son Ltd"</f>
        <v>T J Hayes and Son Ltd</v>
      </c>
      <c r="C1731" s="1" t="s">
        <v>11016</v>
      </c>
      <c r="F1731" s="1" t="s">
        <v>323</v>
      </c>
      <c r="H1731" s="1" t="s">
        <v>11017</v>
      </c>
      <c r="I1731" s="1" t="s">
        <v>19</v>
      </c>
      <c r="J1731" s="1" t="s">
        <v>6</v>
      </c>
      <c r="K1731" s="1" t="s">
        <v>34</v>
      </c>
      <c r="L1731" s="1">
        <v>7009121</v>
      </c>
      <c r="M1731" s="2">
        <v>43143</v>
      </c>
      <c r="N1731" s="1" t="s">
        <v>8</v>
      </c>
      <c r="O1731" s="2">
        <v>44239</v>
      </c>
    </row>
    <row r="1732" spans="1:15" ht="28.8" x14ac:dyDescent="0.3">
      <c r="A1732" s="1" t="s">
        <v>11018</v>
      </c>
      <c r="B1732" s="1" t="str">
        <f>"your agent ltd"</f>
        <v>your agent ltd</v>
      </c>
      <c r="C1732" s="1" t="s">
        <v>11019</v>
      </c>
      <c r="D1732" s="1" t="s">
        <v>11020</v>
      </c>
      <c r="E1732" s="1" t="s">
        <v>3868</v>
      </c>
      <c r="F1732" s="1" t="s">
        <v>64</v>
      </c>
      <c r="H1732" s="1" t="s">
        <v>11021</v>
      </c>
      <c r="I1732" s="1" t="s">
        <v>19</v>
      </c>
      <c r="J1732" s="1" t="s">
        <v>6</v>
      </c>
      <c r="K1732" s="1" t="s">
        <v>34</v>
      </c>
      <c r="L1732" s="1">
        <v>7208869</v>
      </c>
      <c r="M1732" s="2">
        <v>43143</v>
      </c>
      <c r="N1732" s="1" t="s">
        <v>8</v>
      </c>
      <c r="O1732" s="2">
        <v>44239</v>
      </c>
    </row>
    <row r="1733" spans="1:15" ht="43.2" x14ac:dyDescent="0.3">
      <c r="A1733" s="1" t="s">
        <v>12048</v>
      </c>
      <c r="B1733" s="1" t="str">
        <f>"cochrane park wines ltd"</f>
        <v>cochrane park wines ltd</v>
      </c>
      <c r="C1733" s="1" t="s">
        <v>12049</v>
      </c>
      <c r="F1733" s="1" t="s">
        <v>8841</v>
      </c>
      <c r="H1733" s="1" t="s">
        <v>12050</v>
      </c>
      <c r="I1733" s="1" t="s">
        <v>19</v>
      </c>
      <c r="J1733" s="1" t="s">
        <v>67</v>
      </c>
      <c r="K1733" s="1" t="s">
        <v>14</v>
      </c>
      <c r="M1733" s="2">
        <v>43143</v>
      </c>
      <c r="N1733" s="1" t="s">
        <v>8</v>
      </c>
      <c r="O1733" s="1" t="s">
        <v>68</v>
      </c>
    </row>
    <row r="1734" spans="1:15" ht="28.8" x14ac:dyDescent="0.3">
      <c r="A1734" s="1" t="s">
        <v>12051</v>
      </c>
      <c r="B1734" s="1" t="str">
        <f>"Ashfield Japanese Knotweed Limited"</f>
        <v>Ashfield Japanese Knotweed Limited</v>
      </c>
      <c r="C1734" s="1" t="s">
        <v>12052</v>
      </c>
      <c r="F1734" s="1" t="s">
        <v>123</v>
      </c>
      <c r="H1734" s="1" t="s">
        <v>12053</v>
      </c>
      <c r="I1734" s="1" t="s">
        <v>19</v>
      </c>
      <c r="J1734" s="1" t="s">
        <v>6</v>
      </c>
      <c r="K1734" s="1" t="s">
        <v>1859</v>
      </c>
      <c r="L1734" s="1">
        <v>9407080</v>
      </c>
      <c r="M1734" s="2">
        <v>43143</v>
      </c>
      <c r="N1734" s="1" t="s">
        <v>8</v>
      </c>
      <c r="O1734" s="2">
        <v>44239</v>
      </c>
    </row>
    <row r="1735" spans="1:15" ht="43.2" x14ac:dyDescent="0.3">
      <c r="A1735" s="1" t="s">
        <v>12054</v>
      </c>
      <c r="B1735" s="1" t="str">
        <f>"Pembrokeshire Fishing Ltd"</f>
        <v>Pembrokeshire Fishing Ltd</v>
      </c>
      <c r="C1735" s="1" t="s">
        <v>12055</v>
      </c>
      <c r="D1735" s="1" t="s">
        <v>5804</v>
      </c>
      <c r="F1735" s="1" t="s">
        <v>513</v>
      </c>
      <c r="H1735" s="1" t="s">
        <v>12056</v>
      </c>
      <c r="I1735" s="1" t="s">
        <v>19</v>
      </c>
      <c r="J1735" s="1" t="s">
        <v>67</v>
      </c>
      <c r="K1735" s="1" t="s">
        <v>14</v>
      </c>
      <c r="M1735" s="2">
        <v>43143</v>
      </c>
      <c r="N1735" s="1" t="s">
        <v>8</v>
      </c>
      <c r="O1735" s="1" t="s">
        <v>68</v>
      </c>
    </row>
    <row r="1736" spans="1:15" ht="28.8" x14ac:dyDescent="0.3">
      <c r="A1736" s="1" t="s">
        <v>24088</v>
      </c>
      <c r="B1736" s="1" t="str">
        <f>"jake evans Celtic cuts and clearance"</f>
        <v>jake evans Celtic cuts and clearance</v>
      </c>
      <c r="C1736" s="1" t="s">
        <v>24089</v>
      </c>
      <c r="F1736" s="1" t="s">
        <v>123</v>
      </c>
      <c r="H1736" s="1" t="s">
        <v>24090</v>
      </c>
      <c r="I1736" s="1" t="s">
        <v>5</v>
      </c>
      <c r="J1736" s="1" t="s">
        <v>6</v>
      </c>
      <c r="K1736" s="1" t="s">
        <v>24</v>
      </c>
      <c r="M1736" s="2">
        <v>43143</v>
      </c>
      <c r="N1736" s="1" t="s">
        <v>8</v>
      </c>
      <c r="O1736" s="2">
        <v>44239</v>
      </c>
    </row>
    <row r="1737" spans="1:15" ht="28.8" x14ac:dyDescent="0.3">
      <c r="A1737" s="1" t="s">
        <v>24091</v>
      </c>
      <c r="B1737" s="1" t="str">
        <f>"CRAIG PUGH C &amp; M BUILDING SERVICES"</f>
        <v>CRAIG PUGH C &amp; M BUILDING SERVICES</v>
      </c>
      <c r="C1737" s="1" t="s">
        <v>24092</v>
      </c>
      <c r="F1737" s="1" t="s">
        <v>678</v>
      </c>
      <c r="H1737" s="1" t="s">
        <v>24093</v>
      </c>
      <c r="I1737" s="1" t="s">
        <v>5</v>
      </c>
      <c r="J1737" s="1" t="s">
        <v>6</v>
      </c>
      <c r="K1737" s="1" t="s">
        <v>24</v>
      </c>
      <c r="M1737" s="2">
        <v>43143</v>
      </c>
      <c r="N1737" s="1" t="s">
        <v>8</v>
      </c>
      <c r="O1737" s="2">
        <v>44239</v>
      </c>
    </row>
    <row r="1738" spans="1:15" ht="43.2" x14ac:dyDescent="0.3">
      <c r="A1738" s="1" t="s">
        <v>24094</v>
      </c>
      <c r="B1738" s="1" t="str">
        <f>"Shawn Johnston  Shawn francis property solutions "</f>
        <v xml:space="preserve">Shawn Johnston  Shawn francis property solutions </v>
      </c>
      <c r="C1738" s="1" t="s">
        <v>24095</v>
      </c>
      <c r="D1738" s="1" t="s">
        <v>24096</v>
      </c>
      <c r="F1738" s="1" t="s">
        <v>374</v>
      </c>
      <c r="H1738" s="1" t="s">
        <v>24097</v>
      </c>
      <c r="I1738" s="1" t="s">
        <v>5</v>
      </c>
      <c r="J1738" s="1" t="s">
        <v>6</v>
      </c>
      <c r="K1738" s="1" t="s">
        <v>24</v>
      </c>
      <c r="M1738" s="2">
        <v>43143</v>
      </c>
      <c r="N1738" s="1" t="s">
        <v>8</v>
      </c>
      <c r="O1738" s="2">
        <v>44239</v>
      </c>
    </row>
    <row r="1739" spans="1:15" ht="43.2" x14ac:dyDescent="0.3">
      <c r="A1739" s="1" t="s">
        <v>24919</v>
      </c>
      <c r="B1739" s="1" t="str">
        <f>"Gary Evans"</f>
        <v>Gary Evans</v>
      </c>
      <c r="C1739" s="1" t="s">
        <v>24920</v>
      </c>
      <c r="F1739" s="1" t="s">
        <v>358</v>
      </c>
      <c r="H1739" s="1" t="s">
        <v>19208</v>
      </c>
      <c r="I1739" s="1" t="s">
        <v>5</v>
      </c>
      <c r="J1739" s="1" t="s">
        <v>67</v>
      </c>
      <c r="K1739" s="1" t="s">
        <v>14</v>
      </c>
      <c r="M1739" s="2">
        <v>43143</v>
      </c>
      <c r="N1739" s="1" t="s">
        <v>8</v>
      </c>
      <c r="O1739" s="1" t="s">
        <v>68</v>
      </c>
    </row>
    <row r="1740" spans="1:15" ht="28.8" x14ac:dyDescent="0.3">
      <c r="A1740" s="1" t="s">
        <v>24921</v>
      </c>
      <c r="B1740" s="1" t="str">
        <f>"Gary  Dredge GID TRANSPORT"</f>
        <v>Gary  Dredge GID TRANSPORT</v>
      </c>
      <c r="C1740" s="1" t="s">
        <v>24922</v>
      </c>
      <c r="F1740" s="1" t="s">
        <v>1351</v>
      </c>
      <c r="H1740" s="1" t="s">
        <v>24923</v>
      </c>
      <c r="I1740" s="1" t="s">
        <v>5</v>
      </c>
      <c r="J1740" s="1" t="s">
        <v>6</v>
      </c>
      <c r="K1740" s="1" t="s">
        <v>24</v>
      </c>
      <c r="M1740" s="2">
        <v>43143</v>
      </c>
      <c r="N1740" s="1" t="s">
        <v>8</v>
      </c>
      <c r="O1740" s="2">
        <v>44239</v>
      </c>
    </row>
    <row r="1741" spans="1:15" ht="43.2" x14ac:dyDescent="0.3">
      <c r="A1741" s="1" t="s">
        <v>24924</v>
      </c>
      <c r="B1741" s="1" t="str">
        <f>"Adam lee Jones"</f>
        <v>Adam lee Jones</v>
      </c>
      <c r="C1741" s="1" t="s">
        <v>24925</v>
      </c>
      <c r="F1741" s="1" t="s">
        <v>358</v>
      </c>
      <c r="H1741" s="1" t="s">
        <v>24926</v>
      </c>
      <c r="I1741" s="1" t="s">
        <v>5</v>
      </c>
      <c r="J1741" s="1" t="s">
        <v>67</v>
      </c>
      <c r="K1741" s="1" t="s">
        <v>14</v>
      </c>
      <c r="M1741" s="2">
        <v>43143</v>
      </c>
      <c r="N1741" s="1" t="s">
        <v>8</v>
      </c>
      <c r="O1741" s="1" t="s">
        <v>68</v>
      </c>
    </row>
    <row r="1742" spans="1:15" ht="43.2" x14ac:dyDescent="0.3">
      <c r="A1742" s="1" t="s">
        <v>24927</v>
      </c>
      <c r="B1742" s="1" t="str">
        <f>"Danny Hughes "</f>
        <v xml:space="preserve">Danny Hughes </v>
      </c>
      <c r="C1742" s="1" t="s">
        <v>24928</v>
      </c>
      <c r="F1742" s="1" t="s">
        <v>358</v>
      </c>
      <c r="H1742" s="1" t="s">
        <v>24929</v>
      </c>
      <c r="I1742" s="1" t="s">
        <v>5</v>
      </c>
      <c r="J1742" s="1" t="s">
        <v>67</v>
      </c>
      <c r="K1742" s="1" t="s">
        <v>14</v>
      </c>
      <c r="M1742" s="2">
        <v>43143</v>
      </c>
      <c r="N1742" s="1" t="s">
        <v>8</v>
      </c>
      <c r="O1742" s="1" t="s">
        <v>68</v>
      </c>
    </row>
    <row r="1743" spans="1:15" ht="43.2" x14ac:dyDescent="0.3">
      <c r="A1743" s="1" t="s">
        <v>11000</v>
      </c>
      <c r="B1743" s="1" t="str">
        <f>"JH Cleaning"</f>
        <v>JH Cleaning</v>
      </c>
      <c r="C1743" s="1" t="s">
        <v>11001</v>
      </c>
      <c r="F1743" s="1" t="s">
        <v>532</v>
      </c>
      <c r="H1743" s="1" t="s">
        <v>11002</v>
      </c>
      <c r="I1743" s="1" t="s">
        <v>125</v>
      </c>
      <c r="J1743" s="1" t="s">
        <v>67</v>
      </c>
      <c r="K1743" s="1" t="s">
        <v>14</v>
      </c>
      <c r="M1743" s="2">
        <v>43142</v>
      </c>
      <c r="N1743" s="1" t="s">
        <v>8</v>
      </c>
      <c r="O1743" s="1" t="s">
        <v>68</v>
      </c>
    </row>
    <row r="1744" spans="1:15" ht="43.2" x14ac:dyDescent="0.3">
      <c r="A1744" s="1" t="s">
        <v>11003</v>
      </c>
      <c r="B1744" s="1" t="str">
        <f>"the plaza cafe limited"</f>
        <v>the plaza cafe limited</v>
      </c>
      <c r="C1744" s="1" t="s">
        <v>11004</v>
      </c>
      <c r="D1744" s="1" t="s">
        <v>11005</v>
      </c>
      <c r="F1744" s="1" t="s">
        <v>11006</v>
      </c>
      <c r="H1744" s="1" t="s">
        <v>11007</v>
      </c>
      <c r="I1744" s="1" t="s">
        <v>19</v>
      </c>
      <c r="J1744" s="1" t="s">
        <v>67</v>
      </c>
      <c r="K1744" s="1" t="s">
        <v>14</v>
      </c>
      <c r="M1744" s="2">
        <v>43142</v>
      </c>
      <c r="N1744" s="1" t="s">
        <v>8</v>
      </c>
      <c r="O1744" s="1" t="s">
        <v>68</v>
      </c>
    </row>
    <row r="1745" spans="1:15" ht="43.2" x14ac:dyDescent="0.3">
      <c r="A1745" s="1" t="s">
        <v>24085</v>
      </c>
      <c r="B1745" s="1" t="str">
        <f>"Bernard Smith"</f>
        <v>Bernard Smith</v>
      </c>
      <c r="C1745" s="1" t="s">
        <v>24086</v>
      </c>
      <c r="F1745" s="1" t="s">
        <v>1776</v>
      </c>
      <c r="H1745" s="1" t="s">
        <v>24087</v>
      </c>
      <c r="I1745" s="1" t="s">
        <v>5</v>
      </c>
      <c r="J1745" s="1" t="s">
        <v>67</v>
      </c>
      <c r="K1745" s="1" t="s">
        <v>24</v>
      </c>
      <c r="M1745" s="2">
        <v>43142</v>
      </c>
      <c r="N1745" s="1" t="s">
        <v>8</v>
      </c>
      <c r="O1745" s="1" t="s">
        <v>68</v>
      </c>
    </row>
    <row r="1746" spans="1:15" ht="28.8" x14ac:dyDescent="0.3">
      <c r="A1746" s="1" t="s">
        <v>23259</v>
      </c>
      <c r="B1746" s="1" t="str">
        <f>"Daniel Morris morris lawn care"</f>
        <v>Daniel Morris morris lawn care</v>
      </c>
      <c r="C1746" s="1" t="s">
        <v>23260</v>
      </c>
      <c r="F1746" s="1" t="s">
        <v>22</v>
      </c>
      <c r="H1746" s="1" t="s">
        <v>23261</v>
      </c>
      <c r="I1746" s="1" t="s">
        <v>5</v>
      </c>
      <c r="J1746" s="1" t="s">
        <v>6</v>
      </c>
      <c r="K1746" s="1" t="s">
        <v>24</v>
      </c>
      <c r="M1746" s="2">
        <v>43141</v>
      </c>
      <c r="N1746" s="1" t="s">
        <v>8</v>
      </c>
      <c r="O1746" s="2">
        <v>44237</v>
      </c>
    </row>
    <row r="1747" spans="1:15" ht="28.8" x14ac:dyDescent="0.3">
      <c r="A1747" s="1" t="s">
        <v>23262</v>
      </c>
      <c r="B1747" s="1" t="str">
        <f>"Nathan Caccavale Nathan Caccavale"</f>
        <v>Nathan Caccavale Nathan Caccavale</v>
      </c>
      <c r="C1747" s="1" t="s">
        <v>23263</v>
      </c>
      <c r="F1747" s="1" t="s">
        <v>42</v>
      </c>
      <c r="H1747" s="1" t="s">
        <v>16841</v>
      </c>
      <c r="I1747" s="1" t="s">
        <v>5</v>
      </c>
      <c r="J1747" s="1" t="s">
        <v>6</v>
      </c>
      <c r="K1747" s="1" t="s">
        <v>24</v>
      </c>
      <c r="M1747" s="2">
        <v>43141</v>
      </c>
      <c r="N1747" s="1" t="s">
        <v>8</v>
      </c>
      <c r="O1747" s="2">
        <v>44237</v>
      </c>
    </row>
    <row r="1748" spans="1:15" ht="43.2" x14ac:dyDescent="0.3">
      <c r="A1748" s="1" t="s">
        <v>24079</v>
      </c>
      <c r="B1748" s="1" t="str">
        <f>"Benita Middleton"</f>
        <v>Benita Middleton</v>
      </c>
      <c r="C1748" s="1" t="s">
        <v>24080</v>
      </c>
      <c r="F1748" s="1" t="s">
        <v>17241</v>
      </c>
      <c r="H1748" s="1" t="s">
        <v>24081</v>
      </c>
      <c r="I1748" s="1" t="s">
        <v>5</v>
      </c>
      <c r="J1748" s="1" t="s">
        <v>67</v>
      </c>
      <c r="K1748" s="1" t="s">
        <v>14</v>
      </c>
      <c r="M1748" s="2">
        <v>43141</v>
      </c>
      <c r="N1748" s="1" t="s">
        <v>8</v>
      </c>
      <c r="O1748" s="1" t="s">
        <v>68</v>
      </c>
    </row>
    <row r="1749" spans="1:15" ht="43.2" x14ac:dyDescent="0.3">
      <c r="A1749" s="1" t="s">
        <v>24082</v>
      </c>
      <c r="B1749" s="1" t="str">
        <f>"Piotr Nesta"</f>
        <v>Piotr Nesta</v>
      </c>
      <c r="C1749" s="1" t="s">
        <v>24083</v>
      </c>
      <c r="F1749" s="1" t="s">
        <v>1351</v>
      </c>
      <c r="H1749" s="1" t="s">
        <v>24084</v>
      </c>
      <c r="I1749" s="1" t="s">
        <v>5</v>
      </c>
      <c r="J1749" s="1" t="s">
        <v>67</v>
      </c>
      <c r="K1749" s="1" t="s">
        <v>14</v>
      </c>
      <c r="M1749" s="2">
        <v>43141</v>
      </c>
      <c r="N1749" s="1" t="s">
        <v>8</v>
      </c>
      <c r="O1749" s="1" t="s">
        <v>68</v>
      </c>
    </row>
    <row r="1750" spans="1:15" ht="28.8" x14ac:dyDescent="0.3">
      <c r="A1750" s="1" t="s">
        <v>9945</v>
      </c>
      <c r="B1750" s="1" t="str">
        <f>"A &amp; L VEHICLE RECYCLING LIMITED"</f>
        <v>A &amp; L VEHICLE RECYCLING LIMITED</v>
      </c>
      <c r="C1750" s="1" t="s">
        <v>9946</v>
      </c>
      <c r="F1750" s="1" t="s">
        <v>706</v>
      </c>
      <c r="H1750" s="1" t="s">
        <v>966</v>
      </c>
      <c r="I1750" s="1" t="s">
        <v>19</v>
      </c>
      <c r="J1750" s="1" t="s">
        <v>6</v>
      </c>
      <c r="K1750" s="1" t="s">
        <v>34</v>
      </c>
      <c r="L1750" s="1">
        <v>5531792</v>
      </c>
      <c r="M1750" s="2">
        <v>43140</v>
      </c>
      <c r="N1750" s="1" t="s">
        <v>8</v>
      </c>
      <c r="O1750" s="2">
        <v>44242</v>
      </c>
    </row>
    <row r="1751" spans="1:15" ht="43.2" x14ac:dyDescent="0.3">
      <c r="A1751" s="1" t="s">
        <v>9947</v>
      </c>
      <c r="B1751" s="1" t="str">
        <f>"Mon Grass Cutting Limited"</f>
        <v>Mon Grass Cutting Limited</v>
      </c>
      <c r="C1751" s="1" t="s">
        <v>9948</v>
      </c>
      <c r="F1751" s="1" t="s">
        <v>9949</v>
      </c>
      <c r="H1751" s="1" t="s">
        <v>9950</v>
      </c>
      <c r="I1751" s="1" t="s">
        <v>19</v>
      </c>
      <c r="J1751" s="1" t="s">
        <v>67</v>
      </c>
      <c r="K1751" s="1" t="s">
        <v>14</v>
      </c>
      <c r="M1751" s="2">
        <v>43140</v>
      </c>
      <c r="N1751" s="1" t="s">
        <v>8</v>
      </c>
      <c r="O1751" s="1" t="s">
        <v>68</v>
      </c>
    </row>
    <row r="1752" spans="1:15" ht="28.8" x14ac:dyDescent="0.3">
      <c r="A1752" s="1" t="s">
        <v>9951</v>
      </c>
      <c r="B1752" s="1" t="str">
        <f>"Weatherwell Roofing Ltd"</f>
        <v>Weatherwell Roofing Ltd</v>
      </c>
      <c r="C1752" s="1" t="s">
        <v>9952</v>
      </c>
      <c r="F1752" s="1" t="s">
        <v>119</v>
      </c>
      <c r="H1752" s="1" t="s">
        <v>3059</v>
      </c>
      <c r="I1752" s="1" t="s">
        <v>19</v>
      </c>
      <c r="J1752" s="1" t="s">
        <v>6</v>
      </c>
      <c r="K1752" s="1" t="s">
        <v>34</v>
      </c>
      <c r="L1752" s="1">
        <v>4627953</v>
      </c>
      <c r="M1752" s="2">
        <v>43140</v>
      </c>
      <c r="N1752" s="1" t="s">
        <v>8</v>
      </c>
      <c r="O1752" s="2">
        <v>44236</v>
      </c>
    </row>
    <row r="1753" spans="1:15" x14ac:dyDescent="0.3">
      <c r="A1753" s="1" t="s">
        <v>9953</v>
      </c>
      <c r="B1753" s="1" t="str">
        <f>"CHADZYS LIMITED"</f>
        <v>CHADZYS LIMITED</v>
      </c>
      <c r="C1753" s="1" t="s">
        <v>9954</v>
      </c>
      <c r="F1753" s="1" t="s">
        <v>1021</v>
      </c>
      <c r="H1753" s="1" t="s">
        <v>9955</v>
      </c>
      <c r="I1753" s="1" t="s">
        <v>19</v>
      </c>
      <c r="J1753" s="1" t="s">
        <v>6</v>
      </c>
      <c r="K1753" s="1" t="s">
        <v>24</v>
      </c>
      <c r="L1753" s="1">
        <v>4535989</v>
      </c>
      <c r="M1753" s="2">
        <v>43140</v>
      </c>
      <c r="N1753" s="1" t="s">
        <v>8</v>
      </c>
      <c r="O1753" s="2">
        <v>44236</v>
      </c>
    </row>
    <row r="1754" spans="1:15" ht="28.8" x14ac:dyDescent="0.3">
      <c r="A1754" s="1" t="s">
        <v>9956</v>
      </c>
      <c r="B1754" s="1" t="str">
        <f>"S W Fleming"</f>
        <v>S W Fleming</v>
      </c>
      <c r="C1754" s="1" t="s">
        <v>9957</v>
      </c>
      <c r="F1754" s="1" t="s">
        <v>767</v>
      </c>
      <c r="H1754" s="1" t="s">
        <v>9958</v>
      </c>
      <c r="I1754" s="1" t="s">
        <v>19</v>
      </c>
      <c r="J1754" s="1" t="s">
        <v>6</v>
      </c>
      <c r="K1754" s="1" t="s">
        <v>34</v>
      </c>
      <c r="L1754" s="1">
        <v>11144305</v>
      </c>
      <c r="M1754" s="2">
        <v>43140</v>
      </c>
      <c r="N1754" s="1" t="s">
        <v>8</v>
      </c>
      <c r="O1754" s="2">
        <v>44236</v>
      </c>
    </row>
    <row r="1755" spans="1:15" ht="43.2" x14ac:dyDescent="0.3">
      <c r="A1755" s="1" t="s">
        <v>23253</v>
      </c>
      <c r="B1755" s="1" t="str">
        <f>"Jamie Robinson"</f>
        <v>Jamie Robinson</v>
      </c>
      <c r="C1755" s="1" t="s">
        <v>23254</v>
      </c>
      <c r="F1755" s="1" t="s">
        <v>11653</v>
      </c>
      <c r="H1755" s="1" t="s">
        <v>23255</v>
      </c>
      <c r="I1755" s="1" t="s">
        <v>5</v>
      </c>
      <c r="J1755" s="1" t="s">
        <v>67</v>
      </c>
      <c r="K1755" s="1" t="s">
        <v>14</v>
      </c>
      <c r="M1755" s="2">
        <v>43140</v>
      </c>
      <c r="N1755" s="1" t="s">
        <v>8</v>
      </c>
      <c r="O1755" s="1" t="s">
        <v>68</v>
      </c>
    </row>
    <row r="1756" spans="1:15" ht="43.2" x14ac:dyDescent="0.3">
      <c r="A1756" s="1" t="s">
        <v>23256</v>
      </c>
      <c r="B1756" s="1" t="str">
        <f>"Stuart Law"</f>
        <v>Stuart Law</v>
      </c>
      <c r="C1756" s="1" t="s">
        <v>23257</v>
      </c>
      <c r="F1756" s="1" t="s">
        <v>3992</v>
      </c>
      <c r="H1756" s="1" t="s">
        <v>23258</v>
      </c>
      <c r="I1756" s="1" t="s">
        <v>5</v>
      </c>
      <c r="J1756" s="1" t="s">
        <v>67</v>
      </c>
      <c r="K1756" s="1" t="s">
        <v>24</v>
      </c>
      <c r="M1756" s="2">
        <v>43140</v>
      </c>
      <c r="N1756" s="1" t="s">
        <v>8</v>
      </c>
      <c r="O1756" s="1" t="s">
        <v>68</v>
      </c>
    </row>
    <row r="1757" spans="1:15" ht="28.8" x14ac:dyDescent="0.3">
      <c r="A1757" s="1" t="s">
        <v>8805</v>
      </c>
      <c r="B1757" s="1" t="str">
        <f>"FAC LANDSCAPES LTD"</f>
        <v>FAC LANDSCAPES LTD</v>
      </c>
      <c r="C1757" s="1" t="s">
        <v>6802</v>
      </c>
      <c r="F1757" s="1" t="s">
        <v>6803</v>
      </c>
      <c r="H1757" s="1" t="s">
        <v>6804</v>
      </c>
      <c r="I1757" s="1" t="s">
        <v>19</v>
      </c>
      <c r="J1757" s="1" t="s">
        <v>6</v>
      </c>
      <c r="K1757" s="1" t="s">
        <v>24</v>
      </c>
      <c r="L1757" s="1">
        <v>9234615</v>
      </c>
      <c r="M1757" s="2">
        <v>43139</v>
      </c>
      <c r="N1757" s="1" t="s">
        <v>8</v>
      </c>
      <c r="O1757" s="2">
        <v>44235</v>
      </c>
    </row>
    <row r="1758" spans="1:15" ht="43.2" x14ac:dyDescent="0.3">
      <c r="A1758" s="1" t="s">
        <v>8806</v>
      </c>
      <c r="B1758" s="1" t="str">
        <f>"Jacksons Garden Centre"</f>
        <v>Jacksons Garden Centre</v>
      </c>
      <c r="C1758" s="1" t="s">
        <v>8807</v>
      </c>
      <c r="F1758" s="1" t="s">
        <v>476</v>
      </c>
      <c r="H1758" s="1" t="s">
        <v>8808</v>
      </c>
      <c r="I1758" s="1" t="s">
        <v>19</v>
      </c>
      <c r="J1758" s="1" t="s">
        <v>67</v>
      </c>
      <c r="K1758" s="1" t="s">
        <v>14</v>
      </c>
      <c r="M1758" s="2">
        <v>43139</v>
      </c>
      <c r="N1758" s="1" t="s">
        <v>8</v>
      </c>
      <c r="O1758" s="1" t="s">
        <v>68</v>
      </c>
    </row>
    <row r="1759" spans="1:15" ht="28.8" x14ac:dyDescent="0.3">
      <c r="A1759" s="1" t="s">
        <v>8809</v>
      </c>
      <c r="B1759" s="1" t="str">
        <f>"Swansea Drains Limited"</f>
        <v>Swansea Drains Limited</v>
      </c>
      <c r="C1759" s="1" t="s">
        <v>8810</v>
      </c>
      <c r="D1759" s="1" t="s">
        <v>8811</v>
      </c>
      <c r="E1759" s="1" t="s">
        <v>8812</v>
      </c>
      <c r="F1759" s="1" t="s">
        <v>64</v>
      </c>
      <c r="H1759" s="1" t="s">
        <v>8813</v>
      </c>
      <c r="I1759" s="1" t="s">
        <v>19</v>
      </c>
      <c r="J1759" s="1" t="s">
        <v>6</v>
      </c>
      <c r="K1759" s="1" t="s">
        <v>24</v>
      </c>
      <c r="L1759" s="1">
        <v>7884865</v>
      </c>
      <c r="M1759" s="2">
        <v>43139</v>
      </c>
      <c r="N1759" s="1" t="s">
        <v>8</v>
      </c>
      <c r="O1759" s="2">
        <v>44235</v>
      </c>
    </row>
    <row r="1760" spans="1:15" ht="28.8" x14ac:dyDescent="0.3">
      <c r="A1760" s="1" t="s">
        <v>9935</v>
      </c>
      <c r="B1760" s="1" t="str">
        <f>"Crystal Carpets and Flooring LTD "</f>
        <v xml:space="preserve">Crystal Carpets and Flooring LTD </v>
      </c>
      <c r="C1760" s="1" t="s">
        <v>9936</v>
      </c>
      <c r="F1760" s="1" t="s">
        <v>42</v>
      </c>
      <c r="H1760" s="1" t="s">
        <v>9937</v>
      </c>
      <c r="I1760" s="1" t="s">
        <v>19</v>
      </c>
      <c r="J1760" s="1" t="s">
        <v>6</v>
      </c>
      <c r="K1760" s="1" t="s">
        <v>24</v>
      </c>
      <c r="L1760" s="1">
        <v>10739763</v>
      </c>
      <c r="M1760" s="2">
        <v>43139</v>
      </c>
      <c r="N1760" s="1" t="s">
        <v>8</v>
      </c>
      <c r="O1760" s="2">
        <v>44235</v>
      </c>
    </row>
    <row r="1761" spans="1:15" x14ac:dyDescent="0.3">
      <c r="A1761" s="1" t="s">
        <v>9938</v>
      </c>
      <c r="B1761" s="1" t="str">
        <f>"D S L MOBILITY LTD"</f>
        <v>D S L MOBILITY LTD</v>
      </c>
      <c r="C1761" s="1" t="s">
        <v>9939</v>
      </c>
      <c r="D1761" s="1" t="s">
        <v>9940</v>
      </c>
      <c r="F1761" s="1" t="s">
        <v>532</v>
      </c>
      <c r="H1761" s="1" t="s">
        <v>9941</v>
      </c>
      <c r="I1761" s="1" t="s">
        <v>19</v>
      </c>
      <c r="J1761" s="1" t="s">
        <v>6</v>
      </c>
      <c r="K1761" s="1" t="s">
        <v>24</v>
      </c>
      <c r="L1761" s="1">
        <v>3734066</v>
      </c>
      <c r="M1761" s="2">
        <v>43139</v>
      </c>
      <c r="N1761" s="1" t="s">
        <v>8</v>
      </c>
      <c r="O1761" s="2">
        <v>44235</v>
      </c>
    </row>
    <row r="1762" spans="1:15" ht="43.2" x14ac:dyDescent="0.3">
      <c r="A1762" s="1" t="s">
        <v>9942</v>
      </c>
      <c r="B1762" s="1" t="str">
        <f>"offway stores"</f>
        <v>offway stores</v>
      </c>
      <c r="C1762" s="1" t="s">
        <v>9943</v>
      </c>
      <c r="F1762" s="1" t="s">
        <v>380</v>
      </c>
      <c r="H1762" s="1" t="s">
        <v>9944</v>
      </c>
      <c r="I1762" s="1" t="s">
        <v>125</v>
      </c>
      <c r="J1762" s="1" t="s">
        <v>67</v>
      </c>
      <c r="K1762" s="1" t="s">
        <v>14</v>
      </c>
      <c r="M1762" s="2">
        <v>43139</v>
      </c>
      <c r="N1762" s="1" t="s">
        <v>8</v>
      </c>
      <c r="O1762" s="1" t="s">
        <v>68</v>
      </c>
    </row>
    <row r="1763" spans="1:15" ht="28.8" x14ac:dyDescent="0.3">
      <c r="A1763" s="1" t="s">
        <v>22521</v>
      </c>
      <c r="B1763" s="1" t="str">
        <f>"Peter Dacre Peter Dacre"</f>
        <v>Peter Dacre Peter Dacre</v>
      </c>
      <c r="C1763" s="1" t="s">
        <v>22522</v>
      </c>
      <c r="F1763" s="1" t="s">
        <v>1321</v>
      </c>
      <c r="H1763" s="1" t="s">
        <v>22523</v>
      </c>
      <c r="I1763" s="1" t="s">
        <v>5</v>
      </c>
      <c r="J1763" s="1" t="s">
        <v>6</v>
      </c>
      <c r="K1763" s="1" t="s">
        <v>24</v>
      </c>
      <c r="M1763" s="2">
        <v>43139</v>
      </c>
      <c r="N1763" s="1" t="s">
        <v>8</v>
      </c>
      <c r="O1763" s="2">
        <v>44235</v>
      </c>
    </row>
    <row r="1764" spans="1:15" ht="43.2" x14ac:dyDescent="0.3">
      <c r="A1764" s="1" t="s">
        <v>23241</v>
      </c>
      <c r="B1764" s="1" t="str">
        <f>"Terry Cooper"</f>
        <v>Terry Cooper</v>
      </c>
      <c r="C1764" s="1" t="s">
        <v>23242</v>
      </c>
      <c r="F1764" s="1" t="s">
        <v>374</v>
      </c>
      <c r="H1764" s="1" t="s">
        <v>23243</v>
      </c>
      <c r="I1764" s="1" t="s">
        <v>5</v>
      </c>
      <c r="J1764" s="1" t="s">
        <v>67</v>
      </c>
      <c r="K1764" s="1" t="s">
        <v>14</v>
      </c>
      <c r="M1764" s="2">
        <v>43139</v>
      </c>
      <c r="N1764" s="1" t="s">
        <v>8</v>
      </c>
      <c r="O1764" s="1" t="s">
        <v>68</v>
      </c>
    </row>
    <row r="1765" spans="1:15" ht="28.8" x14ac:dyDescent="0.3">
      <c r="A1765" s="1" t="s">
        <v>23244</v>
      </c>
      <c r="B1765" s="1" t="str">
        <f>"Ian Richards Ian Richards"</f>
        <v>Ian Richards Ian Richards</v>
      </c>
      <c r="C1765" s="1" t="s">
        <v>23245</v>
      </c>
      <c r="F1765" s="1" t="s">
        <v>42</v>
      </c>
      <c r="H1765" s="1" t="s">
        <v>23246</v>
      </c>
      <c r="I1765" s="1" t="s">
        <v>5</v>
      </c>
      <c r="J1765" s="1" t="s">
        <v>6</v>
      </c>
      <c r="K1765" s="1" t="s">
        <v>34</v>
      </c>
      <c r="M1765" s="2">
        <v>43139</v>
      </c>
      <c r="N1765" s="1" t="s">
        <v>8</v>
      </c>
      <c r="O1765" s="2">
        <v>44235</v>
      </c>
    </row>
    <row r="1766" spans="1:15" ht="43.2" x14ac:dyDescent="0.3">
      <c r="A1766" s="1" t="s">
        <v>23247</v>
      </c>
      <c r="B1766" s="1" t="str">
        <f>"STUART PRITCHARD s p pritchard building contractor"</f>
        <v>STUART PRITCHARD s p pritchard building contractor</v>
      </c>
      <c r="C1766" s="1" t="s">
        <v>23248</v>
      </c>
      <c r="F1766" s="1" t="s">
        <v>42</v>
      </c>
      <c r="H1766" s="1" t="s">
        <v>23249</v>
      </c>
      <c r="I1766" s="1" t="s">
        <v>5</v>
      </c>
      <c r="J1766" s="1" t="s">
        <v>6</v>
      </c>
      <c r="K1766" s="1" t="s">
        <v>24</v>
      </c>
      <c r="M1766" s="2">
        <v>43139</v>
      </c>
      <c r="N1766" s="1" t="s">
        <v>8</v>
      </c>
      <c r="O1766" s="2">
        <v>44235</v>
      </c>
    </row>
    <row r="1767" spans="1:15" ht="43.2" x14ac:dyDescent="0.3">
      <c r="A1767" s="1" t="s">
        <v>23250</v>
      </c>
      <c r="B1767" s="1" t="str">
        <f>"Jonathan Preston"</f>
        <v>Jonathan Preston</v>
      </c>
      <c r="C1767" s="1" t="s">
        <v>23251</v>
      </c>
      <c r="F1767" s="1" t="s">
        <v>1063</v>
      </c>
      <c r="H1767" s="1" t="s">
        <v>23252</v>
      </c>
      <c r="I1767" s="1" t="s">
        <v>5</v>
      </c>
      <c r="J1767" s="1" t="s">
        <v>67</v>
      </c>
      <c r="K1767" s="1" t="s">
        <v>14</v>
      </c>
      <c r="M1767" s="2">
        <v>43139</v>
      </c>
      <c r="N1767" s="1" t="s">
        <v>8</v>
      </c>
      <c r="O1767" s="1" t="s">
        <v>68</v>
      </c>
    </row>
    <row r="1768" spans="1:15" ht="43.2" x14ac:dyDescent="0.3">
      <c r="A1768" s="1" t="s">
        <v>7653</v>
      </c>
      <c r="B1768" s="1" t="str">
        <f>"precinctbazaar"</f>
        <v>precinctbazaar</v>
      </c>
      <c r="C1768" s="1" t="s">
        <v>7654</v>
      </c>
      <c r="F1768" s="1" t="s">
        <v>7655</v>
      </c>
      <c r="H1768" s="1" t="s">
        <v>7656</v>
      </c>
      <c r="I1768" s="1" t="s">
        <v>125</v>
      </c>
      <c r="J1768" s="1" t="s">
        <v>67</v>
      </c>
      <c r="K1768" s="1" t="s">
        <v>14</v>
      </c>
      <c r="M1768" s="2">
        <v>43138</v>
      </c>
      <c r="N1768" s="1" t="s">
        <v>8</v>
      </c>
      <c r="O1768" s="1" t="s">
        <v>68</v>
      </c>
    </row>
    <row r="1769" spans="1:15" ht="43.2" x14ac:dyDescent="0.3">
      <c r="A1769" s="1" t="s">
        <v>7657</v>
      </c>
      <c r="B1769" s="1" t="str">
        <f>"williams of wool"</f>
        <v>williams of wool</v>
      </c>
      <c r="C1769" s="1" t="s">
        <v>7658</v>
      </c>
      <c r="F1769" s="1" t="s">
        <v>7659</v>
      </c>
      <c r="H1769" s="1" t="s">
        <v>7660</v>
      </c>
      <c r="I1769" s="1" t="s">
        <v>125</v>
      </c>
      <c r="J1769" s="1" t="s">
        <v>67</v>
      </c>
      <c r="K1769" s="1" t="s">
        <v>14</v>
      </c>
      <c r="M1769" s="2">
        <v>43138</v>
      </c>
      <c r="N1769" s="1" t="s">
        <v>8</v>
      </c>
      <c r="O1769" s="1" t="s">
        <v>68</v>
      </c>
    </row>
    <row r="1770" spans="1:15" ht="28.8" x14ac:dyDescent="0.3">
      <c r="A1770" s="1" t="s">
        <v>7661</v>
      </c>
      <c r="B1770" s="1" t="str">
        <f>"BDS LOGISTICS (SOUTH WALES) LIMITED"</f>
        <v>BDS LOGISTICS (SOUTH WALES) LIMITED</v>
      </c>
      <c r="C1770" s="1" t="s">
        <v>7662</v>
      </c>
      <c r="D1770" s="1" t="s">
        <v>1247</v>
      </c>
      <c r="E1770" s="1" t="s">
        <v>400</v>
      </c>
      <c r="F1770" s="1" t="s">
        <v>401</v>
      </c>
      <c r="H1770" s="1" t="s">
        <v>1732</v>
      </c>
      <c r="I1770" s="1" t="s">
        <v>19</v>
      </c>
      <c r="J1770" s="1" t="s">
        <v>6</v>
      </c>
      <c r="K1770" s="1" t="s">
        <v>24</v>
      </c>
      <c r="L1770" s="1">
        <v>5277402</v>
      </c>
      <c r="M1770" s="2">
        <v>43138</v>
      </c>
      <c r="N1770" s="1" t="s">
        <v>8</v>
      </c>
      <c r="O1770" s="2">
        <v>44234</v>
      </c>
    </row>
    <row r="1771" spans="1:15" ht="28.8" x14ac:dyDescent="0.3">
      <c r="A1771" s="1" t="s">
        <v>7663</v>
      </c>
      <c r="B1771" s="1" t="str">
        <f>"Dust's Away Cleaning Services"</f>
        <v>Dust's Away Cleaning Services</v>
      </c>
      <c r="C1771" s="1" t="s">
        <v>7664</v>
      </c>
      <c r="D1771" s="1" t="s">
        <v>7665</v>
      </c>
      <c r="F1771" s="1" t="s">
        <v>7666</v>
      </c>
      <c r="H1771" s="1" t="s">
        <v>7667</v>
      </c>
      <c r="I1771" s="1" t="s">
        <v>125</v>
      </c>
      <c r="J1771" s="1" t="s">
        <v>6</v>
      </c>
      <c r="K1771" s="1" t="s">
        <v>34</v>
      </c>
      <c r="M1771" s="2">
        <v>43138</v>
      </c>
      <c r="N1771" s="1" t="s">
        <v>8</v>
      </c>
      <c r="O1771" s="2">
        <v>44234</v>
      </c>
    </row>
    <row r="1772" spans="1:15" ht="28.8" x14ac:dyDescent="0.3">
      <c r="A1772" s="1" t="s">
        <v>7668</v>
      </c>
      <c r="B1772" s="1" t="str">
        <f>"Country boiler services ltd"</f>
        <v>Country boiler services ltd</v>
      </c>
      <c r="C1772" s="1" t="s">
        <v>7669</v>
      </c>
      <c r="F1772" s="1" t="s">
        <v>2066</v>
      </c>
      <c r="H1772" s="1" t="s">
        <v>7670</v>
      </c>
      <c r="I1772" s="1" t="s">
        <v>19</v>
      </c>
      <c r="J1772" s="1" t="s">
        <v>6</v>
      </c>
      <c r="K1772" s="1" t="s">
        <v>24</v>
      </c>
      <c r="L1772" s="1">
        <v>841472</v>
      </c>
      <c r="M1772" s="2">
        <v>43138</v>
      </c>
      <c r="N1772" s="1" t="s">
        <v>8</v>
      </c>
      <c r="O1772" s="2">
        <v>44234</v>
      </c>
    </row>
    <row r="1773" spans="1:15" ht="28.8" x14ac:dyDescent="0.3">
      <c r="A1773" s="1" t="s">
        <v>7671</v>
      </c>
      <c r="B1773" s="1" t="str">
        <f>"Jones Engineering &amp; Construction"</f>
        <v>Jones Engineering &amp; Construction</v>
      </c>
      <c r="C1773" s="1" t="s">
        <v>7672</v>
      </c>
      <c r="D1773" s="1" t="s">
        <v>7673</v>
      </c>
      <c r="F1773" s="1" t="s">
        <v>585</v>
      </c>
      <c r="H1773" s="1" t="s">
        <v>7674</v>
      </c>
      <c r="I1773" s="1" t="s">
        <v>19</v>
      </c>
      <c r="J1773" s="1" t="s">
        <v>6</v>
      </c>
      <c r="K1773" s="1" t="s">
        <v>24</v>
      </c>
      <c r="L1773" s="1">
        <v>9381889</v>
      </c>
      <c r="M1773" s="2">
        <v>43138</v>
      </c>
      <c r="N1773" s="1" t="s">
        <v>8</v>
      </c>
      <c r="O1773" s="2">
        <v>44234</v>
      </c>
    </row>
    <row r="1774" spans="1:15" ht="28.8" x14ac:dyDescent="0.3">
      <c r="A1774" s="1" t="s">
        <v>8784</v>
      </c>
      <c r="B1774" s="1" t="str">
        <f>"MTBS Home improvements Ltd"</f>
        <v>MTBS Home improvements Ltd</v>
      </c>
      <c r="C1774" s="1" t="s">
        <v>8785</v>
      </c>
      <c r="D1774" s="1" t="s">
        <v>8786</v>
      </c>
      <c r="F1774" s="1" t="s">
        <v>642</v>
      </c>
      <c r="H1774" s="1" t="s">
        <v>8787</v>
      </c>
      <c r="I1774" s="1" t="s">
        <v>19</v>
      </c>
      <c r="J1774" s="1" t="s">
        <v>6</v>
      </c>
      <c r="K1774" s="1" t="s">
        <v>34</v>
      </c>
      <c r="L1774" s="1">
        <v>10681321</v>
      </c>
      <c r="M1774" s="2">
        <v>43138</v>
      </c>
      <c r="N1774" s="1" t="s">
        <v>8</v>
      </c>
      <c r="O1774" s="2">
        <v>44234</v>
      </c>
    </row>
    <row r="1775" spans="1:15" ht="43.2" x14ac:dyDescent="0.3">
      <c r="A1775" s="1" t="s">
        <v>8788</v>
      </c>
      <c r="B1775" s="1" t="str">
        <f>"Monmouthshire Upcycle"</f>
        <v>Monmouthshire Upcycle</v>
      </c>
      <c r="C1775" s="1" t="s">
        <v>8789</v>
      </c>
      <c r="F1775" s="1" t="s">
        <v>243</v>
      </c>
      <c r="H1775" s="1" t="s">
        <v>8790</v>
      </c>
      <c r="I1775" s="1" t="s">
        <v>1872</v>
      </c>
      <c r="J1775" s="1" t="s">
        <v>67</v>
      </c>
      <c r="K1775" s="1" t="s">
        <v>14</v>
      </c>
      <c r="M1775" s="2">
        <v>43138</v>
      </c>
      <c r="N1775" s="1" t="s">
        <v>8</v>
      </c>
      <c r="O1775" s="1" t="s">
        <v>68</v>
      </c>
    </row>
    <row r="1776" spans="1:15" x14ac:dyDescent="0.3">
      <c r="A1776" s="1" t="s">
        <v>8791</v>
      </c>
      <c r="B1776" s="1" t="str">
        <f>"MARK HOWARD LTD"</f>
        <v>MARK HOWARD LTD</v>
      </c>
      <c r="C1776" s="1" t="s">
        <v>8792</v>
      </c>
      <c r="F1776" s="1" t="s">
        <v>42</v>
      </c>
      <c r="H1776" s="1" t="s">
        <v>8793</v>
      </c>
      <c r="I1776" s="1" t="s">
        <v>19</v>
      </c>
      <c r="J1776" s="1" t="s">
        <v>6</v>
      </c>
      <c r="K1776" s="1" t="s">
        <v>24</v>
      </c>
      <c r="L1776" s="1">
        <v>4761696</v>
      </c>
      <c r="M1776" s="2">
        <v>43138</v>
      </c>
      <c r="N1776" s="1" t="s">
        <v>8</v>
      </c>
      <c r="O1776" s="2">
        <v>44234</v>
      </c>
    </row>
    <row r="1777" spans="1:15" ht="28.8" x14ac:dyDescent="0.3">
      <c r="A1777" s="1" t="s">
        <v>8794</v>
      </c>
      <c r="B1777" s="1" t="str">
        <f>"G Taylor &amp; Son"</f>
        <v>G Taylor &amp; Son</v>
      </c>
      <c r="C1777" s="1" t="s">
        <v>8795</v>
      </c>
      <c r="F1777" s="1" t="s">
        <v>1108</v>
      </c>
      <c r="H1777" s="1" t="s">
        <v>8796</v>
      </c>
      <c r="I1777" s="1" t="s">
        <v>125</v>
      </c>
      <c r="J1777" s="1" t="s">
        <v>6</v>
      </c>
      <c r="K1777" s="1" t="s">
        <v>34</v>
      </c>
      <c r="M1777" s="2">
        <v>43138</v>
      </c>
      <c r="N1777" s="1" t="s">
        <v>8</v>
      </c>
      <c r="O1777" s="2">
        <v>44234</v>
      </c>
    </row>
    <row r="1778" spans="1:15" ht="28.8" x14ac:dyDescent="0.3">
      <c r="A1778" s="1" t="s">
        <v>8797</v>
      </c>
      <c r="B1778" s="1" t="str">
        <f>"Centric Home Improvements Limited"</f>
        <v>Centric Home Improvements Limited</v>
      </c>
      <c r="C1778" s="1" t="s">
        <v>8798</v>
      </c>
      <c r="F1778" s="1" t="s">
        <v>22</v>
      </c>
      <c r="H1778" s="1" t="s">
        <v>8799</v>
      </c>
      <c r="I1778" s="1" t="s">
        <v>19</v>
      </c>
      <c r="J1778" s="1" t="s">
        <v>6</v>
      </c>
      <c r="K1778" s="1" t="s">
        <v>34</v>
      </c>
      <c r="L1778" s="1">
        <v>10848843</v>
      </c>
      <c r="M1778" s="2">
        <v>43138</v>
      </c>
      <c r="N1778" s="1" t="s">
        <v>8</v>
      </c>
      <c r="O1778" s="2">
        <v>44234</v>
      </c>
    </row>
    <row r="1779" spans="1:15" x14ac:dyDescent="0.3">
      <c r="A1779" s="1" t="s">
        <v>8800</v>
      </c>
      <c r="B1779" s="1" t="str">
        <f>"UK Shuttle LTD"</f>
        <v>UK Shuttle LTD</v>
      </c>
      <c r="C1779" s="1" t="s">
        <v>8801</v>
      </c>
      <c r="D1779" s="1" t="s">
        <v>8802</v>
      </c>
      <c r="F1779" s="1" t="s">
        <v>8803</v>
      </c>
      <c r="H1779" s="1" t="s">
        <v>8804</v>
      </c>
      <c r="I1779" s="1" t="s">
        <v>19</v>
      </c>
      <c r="J1779" s="1" t="s">
        <v>6</v>
      </c>
      <c r="K1779" s="1" t="s">
        <v>24</v>
      </c>
      <c r="L1779" s="1">
        <v>2352038</v>
      </c>
      <c r="M1779" s="2">
        <v>43138</v>
      </c>
      <c r="N1779" s="1" t="s">
        <v>8</v>
      </c>
      <c r="O1779" s="2">
        <v>44234</v>
      </c>
    </row>
    <row r="1780" spans="1:15" ht="43.2" x14ac:dyDescent="0.3">
      <c r="A1780" s="1" t="s">
        <v>22515</v>
      </c>
      <c r="B1780" s="1" t="str">
        <f>"Martin Brown"</f>
        <v>Martin Brown</v>
      </c>
      <c r="C1780" s="1" t="s">
        <v>22516</v>
      </c>
      <c r="F1780" s="1" t="s">
        <v>64</v>
      </c>
      <c r="H1780" s="1" t="s">
        <v>22517</v>
      </c>
      <c r="I1780" s="1" t="s">
        <v>5</v>
      </c>
      <c r="J1780" s="1" t="s">
        <v>67</v>
      </c>
      <c r="K1780" s="1" t="s">
        <v>14</v>
      </c>
      <c r="M1780" s="2">
        <v>43138</v>
      </c>
      <c r="N1780" s="1" t="s">
        <v>8</v>
      </c>
      <c r="O1780" s="1" t="s">
        <v>68</v>
      </c>
    </row>
    <row r="1781" spans="1:15" ht="28.8" x14ac:dyDescent="0.3">
      <c r="A1781" s="1" t="s">
        <v>22518</v>
      </c>
      <c r="B1781" s="1" t="str">
        <f>"Christopher Kelly CK Services."</f>
        <v>Christopher Kelly CK Services.</v>
      </c>
      <c r="C1781" s="1" t="s">
        <v>22519</v>
      </c>
      <c r="F1781" s="1" t="s">
        <v>1385</v>
      </c>
      <c r="H1781" s="1" t="s">
        <v>22520</v>
      </c>
      <c r="I1781" s="1" t="s">
        <v>5</v>
      </c>
      <c r="J1781" s="1" t="s">
        <v>6</v>
      </c>
      <c r="K1781" s="1" t="s">
        <v>24</v>
      </c>
      <c r="M1781" s="2">
        <v>43138</v>
      </c>
      <c r="N1781" s="1" t="s">
        <v>8</v>
      </c>
      <c r="O1781" s="2">
        <v>44234</v>
      </c>
    </row>
    <row r="1782" spans="1:15" ht="43.2" x14ac:dyDescent="0.3">
      <c r="A1782" s="1" t="s">
        <v>6574</v>
      </c>
      <c r="B1782" s="1" t="str">
        <f>"Cei carpets ltd"</f>
        <v>Cei carpets ltd</v>
      </c>
      <c r="C1782" s="1" t="s">
        <v>6575</v>
      </c>
      <c r="F1782" s="1" t="s">
        <v>2778</v>
      </c>
      <c r="H1782" s="1" t="s">
        <v>6576</v>
      </c>
      <c r="I1782" s="1" t="s">
        <v>19</v>
      </c>
      <c r="J1782" s="1" t="s">
        <v>67</v>
      </c>
      <c r="K1782" s="1" t="s">
        <v>14</v>
      </c>
      <c r="M1782" s="2">
        <v>43137</v>
      </c>
      <c r="N1782" s="1" t="s">
        <v>8</v>
      </c>
      <c r="O1782" s="1" t="s">
        <v>68</v>
      </c>
    </row>
    <row r="1783" spans="1:15" ht="28.8" x14ac:dyDescent="0.3">
      <c r="A1783" s="1" t="s">
        <v>6577</v>
      </c>
      <c r="B1783" s="1" t="str">
        <f>"Red Dragon Retreading Ltd"</f>
        <v>Red Dragon Retreading Ltd</v>
      </c>
      <c r="C1783" s="1" t="s">
        <v>6578</v>
      </c>
      <c r="D1783" s="1" t="s">
        <v>564</v>
      </c>
      <c r="F1783" s="1" t="s">
        <v>179</v>
      </c>
      <c r="H1783" s="1" t="s">
        <v>6579</v>
      </c>
      <c r="I1783" s="1" t="s">
        <v>19</v>
      </c>
      <c r="J1783" s="1" t="s">
        <v>6</v>
      </c>
      <c r="K1783" s="1" t="s">
        <v>34</v>
      </c>
      <c r="L1783" s="1">
        <v>993489</v>
      </c>
      <c r="M1783" s="2">
        <v>43137</v>
      </c>
      <c r="N1783" s="1" t="s">
        <v>8</v>
      </c>
      <c r="O1783" s="2">
        <v>44233</v>
      </c>
    </row>
    <row r="1784" spans="1:15" ht="43.2" x14ac:dyDescent="0.3">
      <c r="A1784" s="1" t="s">
        <v>6580</v>
      </c>
      <c r="B1784" s="1" t="str">
        <f>"GBC Transport Limited"</f>
        <v>GBC Transport Limited</v>
      </c>
      <c r="C1784" s="1" t="s">
        <v>6581</v>
      </c>
      <c r="F1784" s="1" t="s">
        <v>2722</v>
      </c>
      <c r="H1784" s="1" t="s">
        <v>6582</v>
      </c>
      <c r="I1784" s="1" t="s">
        <v>19</v>
      </c>
      <c r="J1784" s="1" t="s">
        <v>67</v>
      </c>
      <c r="K1784" s="1" t="s">
        <v>14</v>
      </c>
      <c r="M1784" s="2">
        <v>43137</v>
      </c>
      <c r="N1784" s="1" t="s">
        <v>8</v>
      </c>
      <c r="O1784" s="1" t="s">
        <v>68</v>
      </c>
    </row>
    <row r="1785" spans="1:15" ht="28.8" x14ac:dyDescent="0.3">
      <c r="A1785" s="1" t="s">
        <v>6583</v>
      </c>
      <c r="B1785" s="1" t="str">
        <f>"Cardiff Cleaning Services Ltd (APP)"</f>
        <v>Cardiff Cleaning Services Ltd (APP)</v>
      </c>
      <c r="C1785" s="1" t="s">
        <v>6584</v>
      </c>
      <c r="D1785" s="1" t="s">
        <v>6585</v>
      </c>
      <c r="F1785" s="1" t="s">
        <v>123</v>
      </c>
      <c r="H1785" s="1" t="s">
        <v>461</v>
      </c>
      <c r="I1785" s="1" t="s">
        <v>19</v>
      </c>
      <c r="J1785" s="1" t="s">
        <v>6</v>
      </c>
      <c r="K1785" s="1" t="s">
        <v>34</v>
      </c>
      <c r="L1785" s="1">
        <v>6136290</v>
      </c>
      <c r="M1785" s="2">
        <v>43137</v>
      </c>
      <c r="N1785" s="1" t="s">
        <v>8</v>
      </c>
      <c r="O1785" s="2">
        <v>44233</v>
      </c>
    </row>
    <row r="1786" spans="1:15" x14ac:dyDescent="0.3">
      <c r="A1786" s="1" t="s">
        <v>6586</v>
      </c>
      <c r="B1786" s="1" t="str">
        <f>"Hall &amp; Roche Logistics"</f>
        <v>Hall &amp; Roche Logistics</v>
      </c>
      <c r="C1786" s="1" t="s">
        <v>6337</v>
      </c>
      <c r="D1786" s="1" t="s">
        <v>6338</v>
      </c>
      <c r="E1786" s="1" t="s">
        <v>2041</v>
      </c>
      <c r="F1786" s="1" t="s">
        <v>64</v>
      </c>
      <c r="H1786" s="1" t="s">
        <v>6339</v>
      </c>
      <c r="I1786" s="1" t="s">
        <v>19</v>
      </c>
      <c r="J1786" s="1" t="s">
        <v>6</v>
      </c>
      <c r="K1786" s="1" t="s">
        <v>24</v>
      </c>
      <c r="L1786" s="1">
        <v>523787</v>
      </c>
      <c r="M1786" s="2">
        <v>43137</v>
      </c>
      <c r="N1786" s="1" t="s">
        <v>8</v>
      </c>
      <c r="O1786" s="2">
        <v>44233</v>
      </c>
    </row>
    <row r="1787" spans="1:15" ht="28.8" x14ac:dyDescent="0.3">
      <c r="A1787" s="1" t="s">
        <v>7635</v>
      </c>
      <c r="B1787" s="1" t="str">
        <f>"ACE Building Contractors(Wales) Ltd"</f>
        <v>ACE Building Contractors(Wales) Ltd</v>
      </c>
      <c r="C1787" s="1" t="s">
        <v>7636</v>
      </c>
      <c r="F1787" s="1" t="s">
        <v>556</v>
      </c>
      <c r="H1787" s="1" t="s">
        <v>7637</v>
      </c>
      <c r="I1787" s="1" t="s">
        <v>19</v>
      </c>
      <c r="J1787" s="1" t="s">
        <v>6</v>
      </c>
      <c r="K1787" s="1" t="s">
        <v>34</v>
      </c>
      <c r="L1787" s="1">
        <v>4435484</v>
      </c>
      <c r="M1787" s="2">
        <v>43137</v>
      </c>
      <c r="N1787" s="1" t="s">
        <v>8</v>
      </c>
      <c r="O1787" s="2">
        <v>44233</v>
      </c>
    </row>
    <row r="1788" spans="1:15" ht="43.2" x14ac:dyDescent="0.3">
      <c r="A1788" s="1" t="s">
        <v>7638</v>
      </c>
      <c r="B1788" s="1" t="str">
        <f>"Shandor's Limited "</f>
        <v xml:space="preserve">Shandor's Limited </v>
      </c>
      <c r="C1788" s="1" t="s">
        <v>7639</v>
      </c>
      <c r="F1788" s="1" t="s">
        <v>102</v>
      </c>
      <c r="H1788" s="1" t="s">
        <v>7640</v>
      </c>
      <c r="I1788" s="1" t="s">
        <v>19</v>
      </c>
      <c r="J1788" s="1" t="s">
        <v>67</v>
      </c>
      <c r="K1788" s="1" t="s">
        <v>14</v>
      </c>
      <c r="M1788" s="2">
        <v>43137</v>
      </c>
      <c r="N1788" s="1" t="s">
        <v>8</v>
      </c>
      <c r="O1788" s="1" t="s">
        <v>68</v>
      </c>
    </row>
    <row r="1789" spans="1:15" ht="28.8" x14ac:dyDescent="0.3">
      <c r="A1789" s="1" t="s">
        <v>7641</v>
      </c>
      <c r="B1789" s="1" t="str">
        <f>"COOL SOLUTION REFRIGERATION LTD"</f>
        <v>COOL SOLUTION REFRIGERATION LTD</v>
      </c>
      <c r="C1789" s="1" t="s">
        <v>7642</v>
      </c>
      <c r="D1789" s="1" t="s">
        <v>7643</v>
      </c>
      <c r="F1789" s="1" t="s">
        <v>123</v>
      </c>
      <c r="H1789" s="1" t="s">
        <v>7002</v>
      </c>
      <c r="I1789" s="1" t="s">
        <v>19</v>
      </c>
      <c r="J1789" s="1" t="s">
        <v>6</v>
      </c>
      <c r="K1789" s="1" t="s">
        <v>34</v>
      </c>
      <c r="L1789" s="1">
        <v>4729569</v>
      </c>
      <c r="M1789" s="2">
        <v>43137</v>
      </c>
      <c r="N1789" s="1" t="s">
        <v>8</v>
      </c>
      <c r="O1789" s="2">
        <v>44233</v>
      </c>
    </row>
    <row r="1790" spans="1:15" ht="28.8" x14ac:dyDescent="0.3">
      <c r="A1790" s="1" t="s">
        <v>7644</v>
      </c>
      <c r="B1790" s="1" t="str">
        <f>"RA &amp; HM ROBERTS LIMITED"</f>
        <v>RA &amp; HM ROBERTS LIMITED</v>
      </c>
      <c r="C1790" s="1" t="s">
        <v>7645</v>
      </c>
      <c r="D1790" s="1" t="s">
        <v>1875</v>
      </c>
      <c r="F1790" s="1" t="s">
        <v>532</v>
      </c>
      <c r="H1790" s="1" t="s">
        <v>7646</v>
      </c>
      <c r="I1790" s="1" t="s">
        <v>19</v>
      </c>
      <c r="J1790" s="1" t="s">
        <v>6</v>
      </c>
      <c r="K1790" s="1" t="s">
        <v>34</v>
      </c>
      <c r="L1790" s="1">
        <v>6896698</v>
      </c>
      <c r="M1790" s="2">
        <v>43137</v>
      </c>
      <c r="N1790" s="1" t="s">
        <v>8</v>
      </c>
      <c r="O1790" s="2">
        <v>44233</v>
      </c>
    </row>
    <row r="1791" spans="1:15" ht="28.8" x14ac:dyDescent="0.3">
      <c r="A1791" s="1" t="s">
        <v>7647</v>
      </c>
      <c r="B1791" s="1" t="str">
        <f>"O'Neills FWM Ltd"</f>
        <v>O'Neills FWM Ltd</v>
      </c>
      <c r="C1791" s="1" t="s">
        <v>7648</v>
      </c>
      <c r="F1791" s="1" t="s">
        <v>179</v>
      </c>
      <c r="H1791" s="1" t="s">
        <v>7649</v>
      </c>
      <c r="I1791" s="1" t="s">
        <v>19</v>
      </c>
      <c r="J1791" s="1" t="s">
        <v>6</v>
      </c>
      <c r="K1791" s="1" t="s">
        <v>34</v>
      </c>
      <c r="L1791" s="1">
        <v>11091633</v>
      </c>
      <c r="M1791" s="2">
        <v>43137</v>
      </c>
      <c r="N1791" s="1" t="s">
        <v>8</v>
      </c>
      <c r="O1791" s="2">
        <v>44233</v>
      </c>
    </row>
    <row r="1792" spans="1:15" ht="43.2" x14ac:dyDescent="0.3">
      <c r="A1792" s="1" t="s">
        <v>7650</v>
      </c>
      <c r="B1792" s="1" t="str">
        <f>"Electraplus Contracting Ltd"</f>
        <v>Electraplus Contracting Ltd</v>
      </c>
      <c r="C1792" s="1" t="s">
        <v>7651</v>
      </c>
      <c r="F1792" s="1" t="s">
        <v>123</v>
      </c>
      <c r="H1792" s="1" t="s">
        <v>7652</v>
      </c>
      <c r="I1792" s="1" t="s">
        <v>19</v>
      </c>
      <c r="J1792" s="1" t="s">
        <v>67</v>
      </c>
      <c r="K1792" s="1" t="s">
        <v>14</v>
      </c>
      <c r="M1792" s="2">
        <v>43137</v>
      </c>
      <c r="N1792" s="1" t="s">
        <v>8</v>
      </c>
      <c r="O1792" s="1" t="s">
        <v>68</v>
      </c>
    </row>
    <row r="1793" spans="1:15" ht="28.8" x14ac:dyDescent="0.3">
      <c r="A1793" s="1" t="s">
        <v>20908</v>
      </c>
      <c r="B1793" s="1" t="str">
        <f>"Adrian Daintree Adrian  Daintree"</f>
        <v>Adrian Daintree Adrian  Daintree</v>
      </c>
      <c r="C1793" s="1" t="s">
        <v>20909</v>
      </c>
      <c r="F1793" s="1" t="s">
        <v>2757</v>
      </c>
      <c r="H1793" s="1" t="s">
        <v>20910</v>
      </c>
      <c r="I1793" s="1" t="s">
        <v>5</v>
      </c>
      <c r="J1793" s="1" t="s">
        <v>6</v>
      </c>
      <c r="K1793" s="1" t="s">
        <v>34</v>
      </c>
      <c r="M1793" s="2">
        <v>43137</v>
      </c>
      <c r="N1793" s="1" t="s">
        <v>8</v>
      </c>
      <c r="O1793" s="2">
        <v>44233</v>
      </c>
    </row>
    <row r="1794" spans="1:15" ht="43.2" x14ac:dyDescent="0.3">
      <c r="A1794" s="1" t="s">
        <v>20911</v>
      </c>
      <c r="B1794" s="1" t="str">
        <f>"John Darlington"</f>
        <v>John Darlington</v>
      </c>
      <c r="C1794" s="1" t="s">
        <v>20912</v>
      </c>
      <c r="F1794" s="1" t="s">
        <v>897</v>
      </c>
      <c r="H1794" s="1" t="s">
        <v>20913</v>
      </c>
      <c r="I1794" s="1" t="s">
        <v>5</v>
      </c>
      <c r="J1794" s="1" t="s">
        <v>67</v>
      </c>
      <c r="K1794" s="1" t="s">
        <v>14</v>
      </c>
      <c r="M1794" s="2">
        <v>43137</v>
      </c>
      <c r="N1794" s="1" t="s">
        <v>8</v>
      </c>
      <c r="O1794" s="1" t="s">
        <v>68</v>
      </c>
    </row>
    <row r="1795" spans="1:15" ht="28.8" x14ac:dyDescent="0.3">
      <c r="A1795" s="1" t="s">
        <v>20914</v>
      </c>
      <c r="B1795" s="1" t="str">
        <f>"William Anstey Hedges"</f>
        <v>William Anstey Hedges</v>
      </c>
      <c r="C1795" s="1" t="s">
        <v>20915</v>
      </c>
      <c r="D1795" s="1" t="s">
        <v>596</v>
      </c>
      <c r="F1795" s="1" t="s">
        <v>64</v>
      </c>
      <c r="H1795" s="1" t="s">
        <v>20916</v>
      </c>
      <c r="I1795" s="1" t="s">
        <v>5</v>
      </c>
      <c r="J1795" s="1" t="s">
        <v>6</v>
      </c>
      <c r="K1795" s="1" t="s">
        <v>24</v>
      </c>
      <c r="M1795" s="2">
        <v>43137</v>
      </c>
      <c r="N1795" s="1" t="s">
        <v>8</v>
      </c>
      <c r="O1795" s="2">
        <v>44233</v>
      </c>
    </row>
    <row r="1796" spans="1:15" ht="43.2" x14ac:dyDescent="0.3">
      <c r="A1796" s="1" t="s">
        <v>20917</v>
      </c>
      <c r="B1796" s="1" t="str">
        <f>"william cooze"</f>
        <v>william cooze</v>
      </c>
      <c r="C1796" s="1" t="s">
        <v>20918</v>
      </c>
      <c r="D1796" s="1" t="s">
        <v>17578</v>
      </c>
      <c r="E1796" s="1" t="s">
        <v>17579</v>
      </c>
      <c r="F1796" s="1" t="s">
        <v>64</v>
      </c>
      <c r="H1796" s="1" t="s">
        <v>17580</v>
      </c>
      <c r="I1796" s="1" t="s">
        <v>5</v>
      </c>
      <c r="J1796" s="1" t="s">
        <v>67</v>
      </c>
      <c r="K1796" s="1" t="s">
        <v>14</v>
      </c>
      <c r="M1796" s="2">
        <v>43137</v>
      </c>
      <c r="N1796" s="1" t="s">
        <v>8</v>
      </c>
      <c r="O1796" s="1" t="s">
        <v>68</v>
      </c>
    </row>
    <row r="1797" spans="1:15" ht="28.8" x14ac:dyDescent="0.3">
      <c r="A1797" s="1" t="s">
        <v>20919</v>
      </c>
      <c r="B1797" s="1" t="str">
        <f>"Shane Leeder"</f>
        <v>Shane Leeder</v>
      </c>
      <c r="C1797" s="1" t="s">
        <v>20920</v>
      </c>
      <c r="D1797" s="1" t="s">
        <v>20921</v>
      </c>
      <c r="F1797" s="1" t="s">
        <v>230</v>
      </c>
      <c r="H1797" s="1" t="s">
        <v>20922</v>
      </c>
      <c r="I1797" s="1" t="s">
        <v>5</v>
      </c>
      <c r="J1797" s="1" t="s">
        <v>6</v>
      </c>
      <c r="K1797" s="1" t="s">
        <v>24</v>
      </c>
      <c r="M1797" s="2">
        <v>43137</v>
      </c>
      <c r="N1797" s="1" t="s">
        <v>8</v>
      </c>
      <c r="O1797" s="2">
        <v>44233</v>
      </c>
    </row>
    <row r="1798" spans="1:15" ht="43.2" x14ac:dyDescent="0.3">
      <c r="A1798" s="1" t="s">
        <v>21655</v>
      </c>
      <c r="B1798" s="1" t="str">
        <f>"Mike Douglass"</f>
        <v>Mike Douglass</v>
      </c>
      <c r="C1798" s="1" t="s">
        <v>21656</v>
      </c>
      <c r="F1798" s="1" t="s">
        <v>767</v>
      </c>
      <c r="H1798" s="1" t="s">
        <v>21657</v>
      </c>
      <c r="I1798" s="1" t="s">
        <v>5</v>
      </c>
      <c r="J1798" s="1" t="s">
        <v>67</v>
      </c>
      <c r="K1798" s="1" t="s">
        <v>14</v>
      </c>
      <c r="M1798" s="2">
        <v>43137</v>
      </c>
      <c r="N1798" s="1" t="s">
        <v>8</v>
      </c>
      <c r="O1798" s="1" t="s">
        <v>68</v>
      </c>
    </row>
    <row r="1799" spans="1:15" ht="43.2" x14ac:dyDescent="0.3">
      <c r="A1799" s="1" t="s">
        <v>21658</v>
      </c>
      <c r="B1799" s="1" t="str">
        <f>"Hugh Jones "</f>
        <v xml:space="preserve">Hugh Jones </v>
      </c>
      <c r="C1799" s="1" t="s">
        <v>21659</v>
      </c>
      <c r="F1799" s="1" t="s">
        <v>2757</v>
      </c>
      <c r="H1799" s="1" t="s">
        <v>19587</v>
      </c>
      <c r="I1799" s="1" t="s">
        <v>5</v>
      </c>
      <c r="J1799" s="1" t="s">
        <v>67</v>
      </c>
      <c r="K1799" s="1" t="s">
        <v>14</v>
      </c>
      <c r="M1799" s="2">
        <v>43137</v>
      </c>
      <c r="N1799" s="1" t="s">
        <v>8</v>
      </c>
      <c r="O1799" s="1" t="s">
        <v>68</v>
      </c>
    </row>
    <row r="1800" spans="1:15" x14ac:dyDescent="0.3">
      <c r="A1800" s="1" t="s">
        <v>21660</v>
      </c>
      <c r="B1800" s="1" t="str">
        <f>"Lee Hurrell Lee hurrell"</f>
        <v>Lee Hurrell Lee hurrell</v>
      </c>
      <c r="C1800" s="1" t="s">
        <v>21661</v>
      </c>
      <c r="F1800" s="1" t="s">
        <v>156</v>
      </c>
      <c r="H1800" s="1" t="s">
        <v>21662</v>
      </c>
      <c r="I1800" s="1" t="s">
        <v>5</v>
      </c>
      <c r="J1800" s="1" t="s">
        <v>6</v>
      </c>
      <c r="K1800" s="1" t="s">
        <v>24</v>
      </c>
      <c r="M1800" s="2">
        <v>43137</v>
      </c>
      <c r="N1800" s="1" t="s">
        <v>8</v>
      </c>
      <c r="O1800" s="2">
        <v>44233</v>
      </c>
    </row>
    <row r="1801" spans="1:15" ht="43.2" x14ac:dyDescent="0.3">
      <c r="A1801" s="1" t="s">
        <v>5322</v>
      </c>
      <c r="B1801" s="1" t="str">
        <f>"Cooper Tools 2015 Ltd"</f>
        <v>Cooper Tools 2015 Ltd</v>
      </c>
      <c r="C1801" s="1" t="s">
        <v>5323</v>
      </c>
      <c r="F1801" s="1" t="s">
        <v>2459</v>
      </c>
      <c r="H1801" s="1" t="s">
        <v>5324</v>
      </c>
      <c r="I1801" s="1" t="s">
        <v>19</v>
      </c>
      <c r="J1801" s="1" t="s">
        <v>67</v>
      </c>
      <c r="K1801" s="1" t="s">
        <v>14</v>
      </c>
      <c r="M1801" s="2">
        <v>43136</v>
      </c>
      <c r="N1801" s="1" t="s">
        <v>8</v>
      </c>
      <c r="O1801" s="1" t="s">
        <v>68</v>
      </c>
    </row>
    <row r="1802" spans="1:15" ht="28.8" x14ac:dyDescent="0.3">
      <c r="A1802" s="1" t="s">
        <v>5325</v>
      </c>
      <c r="B1802" s="1" t="str">
        <f>"ALBANYOAK LTD"</f>
        <v>ALBANYOAK LTD</v>
      </c>
      <c r="C1802" s="1" t="s">
        <v>5326</v>
      </c>
      <c r="F1802" s="1" t="s">
        <v>42</v>
      </c>
      <c r="H1802" s="1" t="s">
        <v>2127</v>
      </c>
      <c r="I1802" s="1" t="s">
        <v>19</v>
      </c>
      <c r="J1802" s="1" t="s">
        <v>6</v>
      </c>
      <c r="K1802" s="1" t="s">
        <v>34</v>
      </c>
      <c r="L1802" s="1">
        <v>1704503</v>
      </c>
      <c r="M1802" s="2">
        <v>43136</v>
      </c>
      <c r="N1802" s="1" t="s">
        <v>8</v>
      </c>
      <c r="O1802" s="2">
        <v>44232</v>
      </c>
    </row>
    <row r="1803" spans="1:15" ht="28.8" x14ac:dyDescent="0.3">
      <c r="A1803" s="1" t="s">
        <v>5327</v>
      </c>
      <c r="B1803" s="1" t="str">
        <f>"the office cleaning company essex "</f>
        <v xml:space="preserve">the office cleaning company essex </v>
      </c>
      <c r="C1803" s="1" t="s">
        <v>5328</v>
      </c>
      <c r="D1803" s="1" t="s">
        <v>5329</v>
      </c>
      <c r="F1803" s="1" t="s">
        <v>5330</v>
      </c>
      <c r="H1803" s="1" t="s">
        <v>5331</v>
      </c>
      <c r="I1803" s="1" t="s">
        <v>19</v>
      </c>
      <c r="J1803" s="1" t="s">
        <v>6</v>
      </c>
      <c r="K1803" s="1" t="s">
        <v>24</v>
      </c>
      <c r="L1803" s="1">
        <v>4493100</v>
      </c>
      <c r="M1803" s="2">
        <v>43136</v>
      </c>
      <c r="N1803" s="1" t="s">
        <v>8</v>
      </c>
      <c r="O1803" s="2">
        <v>44232</v>
      </c>
    </row>
    <row r="1804" spans="1:15" ht="43.2" x14ac:dyDescent="0.3">
      <c r="A1804" s="1" t="s">
        <v>6557</v>
      </c>
      <c r="B1804" s="1" t="str">
        <f>"West Quay Medical Centre"</f>
        <v>West Quay Medical Centre</v>
      </c>
      <c r="C1804" s="1" t="s">
        <v>6558</v>
      </c>
      <c r="D1804" s="1" t="s">
        <v>6559</v>
      </c>
      <c r="F1804" s="1" t="s">
        <v>706</v>
      </c>
      <c r="H1804" s="1" t="s">
        <v>6560</v>
      </c>
      <c r="I1804" s="1" t="s">
        <v>125</v>
      </c>
      <c r="J1804" s="1" t="s">
        <v>67</v>
      </c>
      <c r="K1804" s="1" t="s">
        <v>14</v>
      </c>
      <c r="M1804" s="2">
        <v>43136</v>
      </c>
      <c r="N1804" s="1" t="s">
        <v>8</v>
      </c>
      <c r="O1804" s="1" t="s">
        <v>68</v>
      </c>
    </row>
    <row r="1805" spans="1:15" ht="28.8" x14ac:dyDescent="0.3">
      <c r="A1805" s="1" t="s">
        <v>6561</v>
      </c>
      <c r="B1805" s="1" t="str">
        <f>"Gwynedd Slate Ltd"</f>
        <v>Gwynedd Slate Ltd</v>
      </c>
      <c r="C1805" s="1" t="s">
        <v>6562</v>
      </c>
      <c r="F1805" s="1" t="s">
        <v>710</v>
      </c>
      <c r="H1805" s="1" t="s">
        <v>6563</v>
      </c>
      <c r="I1805" s="1" t="s">
        <v>19</v>
      </c>
      <c r="J1805" s="1" t="s">
        <v>6</v>
      </c>
      <c r="K1805" s="1" t="s">
        <v>34</v>
      </c>
      <c r="L1805" s="1">
        <v>6880570</v>
      </c>
      <c r="M1805" s="2">
        <v>43136</v>
      </c>
      <c r="N1805" s="1" t="s">
        <v>8</v>
      </c>
      <c r="O1805" s="2">
        <v>44232</v>
      </c>
    </row>
    <row r="1806" spans="1:15" ht="43.2" x14ac:dyDescent="0.3">
      <c r="A1806" s="1" t="s">
        <v>6564</v>
      </c>
      <c r="B1806" s="1" t="str">
        <f>"LNS Recovery Ltd"</f>
        <v>LNS Recovery Ltd</v>
      </c>
      <c r="C1806" s="1" t="s">
        <v>6565</v>
      </c>
      <c r="F1806" s="1" t="s">
        <v>2434</v>
      </c>
      <c r="H1806" s="1" t="s">
        <v>6566</v>
      </c>
      <c r="I1806" s="1" t="s">
        <v>19</v>
      </c>
      <c r="J1806" s="1" t="s">
        <v>67</v>
      </c>
      <c r="K1806" s="1" t="s">
        <v>14</v>
      </c>
      <c r="M1806" s="2">
        <v>43136</v>
      </c>
      <c r="N1806" s="1" t="s">
        <v>8</v>
      </c>
      <c r="O1806" s="1" t="s">
        <v>68</v>
      </c>
    </row>
    <row r="1807" spans="1:15" ht="28.8" x14ac:dyDescent="0.3">
      <c r="A1807" s="1" t="s">
        <v>6567</v>
      </c>
      <c r="B1807" s="1" t="str">
        <f>"planpath uk ltd"</f>
        <v>planpath uk ltd</v>
      </c>
      <c r="C1807" s="1" t="s">
        <v>6568</v>
      </c>
      <c r="F1807" s="1" t="s">
        <v>6569</v>
      </c>
      <c r="H1807" s="1" t="s">
        <v>6570</v>
      </c>
      <c r="I1807" s="1" t="s">
        <v>19</v>
      </c>
      <c r="J1807" s="1" t="s">
        <v>6</v>
      </c>
      <c r="K1807" s="1" t="s">
        <v>24</v>
      </c>
      <c r="L1807" s="1">
        <v>9014118</v>
      </c>
      <c r="M1807" s="2">
        <v>43136</v>
      </c>
      <c r="N1807" s="1" t="s">
        <v>8</v>
      </c>
      <c r="O1807" s="2">
        <v>44232</v>
      </c>
    </row>
    <row r="1808" spans="1:15" ht="28.8" x14ac:dyDescent="0.3">
      <c r="A1808" s="1" t="s">
        <v>6571</v>
      </c>
      <c r="B1808" s="1" t="str">
        <f>"RHB DRAIN SERVICES LIMITED"</f>
        <v>RHB DRAIN SERVICES LIMITED</v>
      </c>
      <c r="C1808" s="1" t="s">
        <v>6572</v>
      </c>
      <c r="F1808" s="1" t="s">
        <v>1351</v>
      </c>
      <c r="H1808" s="1" t="s">
        <v>6573</v>
      </c>
      <c r="I1808" s="1" t="s">
        <v>19</v>
      </c>
      <c r="J1808" s="1" t="s">
        <v>6</v>
      </c>
      <c r="K1808" s="1" t="s">
        <v>34</v>
      </c>
      <c r="L1808" s="1">
        <v>4969512</v>
      </c>
      <c r="M1808" s="2">
        <v>43136</v>
      </c>
      <c r="N1808" s="1" t="s">
        <v>8</v>
      </c>
      <c r="O1808" s="2">
        <v>44232</v>
      </c>
    </row>
    <row r="1809" spans="1:15" ht="43.2" x14ac:dyDescent="0.3">
      <c r="A1809" s="1" t="s">
        <v>20902</v>
      </c>
      <c r="B1809" s="1" t="str">
        <f>"Christopher John"</f>
        <v>Christopher John</v>
      </c>
      <c r="C1809" s="1" t="s">
        <v>20903</v>
      </c>
      <c r="F1809" s="1" t="s">
        <v>513</v>
      </c>
      <c r="H1809" s="1" t="s">
        <v>20904</v>
      </c>
      <c r="I1809" s="1" t="s">
        <v>5</v>
      </c>
      <c r="J1809" s="1" t="s">
        <v>67</v>
      </c>
      <c r="K1809" s="1" t="s">
        <v>14</v>
      </c>
      <c r="M1809" s="2">
        <v>43136</v>
      </c>
      <c r="N1809" s="1" t="s">
        <v>8</v>
      </c>
      <c r="O1809" s="1" t="s">
        <v>68</v>
      </c>
    </row>
    <row r="1810" spans="1:15" ht="28.8" x14ac:dyDescent="0.3">
      <c r="A1810" s="1" t="s">
        <v>20905</v>
      </c>
      <c r="B1810" s="1" t="str">
        <f>"paul  jones pjs removels"</f>
        <v>paul  jones pjs removels</v>
      </c>
      <c r="C1810" s="1" t="s">
        <v>20906</v>
      </c>
      <c r="F1810" s="1" t="s">
        <v>487</v>
      </c>
      <c r="H1810" s="1" t="s">
        <v>20907</v>
      </c>
      <c r="I1810" s="1" t="s">
        <v>5</v>
      </c>
      <c r="J1810" s="1" t="s">
        <v>6</v>
      </c>
      <c r="K1810" s="1" t="s">
        <v>24</v>
      </c>
      <c r="M1810" s="2">
        <v>43136</v>
      </c>
      <c r="N1810" s="1" t="s">
        <v>8</v>
      </c>
      <c r="O1810" s="2">
        <v>44232</v>
      </c>
    </row>
    <row r="1811" spans="1:15" x14ac:dyDescent="0.3">
      <c r="A1811" s="1" t="s">
        <v>5315</v>
      </c>
      <c r="B1811" s="1" t="str">
        <f>"Calon y coed "</f>
        <v xml:space="preserve">Calon y coed </v>
      </c>
      <c r="C1811" s="1" t="s">
        <v>5316</v>
      </c>
      <c r="D1811" s="1" t="s">
        <v>5317</v>
      </c>
      <c r="F1811" s="1" t="s">
        <v>64</v>
      </c>
      <c r="H1811" s="1" t="s">
        <v>5318</v>
      </c>
      <c r="I1811" s="1" t="s">
        <v>19</v>
      </c>
      <c r="J1811" s="1" t="s">
        <v>6</v>
      </c>
      <c r="K1811" s="1" t="s">
        <v>24</v>
      </c>
      <c r="L1811" s="1">
        <v>10470414</v>
      </c>
      <c r="M1811" s="2">
        <v>43135</v>
      </c>
      <c r="N1811" s="1" t="s">
        <v>8</v>
      </c>
      <c r="O1811" s="2">
        <v>44231</v>
      </c>
    </row>
    <row r="1812" spans="1:15" ht="43.2" x14ac:dyDescent="0.3">
      <c r="A1812" s="1" t="s">
        <v>5319</v>
      </c>
      <c r="B1812" s="1" t="str">
        <f>"Cestrian Property Services Ltd "</f>
        <v xml:space="preserve">Cestrian Property Services Ltd </v>
      </c>
      <c r="C1812" s="1" t="s">
        <v>5320</v>
      </c>
      <c r="F1812" s="1" t="s">
        <v>585</v>
      </c>
      <c r="H1812" s="1" t="s">
        <v>5321</v>
      </c>
      <c r="I1812" s="1" t="s">
        <v>19</v>
      </c>
      <c r="J1812" s="1" t="s">
        <v>67</v>
      </c>
      <c r="K1812" s="1" t="s">
        <v>14</v>
      </c>
      <c r="M1812" s="2">
        <v>43135</v>
      </c>
      <c r="N1812" s="1" t="s">
        <v>8</v>
      </c>
      <c r="O1812" s="1" t="s">
        <v>68</v>
      </c>
    </row>
    <row r="1813" spans="1:15" ht="43.2" x14ac:dyDescent="0.3">
      <c r="A1813" s="1" t="s">
        <v>20127</v>
      </c>
      <c r="B1813" s="1" t="str">
        <f>"Paul Benson"</f>
        <v>Paul Benson</v>
      </c>
      <c r="C1813" s="1" t="s">
        <v>20128</v>
      </c>
      <c r="F1813" s="1" t="s">
        <v>32</v>
      </c>
      <c r="H1813" s="1" t="s">
        <v>13040</v>
      </c>
      <c r="I1813" s="1" t="s">
        <v>5</v>
      </c>
      <c r="J1813" s="1" t="s">
        <v>67</v>
      </c>
      <c r="K1813" s="1" t="s">
        <v>14</v>
      </c>
      <c r="M1813" s="2">
        <v>43135</v>
      </c>
      <c r="N1813" s="1" t="s">
        <v>8</v>
      </c>
      <c r="O1813" s="1" t="s">
        <v>68</v>
      </c>
    </row>
    <row r="1814" spans="1:15" ht="28.8" x14ac:dyDescent="0.3">
      <c r="A1814" s="1" t="s">
        <v>20129</v>
      </c>
      <c r="B1814" s="1" t="str">
        <f>"Piotr Gozdziewski Piomar"</f>
        <v>Piotr Gozdziewski Piomar</v>
      </c>
      <c r="C1814" s="1" t="s">
        <v>20130</v>
      </c>
      <c r="F1814" s="1" t="s">
        <v>123</v>
      </c>
      <c r="H1814" s="1" t="s">
        <v>20131</v>
      </c>
      <c r="I1814" s="1" t="s">
        <v>5</v>
      </c>
      <c r="J1814" s="1" t="s">
        <v>6</v>
      </c>
      <c r="K1814" s="1" t="s">
        <v>24</v>
      </c>
      <c r="M1814" s="2">
        <v>43135</v>
      </c>
      <c r="N1814" s="1" t="s">
        <v>8</v>
      </c>
      <c r="O1814" s="2">
        <v>44231</v>
      </c>
    </row>
    <row r="1815" spans="1:15" ht="43.2" x14ac:dyDescent="0.3">
      <c r="A1815" s="1" t="s">
        <v>5312</v>
      </c>
      <c r="B1815" s="1" t="str">
        <f>"SEVEN SISTERS SAWMILLS (SHEDS) LIMITED"</f>
        <v>SEVEN SISTERS SAWMILLS (SHEDS) LIMITED</v>
      </c>
      <c r="C1815" s="1" t="s">
        <v>5313</v>
      </c>
      <c r="F1815" s="1" t="s">
        <v>32</v>
      </c>
      <c r="H1815" s="1" t="s">
        <v>5314</v>
      </c>
      <c r="I1815" s="1" t="s">
        <v>19</v>
      </c>
      <c r="J1815" s="1" t="s">
        <v>6</v>
      </c>
      <c r="K1815" s="1" t="s">
        <v>24</v>
      </c>
      <c r="L1815" s="1">
        <v>3864913</v>
      </c>
      <c r="M1815" s="2">
        <v>43134</v>
      </c>
      <c r="N1815" s="1" t="s">
        <v>8</v>
      </c>
      <c r="O1815" s="2">
        <v>44230</v>
      </c>
    </row>
    <row r="1816" spans="1:15" ht="43.2" x14ac:dyDescent="0.3">
      <c r="A1816" s="1" t="s">
        <v>20124</v>
      </c>
      <c r="B1816" s="1" t="str">
        <f>"Yvonne Howe"</f>
        <v>Yvonne Howe</v>
      </c>
      <c r="C1816" s="1" t="s">
        <v>20125</v>
      </c>
      <c r="F1816" s="1" t="s">
        <v>790</v>
      </c>
      <c r="H1816" s="1" t="s">
        <v>20126</v>
      </c>
      <c r="I1816" s="1" t="s">
        <v>5</v>
      </c>
      <c r="J1816" s="1" t="s">
        <v>67</v>
      </c>
      <c r="K1816" s="1" t="s">
        <v>14</v>
      </c>
      <c r="M1816" s="2">
        <v>43134</v>
      </c>
      <c r="N1816" s="1" t="s">
        <v>8</v>
      </c>
      <c r="O1816" s="1" t="s">
        <v>68</v>
      </c>
    </row>
    <row r="1817" spans="1:15" x14ac:dyDescent="0.3">
      <c r="A1817" s="1" t="s">
        <v>5309</v>
      </c>
      <c r="B1817" s="1" t="str">
        <f>"CMJ Investments"</f>
        <v>CMJ Investments</v>
      </c>
      <c r="C1817" s="1" t="s">
        <v>5310</v>
      </c>
      <c r="F1817" s="1" t="s">
        <v>476</v>
      </c>
      <c r="H1817" s="1" t="s">
        <v>5311</v>
      </c>
      <c r="I1817" s="1" t="s">
        <v>125</v>
      </c>
      <c r="J1817" s="1" t="s">
        <v>6</v>
      </c>
      <c r="K1817" s="1" t="s">
        <v>24</v>
      </c>
      <c r="M1817" s="2">
        <v>43133</v>
      </c>
      <c r="N1817" s="1" t="s">
        <v>8</v>
      </c>
      <c r="O1817" s="2">
        <v>44229</v>
      </c>
    </row>
    <row r="1818" spans="1:15" ht="43.2" x14ac:dyDescent="0.3">
      <c r="A1818" s="1" t="s">
        <v>20115</v>
      </c>
      <c r="B1818" s="1" t="str">
        <f>"Laxman Rana"</f>
        <v>Laxman Rana</v>
      </c>
      <c r="C1818" s="1" t="s">
        <v>20116</v>
      </c>
      <c r="F1818" s="1" t="s">
        <v>156</v>
      </c>
      <c r="H1818" s="1" t="s">
        <v>20117</v>
      </c>
      <c r="I1818" s="1" t="s">
        <v>5</v>
      </c>
      <c r="J1818" s="1" t="s">
        <v>67</v>
      </c>
      <c r="K1818" s="1" t="s">
        <v>14</v>
      </c>
      <c r="M1818" s="2">
        <v>43133</v>
      </c>
      <c r="N1818" s="1" t="s">
        <v>8</v>
      </c>
      <c r="O1818" s="1" t="s">
        <v>68</v>
      </c>
    </row>
    <row r="1819" spans="1:15" ht="43.2" x14ac:dyDescent="0.3">
      <c r="A1819" s="1" t="s">
        <v>20118</v>
      </c>
      <c r="B1819" s="1" t="str">
        <f>"tom dunleavy"</f>
        <v>tom dunleavy</v>
      </c>
      <c r="C1819" s="1" t="s">
        <v>20119</v>
      </c>
      <c r="F1819" s="1" t="s">
        <v>1226</v>
      </c>
      <c r="H1819" s="1" t="s">
        <v>20120</v>
      </c>
      <c r="I1819" s="1" t="s">
        <v>5</v>
      </c>
      <c r="J1819" s="1" t="s">
        <v>67</v>
      </c>
      <c r="K1819" s="1" t="s">
        <v>14</v>
      </c>
      <c r="M1819" s="2">
        <v>43133</v>
      </c>
      <c r="N1819" s="1" t="s">
        <v>8</v>
      </c>
      <c r="O1819" s="1" t="s">
        <v>68</v>
      </c>
    </row>
    <row r="1820" spans="1:15" ht="43.2" x14ac:dyDescent="0.3">
      <c r="A1820" s="1" t="s">
        <v>20121</v>
      </c>
      <c r="B1820" s="1" t="str">
        <f>"Tomas Stanger"</f>
        <v>Tomas Stanger</v>
      </c>
      <c r="C1820" s="1" t="s">
        <v>20122</v>
      </c>
      <c r="F1820" s="1" t="s">
        <v>156</v>
      </c>
      <c r="H1820" s="1" t="s">
        <v>20123</v>
      </c>
      <c r="I1820" s="1" t="s">
        <v>5</v>
      </c>
      <c r="J1820" s="1" t="s">
        <v>67</v>
      </c>
      <c r="K1820" s="1" t="s">
        <v>14</v>
      </c>
      <c r="M1820" s="2">
        <v>43133</v>
      </c>
      <c r="N1820" s="1" t="s">
        <v>8</v>
      </c>
      <c r="O1820" s="1" t="s">
        <v>68</v>
      </c>
    </row>
    <row r="1821" spans="1:15" ht="43.2" x14ac:dyDescent="0.3">
      <c r="A1821" s="1" t="s">
        <v>4271</v>
      </c>
      <c r="B1821" s="1" t="str">
        <f>"longlife spares ltd"</f>
        <v>longlife spares ltd</v>
      </c>
      <c r="C1821" s="1" t="s">
        <v>4272</v>
      </c>
      <c r="D1821" s="1" t="s">
        <v>4273</v>
      </c>
      <c r="E1821" s="1" t="s">
        <v>3176</v>
      </c>
      <c r="F1821" s="1" t="s">
        <v>1093</v>
      </c>
      <c r="H1821" s="1" t="s">
        <v>4274</v>
      </c>
      <c r="I1821" s="1" t="s">
        <v>19</v>
      </c>
      <c r="J1821" s="1" t="s">
        <v>67</v>
      </c>
      <c r="K1821" s="1" t="s">
        <v>14</v>
      </c>
      <c r="M1821" s="2">
        <v>43132</v>
      </c>
      <c r="N1821" s="1" t="s">
        <v>8</v>
      </c>
      <c r="O1821" s="1" t="s">
        <v>68</v>
      </c>
    </row>
    <row r="1822" spans="1:15" ht="28.8" x14ac:dyDescent="0.3">
      <c r="A1822" s="1" t="s">
        <v>4275</v>
      </c>
      <c r="B1822" s="1" t="str">
        <f>"TONY POWELL TRANSPORT LTD"</f>
        <v>TONY POWELL TRANSPORT LTD</v>
      </c>
      <c r="C1822" s="1" t="s">
        <v>4276</v>
      </c>
      <c r="D1822" s="1" t="s">
        <v>2801</v>
      </c>
      <c r="F1822" s="1" t="s">
        <v>665</v>
      </c>
      <c r="H1822" s="1" t="s">
        <v>46</v>
      </c>
      <c r="I1822" s="1" t="s">
        <v>19</v>
      </c>
      <c r="J1822" s="1" t="s">
        <v>6</v>
      </c>
      <c r="K1822" s="1" t="s">
        <v>24</v>
      </c>
      <c r="L1822" s="1">
        <v>4471848</v>
      </c>
      <c r="M1822" s="2">
        <v>43132</v>
      </c>
      <c r="N1822" s="1" t="s">
        <v>8</v>
      </c>
      <c r="O1822" s="2">
        <v>44228</v>
      </c>
    </row>
    <row r="1823" spans="1:15" ht="28.8" x14ac:dyDescent="0.3">
      <c r="A1823" s="1" t="s">
        <v>4277</v>
      </c>
      <c r="B1823" s="1" t="str">
        <f>"Reynolds and Co Ltd"</f>
        <v>Reynolds and Co Ltd</v>
      </c>
      <c r="C1823" s="1" t="s">
        <v>4278</v>
      </c>
      <c r="F1823" s="1" t="s">
        <v>4279</v>
      </c>
      <c r="H1823" s="1" t="s">
        <v>4280</v>
      </c>
      <c r="I1823" s="1" t="s">
        <v>19</v>
      </c>
      <c r="J1823" s="1" t="s">
        <v>6</v>
      </c>
      <c r="K1823" s="1" t="s">
        <v>34</v>
      </c>
      <c r="L1823" s="1">
        <v>8027106</v>
      </c>
      <c r="M1823" s="2">
        <v>43132</v>
      </c>
      <c r="N1823" s="1" t="s">
        <v>8</v>
      </c>
      <c r="O1823" s="2">
        <v>44228</v>
      </c>
    </row>
    <row r="1824" spans="1:15" ht="28.8" x14ac:dyDescent="0.3">
      <c r="A1824" s="1" t="s">
        <v>4281</v>
      </c>
      <c r="B1824" s="1" t="str">
        <f>"R &amp; R Site Services Ltd."</f>
        <v>R &amp; R Site Services Ltd.</v>
      </c>
      <c r="C1824" s="1" t="s">
        <v>4282</v>
      </c>
      <c r="D1824" s="1" t="s">
        <v>1247</v>
      </c>
      <c r="E1824" s="1" t="s">
        <v>400</v>
      </c>
      <c r="F1824" s="1" t="s">
        <v>401</v>
      </c>
      <c r="H1824" s="1" t="s">
        <v>4283</v>
      </c>
      <c r="I1824" s="1" t="s">
        <v>19</v>
      </c>
      <c r="J1824" s="1" t="s">
        <v>6</v>
      </c>
      <c r="K1824" s="1" t="s">
        <v>34</v>
      </c>
      <c r="L1824" s="1">
        <v>4921840</v>
      </c>
      <c r="M1824" s="2">
        <v>43132</v>
      </c>
      <c r="N1824" s="1" t="s">
        <v>8</v>
      </c>
      <c r="O1824" s="2">
        <v>44228</v>
      </c>
    </row>
    <row r="1825" spans="1:15" ht="43.2" x14ac:dyDescent="0.3">
      <c r="A1825" s="1" t="s">
        <v>4284</v>
      </c>
      <c r="B1825" s="1" t="str">
        <f>"Millcastle Print &amp; Carton Company"</f>
        <v>Millcastle Print &amp; Carton Company</v>
      </c>
      <c r="C1825" s="1" t="s">
        <v>4285</v>
      </c>
      <c r="F1825" s="1" t="s">
        <v>1093</v>
      </c>
      <c r="H1825" s="1" t="s">
        <v>2607</v>
      </c>
      <c r="I1825" s="1" t="s">
        <v>19</v>
      </c>
      <c r="J1825" s="1" t="s">
        <v>67</v>
      </c>
      <c r="K1825" s="1" t="s">
        <v>14</v>
      </c>
      <c r="M1825" s="2">
        <v>43132</v>
      </c>
      <c r="N1825" s="1" t="s">
        <v>8</v>
      </c>
      <c r="O1825" s="1" t="s">
        <v>68</v>
      </c>
    </row>
    <row r="1826" spans="1:15" ht="43.2" x14ac:dyDescent="0.3">
      <c r="A1826" s="1" t="s">
        <v>4286</v>
      </c>
      <c r="B1826" s="1" t="str">
        <f>"Scrap metal dealer"</f>
        <v>Scrap metal dealer</v>
      </c>
      <c r="C1826" s="1" t="s">
        <v>4287</v>
      </c>
      <c r="F1826" s="1" t="s">
        <v>170</v>
      </c>
      <c r="H1826" s="1" t="s">
        <v>4288</v>
      </c>
      <c r="I1826" s="1" t="s">
        <v>188</v>
      </c>
      <c r="J1826" s="1" t="s">
        <v>67</v>
      </c>
      <c r="K1826" s="1" t="s">
        <v>14</v>
      </c>
      <c r="M1826" s="2">
        <v>43132</v>
      </c>
      <c r="N1826" s="1" t="s">
        <v>8</v>
      </c>
      <c r="O1826" s="1" t="s">
        <v>68</v>
      </c>
    </row>
    <row r="1827" spans="1:15" ht="43.2" x14ac:dyDescent="0.3">
      <c r="A1827" s="1" t="s">
        <v>4289</v>
      </c>
      <c r="B1827" s="1" t="str">
        <f>"Pontypridd Tech Apps LTD"</f>
        <v>Pontypridd Tech Apps LTD</v>
      </c>
      <c r="C1827" s="1" t="s">
        <v>1485</v>
      </c>
      <c r="F1827" s="1" t="s">
        <v>277</v>
      </c>
      <c r="H1827" s="1" t="s">
        <v>1487</v>
      </c>
      <c r="I1827" s="1" t="s">
        <v>19</v>
      </c>
      <c r="J1827" s="1" t="s">
        <v>67</v>
      </c>
      <c r="K1827" s="1" t="s">
        <v>34</v>
      </c>
      <c r="L1827" s="1">
        <v>9354710</v>
      </c>
      <c r="M1827" s="2">
        <v>43132</v>
      </c>
      <c r="N1827" s="1" t="s">
        <v>8</v>
      </c>
      <c r="O1827" s="1" t="s">
        <v>68</v>
      </c>
    </row>
    <row r="1828" spans="1:15" ht="28.8" x14ac:dyDescent="0.3">
      <c r="A1828" s="1" t="s">
        <v>19308</v>
      </c>
      <c r="B1828" s="1" t="str">
        <f>"Jonathan Irving Mckechnie  Williams"</f>
        <v>Jonathan Irving Mckechnie  Williams</v>
      </c>
      <c r="C1828" s="1" t="s">
        <v>19309</v>
      </c>
      <c r="F1828" s="1" t="s">
        <v>374</v>
      </c>
      <c r="H1828" s="1" t="s">
        <v>19310</v>
      </c>
      <c r="I1828" s="1" t="s">
        <v>5</v>
      </c>
      <c r="J1828" s="1" t="s">
        <v>6</v>
      </c>
      <c r="K1828" s="1" t="s">
        <v>24</v>
      </c>
      <c r="M1828" s="2">
        <v>43132</v>
      </c>
      <c r="N1828" s="1" t="s">
        <v>8</v>
      </c>
      <c r="O1828" s="2">
        <v>44228</v>
      </c>
    </row>
    <row r="1829" spans="1:15" ht="43.2" x14ac:dyDescent="0.3">
      <c r="A1829" s="1" t="s">
        <v>19311</v>
      </c>
      <c r="B1829" s="1" t="str">
        <f>"David Mabbett"</f>
        <v>David Mabbett</v>
      </c>
      <c r="C1829" s="1" t="s">
        <v>19312</v>
      </c>
      <c r="D1829" s="1" t="s">
        <v>9807</v>
      </c>
      <c r="F1829" s="1" t="s">
        <v>64</v>
      </c>
      <c r="H1829" s="1" t="s">
        <v>19313</v>
      </c>
      <c r="I1829" s="1" t="s">
        <v>5</v>
      </c>
      <c r="J1829" s="1" t="s">
        <v>67</v>
      </c>
      <c r="K1829" s="1" t="s">
        <v>14</v>
      </c>
      <c r="M1829" s="2">
        <v>43132</v>
      </c>
      <c r="N1829" s="1" t="s">
        <v>8</v>
      </c>
      <c r="O1829" s="1" t="s">
        <v>68</v>
      </c>
    </row>
    <row r="1830" spans="1:15" ht="43.2" x14ac:dyDescent="0.3">
      <c r="A1830" s="1" t="s">
        <v>19314</v>
      </c>
      <c r="B1830" s="1" t="str">
        <f>"Maheswaran Senathirajah"</f>
        <v>Maheswaran Senathirajah</v>
      </c>
      <c r="C1830" s="1" t="s">
        <v>19315</v>
      </c>
      <c r="F1830" s="1" t="s">
        <v>3465</v>
      </c>
      <c r="H1830" s="1" t="s">
        <v>19316</v>
      </c>
      <c r="I1830" s="1" t="s">
        <v>5</v>
      </c>
      <c r="J1830" s="1" t="s">
        <v>67</v>
      </c>
      <c r="K1830" s="1" t="s">
        <v>14</v>
      </c>
      <c r="M1830" s="2">
        <v>43132</v>
      </c>
      <c r="N1830" s="1" t="s">
        <v>8</v>
      </c>
      <c r="O1830" s="1" t="s">
        <v>68</v>
      </c>
    </row>
    <row r="1831" spans="1:15" ht="28.8" x14ac:dyDescent="0.3">
      <c r="A1831" s="1" t="s">
        <v>19317</v>
      </c>
      <c r="B1831" s="1" t="str">
        <f>"Gavin Marchant"</f>
        <v>Gavin Marchant</v>
      </c>
      <c r="C1831" s="1" t="s">
        <v>11014</v>
      </c>
      <c r="F1831" s="1" t="s">
        <v>179</v>
      </c>
      <c r="H1831" s="1" t="s">
        <v>19318</v>
      </c>
      <c r="I1831" s="1" t="s">
        <v>5</v>
      </c>
      <c r="J1831" s="1" t="s">
        <v>6</v>
      </c>
      <c r="K1831" s="1" t="s">
        <v>24</v>
      </c>
      <c r="M1831" s="2">
        <v>43132</v>
      </c>
      <c r="N1831" s="1" t="s">
        <v>8</v>
      </c>
      <c r="O1831" s="2">
        <v>44228</v>
      </c>
    </row>
    <row r="1832" spans="1:15" ht="28.8" x14ac:dyDescent="0.3">
      <c r="A1832" s="1" t="s">
        <v>19319</v>
      </c>
      <c r="B1832" s="1" t="str">
        <f>"Philip Amos Streetwise Services"</f>
        <v>Philip Amos Streetwise Services</v>
      </c>
      <c r="C1832" s="1" t="s">
        <v>19320</v>
      </c>
      <c r="F1832" s="1" t="s">
        <v>665</v>
      </c>
      <c r="H1832" s="1" t="s">
        <v>19321</v>
      </c>
      <c r="I1832" s="1" t="s">
        <v>5</v>
      </c>
      <c r="J1832" s="1" t="s">
        <v>6</v>
      </c>
      <c r="K1832" s="1" t="s">
        <v>24</v>
      </c>
      <c r="M1832" s="2">
        <v>43132</v>
      </c>
      <c r="N1832" s="1" t="s">
        <v>8</v>
      </c>
      <c r="O1832" s="2">
        <v>44228</v>
      </c>
    </row>
    <row r="1833" spans="1:15" ht="28.8" x14ac:dyDescent="0.3">
      <c r="A1833" s="1" t="s">
        <v>17859</v>
      </c>
      <c r="B1833" s="1" t="str">
        <f>"SOUTH WALES ENVIRONMENTAL LTD"</f>
        <v>SOUTH WALES ENVIRONMENTAL LTD</v>
      </c>
      <c r="C1833" s="1" t="s">
        <v>17860</v>
      </c>
      <c r="F1833" s="1" t="s">
        <v>1351</v>
      </c>
      <c r="H1833" s="1" t="s">
        <v>17861</v>
      </c>
      <c r="I1833" s="1" t="s">
        <v>19</v>
      </c>
      <c r="J1833" s="1" t="s">
        <v>6</v>
      </c>
      <c r="K1833" s="1" t="s">
        <v>24</v>
      </c>
      <c r="L1833" s="1">
        <v>5025890</v>
      </c>
      <c r="M1833" s="2">
        <v>43131</v>
      </c>
      <c r="N1833" s="1" t="s">
        <v>8</v>
      </c>
      <c r="O1833" s="2">
        <v>44227</v>
      </c>
    </row>
    <row r="1834" spans="1:15" ht="28.8" x14ac:dyDescent="0.3">
      <c r="A1834" s="1" t="s">
        <v>17862</v>
      </c>
      <c r="B1834" s="1" t="str">
        <f>"L.B Purkins Transport ltd"</f>
        <v>L.B Purkins Transport ltd</v>
      </c>
      <c r="C1834" s="1" t="s">
        <v>17863</v>
      </c>
      <c r="F1834" s="1" t="s">
        <v>8841</v>
      </c>
      <c r="H1834" s="1" t="s">
        <v>17864</v>
      </c>
      <c r="I1834" s="1" t="s">
        <v>19</v>
      </c>
      <c r="J1834" s="1" t="s">
        <v>6</v>
      </c>
      <c r="K1834" s="1" t="s">
        <v>24</v>
      </c>
      <c r="L1834" s="1">
        <v>11176966</v>
      </c>
      <c r="M1834" s="2">
        <v>43131</v>
      </c>
      <c r="N1834" s="1" t="s">
        <v>8</v>
      </c>
      <c r="O1834" s="2">
        <v>44227</v>
      </c>
    </row>
    <row r="1835" spans="1:15" ht="28.8" x14ac:dyDescent="0.3">
      <c r="A1835" s="1" t="s">
        <v>17865</v>
      </c>
      <c r="B1835" s="1" t="str">
        <f>"BERRIMAN ROOFING AND CONSTRUCTION"</f>
        <v>BERRIMAN ROOFING AND CONSTRUCTION</v>
      </c>
      <c r="C1835" s="1" t="s">
        <v>17866</v>
      </c>
      <c r="D1835" s="1" t="s">
        <v>17867</v>
      </c>
      <c r="F1835" s="1" t="s">
        <v>1137</v>
      </c>
      <c r="H1835" s="1" t="s">
        <v>4827</v>
      </c>
      <c r="I1835" s="1" t="s">
        <v>19</v>
      </c>
      <c r="J1835" s="1" t="s">
        <v>6</v>
      </c>
      <c r="K1835" s="1" t="s">
        <v>34</v>
      </c>
      <c r="L1835" s="1">
        <v>9440616</v>
      </c>
      <c r="M1835" s="2">
        <v>43131</v>
      </c>
      <c r="N1835" s="1" t="s">
        <v>8</v>
      </c>
      <c r="O1835" s="2">
        <v>44227</v>
      </c>
    </row>
    <row r="1836" spans="1:15" ht="43.2" x14ac:dyDescent="0.3">
      <c r="A1836" s="1" t="s">
        <v>17868</v>
      </c>
      <c r="B1836" s="1" t="str">
        <f>"Valleynewscaterham Ltd"</f>
        <v>Valleynewscaterham Ltd</v>
      </c>
      <c r="C1836" s="1" t="s">
        <v>17869</v>
      </c>
      <c r="F1836" s="1" t="s">
        <v>17870</v>
      </c>
      <c r="H1836" s="1" t="s">
        <v>17871</v>
      </c>
      <c r="I1836" s="1" t="s">
        <v>19</v>
      </c>
      <c r="J1836" s="1" t="s">
        <v>67</v>
      </c>
      <c r="K1836" s="1" t="s">
        <v>14</v>
      </c>
      <c r="M1836" s="2">
        <v>43131</v>
      </c>
      <c r="N1836" s="1" t="s">
        <v>8</v>
      </c>
      <c r="O1836" s="1" t="s">
        <v>68</v>
      </c>
    </row>
    <row r="1837" spans="1:15" ht="28.8" x14ac:dyDescent="0.3">
      <c r="A1837" s="1" t="s">
        <v>17872</v>
      </c>
      <c r="B1837" s="1" t="str">
        <f>"Chase Contractors Ltd"</f>
        <v>Chase Contractors Ltd</v>
      </c>
      <c r="C1837" s="1" t="s">
        <v>17873</v>
      </c>
      <c r="D1837" s="1" t="s">
        <v>2451</v>
      </c>
      <c r="F1837" s="1" t="s">
        <v>277</v>
      </c>
      <c r="H1837" s="1" t="s">
        <v>17874</v>
      </c>
      <c r="I1837" s="1" t="s">
        <v>19</v>
      </c>
      <c r="J1837" s="1" t="s">
        <v>6</v>
      </c>
      <c r="K1837" s="1" t="s">
        <v>34</v>
      </c>
      <c r="L1837" s="1">
        <v>3078341</v>
      </c>
      <c r="M1837" s="2">
        <v>43131</v>
      </c>
      <c r="N1837" s="1" t="s">
        <v>8</v>
      </c>
      <c r="O1837" s="2">
        <v>44227</v>
      </c>
    </row>
    <row r="1838" spans="1:15" ht="28.8" x14ac:dyDescent="0.3">
      <c r="A1838" s="1" t="s">
        <v>29581</v>
      </c>
      <c r="B1838" s="1" t="str">
        <f>"Tony Cox Tony Cox"</f>
        <v>Tony Cox Tony Cox</v>
      </c>
      <c r="C1838" s="1" t="s">
        <v>29582</v>
      </c>
      <c r="D1838" s="1" t="s">
        <v>7521</v>
      </c>
      <c r="F1838" s="1" t="s">
        <v>179</v>
      </c>
      <c r="H1838" s="1" t="s">
        <v>7478</v>
      </c>
      <c r="I1838" s="1" t="s">
        <v>5</v>
      </c>
      <c r="J1838" s="1" t="s">
        <v>6</v>
      </c>
      <c r="K1838" s="1" t="s">
        <v>34</v>
      </c>
      <c r="M1838" s="2">
        <v>43131</v>
      </c>
      <c r="N1838" s="1" t="s">
        <v>8</v>
      </c>
      <c r="O1838" s="2">
        <v>44227</v>
      </c>
    </row>
    <row r="1839" spans="1:15" ht="43.2" x14ac:dyDescent="0.3">
      <c r="A1839" s="1" t="s">
        <v>29583</v>
      </c>
      <c r="B1839" s="1" t="str">
        <f>"Bryn Mochan"</f>
        <v>Bryn Mochan</v>
      </c>
      <c r="C1839" s="1" t="s">
        <v>29584</v>
      </c>
      <c r="D1839" s="1" t="s">
        <v>15932</v>
      </c>
      <c r="F1839" s="1" t="s">
        <v>10122</v>
      </c>
      <c r="H1839" s="1" t="s">
        <v>29585</v>
      </c>
      <c r="I1839" s="1" t="s">
        <v>5</v>
      </c>
      <c r="J1839" s="1" t="s">
        <v>67</v>
      </c>
      <c r="K1839" s="1" t="s">
        <v>14</v>
      </c>
      <c r="M1839" s="2">
        <v>43131</v>
      </c>
      <c r="N1839" s="1" t="s">
        <v>8</v>
      </c>
      <c r="O1839" s="1" t="s">
        <v>68</v>
      </c>
    </row>
    <row r="1840" spans="1:15" ht="28.8" x14ac:dyDescent="0.3">
      <c r="A1840" s="1" t="s">
        <v>29586</v>
      </c>
      <c r="B1840" s="1" t="str">
        <f>"Steven Penpraze Wales Air Conditioning"</f>
        <v>Steven Penpraze Wales Air Conditioning</v>
      </c>
      <c r="C1840" s="1" t="s">
        <v>29587</v>
      </c>
      <c r="D1840" s="1" t="s">
        <v>29588</v>
      </c>
      <c r="F1840" s="1" t="s">
        <v>825</v>
      </c>
      <c r="H1840" s="1" t="s">
        <v>29589</v>
      </c>
      <c r="I1840" s="1" t="s">
        <v>5</v>
      </c>
      <c r="J1840" s="1" t="s">
        <v>6</v>
      </c>
      <c r="K1840" s="1" t="s">
        <v>24</v>
      </c>
      <c r="M1840" s="2">
        <v>43131</v>
      </c>
      <c r="N1840" s="1" t="s">
        <v>8</v>
      </c>
      <c r="O1840" s="2">
        <v>44227</v>
      </c>
    </row>
    <row r="1841" spans="1:15" ht="43.2" x14ac:dyDescent="0.3">
      <c r="A1841" s="1" t="s">
        <v>29590</v>
      </c>
      <c r="B1841" s="1" t="str">
        <f>"James Taylor"</f>
        <v>James Taylor</v>
      </c>
      <c r="C1841" s="1" t="s">
        <v>29591</v>
      </c>
      <c r="F1841" s="1" t="s">
        <v>123</v>
      </c>
      <c r="H1841" s="1" t="s">
        <v>29592</v>
      </c>
      <c r="I1841" s="1" t="s">
        <v>5</v>
      </c>
      <c r="J1841" s="1" t="s">
        <v>67</v>
      </c>
      <c r="K1841" s="1" t="s">
        <v>14</v>
      </c>
      <c r="M1841" s="2">
        <v>43131</v>
      </c>
      <c r="N1841" s="1" t="s">
        <v>8</v>
      </c>
      <c r="O1841" s="1" t="s">
        <v>68</v>
      </c>
    </row>
    <row r="1842" spans="1:15" ht="28.8" x14ac:dyDescent="0.3">
      <c r="A1842" s="1" t="s">
        <v>29593</v>
      </c>
      <c r="B1842" s="1" t="str">
        <f>"william whiting Whiting Deliveries"</f>
        <v>william whiting Whiting Deliveries</v>
      </c>
      <c r="C1842" s="1" t="s">
        <v>29594</v>
      </c>
      <c r="F1842" s="1" t="s">
        <v>156</v>
      </c>
      <c r="H1842" s="1" t="s">
        <v>29595</v>
      </c>
      <c r="I1842" s="1" t="s">
        <v>5</v>
      </c>
      <c r="J1842" s="1" t="s">
        <v>6</v>
      </c>
      <c r="K1842" s="1" t="s">
        <v>24</v>
      </c>
      <c r="M1842" s="2">
        <v>43131</v>
      </c>
      <c r="N1842" s="1" t="s">
        <v>8</v>
      </c>
      <c r="O1842" s="2">
        <v>44227</v>
      </c>
    </row>
    <row r="1843" spans="1:15" ht="28.8" x14ac:dyDescent="0.3">
      <c r="A1843" s="1" t="s">
        <v>29596</v>
      </c>
      <c r="B1843" s="1" t="str">
        <f>"phillip thomas phill's home maintenance"</f>
        <v>phillip thomas phill's home maintenance</v>
      </c>
      <c r="C1843" s="1" t="s">
        <v>29597</v>
      </c>
      <c r="D1843" s="1" t="s">
        <v>14595</v>
      </c>
      <c r="F1843" s="1" t="s">
        <v>42</v>
      </c>
      <c r="H1843" s="1" t="s">
        <v>29598</v>
      </c>
      <c r="I1843" s="1" t="s">
        <v>5</v>
      </c>
      <c r="J1843" s="1" t="s">
        <v>6</v>
      </c>
      <c r="K1843" s="1" t="s">
        <v>24</v>
      </c>
      <c r="M1843" s="2">
        <v>43131</v>
      </c>
      <c r="N1843" s="1" t="s">
        <v>8</v>
      </c>
      <c r="O1843" s="2">
        <v>44227</v>
      </c>
    </row>
    <row r="1844" spans="1:15" ht="43.2" x14ac:dyDescent="0.3">
      <c r="A1844" s="1" t="s">
        <v>16824</v>
      </c>
      <c r="B1844" s="1" t="str">
        <f>"RCB PROPERTY DEVELOPMENTS LIMITED"</f>
        <v>RCB PROPERTY DEVELOPMENTS LIMITED</v>
      </c>
      <c r="C1844" s="1" t="s">
        <v>16825</v>
      </c>
      <c r="F1844" s="1" t="s">
        <v>1479</v>
      </c>
      <c r="H1844" s="1" t="s">
        <v>16826</v>
      </c>
      <c r="I1844" s="1" t="s">
        <v>19</v>
      </c>
      <c r="J1844" s="1" t="s">
        <v>6</v>
      </c>
      <c r="K1844" s="1" t="s">
        <v>34</v>
      </c>
      <c r="L1844" s="1">
        <v>9111408</v>
      </c>
      <c r="M1844" s="2">
        <v>43130</v>
      </c>
      <c r="N1844" s="1" t="s">
        <v>8</v>
      </c>
      <c r="O1844" s="2">
        <v>44226</v>
      </c>
    </row>
    <row r="1845" spans="1:15" ht="28.8" x14ac:dyDescent="0.3">
      <c r="A1845" s="1" t="s">
        <v>16827</v>
      </c>
      <c r="B1845" s="1" t="str">
        <f>"VAUGHAN SOUND INSTALLATIONS LTD"</f>
        <v>VAUGHAN SOUND INSTALLATIONS LTD</v>
      </c>
      <c r="C1845" s="1" t="s">
        <v>15192</v>
      </c>
      <c r="D1845" s="1" t="s">
        <v>15193</v>
      </c>
      <c r="E1845" s="1" t="s">
        <v>2130</v>
      </c>
      <c r="F1845" s="1" t="s">
        <v>42</v>
      </c>
      <c r="H1845" s="1" t="s">
        <v>9028</v>
      </c>
      <c r="I1845" s="1" t="s">
        <v>19</v>
      </c>
      <c r="J1845" s="1" t="s">
        <v>6</v>
      </c>
      <c r="K1845" s="1" t="s">
        <v>34</v>
      </c>
      <c r="L1845" s="1">
        <v>2194943</v>
      </c>
      <c r="M1845" s="2">
        <v>43130</v>
      </c>
      <c r="N1845" s="1" t="s">
        <v>8</v>
      </c>
      <c r="O1845" s="2">
        <v>44226</v>
      </c>
    </row>
    <row r="1846" spans="1:15" ht="43.2" x14ac:dyDescent="0.3">
      <c r="A1846" s="1" t="s">
        <v>16828</v>
      </c>
      <c r="B1846" s="1" t="str">
        <f>"NG Associates (UK) Limited"</f>
        <v>NG Associates (UK) Limited</v>
      </c>
      <c r="C1846" s="1" t="s">
        <v>16829</v>
      </c>
      <c r="F1846" s="1" t="s">
        <v>123</v>
      </c>
      <c r="H1846" s="1" t="s">
        <v>16830</v>
      </c>
      <c r="I1846" s="1" t="s">
        <v>19</v>
      </c>
      <c r="J1846" s="1" t="s">
        <v>67</v>
      </c>
      <c r="K1846" s="1" t="s">
        <v>14</v>
      </c>
      <c r="M1846" s="2">
        <v>43130</v>
      </c>
      <c r="N1846" s="1" t="s">
        <v>8</v>
      </c>
      <c r="O1846" s="1" t="s">
        <v>68</v>
      </c>
    </row>
    <row r="1847" spans="1:15" ht="43.2" x14ac:dyDescent="0.3">
      <c r="A1847" s="1" t="s">
        <v>16831</v>
      </c>
      <c r="B1847" s="1" t="str">
        <f>"D G J JONES AND SONS LTD"</f>
        <v>D G J JONES AND SONS LTD</v>
      </c>
      <c r="C1847" s="1" t="s">
        <v>16832</v>
      </c>
      <c r="F1847" s="1" t="s">
        <v>42</v>
      </c>
      <c r="H1847" s="1" t="s">
        <v>16833</v>
      </c>
      <c r="I1847" s="1" t="s">
        <v>19</v>
      </c>
      <c r="J1847" s="1" t="s">
        <v>67</v>
      </c>
      <c r="K1847" s="1" t="s">
        <v>14</v>
      </c>
      <c r="M1847" s="2">
        <v>43130</v>
      </c>
      <c r="N1847" s="1" t="s">
        <v>8</v>
      </c>
      <c r="O1847" s="1" t="s">
        <v>68</v>
      </c>
    </row>
    <row r="1848" spans="1:15" ht="43.2" x14ac:dyDescent="0.3">
      <c r="A1848" s="1" t="s">
        <v>16834</v>
      </c>
      <c r="B1848" s="1" t="str">
        <f>"M &amp; J Services (J.B) Limited"</f>
        <v>M &amp; J Services (J.B) Limited</v>
      </c>
      <c r="C1848" s="1" t="s">
        <v>12887</v>
      </c>
      <c r="F1848" s="1" t="s">
        <v>532</v>
      </c>
      <c r="H1848" s="1" t="s">
        <v>16835</v>
      </c>
      <c r="I1848" s="1" t="s">
        <v>19</v>
      </c>
      <c r="J1848" s="1" t="s">
        <v>6</v>
      </c>
      <c r="K1848" s="1" t="s">
        <v>34</v>
      </c>
      <c r="L1848" s="1">
        <v>4556438</v>
      </c>
      <c r="M1848" s="2">
        <v>43130</v>
      </c>
      <c r="N1848" s="1" t="s">
        <v>8</v>
      </c>
      <c r="O1848" s="2">
        <v>44226</v>
      </c>
    </row>
    <row r="1849" spans="1:15" x14ac:dyDescent="0.3">
      <c r="A1849" s="1" t="s">
        <v>16836</v>
      </c>
      <c r="B1849" s="1" t="str">
        <f>"Dyfi Waste Ltd"</f>
        <v>Dyfi Waste Ltd</v>
      </c>
      <c r="C1849" s="1" t="s">
        <v>16837</v>
      </c>
      <c r="F1849" s="1" t="s">
        <v>1818</v>
      </c>
      <c r="H1849" s="1" t="s">
        <v>16838</v>
      </c>
      <c r="I1849" s="1" t="s">
        <v>19</v>
      </c>
      <c r="J1849" s="1" t="s">
        <v>6</v>
      </c>
      <c r="K1849" s="1" t="s">
        <v>24</v>
      </c>
      <c r="L1849" s="1">
        <v>11002583</v>
      </c>
      <c r="M1849" s="2">
        <v>43130</v>
      </c>
      <c r="N1849" s="1" t="s">
        <v>8</v>
      </c>
      <c r="O1849" s="2">
        <v>44226</v>
      </c>
    </row>
    <row r="1850" spans="1:15" ht="28.8" x14ac:dyDescent="0.3">
      <c r="A1850" s="1" t="s">
        <v>16839</v>
      </c>
      <c r="B1850" s="1" t="str">
        <f>"Siddell Environmental Services LTD"</f>
        <v>Siddell Environmental Services LTD</v>
      </c>
      <c r="C1850" s="1" t="s">
        <v>16840</v>
      </c>
      <c r="F1850" s="1" t="s">
        <v>42</v>
      </c>
      <c r="H1850" s="1" t="s">
        <v>16841</v>
      </c>
      <c r="I1850" s="1" t="s">
        <v>19</v>
      </c>
      <c r="J1850" s="1" t="s">
        <v>6</v>
      </c>
      <c r="K1850" s="1" t="s">
        <v>24</v>
      </c>
      <c r="L1850" s="1">
        <v>4411017</v>
      </c>
      <c r="M1850" s="2">
        <v>43130</v>
      </c>
      <c r="N1850" s="1" t="s">
        <v>8</v>
      </c>
      <c r="O1850" s="2">
        <v>44226</v>
      </c>
    </row>
    <row r="1851" spans="1:15" ht="28.8" x14ac:dyDescent="0.3">
      <c r="A1851" s="1" t="s">
        <v>16842</v>
      </c>
      <c r="B1851" s="1" t="str">
        <f>"RAB Construct Ltd"</f>
        <v>RAB Construct Ltd</v>
      </c>
      <c r="C1851" s="1" t="s">
        <v>16843</v>
      </c>
      <c r="F1851" s="1" t="s">
        <v>64</v>
      </c>
      <c r="H1851" s="1" t="s">
        <v>16844</v>
      </c>
      <c r="I1851" s="1" t="s">
        <v>19</v>
      </c>
      <c r="J1851" s="1" t="s">
        <v>6</v>
      </c>
      <c r="K1851" s="1" t="s">
        <v>34</v>
      </c>
      <c r="L1851" s="1">
        <v>10640398</v>
      </c>
      <c r="M1851" s="2">
        <v>43130</v>
      </c>
      <c r="N1851" s="1" t="s">
        <v>8</v>
      </c>
      <c r="O1851" s="2">
        <v>44226</v>
      </c>
    </row>
    <row r="1852" spans="1:15" ht="28.8" x14ac:dyDescent="0.3">
      <c r="A1852" s="1" t="s">
        <v>16845</v>
      </c>
      <c r="B1852" s="1" t="str">
        <f>"Haines Painting &amp; Decorating LTD"</f>
        <v>Haines Painting &amp; Decorating LTD</v>
      </c>
      <c r="C1852" s="1" t="s">
        <v>16846</v>
      </c>
      <c r="D1852" s="1" t="s">
        <v>16847</v>
      </c>
      <c r="F1852" s="1" t="s">
        <v>123</v>
      </c>
      <c r="H1852" s="1" t="s">
        <v>16848</v>
      </c>
      <c r="I1852" s="1" t="s">
        <v>19</v>
      </c>
      <c r="J1852" s="1" t="s">
        <v>6</v>
      </c>
      <c r="K1852" s="1" t="s">
        <v>24</v>
      </c>
      <c r="L1852" s="1">
        <v>5394573</v>
      </c>
      <c r="M1852" s="2">
        <v>43130</v>
      </c>
      <c r="N1852" s="1" t="s">
        <v>8</v>
      </c>
      <c r="O1852" s="2">
        <v>44226</v>
      </c>
    </row>
    <row r="1853" spans="1:15" ht="28.8" x14ac:dyDescent="0.3">
      <c r="A1853" s="1" t="s">
        <v>16849</v>
      </c>
      <c r="B1853" s="1" t="str">
        <f>"W. F. James &amp; Son Ltd"</f>
        <v>W. F. James &amp; Son Ltd</v>
      </c>
      <c r="C1853" s="1" t="s">
        <v>6390</v>
      </c>
      <c r="F1853" s="1" t="s">
        <v>1351</v>
      </c>
      <c r="H1853" s="1" t="s">
        <v>6391</v>
      </c>
      <c r="I1853" s="1" t="s">
        <v>19</v>
      </c>
      <c r="J1853" s="1" t="s">
        <v>6</v>
      </c>
      <c r="K1853" s="1" t="s">
        <v>34</v>
      </c>
      <c r="L1853" s="1">
        <v>10182202</v>
      </c>
      <c r="M1853" s="2">
        <v>43130</v>
      </c>
      <c r="N1853" s="1" t="s">
        <v>8</v>
      </c>
      <c r="O1853" s="2">
        <v>44226</v>
      </c>
    </row>
    <row r="1854" spans="1:15" ht="28.8" x14ac:dyDescent="0.3">
      <c r="A1854" s="1" t="s">
        <v>16850</v>
      </c>
      <c r="B1854" s="1" t="str">
        <f>"DS Martin-RS Berry"</f>
        <v>DS Martin-RS Berry</v>
      </c>
      <c r="C1854" s="1" t="s">
        <v>16851</v>
      </c>
      <c r="D1854" s="1" t="s">
        <v>16852</v>
      </c>
      <c r="F1854" s="1" t="s">
        <v>665</v>
      </c>
      <c r="H1854" s="1" t="s">
        <v>16853</v>
      </c>
      <c r="I1854" s="1" t="s">
        <v>125</v>
      </c>
      <c r="J1854" s="1" t="s">
        <v>6</v>
      </c>
      <c r="K1854" s="1" t="s">
        <v>34</v>
      </c>
      <c r="M1854" s="2">
        <v>43130</v>
      </c>
      <c r="N1854" s="1" t="s">
        <v>8</v>
      </c>
      <c r="O1854" s="2">
        <v>44268</v>
      </c>
    </row>
    <row r="1855" spans="1:15" ht="28.8" x14ac:dyDescent="0.3">
      <c r="A1855" s="1" t="s">
        <v>17856</v>
      </c>
      <c r="B1855" s="1" t="str">
        <f>"A Thomas Plant Hire Ltd"</f>
        <v>A Thomas Plant Hire Ltd</v>
      </c>
      <c r="C1855" s="1" t="s">
        <v>17857</v>
      </c>
      <c r="D1855" s="1" t="s">
        <v>3992</v>
      </c>
      <c r="F1855" s="1" t="s">
        <v>56</v>
      </c>
      <c r="H1855" s="1" t="s">
        <v>17858</v>
      </c>
      <c r="I1855" s="1" t="s">
        <v>19</v>
      </c>
      <c r="J1855" s="1" t="s">
        <v>6</v>
      </c>
      <c r="K1855" s="1" t="s">
        <v>34</v>
      </c>
      <c r="L1855" s="1">
        <v>6550558</v>
      </c>
      <c r="M1855" s="2">
        <v>43130</v>
      </c>
      <c r="N1855" s="1" t="s">
        <v>8</v>
      </c>
      <c r="O1855" s="2">
        <v>44226</v>
      </c>
    </row>
    <row r="1856" spans="1:15" ht="28.8" x14ac:dyDescent="0.3">
      <c r="A1856" s="1" t="s">
        <v>28815</v>
      </c>
      <c r="B1856" s="1" t="str">
        <f>"David  Kelly  Y Skip it"</f>
        <v>David  Kelly  Y Skip it</v>
      </c>
      <c r="C1856" s="1" t="s">
        <v>28816</v>
      </c>
      <c r="F1856" s="1" t="s">
        <v>230</v>
      </c>
      <c r="H1856" s="1" t="s">
        <v>28817</v>
      </c>
      <c r="I1856" s="1" t="s">
        <v>5</v>
      </c>
      <c r="J1856" s="1" t="s">
        <v>6</v>
      </c>
      <c r="K1856" s="1" t="s">
        <v>24</v>
      </c>
      <c r="M1856" s="2">
        <v>43130</v>
      </c>
      <c r="N1856" s="1" t="s">
        <v>8</v>
      </c>
      <c r="O1856" s="2">
        <v>44226</v>
      </c>
    </row>
    <row r="1857" spans="1:15" ht="43.2" x14ac:dyDescent="0.3">
      <c r="A1857" s="1" t="s">
        <v>14896</v>
      </c>
      <c r="B1857" s="1" t="str">
        <f>"Parves younis "</f>
        <v xml:space="preserve">Parves younis </v>
      </c>
      <c r="C1857" s="1" t="s">
        <v>14897</v>
      </c>
      <c r="F1857" s="1" t="s">
        <v>5350</v>
      </c>
      <c r="H1857" s="1" t="s">
        <v>14898</v>
      </c>
      <c r="I1857" s="1" t="s">
        <v>188</v>
      </c>
      <c r="J1857" s="1" t="s">
        <v>67</v>
      </c>
      <c r="K1857" s="1" t="s">
        <v>14</v>
      </c>
      <c r="M1857" s="2">
        <v>43129</v>
      </c>
      <c r="N1857" s="1" t="s">
        <v>8</v>
      </c>
      <c r="O1857" s="1" t="s">
        <v>68</v>
      </c>
    </row>
    <row r="1858" spans="1:15" ht="43.2" x14ac:dyDescent="0.3">
      <c r="A1858" s="1" t="s">
        <v>15841</v>
      </c>
      <c r="B1858" s="1" t="str">
        <f>"Outdoor Retreats Ltd"</f>
        <v>Outdoor Retreats Ltd</v>
      </c>
      <c r="C1858" s="1" t="s">
        <v>15842</v>
      </c>
      <c r="F1858" s="1" t="s">
        <v>641</v>
      </c>
      <c r="H1858" s="1" t="s">
        <v>15843</v>
      </c>
      <c r="I1858" s="1" t="s">
        <v>19</v>
      </c>
      <c r="J1858" s="1" t="s">
        <v>67</v>
      </c>
      <c r="K1858" s="1" t="s">
        <v>14</v>
      </c>
      <c r="M1858" s="2">
        <v>43129</v>
      </c>
      <c r="N1858" s="1" t="s">
        <v>8</v>
      </c>
      <c r="O1858" s="1" t="s">
        <v>68</v>
      </c>
    </row>
    <row r="1859" spans="1:15" ht="28.8" x14ac:dyDescent="0.3">
      <c r="A1859" s="1" t="s">
        <v>15844</v>
      </c>
      <c r="B1859" s="1" t="str">
        <f>"WATERLOO HIRE LIMITED"</f>
        <v>WATERLOO HIRE LIMITED</v>
      </c>
      <c r="C1859" s="1" t="s">
        <v>15845</v>
      </c>
      <c r="F1859" s="1" t="s">
        <v>476</v>
      </c>
      <c r="H1859" s="1" t="s">
        <v>15846</v>
      </c>
      <c r="I1859" s="1" t="s">
        <v>19</v>
      </c>
      <c r="J1859" s="1" t="s">
        <v>6</v>
      </c>
      <c r="K1859" s="1" t="s">
        <v>34</v>
      </c>
      <c r="L1859" s="1">
        <v>4603879</v>
      </c>
      <c r="M1859" s="2">
        <v>43129</v>
      </c>
      <c r="N1859" s="1" t="s">
        <v>8</v>
      </c>
      <c r="O1859" s="2">
        <v>44225</v>
      </c>
    </row>
    <row r="1860" spans="1:15" ht="43.2" x14ac:dyDescent="0.3">
      <c r="A1860" s="1" t="s">
        <v>15847</v>
      </c>
      <c r="B1860" s="1" t="str">
        <f>"Thornacre Ltd"</f>
        <v>Thornacre Ltd</v>
      </c>
      <c r="C1860" s="1" t="s">
        <v>15848</v>
      </c>
      <c r="F1860" s="1" t="s">
        <v>156</v>
      </c>
      <c r="H1860" s="1" t="s">
        <v>15849</v>
      </c>
      <c r="I1860" s="1" t="s">
        <v>19</v>
      </c>
      <c r="J1860" s="1" t="s">
        <v>67</v>
      </c>
      <c r="K1860" s="1" t="s">
        <v>14</v>
      </c>
      <c r="M1860" s="2">
        <v>43129</v>
      </c>
      <c r="N1860" s="1" t="s">
        <v>8</v>
      </c>
      <c r="O1860" s="1" t="s">
        <v>68</v>
      </c>
    </row>
    <row r="1861" spans="1:15" ht="43.2" x14ac:dyDescent="0.3">
      <c r="A1861" s="1" t="s">
        <v>15850</v>
      </c>
      <c r="B1861" s="1" t="str">
        <f>"Proclimber"</f>
        <v>Proclimber</v>
      </c>
      <c r="C1861" s="1" t="s">
        <v>13746</v>
      </c>
      <c r="F1861" s="1" t="s">
        <v>6881</v>
      </c>
      <c r="H1861" s="1" t="s">
        <v>15851</v>
      </c>
      <c r="I1861" s="1" t="s">
        <v>125</v>
      </c>
      <c r="J1861" s="1" t="s">
        <v>67</v>
      </c>
      <c r="K1861" s="1" t="s">
        <v>14</v>
      </c>
      <c r="M1861" s="2">
        <v>43129</v>
      </c>
      <c r="N1861" s="1" t="s">
        <v>8</v>
      </c>
      <c r="O1861" s="1" t="s">
        <v>68</v>
      </c>
    </row>
    <row r="1862" spans="1:15" ht="43.2" x14ac:dyDescent="0.3">
      <c r="A1862" s="1" t="s">
        <v>15852</v>
      </c>
      <c r="B1862" s="1" t="str">
        <f>"Alan R Jones &amp; Sons Ltd"</f>
        <v>Alan R Jones &amp; Sons Ltd</v>
      </c>
      <c r="C1862" s="1" t="s">
        <v>15853</v>
      </c>
      <c r="F1862" s="1" t="s">
        <v>156</v>
      </c>
      <c r="H1862" s="1" t="s">
        <v>15854</v>
      </c>
      <c r="I1862" s="1" t="s">
        <v>19</v>
      </c>
      <c r="J1862" s="1" t="s">
        <v>6</v>
      </c>
      <c r="K1862" s="1" t="s">
        <v>34</v>
      </c>
      <c r="L1862" s="1">
        <v>1508139</v>
      </c>
      <c r="M1862" s="2">
        <v>43129</v>
      </c>
      <c r="N1862" s="1" t="s">
        <v>8</v>
      </c>
      <c r="O1862" s="2">
        <v>44225</v>
      </c>
    </row>
    <row r="1863" spans="1:15" ht="28.8" x14ac:dyDescent="0.3">
      <c r="A1863" s="1" t="s">
        <v>15855</v>
      </c>
      <c r="B1863" s="1" t="str">
        <f>"Llederw Ltd"</f>
        <v>Llederw Ltd</v>
      </c>
      <c r="C1863" s="1" t="s">
        <v>15856</v>
      </c>
      <c r="F1863" s="1" t="s">
        <v>1351</v>
      </c>
      <c r="H1863" s="1" t="s">
        <v>15857</v>
      </c>
      <c r="I1863" s="1" t="s">
        <v>19</v>
      </c>
      <c r="J1863" s="1" t="s">
        <v>6</v>
      </c>
      <c r="K1863" s="1" t="s">
        <v>34</v>
      </c>
      <c r="L1863" s="1">
        <v>10409502</v>
      </c>
      <c r="M1863" s="2">
        <v>43129</v>
      </c>
      <c r="N1863" s="1" t="s">
        <v>8</v>
      </c>
      <c r="O1863" s="2">
        <v>44225</v>
      </c>
    </row>
    <row r="1864" spans="1:15" ht="43.2" x14ac:dyDescent="0.3">
      <c r="A1864" s="1" t="s">
        <v>15858</v>
      </c>
      <c r="B1864" s="1" t="str">
        <f>"C &amp; C CATERING ENGINEERS LIMITED"</f>
        <v>C &amp; C CATERING ENGINEERS LIMITED</v>
      </c>
      <c r="C1864" s="1" t="s">
        <v>15859</v>
      </c>
      <c r="D1864" s="1" t="s">
        <v>15860</v>
      </c>
      <c r="E1864" s="1" t="s">
        <v>1097</v>
      </c>
      <c r="F1864" s="1" t="s">
        <v>323</v>
      </c>
      <c r="H1864" s="1" t="s">
        <v>15861</v>
      </c>
      <c r="I1864" s="1" t="s">
        <v>19</v>
      </c>
      <c r="J1864" s="1" t="s">
        <v>67</v>
      </c>
      <c r="K1864" s="1" t="s">
        <v>34</v>
      </c>
      <c r="L1864" s="1">
        <v>3689368</v>
      </c>
      <c r="M1864" s="2">
        <v>43129</v>
      </c>
      <c r="N1864" s="1" t="s">
        <v>8</v>
      </c>
      <c r="O1864" s="1" t="s">
        <v>68</v>
      </c>
    </row>
    <row r="1865" spans="1:15" ht="43.2" x14ac:dyDescent="0.3">
      <c r="A1865" s="1" t="s">
        <v>15862</v>
      </c>
      <c r="B1865" s="1" t="str">
        <f>"173 Roman road "</f>
        <v xml:space="preserve">173 Roman road </v>
      </c>
      <c r="C1865" s="1" t="s">
        <v>15863</v>
      </c>
      <c r="F1865" s="1" t="s">
        <v>170</v>
      </c>
      <c r="H1865" s="1" t="s">
        <v>15864</v>
      </c>
      <c r="I1865" s="1" t="s">
        <v>188</v>
      </c>
      <c r="J1865" s="1" t="s">
        <v>67</v>
      </c>
      <c r="K1865" s="1" t="s">
        <v>14</v>
      </c>
      <c r="M1865" s="2">
        <v>43129</v>
      </c>
      <c r="N1865" s="1" t="s">
        <v>8</v>
      </c>
      <c r="O1865" s="1" t="s">
        <v>68</v>
      </c>
    </row>
    <row r="1866" spans="1:15" x14ac:dyDescent="0.3">
      <c r="A1866" s="1" t="s">
        <v>15865</v>
      </c>
      <c r="B1866" s="1" t="str">
        <f>"Marshall janes "</f>
        <v xml:space="preserve">Marshall janes </v>
      </c>
      <c r="C1866" s="1" t="s">
        <v>15866</v>
      </c>
      <c r="D1866" s="1" t="s">
        <v>15867</v>
      </c>
      <c r="F1866" s="1" t="s">
        <v>15868</v>
      </c>
      <c r="H1866" s="1" t="s">
        <v>15869</v>
      </c>
      <c r="I1866" s="1" t="s">
        <v>125</v>
      </c>
      <c r="J1866" s="1" t="s">
        <v>6</v>
      </c>
      <c r="K1866" s="1" t="s">
        <v>24</v>
      </c>
      <c r="M1866" s="2">
        <v>43129</v>
      </c>
      <c r="N1866" s="1" t="s">
        <v>8</v>
      </c>
      <c r="O1866" s="2">
        <v>44225</v>
      </c>
    </row>
    <row r="1867" spans="1:15" ht="43.2" x14ac:dyDescent="0.3">
      <c r="A1867" s="1" t="s">
        <v>28029</v>
      </c>
      <c r="B1867" s="1" t="str">
        <f>"Garry Jefferies"</f>
        <v>Garry Jefferies</v>
      </c>
      <c r="C1867" s="1" t="s">
        <v>28030</v>
      </c>
      <c r="F1867" s="1" t="s">
        <v>555</v>
      </c>
      <c r="H1867" s="1" t="s">
        <v>28031</v>
      </c>
      <c r="I1867" s="1" t="s">
        <v>5</v>
      </c>
      <c r="J1867" s="1" t="s">
        <v>67</v>
      </c>
      <c r="K1867" s="1" t="s">
        <v>14</v>
      </c>
      <c r="M1867" s="2">
        <v>43129</v>
      </c>
      <c r="N1867" s="1" t="s">
        <v>8</v>
      </c>
      <c r="O1867" s="1" t="s">
        <v>68</v>
      </c>
    </row>
    <row r="1868" spans="1:15" ht="43.2" x14ac:dyDescent="0.3">
      <c r="A1868" s="1" t="s">
        <v>28032</v>
      </c>
      <c r="B1868" s="1" t="str">
        <f>"Veronica Thomas"</f>
        <v>Veronica Thomas</v>
      </c>
      <c r="C1868" s="1" t="s">
        <v>28033</v>
      </c>
      <c r="F1868" s="1" t="s">
        <v>1063</v>
      </c>
      <c r="H1868" s="1" t="s">
        <v>28034</v>
      </c>
      <c r="I1868" s="1" t="s">
        <v>5</v>
      </c>
      <c r="J1868" s="1" t="s">
        <v>67</v>
      </c>
      <c r="K1868" s="1" t="s">
        <v>14</v>
      </c>
      <c r="M1868" s="2">
        <v>43129</v>
      </c>
      <c r="N1868" s="1" t="s">
        <v>8</v>
      </c>
      <c r="O1868" s="1" t="s">
        <v>68</v>
      </c>
    </row>
    <row r="1869" spans="1:15" ht="28.8" x14ac:dyDescent="0.3">
      <c r="A1869" s="1" t="s">
        <v>28035</v>
      </c>
      <c r="B1869" s="1" t="str">
        <f>"Aaron Kilby Aaron kilby "</f>
        <v xml:space="preserve">Aaron Kilby Aaron kilby </v>
      </c>
      <c r="C1869" s="1" t="s">
        <v>28036</v>
      </c>
      <c r="F1869" s="1" t="s">
        <v>2342</v>
      </c>
      <c r="H1869" s="1" t="s">
        <v>28037</v>
      </c>
      <c r="I1869" s="1" t="s">
        <v>5</v>
      </c>
      <c r="J1869" s="1" t="s">
        <v>6</v>
      </c>
      <c r="K1869" s="1" t="s">
        <v>24</v>
      </c>
      <c r="M1869" s="2">
        <v>43129</v>
      </c>
      <c r="N1869" s="1" t="s">
        <v>8</v>
      </c>
      <c r="O1869" s="2">
        <v>44225</v>
      </c>
    </row>
    <row r="1870" spans="1:15" x14ac:dyDescent="0.3">
      <c r="A1870" s="1" t="s">
        <v>28812</v>
      </c>
      <c r="B1870" s="1" t="str">
        <f>"Mark Skitt Mark Skitt"</f>
        <v>Mark Skitt Mark Skitt</v>
      </c>
      <c r="C1870" s="1" t="s">
        <v>28813</v>
      </c>
      <c r="F1870" s="1" t="s">
        <v>37</v>
      </c>
      <c r="H1870" s="1" t="s">
        <v>28814</v>
      </c>
      <c r="I1870" s="1" t="s">
        <v>5</v>
      </c>
      <c r="J1870" s="1" t="s">
        <v>6</v>
      </c>
      <c r="K1870" s="1" t="s">
        <v>24</v>
      </c>
      <c r="M1870" s="2">
        <v>43129</v>
      </c>
      <c r="N1870" s="1" t="s">
        <v>8</v>
      </c>
      <c r="O1870" s="2">
        <v>44225</v>
      </c>
    </row>
    <row r="1871" spans="1:15" ht="28.8" x14ac:dyDescent="0.3">
      <c r="A1871" s="1" t="s">
        <v>27197</v>
      </c>
      <c r="B1871" s="1" t="str">
        <f>"Paul Davies Paul Davies Garden Maintenance "</f>
        <v xml:space="preserve">Paul Davies Paul Davies Garden Maintenance </v>
      </c>
      <c r="C1871" s="1" t="s">
        <v>27198</v>
      </c>
      <c r="F1871" s="1" t="s">
        <v>532</v>
      </c>
      <c r="H1871" s="1" t="s">
        <v>27199</v>
      </c>
      <c r="I1871" s="1" t="s">
        <v>5</v>
      </c>
      <c r="J1871" s="1" t="s">
        <v>6</v>
      </c>
      <c r="K1871" s="1" t="s">
        <v>34</v>
      </c>
      <c r="M1871" s="2">
        <v>43128</v>
      </c>
      <c r="N1871" s="1" t="s">
        <v>8</v>
      </c>
      <c r="O1871" s="2">
        <v>44224</v>
      </c>
    </row>
    <row r="1872" spans="1:15" ht="28.8" x14ac:dyDescent="0.3">
      <c r="A1872" s="1" t="s">
        <v>27200</v>
      </c>
      <c r="B1872" s="1" t="str">
        <f>"Simon Bratton Simon bratton"</f>
        <v>Simon Bratton Simon bratton</v>
      </c>
      <c r="C1872" s="1" t="s">
        <v>27201</v>
      </c>
      <c r="F1872" s="1" t="s">
        <v>64</v>
      </c>
      <c r="H1872" s="1" t="s">
        <v>27202</v>
      </c>
      <c r="I1872" s="1" t="s">
        <v>5</v>
      </c>
      <c r="J1872" s="1" t="s">
        <v>6</v>
      </c>
      <c r="K1872" s="1" t="s">
        <v>24</v>
      </c>
      <c r="M1872" s="2">
        <v>43128</v>
      </c>
      <c r="N1872" s="1" t="s">
        <v>8</v>
      </c>
      <c r="O1872" s="2">
        <v>44224</v>
      </c>
    </row>
    <row r="1873" spans="1:15" ht="43.2" x14ac:dyDescent="0.3">
      <c r="A1873" s="1" t="s">
        <v>27203</v>
      </c>
      <c r="B1873" s="1" t="str">
        <f>"Richard Cooper"</f>
        <v>Richard Cooper</v>
      </c>
      <c r="C1873" s="1" t="s">
        <v>27204</v>
      </c>
      <c r="D1873" s="1" t="s">
        <v>27205</v>
      </c>
      <c r="F1873" s="1" t="s">
        <v>27206</v>
      </c>
      <c r="H1873" s="1" t="s">
        <v>27207</v>
      </c>
      <c r="I1873" s="1" t="s">
        <v>5</v>
      </c>
      <c r="J1873" s="1" t="s">
        <v>67</v>
      </c>
      <c r="K1873" s="1" t="s">
        <v>14</v>
      </c>
      <c r="M1873" s="2">
        <v>43128</v>
      </c>
      <c r="N1873" s="1" t="s">
        <v>8</v>
      </c>
      <c r="O1873" s="1" t="s">
        <v>68</v>
      </c>
    </row>
    <row r="1874" spans="1:15" ht="28.8" x14ac:dyDescent="0.3">
      <c r="A1874" s="1" t="s">
        <v>27208</v>
      </c>
      <c r="B1874" s="1" t="str">
        <f>"David Ineson Floordec Flooring"</f>
        <v>David Ineson Floordec Flooring</v>
      </c>
      <c r="C1874" s="1" t="s">
        <v>27209</v>
      </c>
      <c r="F1874" s="1" t="s">
        <v>32</v>
      </c>
      <c r="H1874" s="1" t="s">
        <v>27210</v>
      </c>
      <c r="I1874" s="1" t="s">
        <v>5</v>
      </c>
      <c r="J1874" s="1" t="s">
        <v>6</v>
      </c>
      <c r="K1874" s="1" t="s">
        <v>34</v>
      </c>
      <c r="M1874" s="2">
        <v>43128</v>
      </c>
      <c r="N1874" s="1" t="s">
        <v>8</v>
      </c>
      <c r="O1874" s="2">
        <v>44224</v>
      </c>
    </row>
    <row r="1875" spans="1:15" ht="28.8" x14ac:dyDescent="0.3">
      <c r="A1875" s="1" t="s">
        <v>27211</v>
      </c>
      <c r="B1875" s="1" t="str">
        <f>"David Dixon David dixon"</f>
        <v>David Dixon David dixon</v>
      </c>
      <c r="C1875" s="1" t="s">
        <v>27212</v>
      </c>
      <c r="D1875" s="1" t="s">
        <v>389</v>
      </c>
      <c r="F1875" s="1" t="s">
        <v>156</v>
      </c>
      <c r="H1875" s="1" t="s">
        <v>27213</v>
      </c>
      <c r="I1875" s="1" t="s">
        <v>5</v>
      </c>
      <c r="J1875" s="1" t="s">
        <v>6</v>
      </c>
      <c r="K1875" s="1" t="s">
        <v>24</v>
      </c>
      <c r="M1875" s="2">
        <v>43128</v>
      </c>
      <c r="N1875" s="1" t="s">
        <v>8</v>
      </c>
      <c r="O1875" s="2">
        <v>44224</v>
      </c>
    </row>
    <row r="1876" spans="1:15" ht="28.8" x14ac:dyDescent="0.3">
      <c r="A1876" s="1" t="s">
        <v>27214</v>
      </c>
      <c r="B1876" s="1" t="str">
        <f>"PHILLIP MOORE MOORE LANDSCAPES"</f>
        <v>PHILLIP MOORE MOORE LANDSCAPES</v>
      </c>
      <c r="C1876" s="1" t="s">
        <v>27215</v>
      </c>
      <c r="F1876" s="1" t="s">
        <v>720</v>
      </c>
      <c r="H1876" s="1" t="s">
        <v>20378</v>
      </c>
      <c r="I1876" s="1" t="s">
        <v>5</v>
      </c>
      <c r="J1876" s="1" t="s">
        <v>6</v>
      </c>
      <c r="K1876" s="1" t="s">
        <v>24</v>
      </c>
      <c r="M1876" s="2">
        <v>43128</v>
      </c>
      <c r="N1876" s="1" t="s">
        <v>8</v>
      </c>
      <c r="O1876" s="2">
        <v>44224</v>
      </c>
    </row>
    <row r="1877" spans="1:15" ht="28.8" x14ac:dyDescent="0.3">
      <c r="A1877" s="1" t="s">
        <v>14884</v>
      </c>
      <c r="B1877" s="1" t="str">
        <f>"BAYLISS METALS"</f>
        <v>BAYLISS METALS</v>
      </c>
      <c r="C1877" s="1" t="s">
        <v>14885</v>
      </c>
      <c r="D1877" s="1" t="s">
        <v>14886</v>
      </c>
      <c r="F1877" s="1" t="s">
        <v>14887</v>
      </c>
      <c r="H1877" s="1" t="s">
        <v>14888</v>
      </c>
      <c r="I1877" s="1" t="s">
        <v>19</v>
      </c>
      <c r="J1877" s="1" t="s">
        <v>6</v>
      </c>
      <c r="K1877" s="1" t="s">
        <v>34</v>
      </c>
      <c r="L1877" s="1">
        <v>4342879</v>
      </c>
      <c r="M1877" s="2">
        <v>43127</v>
      </c>
      <c r="N1877" s="1" t="s">
        <v>8</v>
      </c>
      <c r="O1877" s="2">
        <v>44223</v>
      </c>
    </row>
    <row r="1878" spans="1:15" ht="43.2" x14ac:dyDescent="0.3">
      <c r="A1878" s="1" t="s">
        <v>14889</v>
      </c>
      <c r="B1878" s="1" t="str">
        <f>"Appetite Catering Services"</f>
        <v>Appetite Catering Services</v>
      </c>
      <c r="C1878" s="1" t="s">
        <v>14890</v>
      </c>
      <c r="F1878" s="1" t="s">
        <v>380</v>
      </c>
      <c r="H1878" s="1" t="s">
        <v>14891</v>
      </c>
      <c r="I1878" s="1" t="s">
        <v>125</v>
      </c>
      <c r="J1878" s="1" t="s">
        <v>67</v>
      </c>
      <c r="K1878" s="1" t="s">
        <v>14</v>
      </c>
      <c r="M1878" s="2">
        <v>43127</v>
      </c>
      <c r="N1878" s="1" t="s">
        <v>8</v>
      </c>
      <c r="O1878" s="1" t="s">
        <v>68</v>
      </c>
    </row>
    <row r="1879" spans="1:15" ht="28.8" x14ac:dyDescent="0.3">
      <c r="A1879" s="1" t="s">
        <v>14892</v>
      </c>
      <c r="B1879" s="1" t="str">
        <f>"Hamiltons Contracting Services Wale"</f>
        <v>Hamiltons Contracting Services Wale</v>
      </c>
      <c r="C1879" s="1" t="s">
        <v>14893</v>
      </c>
      <c r="D1879" s="1" t="s">
        <v>14894</v>
      </c>
      <c r="F1879" s="1" t="s">
        <v>64</v>
      </c>
      <c r="H1879" s="1" t="s">
        <v>14895</v>
      </c>
      <c r="I1879" s="1" t="s">
        <v>19</v>
      </c>
      <c r="J1879" s="1" t="s">
        <v>6</v>
      </c>
      <c r="K1879" s="1" t="s">
        <v>34</v>
      </c>
      <c r="L1879" s="1">
        <v>10696530</v>
      </c>
      <c r="M1879" s="2">
        <v>43127</v>
      </c>
      <c r="N1879" s="1" t="s">
        <v>8</v>
      </c>
      <c r="O1879" s="2">
        <v>44223</v>
      </c>
    </row>
    <row r="1880" spans="1:15" ht="43.2" x14ac:dyDescent="0.3">
      <c r="A1880" s="1" t="s">
        <v>27191</v>
      </c>
      <c r="B1880" s="1" t="str">
        <f>"Jack Edwards"</f>
        <v>Jack Edwards</v>
      </c>
      <c r="C1880" s="1" t="s">
        <v>27192</v>
      </c>
      <c r="F1880" s="1" t="s">
        <v>532</v>
      </c>
      <c r="H1880" s="1" t="s">
        <v>27193</v>
      </c>
      <c r="I1880" s="1" t="s">
        <v>5</v>
      </c>
      <c r="J1880" s="1" t="s">
        <v>67</v>
      </c>
      <c r="K1880" s="1" t="s">
        <v>14</v>
      </c>
      <c r="M1880" s="2">
        <v>43127</v>
      </c>
      <c r="N1880" s="1" t="s">
        <v>8</v>
      </c>
      <c r="O1880" s="1" t="s">
        <v>68</v>
      </c>
    </row>
    <row r="1881" spans="1:15" x14ac:dyDescent="0.3">
      <c r="A1881" s="1" t="s">
        <v>27194</v>
      </c>
      <c r="B1881" s="1" t="str">
        <f>"Alvyn Evans"</f>
        <v>Alvyn Evans</v>
      </c>
      <c r="C1881" s="1" t="s">
        <v>27195</v>
      </c>
      <c r="F1881" s="1" t="s">
        <v>1556</v>
      </c>
      <c r="H1881" s="1" t="s">
        <v>27196</v>
      </c>
      <c r="I1881" s="1" t="s">
        <v>5</v>
      </c>
      <c r="J1881" s="1" t="s">
        <v>6</v>
      </c>
      <c r="K1881" s="1" t="s">
        <v>24</v>
      </c>
      <c r="M1881" s="2">
        <v>43127</v>
      </c>
      <c r="N1881" s="1" t="s">
        <v>8</v>
      </c>
      <c r="O1881" s="2">
        <v>44223</v>
      </c>
    </row>
    <row r="1882" spans="1:15" ht="43.2" x14ac:dyDescent="0.3">
      <c r="A1882" s="1" t="s">
        <v>14031</v>
      </c>
      <c r="B1882" s="1" t="str">
        <f>"St David's Hospice"</f>
        <v>St David's Hospice</v>
      </c>
      <c r="C1882" s="1" t="s">
        <v>14032</v>
      </c>
      <c r="F1882" s="1" t="s">
        <v>3242</v>
      </c>
      <c r="H1882" s="1" t="s">
        <v>14033</v>
      </c>
      <c r="I1882" s="1" t="s">
        <v>1872</v>
      </c>
      <c r="J1882" s="1" t="s">
        <v>67</v>
      </c>
      <c r="K1882" s="1" t="s">
        <v>14</v>
      </c>
      <c r="M1882" s="2">
        <v>43126</v>
      </c>
      <c r="N1882" s="1" t="s">
        <v>8</v>
      </c>
      <c r="O1882" s="1" t="s">
        <v>68</v>
      </c>
    </row>
    <row r="1883" spans="1:15" ht="28.8" x14ac:dyDescent="0.3">
      <c r="A1883" s="1" t="s">
        <v>26440</v>
      </c>
      <c r="B1883" s="1" t="str">
        <f>"Gurmeet Daul MM Boiler Heating Soution"</f>
        <v>Gurmeet Daul MM Boiler Heating Soution</v>
      </c>
      <c r="C1883" s="1" t="s">
        <v>26441</v>
      </c>
      <c r="F1883" s="1" t="s">
        <v>5904</v>
      </c>
      <c r="H1883" s="1" t="s">
        <v>26442</v>
      </c>
      <c r="I1883" s="1" t="s">
        <v>5</v>
      </c>
      <c r="J1883" s="1" t="s">
        <v>6</v>
      </c>
      <c r="K1883" s="1" t="s">
        <v>24</v>
      </c>
      <c r="M1883" s="2">
        <v>43126</v>
      </c>
      <c r="N1883" s="1" t="s">
        <v>8</v>
      </c>
      <c r="O1883" s="2">
        <v>44222</v>
      </c>
    </row>
    <row r="1884" spans="1:15" ht="43.2" x14ac:dyDescent="0.3">
      <c r="A1884" s="1" t="s">
        <v>26443</v>
      </c>
      <c r="B1884" s="1" t="str">
        <f>"nigel thomas"</f>
        <v>nigel thomas</v>
      </c>
      <c r="C1884" s="1" t="s">
        <v>26444</v>
      </c>
      <c r="F1884" s="1" t="s">
        <v>1321</v>
      </c>
      <c r="H1884" s="1" t="s">
        <v>22710</v>
      </c>
      <c r="I1884" s="1" t="s">
        <v>5</v>
      </c>
      <c r="J1884" s="1" t="s">
        <v>67</v>
      </c>
      <c r="K1884" s="1" t="s">
        <v>14</v>
      </c>
      <c r="M1884" s="2">
        <v>43126</v>
      </c>
      <c r="N1884" s="1" t="s">
        <v>8</v>
      </c>
      <c r="O1884" s="1" t="s">
        <v>68</v>
      </c>
    </row>
    <row r="1885" spans="1:15" ht="28.8" x14ac:dyDescent="0.3">
      <c r="A1885" s="1" t="s">
        <v>26445</v>
      </c>
      <c r="B1885" s="1" t="str">
        <f>"nigel thomas nigel thomas"</f>
        <v>nigel thomas nigel thomas</v>
      </c>
      <c r="C1885" s="1" t="s">
        <v>26444</v>
      </c>
      <c r="F1885" s="1" t="s">
        <v>1321</v>
      </c>
      <c r="H1885" s="1" t="s">
        <v>22710</v>
      </c>
      <c r="I1885" s="1" t="s">
        <v>5</v>
      </c>
      <c r="J1885" s="1" t="s">
        <v>6</v>
      </c>
      <c r="K1885" s="1" t="s">
        <v>24</v>
      </c>
      <c r="M1885" s="2">
        <v>43126</v>
      </c>
      <c r="N1885" s="1" t="s">
        <v>8</v>
      </c>
      <c r="O1885" s="2">
        <v>44222</v>
      </c>
    </row>
    <row r="1886" spans="1:15" ht="28.8" x14ac:dyDescent="0.3">
      <c r="A1886" s="1" t="s">
        <v>27188</v>
      </c>
      <c r="B1886" s="1" t="str">
        <f>"Gwynfor Jones Gconstruction"</f>
        <v>Gwynfor Jones Gconstruction</v>
      </c>
      <c r="C1886" s="1" t="s">
        <v>27189</v>
      </c>
      <c r="F1886" s="1" t="s">
        <v>9949</v>
      </c>
      <c r="H1886" s="1" t="s">
        <v>27190</v>
      </c>
      <c r="I1886" s="1" t="s">
        <v>5</v>
      </c>
      <c r="J1886" s="1" t="s">
        <v>6</v>
      </c>
      <c r="K1886" s="1" t="s">
        <v>34</v>
      </c>
      <c r="M1886" s="2">
        <v>43126</v>
      </c>
      <c r="N1886" s="1" t="s">
        <v>8</v>
      </c>
      <c r="O1886" s="2">
        <v>44222</v>
      </c>
    </row>
    <row r="1887" spans="1:15" ht="43.2" x14ac:dyDescent="0.3">
      <c r="A1887" s="1" t="s">
        <v>13000</v>
      </c>
      <c r="B1887" s="1" t="str">
        <f>"Owens (Road Services) Limited"</f>
        <v>Owens (Road Services) Limited</v>
      </c>
      <c r="C1887" s="1" t="s">
        <v>8921</v>
      </c>
      <c r="F1887" s="1" t="s">
        <v>556</v>
      </c>
      <c r="H1887" s="1" t="s">
        <v>8922</v>
      </c>
      <c r="I1887" s="1" t="s">
        <v>19</v>
      </c>
      <c r="J1887" s="1" t="s">
        <v>67</v>
      </c>
      <c r="K1887" s="1" t="s">
        <v>14</v>
      </c>
      <c r="M1887" s="2">
        <v>43125</v>
      </c>
      <c r="N1887" s="1" t="s">
        <v>8</v>
      </c>
      <c r="O1887" s="1" t="s">
        <v>68</v>
      </c>
    </row>
    <row r="1888" spans="1:15" ht="43.2" x14ac:dyDescent="0.3">
      <c r="A1888" s="1" t="s">
        <v>13001</v>
      </c>
      <c r="B1888" s="1" t="str">
        <f>"South Wales Police"</f>
        <v>South Wales Police</v>
      </c>
      <c r="C1888" s="1" t="s">
        <v>13002</v>
      </c>
      <c r="D1888" s="1" t="s">
        <v>13003</v>
      </c>
      <c r="F1888" s="1" t="s">
        <v>179</v>
      </c>
      <c r="H1888" s="1" t="s">
        <v>13004</v>
      </c>
      <c r="I1888" s="1" t="s">
        <v>188</v>
      </c>
      <c r="J1888" s="1" t="s">
        <v>67</v>
      </c>
      <c r="K1888" s="1" t="s">
        <v>14</v>
      </c>
      <c r="M1888" s="2">
        <v>43125</v>
      </c>
      <c r="N1888" s="1" t="s">
        <v>8</v>
      </c>
      <c r="O1888" s="1" t="s">
        <v>68</v>
      </c>
    </row>
    <row r="1889" spans="1:15" ht="43.2" x14ac:dyDescent="0.3">
      <c r="A1889" s="1" t="s">
        <v>14016</v>
      </c>
      <c r="B1889" s="1" t="str">
        <f>"Enoteca Leisure Ltd"</f>
        <v>Enoteca Leisure Ltd</v>
      </c>
      <c r="C1889" s="1" t="s">
        <v>14017</v>
      </c>
      <c r="F1889" s="1" t="s">
        <v>14018</v>
      </c>
      <c r="H1889" s="1" t="s">
        <v>14019</v>
      </c>
      <c r="I1889" s="1" t="s">
        <v>19</v>
      </c>
      <c r="J1889" s="1" t="s">
        <v>67</v>
      </c>
      <c r="K1889" s="1" t="s">
        <v>14</v>
      </c>
      <c r="M1889" s="2">
        <v>43125</v>
      </c>
      <c r="N1889" s="1" t="s">
        <v>8</v>
      </c>
      <c r="O1889" s="1" t="s">
        <v>68</v>
      </c>
    </row>
    <row r="1890" spans="1:15" ht="28.8" x14ac:dyDescent="0.3">
      <c r="A1890" s="1" t="s">
        <v>14020</v>
      </c>
      <c r="B1890" s="1" t="str">
        <f>"DERWOOD HOMES  &amp;  DEVELOPMENTS LTD"</f>
        <v>DERWOOD HOMES  &amp;  DEVELOPMENTS LTD</v>
      </c>
      <c r="C1890" s="1" t="s">
        <v>14021</v>
      </c>
      <c r="F1890" s="1" t="s">
        <v>179</v>
      </c>
      <c r="H1890" s="1" t="s">
        <v>969</v>
      </c>
      <c r="I1890" s="1" t="s">
        <v>19</v>
      </c>
      <c r="J1890" s="1" t="s">
        <v>6</v>
      </c>
      <c r="K1890" s="1" t="s">
        <v>34</v>
      </c>
      <c r="L1890" s="1">
        <v>6064808</v>
      </c>
      <c r="M1890" s="2">
        <v>43125</v>
      </c>
      <c r="N1890" s="1" t="s">
        <v>8</v>
      </c>
      <c r="O1890" s="2">
        <v>44221</v>
      </c>
    </row>
    <row r="1891" spans="1:15" ht="43.2" x14ac:dyDescent="0.3">
      <c r="A1891" s="1" t="s">
        <v>14022</v>
      </c>
      <c r="B1891" s="1" t="str">
        <f>"Bristol 1 Domicilary Specsavers Ltd"</f>
        <v>Bristol 1 Domicilary Specsavers Ltd</v>
      </c>
      <c r="C1891" s="1" t="s">
        <v>14023</v>
      </c>
      <c r="D1891" s="1" t="s">
        <v>13995</v>
      </c>
      <c r="E1891" s="1" t="s">
        <v>14024</v>
      </c>
      <c r="F1891" s="1" t="s">
        <v>5070</v>
      </c>
      <c r="H1891" s="1" t="s">
        <v>14025</v>
      </c>
      <c r="I1891" s="1" t="s">
        <v>19</v>
      </c>
      <c r="J1891" s="1" t="s">
        <v>67</v>
      </c>
      <c r="K1891" s="1" t="s">
        <v>14</v>
      </c>
      <c r="M1891" s="2">
        <v>43125</v>
      </c>
      <c r="N1891" s="1" t="s">
        <v>8</v>
      </c>
      <c r="O1891" s="1" t="s">
        <v>68</v>
      </c>
    </row>
    <row r="1892" spans="1:15" ht="43.2" x14ac:dyDescent="0.3">
      <c r="A1892" s="1" t="s">
        <v>14026</v>
      </c>
      <c r="B1892" s="1" t="str">
        <f>"Hardan Ltd"</f>
        <v>Hardan Ltd</v>
      </c>
      <c r="C1892" s="1" t="s">
        <v>14027</v>
      </c>
      <c r="F1892" s="1" t="s">
        <v>156</v>
      </c>
      <c r="H1892" s="1" t="s">
        <v>7550</v>
      </c>
      <c r="I1892" s="1" t="s">
        <v>19</v>
      </c>
      <c r="J1892" s="1" t="s">
        <v>67</v>
      </c>
      <c r="K1892" s="1" t="s">
        <v>24</v>
      </c>
      <c r="L1892" s="1">
        <v>10530532</v>
      </c>
      <c r="M1892" s="2">
        <v>43125</v>
      </c>
      <c r="N1892" s="1" t="s">
        <v>8</v>
      </c>
      <c r="O1892" s="1" t="s">
        <v>68</v>
      </c>
    </row>
    <row r="1893" spans="1:15" ht="28.8" x14ac:dyDescent="0.3">
      <c r="A1893" s="1" t="s">
        <v>14028</v>
      </c>
      <c r="B1893" s="1" t="str">
        <f>"Classic Roofing"</f>
        <v>Classic Roofing</v>
      </c>
      <c r="C1893" s="1" t="s">
        <v>14029</v>
      </c>
      <c r="F1893" s="1" t="s">
        <v>364</v>
      </c>
      <c r="H1893" s="1" t="s">
        <v>14030</v>
      </c>
      <c r="I1893" s="1" t="s">
        <v>125</v>
      </c>
      <c r="J1893" s="1" t="s">
        <v>6</v>
      </c>
      <c r="K1893" s="1" t="s">
        <v>34</v>
      </c>
      <c r="M1893" s="2">
        <v>43125</v>
      </c>
      <c r="N1893" s="1" t="s">
        <v>8</v>
      </c>
      <c r="O1893" s="2">
        <v>44221</v>
      </c>
    </row>
    <row r="1894" spans="1:15" ht="28.8" x14ac:dyDescent="0.3">
      <c r="A1894" s="1" t="s">
        <v>25651</v>
      </c>
      <c r="B1894" s="1" t="str">
        <f>"Simon Price Rhayader Skip Hire"</f>
        <v>Simon Price Rhayader Skip Hire</v>
      </c>
      <c r="C1894" s="1" t="s">
        <v>25652</v>
      </c>
      <c r="F1894" s="1" t="s">
        <v>5301</v>
      </c>
      <c r="H1894" s="1" t="s">
        <v>23240</v>
      </c>
      <c r="I1894" s="1" t="s">
        <v>5</v>
      </c>
      <c r="J1894" s="1" t="s">
        <v>6</v>
      </c>
      <c r="K1894" s="1" t="s">
        <v>24</v>
      </c>
      <c r="M1894" s="2">
        <v>43125</v>
      </c>
      <c r="N1894" s="1" t="s">
        <v>8</v>
      </c>
      <c r="O1894" s="2">
        <v>44221</v>
      </c>
    </row>
    <row r="1895" spans="1:15" ht="28.8" x14ac:dyDescent="0.3">
      <c r="A1895" s="1" t="s">
        <v>25653</v>
      </c>
      <c r="B1895" s="1" t="str">
        <f>"Andrew Lynn Abernant Sale Room"</f>
        <v>Andrew Lynn Abernant Sale Room</v>
      </c>
      <c r="C1895" s="1" t="s">
        <v>25654</v>
      </c>
      <c r="F1895" s="1" t="s">
        <v>64</v>
      </c>
      <c r="H1895" s="1" t="s">
        <v>25655</v>
      </c>
      <c r="I1895" s="1" t="s">
        <v>5</v>
      </c>
      <c r="J1895" s="1" t="s">
        <v>6</v>
      </c>
      <c r="K1895" s="1" t="s">
        <v>24</v>
      </c>
      <c r="M1895" s="2">
        <v>43125</v>
      </c>
      <c r="N1895" s="1" t="s">
        <v>8</v>
      </c>
      <c r="O1895" s="2">
        <v>44221</v>
      </c>
    </row>
    <row r="1896" spans="1:15" ht="43.2" x14ac:dyDescent="0.3">
      <c r="A1896" s="1" t="s">
        <v>25656</v>
      </c>
      <c r="B1896" s="1" t="str">
        <f>"Tanvir khan"</f>
        <v>Tanvir khan</v>
      </c>
      <c r="C1896" s="1" t="s">
        <v>25657</v>
      </c>
      <c r="F1896" s="1" t="s">
        <v>3864</v>
      </c>
      <c r="H1896" s="1" t="s">
        <v>25658</v>
      </c>
      <c r="I1896" s="1" t="s">
        <v>5</v>
      </c>
      <c r="J1896" s="1" t="s">
        <v>67</v>
      </c>
      <c r="K1896" s="1" t="s">
        <v>14</v>
      </c>
      <c r="M1896" s="2">
        <v>43125</v>
      </c>
      <c r="N1896" s="1" t="s">
        <v>8</v>
      </c>
      <c r="O1896" s="1" t="s">
        <v>68</v>
      </c>
    </row>
    <row r="1897" spans="1:15" ht="43.2" x14ac:dyDescent="0.3">
      <c r="A1897" s="1" t="s">
        <v>25659</v>
      </c>
      <c r="B1897" s="1" t="str">
        <f>"jonathan roberts Ivanhoe grab and digger hire"</f>
        <v>jonathan roberts Ivanhoe grab and digger hire</v>
      </c>
      <c r="C1897" s="1" t="s">
        <v>25660</v>
      </c>
      <c r="D1897" s="1" t="s">
        <v>25661</v>
      </c>
      <c r="F1897" s="1" t="s">
        <v>1058</v>
      </c>
      <c r="H1897" s="1" t="s">
        <v>25662</v>
      </c>
      <c r="I1897" s="1" t="s">
        <v>5</v>
      </c>
      <c r="J1897" s="1" t="s">
        <v>6</v>
      </c>
      <c r="K1897" s="1" t="s">
        <v>24</v>
      </c>
      <c r="M1897" s="2">
        <v>43125</v>
      </c>
      <c r="N1897" s="1" t="s">
        <v>8</v>
      </c>
      <c r="O1897" s="2">
        <v>44221</v>
      </c>
    </row>
    <row r="1898" spans="1:15" ht="43.2" x14ac:dyDescent="0.3">
      <c r="A1898" s="1" t="s">
        <v>26437</v>
      </c>
      <c r="B1898" s="1" t="str">
        <f>"Michael Watts"</f>
        <v>Michael Watts</v>
      </c>
      <c r="C1898" s="1" t="s">
        <v>26438</v>
      </c>
      <c r="D1898" s="1" t="s">
        <v>449</v>
      </c>
      <c r="F1898" s="1" t="s">
        <v>42</v>
      </c>
      <c r="H1898" s="1" t="s">
        <v>26439</v>
      </c>
      <c r="I1898" s="1" t="s">
        <v>5</v>
      </c>
      <c r="J1898" s="1" t="s">
        <v>67</v>
      </c>
      <c r="K1898" s="1" t="s">
        <v>14</v>
      </c>
      <c r="M1898" s="2">
        <v>43125</v>
      </c>
      <c r="N1898" s="1" t="s">
        <v>8</v>
      </c>
      <c r="O1898" s="1" t="s">
        <v>68</v>
      </c>
    </row>
    <row r="1899" spans="1:15" ht="28.8" x14ac:dyDescent="0.3">
      <c r="A1899" s="1" t="s">
        <v>11997</v>
      </c>
      <c r="B1899" s="1" t="str">
        <f>"JN &amp; F LTD"</f>
        <v>JN &amp; F LTD</v>
      </c>
      <c r="C1899" s="1" t="s">
        <v>11998</v>
      </c>
      <c r="F1899" s="1" t="s">
        <v>170</v>
      </c>
      <c r="H1899" s="1" t="s">
        <v>11999</v>
      </c>
      <c r="I1899" s="1" t="s">
        <v>19</v>
      </c>
      <c r="J1899" s="1" t="s">
        <v>6</v>
      </c>
      <c r="K1899" s="1" t="s">
        <v>34</v>
      </c>
      <c r="L1899" s="1">
        <v>7490342</v>
      </c>
      <c r="M1899" s="2">
        <v>43124</v>
      </c>
      <c r="N1899" s="1" t="s">
        <v>8</v>
      </c>
      <c r="O1899" s="2">
        <v>44220</v>
      </c>
    </row>
    <row r="1900" spans="1:15" ht="43.2" x14ac:dyDescent="0.3">
      <c r="A1900" s="1" t="s">
        <v>12000</v>
      </c>
      <c r="B1900" s="1" t="str">
        <f>"TRUDY &amp; IAN DAVIES"</f>
        <v>TRUDY &amp; IAN DAVIES</v>
      </c>
      <c r="C1900" s="1" t="s">
        <v>12001</v>
      </c>
      <c r="F1900" s="1" t="s">
        <v>12002</v>
      </c>
      <c r="H1900" s="1" t="s">
        <v>12003</v>
      </c>
      <c r="I1900" s="1" t="s">
        <v>125</v>
      </c>
      <c r="J1900" s="1" t="s">
        <v>67</v>
      </c>
      <c r="K1900" s="1" t="s">
        <v>14</v>
      </c>
      <c r="M1900" s="2">
        <v>43124</v>
      </c>
      <c r="N1900" s="1" t="s">
        <v>8</v>
      </c>
      <c r="O1900" s="1" t="s">
        <v>68</v>
      </c>
    </row>
    <row r="1901" spans="1:15" ht="43.2" x14ac:dyDescent="0.3">
      <c r="A1901" s="1" t="s">
        <v>12004</v>
      </c>
      <c r="B1901" s="1" t="str">
        <f>"briton ferry dental centre"</f>
        <v>briton ferry dental centre</v>
      </c>
      <c r="C1901" s="1" t="s">
        <v>12005</v>
      </c>
      <c r="F1901" s="1" t="s">
        <v>32</v>
      </c>
      <c r="H1901" s="1" t="s">
        <v>12006</v>
      </c>
      <c r="I1901" s="1" t="s">
        <v>19</v>
      </c>
      <c r="J1901" s="1" t="s">
        <v>67</v>
      </c>
      <c r="K1901" s="1" t="s">
        <v>14</v>
      </c>
      <c r="M1901" s="2">
        <v>43124</v>
      </c>
      <c r="N1901" s="1" t="s">
        <v>8</v>
      </c>
      <c r="O1901" s="1" t="s">
        <v>68</v>
      </c>
    </row>
    <row r="1902" spans="1:15" ht="43.2" x14ac:dyDescent="0.3">
      <c r="A1902" s="1" t="s">
        <v>12979</v>
      </c>
      <c r="B1902" s="1" t="str">
        <f>"AGS Security Systems Ltd"</f>
        <v>AGS Security Systems Ltd</v>
      </c>
      <c r="C1902" s="1" t="s">
        <v>8289</v>
      </c>
      <c r="F1902" s="1" t="s">
        <v>720</v>
      </c>
      <c r="H1902" s="1" t="s">
        <v>8290</v>
      </c>
      <c r="I1902" s="1" t="s">
        <v>19</v>
      </c>
      <c r="J1902" s="1" t="s">
        <v>67</v>
      </c>
      <c r="K1902" s="1" t="s">
        <v>24</v>
      </c>
      <c r="L1902" s="1">
        <v>4710897</v>
      </c>
      <c r="M1902" s="2">
        <v>43124</v>
      </c>
      <c r="N1902" s="1" t="s">
        <v>8</v>
      </c>
      <c r="O1902" s="1" t="s">
        <v>68</v>
      </c>
    </row>
    <row r="1903" spans="1:15" x14ac:dyDescent="0.3">
      <c r="A1903" s="1" t="s">
        <v>12980</v>
      </c>
      <c r="B1903" s="1" t="str">
        <f>"Thronemont Ltd"</f>
        <v>Thronemont Ltd</v>
      </c>
      <c r="C1903" s="1" t="s">
        <v>12981</v>
      </c>
      <c r="F1903" s="1" t="s">
        <v>170</v>
      </c>
      <c r="H1903" s="1" t="s">
        <v>12982</v>
      </c>
      <c r="I1903" s="1" t="s">
        <v>19</v>
      </c>
      <c r="J1903" s="1" t="s">
        <v>6</v>
      </c>
      <c r="K1903" s="1" t="s">
        <v>24</v>
      </c>
      <c r="L1903" s="1">
        <v>9201610</v>
      </c>
      <c r="M1903" s="2">
        <v>43124</v>
      </c>
      <c r="N1903" s="1" t="s">
        <v>8</v>
      </c>
      <c r="O1903" s="2">
        <v>44220</v>
      </c>
    </row>
    <row r="1904" spans="1:15" ht="28.8" x14ac:dyDescent="0.3">
      <c r="A1904" s="1" t="s">
        <v>12983</v>
      </c>
      <c r="B1904" s="1" t="str">
        <f>"Peake Caravans Ltd"</f>
        <v>Peake Caravans Ltd</v>
      </c>
      <c r="C1904" s="1" t="s">
        <v>12984</v>
      </c>
      <c r="F1904" s="1" t="s">
        <v>476</v>
      </c>
      <c r="H1904" s="1" t="s">
        <v>12985</v>
      </c>
      <c r="I1904" s="1" t="s">
        <v>19</v>
      </c>
      <c r="J1904" s="1" t="s">
        <v>6</v>
      </c>
      <c r="K1904" s="1" t="s">
        <v>34</v>
      </c>
      <c r="L1904" s="1">
        <v>8090123</v>
      </c>
      <c r="M1904" s="2">
        <v>43124</v>
      </c>
      <c r="N1904" s="1" t="s">
        <v>8</v>
      </c>
      <c r="O1904" s="2">
        <v>44220</v>
      </c>
    </row>
    <row r="1905" spans="1:15" ht="43.2" x14ac:dyDescent="0.3">
      <c r="A1905" s="1" t="s">
        <v>12986</v>
      </c>
      <c r="B1905" s="1" t="str">
        <f>"The Greendealshop.Com Ltd"</f>
        <v>The Greendealshop.Com Ltd</v>
      </c>
      <c r="C1905" s="1" t="s">
        <v>12987</v>
      </c>
      <c r="D1905" s="1" t="s">
        <v>3266</v>
      </c>
      <c r="F1905" s="1" t="s">
        <v>12988</v>
      </c>
      <c r="H1905" s="1" t="s">
        <v>12989</v>
      </c>
      <c r="I1905" s="1" t="s">
        <v>19</v>
      </c>
      <c r="J1905" s="1" t="s">
        <v>6</v>
      </c>
      <c r="K1905" s="1" t="s">
        <v>34</v>
      </c>
      <c r="L1905" s="1">
        <v>7864045</v>
      </c>
      <c r="M1905" s="2">
        <v>43124</v>
      </c>
      <c r="N1905" s="1" t="s">
        <v>8</v>
      </c>
      <c r="O1905" s="2">
        <v>44220</v>
      </c>
    </row>
    <row r="1906" spans="1:15" ht="43.2" x14ac:dyDescent="0.3">
      <c r="A1906" s="1" t="s">
        <v>12990</v>
      </c>
      <c r="B1906" s="1" t="str">
        <f>"Fit my floor "</f>
        <v xml:space="preserve">Fit my floor </v>
      </c>
      <c r="C1906" s="1" t="s">
        <v>12991</v>
      </c>
      <c r="F1906" s="1" t="s">
        <v>156</v>
      </c>
      <c r="H1906" s="1" t="s">
        <v>926</v>
      </c>
      <c r="I1906" s="1" t="s">
        <v>19</v>
      </c>
      <c r="J1906" s="1" t="s">
        <v>67</v>
      </c>
      <c r="K1906" s="1" t="s">
        <v>14</v>
      </c>
      <c r="M1906" s="2">
        <v>43124</v>
      </c>
      <c r="N1906" s="1" t="s">
        <v>8</v>
      </c>
      <c r="O1906" s="1" t="s">
        <v>68</v>
      </c>
    </row>
    <row r="1907" spans="1:15" ht="43.2" x14ac:dyDescent="0.3">
      <c r="A1907" s="1" t="s">
        <v>12992</v>
      </c>
      <c r="B1907" s="1" t="str">
        <f>"ECOVIGOUR LIMITED"</f>
        <v>ECOVIGOUR LIMITED</v>
      </c>
      <c r="C1907" s="1" t="s">
        <v>12993</v>
      </c>
      <c r="D1907" s="1" t="s">
        <v>1286</v>
      </c>
      <c r="F1907" s="1" t="s">
        <v>401</v>
      </c>
      <c r="H1907" s="1" t="s">
        <v>12994</v>
      </c>
      <c r="I1907" s="1" t="s">
        <v>19</v>
      </c>
      <c r="J1907" s="1" t="s">
        <v>67</v>
      </c>
      <c r="K1907" s="1" t="s">
        <v>24</v>
      </c>
      <c r="L1907" s="1">
        <v>6313671</v>
      </c>
      <c r="M1907" s="2">
        <v>43124</v>
      </c>
      <c r="N1907" s="1" t="s">
        <v>8</v>
      </c>
      <c r="O1907" s="1" t="s">
        <v>68</v>
      </c>
    </row>
    <row r="1908" spans="1:15" ht="28.8" x14ac:dyDescent="0.3">
      <c r="A1908" s="1" t="s">
        <v>12995</v>
      </c>
      <c r="B1908" s="1" t="str">
        <f>"J T Cox Group Ltd"</f>
        <v>J T Cox Group Ltd</v>
      </c>
      <c r="C1908" s="1" t="s">
        <v>12996</v>
      </c>
      <c r="D1908" s="1" t="s">
        <v>8264</v>
      </c>
      <c r="E1908" s="1" t="s">
        <v>475</v>
      </c>
      <c r="F1908" s="1" t="s">
        <v>476</v>
      </c>
      <c r="H1908" s="1" t="s">
        <v>12997</v>
      </c>
      <c r="I1908" s="1" t="s">
        <v>19</v>
      </c>
      <c r="J1908" s="1" t="s">
        <v>6</v>
      </c>
      <c r="K1908" s="1" t="s">
        <v>24</v>
      </c>
      <c r="L1908" s="1">
        <v>7253503</v>
      </c>
      <c r="M1908" s="2">
        <v>43124</v>
      </c>
      <c r="N1908" s="1" t="s">
        <v>8</v>
      </c>
      <c r="O1908" s="2">
        <v>44220</v>
      </c>
    </row>
    <row r="1909" spans="1:15" ht="28.8" x14ac:dyDescent="0.3">
      <c r="A1909" s="1" t="s">
        <v>12998</v>
      </c>
      <c r="B1909" s="1" t="str">
        <f>"L.M.H Engineering"</f>
        <v>L.M.H Engineering</v>
      </c>
      <c r="C1909" s="1" t="s">
        <v>12999</v>
      </c>
      <c r="F1909" s="1" t="s">
        <v>1556</v>
      </c>
      <c r="H1909" s="1" t="s">
        <v>11996</v>
      </c>
      <c r="I1909" s="1" t="s">
        <v>19</v>
      </c>
      <c r="J1909" s="1" t="s">
        <v>6</v>
      </c>
      <c r="K1909" s="1" t="s">
        <v>34</v>
      </c>
      <c r="L1909" s="1">
        <v>10269276</v>
      </c>
      <c r="M1909" s="2">
        <v>43124</v>
      </c>
      <c r="N1909" s="1" t="s">
        <v>8</v>
      </c>
      <c r="O1909" s="2">
        <v>44220</v>
      </c>
    </row>
    <row r="1910" spans="1:15" ht="43.2" x14ac:dyDescent="0.3">
      <c r="A1910" s="1" t="s">
        <v>24911</v>
      </c>
      <c r="B1910" s="1" t="str">
        <f>"Ray Griffiths"</f>
        <v>Ray Griffiths</v>
      </c>
      <c r="C1910" s="1" t="s">
        <v>24912</v>
      </c>
      <c r="F1910" s="1" t="s">
        <v>64</v>
      </c>
      <c r="H1910" s="1" t="s">
        <v>24913</v>
      </c>
      <c r="I1910" s="1" t="s">
        <v>5</v>
      </c>
      <c r="J1910" s="1" t="s">
        <v>67</v>
      </c>
      <c r="K1910" s="1" t="s">
        <v>14</v>
      </c>
      <c r="M1910" s="2">
        <v>43124</v>
      </c>
      <c r="N1910" s="1" t="s">
        <v>8</v>
      </c>
      <c r="O1910" s="1" t="s">
        <v>68</v>
      </c>
    </row>
    <row r="1911" spans="1:15" ht="43.2" x14ac:dyDescent="0.3">
      <c r="A1911" s="1" t="s">
        <v>24914</v>
      </c>
      <c r="B1911" s="1" t="str">
        <f>"Malcom Nash"</f>
        <v>Malcom Nash</v>
      </c>
      <c r="C1911" s="1" t="s">
        <v>24915</v>
      </c>
      <c r="F1911" s="1" t="s">
        <v>102</v>
      </c>
      <c r="H1911" s="1" t="s">
        <v>13744</v>
      </c>
      <c r="I1911" s="1" t="s">
        <v>5</v>
      </c>
      <c r="J1911" s="1" t="s">
        <v>67</v>
      </c>
      <c r="K1911" s="1" t="s">
        <v>14</v>
      </c>
      <c r="M1911" s="2">
        <v>43124</v>
      </c>
      <c r="N1911" s="1" t="s">
        <v>8</v>
      </c>
      <c r="O1911" s="1" t="s">
        <v>68</v>
      </c>
    </row>
    <row r="1912" spans="1:15" ht="28.8" x14ac:dyDescent="0.3">
      <c r="A1912" s="1" t="s">
        <v>25636</v>
      </c>
      <c r="B1912" s="1" t="str">
        <f>"gary camps camps transport"</f>
        <v>gary camps camps transport</v>
      </c>
      <c r="C1912" s="1" t="s">
        <v>25637</v>
      </c>
      <c r="D1912" s="1" t="s">
        <v>25638</v>
      </c>
      <c r="F1912" s="1" t="s">
        <v>25639</v>
      </c>
      <c r="H1912" s="1" t="s">
        <v>25640</v>
      </c>
      <c r="I1912" s="1" t="s">
        <v>5</v>
      </c>
      <c r="J1912" s="1" t="s">
        <v>6</v>
      </c>
      <c r="K1912" s="1" t="s">
        <v>24</v>
      </c>
      <c r="M1912" s="2">
        <v>43124</v>
      </c>
      <c r="N1912" s="1" t="s">
        <v>8</v>
      </c>
      <c r="O1912" s="2">
        <v>44220</v>
      </c>
    </row>
    <row r="1913" spans="1:15" ht="43.2" x14ac:dyDescent="0.3">
      <c r="A1913" s="1" t="s">
        <v>25641</v>
      </c>
      <c r="B1913" s="1" t="str">
        <f>"Darrell Griffin"</f>
        <v>Darrell Griffin</v>
      </c>
      <c r="C1913" s="1" t="s">
        <v>25642</v>
      </c>
      <c r="F1913" s="1" t="s">
        <v>1776</v>
      </c>
      <c r="H1913" s="1" t="s">
        <v>25643</v>
      </c>
      <c r="I1913" s="1" t="s">
        <v>5</v>
      </c>
      <c r="J1913" s="1" t="s">
        <v>67</v>
      </c>
      <c r="K1913" s="1" t="s">
        <v>14</v>
      </c>
      <c r="M1913" s="2">
        <v>43124</v>
      </c>
      <c r="N1913" s="1" t="s">
        <v>8</v>
      </c>
      <c r="O1913" s="1" t="s">
        <v>68</v>
      </c>
    </row>
    <row r="1914" spans="1:15" ht="43.2" x14ac:dyDescent="0.3">
      <c r="A1914" s="1" t="s">
        <v>25644</v>
      </c>
      <c r="B1914" s="1" t="str">
        <f>"Eddy Purnell"</f>
        <v>Eddy Purnell</v>
      </c>
      <c r="C1914" s="1" t="s">
        <v>25645</v>
      </c>
      <c r="D1914" s="1" t="s">
        <v>25646</v>
      </c>
      <c r="F1914" s="1" t="s">
        <v>25647</v>
      </c>
      <c r="H1914" s="1" t="s">
        <v>25648</v>
      </c>
      <c r="I1914" s="1" t="s">
        <v>5</v>
      </c>
      <c r="J1914" s="1" t="s">
        <v>67</v>
      </c>
      <c r="K1914" s="1" t="s">
        <v>14</v>
      </c>
      <c r="M1914" s="2">
        <v>43124</v>
      </c>
      <c r="N1914" s="1" t="s">
        <v>8</v>
      </c>
      <c r="O1914" s="1" t="s">
        <v>68</v>
      </c>
    </row>
    <row r="1915" spans="1:15" ht="43.2" x14ac:dyDescent="0.3">
      <c r="A1915" s="1" t="s">
        <v>25649</v>
      </c>
      <c r="B1915" s="1" t="str">
        <f>"Steven  Morgan "</f>
        <v xml:space="preserve">Steven  Morgan </v>
      </c>
      <c r="C1915" s="1" t="s">
        <v>25650</v>
      </c>
      <c r="F1915" s="1" t="s">
        <v>156</v>
      </c>
      <c r="H1915" s="1" t="s">
        <v>19767</v>
      </c>
      <c r="I1915" s="1" t="s">
        <v>5</v>
      </c>
      <c r="J1915" s="1" t="s">
        <v>67</v>
      </c>
      <c r="K1915" s="1" t="s">
        <v>14</v>
      </c>
      <c r="M1915" s="2">
        <v>43124</v>
      </c>
      <c r="N1915" s="1" t="s">
        <v>8</v>
      </c>
      <c r="O1915" s="1" t="s">
        <v>68</v>
      </c>
    </row>
    <row r="1916" spans="1:15" ht="28.8" x14ac:dyDescent="0.3">
      <c r="A1916" s="1" t="s">
        <v>10966</v>
      </c>
      <c r="B1916" s="1" t="str">
        <f>"Maplestone Collections Limited "</f>
        <v xml:space="preserve">Maplestone Collections Limited </v>
      </c>
      <c r="C1916" s="1" t="s">
        <v>10967</v>
      </c>
      <c r="D1916" s="1" t="s">
        <v>8856</v>
      </c>
      <c r="E1916" s="1" t="s">
        <v>546</v>
      </c>
      <c r="F1916" s="1" t="s">
        <v>156</v>
      </c>
      <c r="H1916" s="1" t="s">
        <v>8857</v>
      </c>
      <c r="I1916" s="1" t="s">
        <v>19</v>
      </c>
      <c r="J1916" s="1" t="s">
        <v>6</v>
      </c>
      <c r="K1916" s="1" t="s">
        <v>24</v>
      </c>
      <c r="L1916" s="1">
        <v>8310355</v>
      </c>
      <c r="M1916" s="2">
        <v>43123</v>
      </c>
      <c r="N1916" s="1" t="s">
        <v>8</v>
      </c>
      <c r="O1916" s="2">
        <v>44276</v>
      </c>
    </row>
    <row r="1917" spans="1:15" ht="28.8" x14ac:dyDescent="0.3">
      <c r="A1917" s="1" t="s">
        <v>10968</v>
      </c>
      <c r="B1917" s="1" t="str">
        <f>"Permanent Flooring Ltd."</f>
        <v>Permanent Flooring Ltd.</v>
      </c>
      <c r="C1917" s="1" t="s">
        <v>10969</v>
      </c>
      <c r="F1917" s="1" t="s">
        <v>10970</v>
      </c>
      <c r="H1917" s="1" t="s">
        <v>10971</v>
      </c>
      <c r="I1917" s="1" t="s">
        <v>19</v>
      </c>
      <c r="J1917" s="1" t="s">
        <v>6</v>
      </c>
      <c r="K1917" s="1" t="s">
        <v>34</v>
      </c>
      <c r="L1917" s="1">
        <v>3745700</v>
      </c>
      <c r="M1917" s="2">
        <v>43123</v>
      </c>
      <c r="N1917" s="1" t="s">
        <v>8</v>
      </c>
      <c r="O1917" s="2">
        <v>44219</v>
      </c>
    </row>
    <row r="1918" spans="1:15" ht="28.8" x14ac:dyDescent="0.3">
      <c r="A1918" s="1" t="s">
        <v>10972</v>
      </c>
      <c r="B1918" s="1" t="str">
        <f>"Universal Resource Trading Ltd"</f>
        <v>Universal Resource Trading Ltd</v>
      </c>
      <c r="C1918" s="1" t="s">
        <v>10973</v>
      </c>
      <c r="F1918" s="1" t="s">
        <v>380</v>
      </c>
      <c r="H1918" s="1" t="s">
        <v>10974</v>
      </c>
      <c r="I1918" s="1" t="s">
        <v>19</v>
      </c>
      <c r="J1918" s="1" t="s">
        <v>6</v>
      </c>
      <c r="K1918" s="1" t="s">
        <v>34</v>
      </c>
      <c r="L1918" s="1">
        <v>9371140</v>
      </c>
      <c r="M1918" s="2">
        <v>43123</v>
      </c>
      <c r="N1918" s="1" t="s">
        <v>8</v>
      </c>
      <c r="O1918" s="2">
        <v>44220</v>
      </c>
    </row>
    <row r="1919" spans="1:15" ht="43.2" x14ac:dyDescent="0.3">
      <c r="A1919" s="1" t="s">
        <v>10975</v>
      </c>
      <c r="B1919" s="1" t="str">
        <f>"OFSC Limited"</f>
        <v>OFSC Limited</v>
      </c>
      <c r="C1919" s="1" t="s">
        <v>10976</v>
      </c>
      <c r="F1919" s="1" t="s">
        <v>140</v>
      </c>
      <c r="H1919" s="1" t="s">
        <v>10977</v>
      </c>
      <c r="I1919" s="1" t="s">
        <v>19</v>
      </c>
      <c r="J1919" s="1" t="s">
        <v>67</v>
      </c>
      <c r="K1919" s="1" t="s">
        <v>14</v>
      </c>
      <c r="M1919" s="2">
        <v>43123</v>
      </c>
      <c r="N1919" s="1" t="s">
        <v>8</v>
      </c>
      <c r="O1919" s="1" t="s">
        <v>68</v>
      </c>
    </row>
    <row r="1920" spans="1:15" ht="43.2" x14ac:dyDescent="0.3">
      <c r="A1920" s="1" t="s">
        <v>10978</v>
      </c>
      <c r="B1920" s="1" t="str">
        <f>"Aberbargoed store ltd"</f>
        <v>Aberbargoed store ltd</v>
      </c>
      <c r="C1920" s="1" t="s">
        <v>9589</v>
      </c>
      <c r="F1920" s="1" t="s">
        <v>6400</v>
      </c>
      <c r="H1920" s="1" t="s">
        <v>9590</v>
      </c>
      <c r="I1920" s="1" t="s">
        <v>19</v>
      </c>
      <c r="J1920" s="1" t="s">
        <v>67</v>
      </c>
      <c r="K1920" s="1" t="s">
        <v>14</v>
      </c>
      <c r="M1920" s="2">
        <v>43123</v>
      </c>
      <c r="N1920" s="1" t="s">
        <v>8</v>
      </c>
      <c r="O1920" s="1" t="s">
        <v>68</v>
      </c>
    </row>
    <row r="1921" spans="1:15" ht="28.8" x14ac:dyDescent="0.3">
      <c r="A1921" s="1" t="s">
        <v>11984</v>
      </c>
      <c r="B1921" s="1" t="str">
        <f>"PW Dallimore"</f>
        <v>PW Dallimore</v>
      </c>
      <c r="C1921" s="1" t="s">
        <v>11985</v>
      </c>
      <c r="F1921" s="1" t="s">
        <v>214</v>
      </c>
      <c r="H1921" s="1" t="s">
        <v>11986</v>
      </c>
      <c r="I1921" s="1" t="s">
        <v>19</v>
      </c>
      <c r="J1921" s="1" t="s">
        <v>6</v>
      </c>
      <c r="K1921" s="1" t="s">
        <v>34</v>
      </c>
      <c r="L1921" s="1">
        <v>2908116</v>
      </c>
      <c r="M1921" s="2">
        <v>43123</v>
      </c>
      <c r="N1921" s="1" t="s">
        <v>8</v>
      </c>
      <c r="O1921" s="2">
        <v>44219</v>
      </c>
    </row>
    <row r="1922" spans="1:15" x14ac:dyDescent="0.3">
      <c r="A1922" s="1" t="s">
        <v>11987</v>
      </c>
      <c r="B1922" s="1" t="str">
        <f>"EVERGRAY LTD"</f>
        <v>EVERGRAY LTD</v>
      </c>
      <c r="C1922" s="1" t="s">
        <v>11988</v>
      </c>
      <c r="F1922" s="1" t="s">
        <v>22</v>
      </c>
      <c r="H1922" s="1" t="s">
        <v>11989</v>
      </c>
      <c r="I1922" s="1" t="s">
        <v>19</v>
      </c>
      <c r="J1922" s="1" t="s">
        <v>6</v>
      </c>
      <c r="K1922" s="1" t="s">
        <v>24</v>
      </c>
      <c r="L1922" s="1">
        <v>2606313</v>
      </c>
      <c r="M1922" s="2">
        <v>43123</v>
      </c>
      <c r="N1922" s="1" t="s">
        <v>8</v>
      </c>
      <c r="O1922" s="2">
        <v>44219</v>
      </c>
    </row>
    <row r="1923" spans="1:15" ht="28.8" x14ac:dyDescent="0.3">
      <c r="A1923" s="1" t="s">
        <v>11990</v>
      </c>
      <c r="B1923" s="1" t="str">
        <f>"Clwyd Developments Ltd"</f>
        <v>Clwyd Developments Ltd</v>
      </c>
      <c r="C1923" s="1" t="s">
        <v>3719</v>
      </c>
      <c r="D1923" s="1" t="s">
        <v>7509</v>
      </c>
      <c r="F1923" s="1" t="s">
        <v>532</v>
      </c>
      <c r="H1923" s="1" t="s">
        <v>3720</v>
      </c>
      <c r="I1923" s="1" t="s">
        <v>19</v>
      </c>
      <c r="J1923" s="1" t="s">
        <v>6</v>
      </c>
      <c r="K1923" s="1" t="s">
        <v>34</v>
      </c>
      <c r="L1923" s="1">
        <v>2185485</v>
      </c>
      <c r="M1923" s="2">
        <v>43123</v>
      </c>
      <c r="N1923" s="1" t="s">
        <v>8</v>
      </c>
      <c r="O1923" s="2">
        <v>44219</v>
      </c>
    </row>
    <row r="1924" spans="1:15" ht="43.2" x14ac:dyDescent="0.3">
      <c r="A1924" s="1" t="s">
        <v>11991</v>
      </c>
      <c r="B1924" s="1" t="str">
        <f>"Brewtech ltd"</f>
        <v>Brewtech ltd</v>
      </c>
      <c r="C1924" s="1" t="s">
        <v>11992</v>
      </c>
      <c r="F1924" s="1" t="s">
        <v>64</v>
      </c>
      <c r="H1924" s="1" t="s">
        <v>11993</v>
      </c>
      <c r="I1924" s="1" t="s">
        <v>19</v>
      </c>
      <c r="J1924" s="1" t="s">
        <v>67</v>
      </c>
      <c r="K1924" s="1" t="s">
        <v>14</v>
      </c>
      <c r="M1924" s="2">
        <v>43123</v>
      </c>
      <c r="N1924" s="1" t="s">
        <v>8</v>
      </c>
      <c r="O1924" s="1" t="s">
        <v>68</v>
      </c>
    </row>
    <row r="1925" spans="1:15" ht="28.8" x14ac:dyDescent="0.3">
      <c r="A1925" s="1" t="s">
        <v>11994</v>
      </c>
      <c r="B1925" s="1" t="str">
        <f>"SCRAP MAN"</f>
        <v>SCRAP MAN</v>
      </c>
      <c r="C1925" s="1" t="s">
        <v>11995</v>
      </c>
      <c r="F1925" s="1" t="s">
        <v>1556</v>
      </c>
      <c r="H1925" s="1" t="s">
        <v>11996</v>
      </c>
      <c r="I1925" s="1" t="s">
        <v>125</v>
      </c>
      <c r="J1925" s="1" t="s">
        <v>6</v>
      </c>
      <c r="K1925" s="1" t="s">
        <v>34</v>
      </c>
      <c r="M1925" s="2">
        <v>43123</v>
      </c>
      <c r="N1925" s="1" t="s">
        <v>8</v>
      </c>
      <c r="O1925" s="2">
        <v>44219</v>
      </c>
    </row>
    <row r="1926" spans="1:15" ht="43.2" x14ac:dyDescent="0.3">
      <c r="A1926" s="1" t="s">
        <v>24057</v>
      </c>
      <c r="B1926" s="1" t="str">
        <f>"david connor"</f>
        <v>david connor</v>
      </c>
      <c r="C1926" s="1" t="s">
        <v>24058</v>
      </c>
      <c r="F1926" s="1" t="s">
        <v>24059</v>
      </c>
      <c r="H1926" s="1" t="s">
        <v>24060</v>
      </c>
      <c r="I1926" s="1" t="s">
        <v>5</v>
      </c>
      <c r="J1926" s="1" t="s">
        <v>67</v>
      </c>
      <c r="K1926" s="1" t="s">
        <v>14</v>
      </c>
      <c r="M1926" s="2">
        <v>43123</v>
      </c>
      <c r="N1926" s="1" t="s">
        <v>8</v>
      </c>
      <c r="O1926" s="1" t="s">
        <v>68</v>
      </c>
    </row>
    <row r="1927" spans="1:15" ht="28.8" x14ac:dyDescent="0.3">
      <c r="A1927" s="1" t="s">
        <v>24061</v>
      </c>
      <c r="B1927" s="1" t="str">
        <f>"Gareth Stedman Gws contractors"</f>
        <v>Gareth Stedman Gws contractors</v>
      </c>
      <c r="C1927" s="1" t="s">
        <v>24062</v>
      </c>
      <c r="F1927" s="1" t="s">
        <v>1230</v>
      </c>
      <c r="H1927" s="1" t="s">
        <v>24063</v>
      </c>
      <c r="I1927" s="1" t="s">
        <v>5</v>
      </c>
      <c r="J1927" s="1" t="s">
        <v>6</v>
      </c>
      <c r="K1927" s="1" t="s">
        <v>34</v>
      </c>
      <c r="M1927" s="2">
        <v>43123</v>
      </c>
      <c r="N1927" s="1" t="s">
        <v>8</v>
      </c>
      <c r="O1927" s="2">
        <v>44219</v>
      </c>
    </row>
    <row r="1928" spans="1:15" ht="28.8" x14ac:dyDescent="0.3">
      <c r="A1928" s="1" t="s">
        <v>24064</v>
      </c>
      <c r="B1928" s="1" t="str">
        <f>"TREVOR JONES T J FLOORING"</f>
        <v>TREVOR JONES T J FLOORING</v>
      </c>
      <c r="C1928" s="1" t="s">
        <v>24065</v>
      </c>
      <c r="F1928" s="1" t="s">
        <v>358</v>
      </c>
      <c r="H1928" s="1" t="s">
        <v>23446</v>
      </c>
      <c r="I1928" s="1" t="s">
        <v>5</v>
      </c>
      <c r="J1928" s="1" t="s">
        <v>6</v>
      </c>
      <c r="K1928" s="1" t="s">
        <v>24</v>
      </c>
      <c r="M1928" s="2">
        <v>43123</v>
      </c>
      <c r="N1928" s="1" t="s">
        <v>8</v>
      </c>
      <c r="O1928" s="2">
        <v>44219</v>
      </c>
    </row>
    <row r="1929" spans="1:15" ht="43.2" x14ac:dyDescent="0.3">
      <c r="A1929" s="1" t="s">
        <v>24066</v>
      </c>
      <c r="B1929" s="1" t="str">
        <f>"Richard Stapley"</f>
        <v>Richard Stapley</v>
      </c>
      <c r="C1929" s="1" t="s">
        <v>24067</v>
      </c>
      <c r="F1929" s="1" t="s">
        <v>532</v>
      </c>
      <c r="H1929" s="1" t="s">
        <v>24068</v>
      </c>
      <c r="I1929" s="1" t="s">
        <v>5</v>
      </c>
      <c r="J1929" s="1" t="s">
        <v>67</v>
      </c>
      <c r="K1929" s="1" t="s">
        <v>14</v>
      </c>
      <c r="M1929" s="2">
        <v>43123</v>
      </c>
      <c r="N1929" s="1" t="s">
        <v>8</v>
      </c>
      <c r="O1929" s="1" t="s">
        <v>68</v>
      </c>
    </row>
    <row r="1930" spans="1:15" ht="28.8" x14ac:dyDescent="0.3">
      <c r="A1930" s="1" t="s">
        <v>24903</v>
      </c>
      <c r="B1930" s="1" t="str">
        <f>"Daniel Jones Dan's Rubbish and Scrap"</f>
        <v>Daniel Jones Dan's Rubbish and Scrap</v>
      </c>
      <c r="C1930" s="1" t="s">
        <v>24904</v>
      </c>
      <c r="F1930" s="1" t="s">
        <v>23640</v>
      </c>
      <c r="H1930" s="1" t="s">
        <v>24905</v>
      </c>
      <c r="I1930" s="1" t="s">
        <v>5</v>
      </c>
      <c r="J1930" s="1" t="s">
        <v>6</v>
      </c>
      <c r="K1930" s="1" t="s">
        <v>24</v>
      </c>
      <c r="M1930" s="2">
        <v>43123</v>
      </c>
      <c r="N1930" s="1" t="s">
        <v>8</v>
      </c>
      <c r="O1930" s="2">
        <v>44219</v>
      </c>
    </row>
    <row r="1931" spans="1:15" ht="43.2" x14ac:dyDescent="0.3">
      <c r="A1931" s="1" t="s">
        <v>24906</v>
      </c>
      <c r="B1931" s="1" t="str">
        <f>"Teresa Jones"</f>
        <v>Teresa Jones</v>
      </c>
      <c r="C1931" s="1" t="s">
        <v>3398</v>
      </c>
      <c r="F1931" s="1" t="s">
        <v>5409</v>
      </c>
      <c r="H1931" s="1" t="s">
        <v>24907</v>
      </c>
      <c r="I1931" s="1" t="s">
        <v>5</v>
      </c>
      <c r="J1931" s="1" t="s">
        <v>67</v>
      </c>
      <c r="K1931" s="1" t="s">
        <v>14</v>
      </c>
      <c r="M1931" s="2">
        <v>43123</v>
      </c>
      <c r="N1931" s="1" t="s">
        <v>8</v>
      </c>
      <c r="O1931" s="1" t="s">
        <v>68</v>
      </c>
    </row>
    <row r="1932" spans="1:15" ht="43.2" x14ac:dyDescent="0.3">
      <c r="A1932" s="1" t="s">
        <v>24908</v>
      </c>
      <c r="B1932" s="1" t="str">
        <f>"Jeremy Brown"</f>
        <v>Jeremy Brown</v>
      </c>
      <c r="C1932" s="1" t="s">
        <v>24909</v>
      </c>
      <c r="F1932" s="1" t="s">
        <v>179</v>
      </c>
      <c r="H1932" s="1" t="s">
        <v>24910</v>
      </c>
      <c r="I1932" s="1" t="s">
        <v>5</v>
      </c>
      <c r="J1932" s="1" t="s">
        <v>67</v>
      </c>
      <c r="K1932" s="1" t="s">
        <v>14</v>
      </c>
      <c r="M1932" s="2">
        <v>43123</v>
      </c>
      <c r="N1932" s="1" t="s">
        <v>8</v>
      </c>
      <c r="O1932" s="1" t="s">
        <v>68</v>
      </c>
    </row>
    <row r="1933" spans="1:15" ht="28.8" x14ac:dyDescent="0.3">
      <c r="A1933" s="1" t="s">
        <v>8772</v>
      </c>
      <c r="B1933" s="1" t="str">
        <f>"W P Angel &amp; Sons Limited"</f>
        <v>W P Angel &amp; Sons Limited</v>
      </c>
      <c r="C1933" s="1" t="s">
        <v>8773</v>
      </c>
      <c r="F1933" s="1" t="s">
        <v>710</v>
      </c>
      <c r="H1933" s="1" t="s">
        <v>3094</v>
      </c>
      <c r="I1933" s="1" t="s">
        <v>19</v>
      </c>
      <c r="J1933" s="1" t="s">
        <v>6</v>
      </c>
      <c r="K1933" s="1" t="s">
        <v>34</v>
      </c>
      <c r="L1933" s="1">
        <v>4986058</v>
      </c>
      <c r="M1933" s="2">
        <v>43122</v>
      </c>
      <c r="N1933" s="1" t="s">
        <v>8</v>
      </c>
      <c r="O1933" s="2">
        <v>44218</v>
      </c>
    </row>
    <row r="1934" spans="1:15" ht="28.8" x14ac:dyDescent="0.3">
      <c r="A1934" s="1" t="s">
        <v>8774</v>
      </c>
      <c r="B1934" s="1" t="str">
        <f>"K &amp; C Construction LTD"</f>
        <v>K &amp; C Construction LTD</v>
      </c>
      <c r="C1934" s="1" t="s">
        <v>8775</v>
      </c>
      <c r="D1934" s="1" t="s">
        <v>2236</v>
      </c>
      <c r="F1934" s="1" t="s">
        <v>476</v>
      </c>
      <c r="H1934" s="1" t="s">
        <v>8574</v>
      </c>
      <c r="I1934" s="1" t="s">
        <v>19</v>
      </c>
      <c r="J1934" s="1" t="s">
        <v>6</v>
      </c>
      <c r="K1934" s="1" t="s">
        <v>24</v>
      </c>
      <c r="L1934" s="1">
        <v>3860005</v>
      </c>
      <c r="M1934" s="2">
        <v>43122</v>
      </c>
      <c r="N1934" s="1" t="s">
        <v>8</v>
      </c>
      <c r="O1934" s="2">
        <v>44218</v>
      </c>
    </row>
    <row r="1935" spans="1:15" ht="28.8" x14ac:dyDescent="0.3">
      <c r="A1935" s="1" t="s">
        <v>8776</v>
      </c>
      <c r="B1935" s="1" t="str">
        <f>"BAGSHAW HAULAGE LTD"</f>
        <v>BAGSHAW HAULAGE LTD</v>
      </c>
      <c r="C1935" s="1" t="s">
        <v>8777</v>
      </c>
      <c r="F1935" s="1" t="s">
        <v>4645</v>
      </c>
      <c r="H1935" s="1" t="s">
        <v>8778</v>
      </c>
      <c r="I1935" s="1" t="s">
        <v>19</v>
      </c>
      <c r="J1935" s="1" t="s">
        <v>6</v>
      </c>
      <c r="K1935" s="1" t="s">
        <v>24</v>
      </c>
      <c r="L1935" s="1">
        <v>4813977</v>
      </c>
      <c r="M1935" s="2">
        <v>43122</v>
      </c>
      <c r="N1935" s="1" t="s">
        <v>8</v>
      </c>
      <c r="O1935" s="2">
        <v>44218</v>
      </c>
    </row>
    <row r="1936" spans="1:15" ht="28.8" x14ac:dyDescent="0.3">
      <c r="A1936" s="1" t="s">
        <v>8779</v>
      </c>
      <c r="B1936" s="1" t="str">
        <f>"Lucas UK Group Ltd"</f>
        <v>Lucas UK Group Ltd</v>
      </c>
      <c r="C1936" s="1" t="s">
        <v>8780</v>
      </c>
      <c r="D1936" s="1" t="s">
        <v>8781</v>
      </c>
      <c r="F1936" s="1" t="s">
        <v>8782</v>
      </c>
      <c r="H1936" s="1" t="s">
        <v>8783</v>
      </c>
      <c r="I1936" s="1" t="s">
        <v>19</v>
      </c>
      <c r="J1936" s="1" t="s">
        <v>6</v>
      </c>
      <c r="K1936" s="1" t="s">
        <v>24</v>
      </c>
      <c r="L1936" s="1">
        <v>7395451</v>
      </c>
      <c r="M1936" s="2">
        <v>43122</v>
      </c>
      <c r="N1936" s="1" t="s">
        <v>8</v>
      </c>
      <c r="O1936" s="2">
        <v>44218</v>
      </c>
    </row>
    <row r="1937" spans="1:15" ht="43.2" x14ac:dyDescent="0.3">
      <c r="A1937" s="1" t="s">
        <v>9922</v>
      </c>
      <c r="B1937" s="1" t="str">
        <f>"FOXDALE MANAGEMENT LIMITED"</f>
        <v>FOXDALE MANAGEMENT LIMITED</v>
      </c>
      <c r="C1937" s="1" t="s">
        <v>9923</v>
      </c>
      <c r="D1937" s="1" t="s">
        <v>9924</v>
      </c>
      <c r="E1937" s="1" t="s">
        <v>258</v>
      </c>
      <c r="F1937" s="1" t="s">
        <v>64</v>
      </c>
      <c r="H1937" s="1" t="s">
        <v>9925</v>
      </c>
      <c r="I1937" s="1" t="s">
        <v>19</v>
      </c>
      <c r="J1937" s="1" t="s">
        <v>6</v>
      </c>
      <c r="K1937" s="1" t="s">
        <v>24</v>
      </c>
      <c r="L1937" s="1">
        <v>2777067</v>
      </c>
      <c r="M1937" s="2">
        <v>43122</v>
      </c>
      <c r="N1937" s="1" t="s">
        <v>8</v>
      </c>
      <c r="O1937" s="2">
        <v>44218</v>
      </c>
    </row>
    <row r="1938" spans="1:15" ht="43.2" x14ac:dyDescent="0.3">
      <c r="A1938" s="1" t="s">
        <v>9926</v>
      </c>
      <c r="B1938" s="1" t="str">
        <f>"Gower Brewery Co Limited"</f>
        <v>Gower Brewery Co Limited</v>
      </c>
      <c r="C1938" s="1" t="s">
        <v>9927</v>
      </c>
      <c r="D1938" s="1" t="s">
        <v>3287</v>
      </c>
      <c r="F1938" s="1" t="s">
        <v>64</v>
      </c>
      <c r="H1938" s="1" t="s">
        <v>9928</v>
      </c>
      <c r="I1938" s="1" t="s">
        <v>19</v>
      </c>
      <c r="J1938" s="1" t="s">
        <v>67</v>
      </c>
      <c r="K1938" s="1" t="s">
        <v>14</v>
      </c>
      <c r="M1938" s="2">
        <v>43122</v>
      </c>
      <c r="N1938" s="1" t="s">
        <v>8</v>
      </c>
      <c r="O1938" s="1" t="s">
        <v>68</v>
      </c>
    </row>
    <row r="1939" spans="1:15" x14ac:dyDescent="0.3">
      <c r="A1939" s="1" t="s">
        <v>9929</v>
      </c>
      <c r="B1939" s="1" t="str">
        <f>"Carpet Emporium"</f>
        <v>Carpet Emporium</v>
      </c>
      <c r="C1939" s="1" t="s">
        <v>9930</v>
      </c>
      <c r="F1939" s="1" t="s">
        <v>922</v>
      </c>
      <c r="H1939" s="1" t="s">
        <v>9931</v>
      </c>
      <c r="I1939" s="1" t="s">
        <v>19</v>
      </c>
      <c r="J1939" s="1" t="s">
        <v>6</v>
      </c>
      <c r="K1939" s="1" t="s">
        <v>24</v>
      </c>
      <c r="L1939" s="1">
        <v>10573032</v>
      </c>
      <c r="M1939" s="2">
        <v>43122</v>
      </c>
      <c r="N1939" s="1" t="s">
        <v>8</v>
      </c>
      <c r="O1939" s="2">
        <v>44218</v>
      </c>
    </row>
    <row r="1940" spans="1:15" ht="28.8" x14ac:dyDescent="0.3">
      <c r="A1940" s="1" t="s">
        <v>9932</v>
      </c>
      <c r="B1940" s="1" t="str">
        <f>"W.K.PLASTERERS LIMITED"</f>
        <v>W.K.PLASTERERS LIMITED</v>
      </c>
      <c r="C1940" s="1" t="s">
        <v>9933</v>
      </c>
      <c r="F1940" s="1" t="s">
        <v>277</v>
      </c>
      <c r="H1940" s="1" t="s">
        <v>9934</v>
      </c>
      <c r="I1940" s="1" t="s">
        <v>19</v>
      </c>
      <c r="J1940" s="1" t="s">
        <v>6</v>
      </c>
      <c r="K1940" s="1" t="s">
        <v>24</v>
      </c>
      <c r="L1940" s="1">
        <v>2275128</v>
      </c>
      <c r="M1940" s="2">
        <v>43122</v>
      </c>
      <c r="N1940" s="1" t="s">
        <v>8</v>
      </c>
      <c r="O1940" s="2">
        <v>44218</v>
      </c>
    </row>
    <row r="1941" spans="1:15" ht="43.2" x14ac:dyDescent="0.3">
      <c r="A1941" s="1" t="s">
        <v>10963</v>
      </c>
      <c r="B1941" s="1" t="str">
        <f>"DEESIDE MANAGEMENT SERVICES LTD"</f>
        <v>DEESIDE MANAGEMENT SERVICES LTD</v>
      </c>
      <c r="C1941" s="1" t="s">
        <v>10964</v>
      </c>
      <c r="F1941" s="1" t="s">
        <v>10504</v>
      </c>
      <c r="H1941" s="1" t="s">
        <v>10965</v>
      </c>
      <c r="I1941" s="1" t="s">
        <v>19</v>
      </c>
      <c r="J1941" s="1" t="s">
        <v>6</v>
      </c>
      <c r="K1941" s="1" t="s">
        <v>24</v>
      </c>
      <c r="L1941" s="1">
        <v>7305270</v>
      </c>
      <c r="M1941" s="2">
        <v>43122</v>
      </c>
      <c r="N1941" s="1" t="s">
        <v>8</v>
      </c>
      <c r="O1941" s="2">
        <v>44218</v>
      </c>
    </row>
    <row r="1942" spans="1:15" ht="43.2" x14ac:dyDescent="0.3">
      <c r="A1942" s="1" t="s">
        <v>23236</v>
      </c>
      <c r="B1942" s="1" t="str">
        <f>"Jo Hewitt"</f>
        <v>Jo Hewitt</v>
      </c>
      <c r="C1942" s="1" t="s">
        <v>23237</v>
      </c>
      <c r="F1942" s="1" t="s">
        <v>1998</v>
      </c>
      <c r="H1942" s="1" t="s">
        <v>3918</v>
      </c>
      <c r="I1942" s="1" t="s">
        <v>5</v>
      </c>
      <c r="J1942" s="1" t="s">
        <v>67</v>
      </c>
      <c r="K1942" s="1" t="s">
        <v>14</v>
      </c>
      <c r="M1942" s="2">
        <v>43122</v>
      </c>
      <c r="N1942" s="1" t="s">
        <v>8</v>
      </c>
      <c r="O1942" s="1" t="s">
        <v>68</v>
      </c>
    </row>
    <row r="1943" spans="1:15" ht="28.8" x14ac:dyDescent="0.3">
      <c r="A1943" s="1" t="s">
        <v>23238</v>
      </c>
      <c r="B1943" s="1" t="str">
        <f>"simon price Rhayader Skip Hire"</f>
        <v>simon price Rhayader Skip Hire</v>
      </c>
      <c r="C1943" s="1" t="s">
        <v>23239</v>
      </c>
      <c r="F1943" s="1" t="s">
        <v>5301</v>
      </c>
      <c r="H1943" s="1" t="s">
        <v>23240</v>
      </c>
      <c r="I1943" s="1" t="s">
        <v>5</v>
      </c>
      <c r="J1943" s="1" t="s">
        <v>6</v>
      </c>
      <c r="K1943" s="1" t="s">
        <v>24</v>
      </c>
      <c r="M1943" s="2">
        <v>43122</v>
      </c>
      <c r="N1943" s="1" t="s">
        <v>8</v>
      </c>
      <c r="O1943" s="2">
        <v>44218</v>
      </c>
    </row>
    <row r="1944" spans="1:15" ht="43.2" x14ac:dyDescent="0.3">
      <c r="A1944" s="1" t="s">
        <v>24054</v>
      </c>
      <c r="B1944" s="1" t="str">
        <f>"Mayuran  Kandasamidurai "</f>
        <v xml:space="preserve">Mayuran  Kandasamidurai </v>
      </c>
      <c r="C1944" s="1" t="s">
        <v>24055</v>
      </c>
      <c r="F1944" s="1" t="s">
        <v>13601</v>
      </c>
      <c r="H1944" s="1" t="s">
        <v>24056</v>
      </c>
      <c r="I1944" s="1" t="s">
        <v>5</v>
      </c>
      <c r="J1944" s="1" t="s">
        <v>67</v>
      </c>
      <c r="K1944" s="1" t="s">
        <v>14</v>
      </c>
      <c r="M1944" s="2">
        <v>43122</v>
      </c>
      <c r="N1944" s="1" t="s">
        <v>8</v>
      </c>
      <c r="O1944" s="1" t="s">
        <v>68</v>
      </c>
    </row>
    <row r="1945" spans="1:15" ht="28.8" x14ac:dyDescent="0.3">
      <c r="A1945" s="1" t="s">
        <v>8760</v>
      </c>
      <c r="B1945" s="1" t="str">
        <f>"Gwynedd construction ltd"</f>
        <v>Gwynedd construction ltd</v>
      </c>
      <c r="C1945" s="1" t="s">
        <v>8761</v>
      </c>
      <c r="F1945" s="1" t="s">
        <v>710</v>
      </c>
      <c r="H1945" s="1" t="s">
        <v>8762</v>
      </c>
      <c r="I1945" s="1" t="s">
        <v>19</v>
      </c>
      <c r="J1945" s="1" t="s">
        <v>6</v>
      </c>
      <c r="K1945" s="1" t="s">
        <v>24</v>
      </c>
      <c r="L1945" s="1">
        <v>10300262</v>
      </c>
      <c r="M1945" s="2">
        <v>43121</v>
      </c>
      <c r="N1945" s="1" t="s">
        <v>8</v>
      </c>
      <c r="O1945" s="2">
        <v>44217</v>
      </c>
    </row>
    <row r="1946" spans="1:15" ht="43.2" x14ac:dyDescent="0.3">
      <c r="A1946" s="1" t="s">
        <v>8763</v>
      </c>
      <c r="B1946" s="1" t="str">
        <f>"HOTWOK"</f>
        <v>HOTWOK</v>
      </c>
      <c r="C1946" s="1" t="s">
        <v>8764</v>
      </c>
      <c r="F1946" s="1" t="s">
        <v>102</v>
      </c>
      <c r="H1946" s="1" t="s">
        <v>6092</v>
      </c>
      <c r="I1946" s="1" t="s">
        <v>19</v>
      </c>
      <c r="J1946" s="1" t="s">
        <v>67</v>
      </c>
      <c r="K1946" s="1" t="s">
        <v>14</v>
      </c>
      <c r="M1946" s="2">
        <v>43121</v>
      </c>
      <c r="N1946" s="1" t="s">
        <v>8</v>
      </c>
      <c r="O1946" s="1" t="s">
        <v>68</v>
      </c>
    </row>
    <row r="1947" spans="1:15" ht="28.8" x14ac:dyDescent="0.3">
      <c r="A1947" s="1" t="s">
        <v>8765</v>
      </c>
      <c r="B1947" s="1" t="str">
        <f>"Scott Gilbert Plastering &amp; Building Contractors"</f>
        <v>Scott Gilbert Plastering &amp; Building Contractors</v>
      </c>
      <c r="C1947" s="1" t="s">
        <v>8766</v>
      </c>
      <c r="F1947" s="1" t="s">
        <v>156</v>
      </c>
      <c r="H1947" s="1" t="s">
        <v>8767</v>
      </c>
      <c r="I1947" s="1" t="s">
        <v>19</v>
      </c>
      <c r="J1947" s="1" t="s">
        <v>6</v>
      </c>
      <c r="K1947" s="1" t="s">
        <v>24</v>
      </c>
      <c r="L1947" s="1">
        <v>9228437</v>
      </c>
      <c r="M1947" s="2">
        <v>43121</v>
      </c>
      <c r="N1947" s="1" t="s">
        <v>8</v>
      </c>
      <c r="O1947" s="2">
        <v>44217</v>
      </c>
    </row>
    <row r="1948" spans="1:15" ht="28.8" x14ac:dyDescent="0.3">
      <c r="A1948" s="1" t="s">
        <v>8768</v>
      </c>
      <c r="B1948" s="1" t="str">
        <f>"P O Mahoney Groundworks LTD"</f>
        <v>P O Mahoney Groundworks LTD</v>
      </c>
      <c r="C1948" s="1" t="s">
        <v>8769</v>
      </c>
      <c r="F1948" s="1" t="s">
        <v>8770</v>
      </c>
      <c r="H1948" s="1" t="s">
        <v>8771</v>
      </c>
      <c r="I1948" s="1" t="s">
        <v>19</v>
      </c>
      <c r="J1948" s="1" t="s">
        <v>6</v>
      </c>
      <c r="K1948" s="1" t="s">
        <v>34</v>
      </c>
      <c r="L1948" s="1">
        <v>5690966</v>
      </c>
      <c r="M1948" s="2">
        <v>43121</v>
      </c>
      <c r="N1948" s="1" t="s">
        <v>8</v>
      </c>
      <c r="O1948" s="2">
        <v>44217</v>
      </c>
    </row>
    <row r="1949" spans="1:15" ht="43.2" x14ac:dyDescent="0.3">
      <c r="A1949" s="1" t="s">
        <v>22508</v>
      </c>
      <c r="B1949" s="1" t="str">
        <f>"Robert Anderson Domus Home Improvements"</f>
        <v>Robert Anderson Domus Home Improvements</v>
      </c>
      <c r="C1949" s="1" t="s">
        <v>22509</v>
      </c>
      <c r="F1949" s="1" t="s">
        <v>22510</v>
      </c>
      <c r="H1949" s="1" t="s">
        <v>22511</v>
      </c>
      <c r="I1949" s="1" t="s">
        <v>5</v>
      </c>
      <c r="J1949" s="1" t="s">
        <v>6</v>
      </c>
      <c r="K1949" s="1" t="s">
        <v>34</v>
      </c>
      <c r="M1949" s="2">
        <v>43120</v>
      </c>
      <c r="N1949" s="1" t="s">
        <v>8</v>
      </c>
      <c r="O1949" s="2">
        <v>44216</v>
      </c>
    </row>
    <row r="1950" spans="1:15" ht="28.8" x14ac:dyDescent="0.3">
      <c r="A1950" s="1" t="s">
        <v>22512</v>
      </c>
      <c r="B1950" s="1" t="str">
        <f>"Damian Kelly Popular Plant Hire"</f>
        <v>Damian Kelly Popular Plant Hire</v>
      </c>
      <c r="C1950" s="1" t="s">
        <v>22513</v>
      </c>
      <c r="F1950" s="1" t="s">
        <v>374</v>
      </c>
      <c r="H1950" s="1" t="s">
        <v>22514</v>
      </c>
      <c r="I1950" s="1" t="s">
        <v>5</v>
      </c>
      <c r="J1950" s="1" t="s">
        <v>6</v>
      </c>
      <c r="K1950" s="1" t="s">
        <v>34</v>
      </c>
      <c r="M1950" s="2">
        <v>43120</v>
      </c>
      <c r="N1950" s="1" t="s">
        <v>8</v>
      </c>
      <c r="O1950" s="2">
        <v>44216</v>
      </c>
    </row>
    <row r="1951" spans="1:15" ht="43.2" x14ac:dyDescent="0.3">
      <c r="A1951" s="1" t="s">
        <v>7604</v>
      </c>
      <c r="B1951" s="1" t="str">
        <f>"ANDERSON TREE SPECIALISTS LTD"</f>
        <v>ANDERSON TREE SPECIALISTS LTD</v>
      </c>
      <c r="C1951" s="1" t="s">
        <v>7605</v>
      </c>
      <c r="F1951" s="1" t="s">
        <v>1400</v>
      </c>
      <c r="H1951" s="1" t="s">
        <v>7606</v>
      </c>
      <c r="I1951" s="1" t="s">
        <v>19</v>
      </c>
      <c r="J1951" s="1" t="s">
        <v>67</v>
      </c>
      <c r="K1951" s="1" t="s">
        <v>24</v>
      </c>
      <c r="L1951" s="1">
        <v>5805222</v>
      </c>
      <c r="M1951" s="2">
        <v>43119</v>
      </c>
      <c r="N1951" s="1" t="s">
        <v>8</v>
      </c>
      <c r="O1951" s="1" t="s">
        <v>68</v>
      </c>
    </row>
    <row r="1952" spans="1:15" ht="28.8" x14ac:dyDescent="0.3">
      <c r="A1952" s="1" t="s">
        <v>7607</v>
      </c>
      <c r="B1952" s="1" t="str">
        <f>"browns recycling group ltd"</f>
        <v>browns recycling group ltd</v>
      </c>
      <c r="C1952" s="1" t="s">
        <v>7608</v>
      </c>
      <c r="F1952" s="1" t="s">
        <v>7609</v>
      </c>
      <c r="H1952" s="1" t="s">
        <v>7610</v>
      </c>
      <c r="I1952" s="1" t="s">
        <v>19</v>
      </c>
      <c r="J1952" s="1" t="s">
        <v>6</v>
      </c>
      <c r="K1952" s="1" t="s">
        <v>34</v>
      </c>
      <c r="L1952" s="1">
        <v>6887728</v>
      </c>
      <c r="M1952" s="2">
        <v>43119</v>
      </c>
      <c r="N1952" s="1" t="s">
        <v>8</v>
      </c>
      <c r="O1952" s="2">
        <v>44215</v>
      </c>
    </row>
    <row r="1953" spans="1:15" ht="43.2" x14ac:dyDescent="0.3">
      <c r="A1953" s="1" t="s">
        <v>7611</v>
      </c>
      <c r="B1953" s="1" t="str">
        <f>"Smiths Heating ( Wales) Ltd"</f>
        <v>Smiths Heating ( Wales) Ltd</v>
      </c>
      <c r="C1953" s="1" t="s">
        <v>7612</v>
      </c>
      <c r="D1953" s="1" t="s">
        <v>7613</v>
      </c>
      <c r="F1953" s="1" t="s">
        <v>1230</v>
      </c>
      <c r="H1953" s="1" t="s">
        <v>7614</v>
      </c>
      <c r="I1953" s="1" t="s">
        <v>19</v>
      </c>
      <c r="J1953" s="1" t="s">
        <v>67</v>
      </c>
      <c r="K1953" s="1" t="s">
        <v>14</v>
      </c>
      <c r="M1953" s="2">
        <v>43119</v>
      </c>
      <c r="N1953" s="1" t="s">
        <v>8</v>
      </c>
      <c r="O1953" s="1" t="s">
        <v>68</v>
      </c>
    </row>
    <row r="1954" spans="1:15" ht="28.8" x14ac:dyDescent="0.3">
      <c r="A1954" s="1" t="s">
        <v>7615</v>
      </c>
      <c r="B1954" s="1" t="str">
        <f>"O2PPS Ltd"</f>
        <v>O2PPS Ltd</v>
      </c>
      <c r="C1954" s="1" t="s">
        <v>7616</v>
      </c>
      <c r="D1954" s="1" t="s">
        <v>4857</v>
      </c>
      <c r="F1954" s="1" t="s">
        <v>1093</v>
      </c>
      <c r="H1954" s="1" t="s">
        <v>7617</v>
      </c>
      <c r="I1954" s="1" t="s">
        <v>19</v>
      </c>
      <c r="J1954" s="1" t="s">
        <v>6</v>
      </c>
      <c r="K1954" s="1" t="s">
        <v>24</v>
      </c>
      <c r="L1954" s="1">
        <v>7269597</v>
      </c>
      <c r="M1954" s="2">
        <v>43119</v>
      </c>
      <c r="N1954" s="1" t="s">
        <v>8</v>
      </c>
      <c r="O1954" s="2">
        <v>44215</v>
      </c>
    </row>
    <row r="1955" spans="1:15" ht="43.2" x14ac:dyDescent="0.3">
      <c r="A1955" s="1" t="s">
        <v>7618</v>
      </c>
      <c r="B1955" s="1" t="str">
        <f>"Greenacre Racing partnership Ltd"</f>
        <v>Greenacre Racing partnership Ltd</v>
      </c>
      <c r="C1955" s="1" t="s">
        <v>7619</v>
      </c>
      <c r="F1955" s="1" t="s">
        <v>839</v>
      </c>
      <c r="H1955" s="1" t="s">
        <v>7620</v>
      </c>
      <c r="I1955" s="1" t="s">
        <v>19</v>
      </c>
      <c r="J1955" s="1" t="s">
        <v>67</v>
      </c>
      <c r="K1955" s="1" t="s">
        <v>14</v>
      </c>
      <c r="M1955" s="2">
        <v>43119</v>
      </c>
      <c r="N1955" s="1" t="s">
        <v>8</v>
      </c>
      <c r="O1955" s="1" t="s">
        <v>68</v>
      </c>
    </row>
    <row r="1956" spans="1:15" ht="43.2" x14ac:dyDescent="0.3">
      <c r="A1956" s="1" t="s">
        <v>7621</v>
      </c>
      <c r="B1956" s="1" t="str">
        <f>"RIVER Africa"</f>
        <v>RIVER Africa</v>
      </c>
      <c r="C1956" s="1" t="s">
        <v>7622</v>
      </c>
      <c r="F1956" s="1" t="s">
        <v>179</v>
      </c>
      <c r="H1956" s="1" t="s">
        <v>7623</v>
      </c>
      <c r="I1956" s="1" t="s">
        <v>1872</v>
      </c>
      <c r="J1956" s="1" t="s">
        <v>67</v>
      </c>
      <c r="K1956" s="1" t="s">
        <v>14</v>
      </c>
      <c r="M1956" s="2">
        <v>43119</v>
      </c>
      <c r="N1956" s="1" t="s">
        <v>8</v>
      </c>
      <c r="O1956" s="1" t="s">
        <v>68</v>
      </c>
    </row>
    <row r="1957" spans="1:15" ht="43.2" x14ac:dyDescent="0.3">
      <c r="A1957" s="1" t="s">
        <v>7624</v>
      </c>
      <c r="B1957" s="1" t="str">
        <f>"West Wales Flat Roofing Limited"</f>
        <v>West Wales Flat Roofing Limited</v>
      </c>
      <c r="C1957" s="1" t="s">
        <v>7625</v>
      </c>
      <c r="F1957" s="1" t="s">
        <v>1998</v>
      </c>
      <c r="H1957" s="1" t="s">
        <v>7626</v>
      </c>
      <c r="I1957" s="1" t="s">
        <v>19</v>
      </c>
      <c r="J1957" s="1" t="s">
        <v>67</v>
      </c>
      <c r="K1957" s="1" t="s">
        <v>14</v>
      </c>
      <c r="M1957" s="2">
        <v>43119</v>
      </c>
      <c r="N1957" s="1" t="s">
        <v>8</v>
      </c>
      <c r="O1957" s="1" t="s">
        <v>68</v>
      </c>
    </row>
    <row r="1958" spans="1:15" ht="43.2" x14ac:dyDescent="0.3">
      <c r="A1958" s="1" t="s">
        <v>7627</v>
      </c>
      <c r="B1958" s="1" t="str">
        <f>"Growing Space "</f>
        <v xml:space="preserve">Growing Space </v>
      </c>
      <c r="C1958" s="1" t="s">
        <v>7628</v>
      </c>
      <c r="F1958" s="1" t="s">
        <v>7629</v>
      </c>
      <c r="H1958" s="1" t="s">
        <v>7630</v>
      </c>
      <c r="I1958" s="1" t="s">
        <v>1872</v>
      </c>
      <c r="J1958" s="1" t="s">
        <v>67</v>
      </c>
      <c r="K1958" s="1" t="s">
        <v>14</v>
      </c>
      <c r="M1958" s="2">
        <v>43119</v>
      </c>
      <c r="N1958" s="1" t="s">
        <v>8</v>
      </c>
      <c r="O1958" s="1" t="s">
        <v>68</v>
      </c>
    </row>
    <row r="1959" spans="1:15" ht="28.8" x14ac:dyDescent="0.3">
      <c r="A1959" s="1" t="s">
        <v>7631</v>
      </c>
      <c r="B1959" s="1" t="str">
        <f>"DEADLINE ENVIRONMENTAL LTD"</f>
        <v>DEADLINE ENVIRONMENTAL LTD</v>
      </c>
      <c r="C1959" s="1" t="s">
        <v>7632</v>
      </c>
      <c r="F1959" s="1" t="s">
        <v>7633</v>
      </c>
      <c r="H1959" s="1" t="s">
        <v>7634</v>
      </c>
      <c r="I1959" s="1" t="s">
        <v>19</v>
      </c>
      <c r="J1959" s="1" t="s">
        <v>6</v>
      </c>
      <c r="K1959" s="1" t="s">
        <v>34</v>
      </c>
      <c r="L1959" s="1">
        <v>11156095</v>
      </c>
      <c r="M1959" s="2">
        <v>43119</v>
      </c>
      <c r="N1959" s="1" t="s">
        <v>8</v>
      </c>
      <c r="O1959" s="2">
        <v>44215</v>
      </c>
    </row>
    <row r="1960" spans="1:15" ht="43.2" x14ac:dyDescent="0.3">
      <c r="A1960" s="1" t="s">
        <v>21645</v>
      </c>
      <c r="B1960" s="1" t="str">
        <f>"Andrew Hinde"</f>
        <v>Andrew Hinde</v>
      </c>
      <c r="C1960" s="1" t="s">
        <v>21646</v>
      </c>
      <c r="F1960" s="1" t="s">
        <v>1991</v>
      </c>
      <c r="H1960" s="1" t="s">
        <v>21647</v>
      </c>
      <c r="I1960" s="1" t="s">
        <v>5</v>
      </c>
      <c r="J1960" s="1" t="s">
        <v>67</v>
      </c>
      <c r="K1960" s="1" t="s">
        <v>14</v>
      </c>
      <c r="M1960" s="2">
        <v>43119</v>
      </c>
      <c r="N1960" s="1" t="s">
        <v>8</v>
      </c>
      <c r="O1960" s="1" t="s">
        <v>68</v>
      </c>
    </row>
    <row r="1961" spans="1:15" ht="28.8" x14ac:dyDescent="0.3">
      <c r="A1961" s="1" t="s">
        <v>21648</v>
      </c>
      <c r="B1961" s="1" t="str">
        <f>"Gareth Knott G&amp;J Landscapes"</f>
        <v>Gareth Knott G&amp;J Landscapes</v>
      </c>
      <c r="C1961" s="1" t="s">
        <v>21649</v>
      </c>
      <c r="F1961" s="1" t="s">
        <v>214</v>
      </c>
      <c r="H1961" s="1" t="s">
        <v>21650</v>
      </c>
      <c r="I1961" s="1" t="s">
        <v>5</v>
      </c>
      <c r="J1961" s="1" t="s">
        <v>6</v>
      </c>
      <c r="K1961" s="1" t="s">
        <v>24</v>
      </c>
      <c r="M1961" s="2">
        <v>43119</v>
      </c>
      <c r="N1961" s="1" t="s">
        <v>8</v>
      </c>
      <c r="O1961" s="2">
        <v>44215</v>
      </c>
    </row>
    <row r="1962" spans="1:15" ht="43.2" x14ac:dyDescent="0.3">
      <c r="A1962" s="1" t="s">
        <v>21651</v>
      </c>
      <c r="B1962" s="1" t="str">
        <f>"Vivienne Roberts Animal Allsortz"</f>
        <v>Vivienne Roberts Animal Allsortz</v>
      </c>
      <c r="C1962" s="1" t="s">
        <v>21652</v>
      </c>
      <c r="D1962" s="1" t="s">
        <v>21653</v>
      </c>
      <c r="F1962" s="1" t="s">
        <v>151</v>
      </c>
      <c r="H1962" s="1" t="s">
        <v>21654</v>
      </c>
      <c r="I1962" s="1" t="s">
        <v>5</v>
      </c>
      <c r="J1962" s="1" t="s">
        <v>67</v>
      </c>
      <c r="K1962" s="1" t="s">
        <v>24</v>
      </c>
      <c r="M1962" s="2">
        <v>43119</v>
      </c>
      <c r="N1962" s="1" t="s">
        <v>8</v>
      </c>
      <c r="O1962" s="1" t="s">
        <v>68</v>
      </c>
    </row>
    <row r="1963" spans="1:15" ht="43.2" x14ac:dyDescent="0.3">
      <c r="A1963" s="1" t="s">
        <v>6545</v>
      </c>
      <c r="B1963" s="1" t="str">
        <f>"D P Forestry Limited"</f>
        <v>D P Forestry Limited</v>
      </c>
      <c r="C1963" s="1" t="s">
        <v>2280</v>
      </c>
      <c r="F1963" s="1" t="s">
        <v>2281</v>
      </c>
      <c r="H1963" s="1" t="s">
        <v>2282</v>
      </c>
      <c r="I1963" s="1" t="s">
        <v>19</v>
      </c>
      <c r="J1963" s="1" t="s">
        <v>67</v>
      </c>
      <c r="K1963" s="1" t="s">
        <v>14</v>
      </c>
      <c r="M1963" s="2">
        <v>43118</v>
      </c>
      <c r="N1963" s="1" t="s">
        <v>8</v>
      </c>
      <c r="O1963" s="1" t="s">
        <v>68</v>
      </c>
    </row>
    <row r="1964" spans="1:15" ht="43.2" x14ac:dyDescent="0.3">
      <c r="A1964" s="1" t="s">
        <v>6546</v>
      </c>
      <c r="B1964" s="1" t="str">
        <f>"T.W.I.G.Woodland Managment ltd"</f>
        <v>T.W.I.G.Woodland Managment ltd</v>
      </c>
      <c r="C1964" s="1" t="s">
        <v>6547</v>
      </c>
      <c r="F1964" s="1" t="s">
        <v>37</v>
      </c>
      <c r="H1964" s="1" t="s">
        <v>38</v>
      </c>
      <c r="I1964" s="1" t="s">
        <v>19</v>
      </c>
      <c r="J1964" s="1" t="s">
        <v>67</v>
      </c>
      <c r="K1964" s="1" t="s">
        <v>14</v>
      </c>
      <c r="M1964" s="2">
        <v>43118</v>
      </c>
      <c r="N1964" s="1" t="s">
        <v>8</v>
      </c>
      <c r="O1964" s="1" t="s">
        <v>68</v>
      </c>
    </row>
    <row r="1965" spans="1:15" ht="28.8" x14ac:dyDescent="0.3">
      <c r="A1965" s="1" t="s">
        <v>6548</v>
      </c>
      <c r="B1965" s="1" t="str">
        <f>"Apex Grounds Maintenance Limited"</f>
        <v>Apex Grounds Maintenance Limited</v>
      </c>
      <c r="C1965" s="1" t="s">
        <v>6549</v>
      </c>
      <c r="F1965" s="1" t="s">
        <v>64</v>
      </c>
      <c r="H1965" s="1" t="s">
        <v>6550</v>
      </c>
      <c r="I1965" s="1" t="s">
        <v>19</v>
      </c>
      <c r="J1965" s="1" t="s">
        <v>6</v>
      </c>
      <c r="K1965" s="1" t="s">
        <v>24</v>
      </c>
      <c r="L1965" s="1">
        <v>10884320</v>
      </c>
      <c r="M1965" s="2">
        <v>43118</v>
      </c>
      <c r="N1965" s="1" t="s">
        <v>8</v>
      </c>
      <c r="O1965" s="2">
        <v>44214</v>
      </c>
    </row>
    <row r="1966" spans="1:15" ht="28.8" x14ac:dyDescent="0.3">
      <c r="A1966" s="1" t="s">
        <v>6551</v>
      </c>
      <c r="B1966" s="1" t="str">
        <f>"Padarn Alarms LTD"</f>
        <v>Padarn Alarms LTD</v>
      </c>
      <c r="C1966" s="1" t="s">
        <v>6552</v>
      </c>
      <c r="F1966" s="1" t="s">
        <v>37</v>
      </c>
      <c r="H1966" s="1" t="s">
        <v>6553</v>
      </c>
      <c r="I1966" s="1" t="s">
        <v>19</v>
      </c>
      <c r="J1966" s="1" t="s">
        <v>6</v>
      </c>
      <c r="K1966" s="1" t="s">
        <v>24</v>
      </c>
      <c r="L1966" s="1">
        <v>9535478</v>
      </c>
      <c r="M1966" s="2">
        <v>43118</v>
      </c>
      <c r="N1966" s="1" t="s">
        <v>8</v>
      </c>
      <c r="O1966" s="2">
        <v>44214</v>
      </c>
    </row>
    <row r="1967" spans="1:15" ht="28.8" x14ac:dyDescent="0.3">
      <c r="A1967" s="1" t="s">
        <v>6554</v>
      </c>
      <c r="B1967" s="1" t="str">
        <f>"Care &amp; Repair Home Improvement Serv"</f>
        <v>Care &amp; Repair Home Improvement Serv</v>
      </c>
      <c r="C1967" s="1" t="s">
        <v>6555</v>
      </c>
      <c r="F1967" s="1" t="s">
        <v>123</v>
      </c>
      <c r="H1967" s="1" t="s">
        <v>6556</v>
      </c>
      <c r="I1967" s="1" t="s">
        <v>19</v>
      </c>
      <c r="J1967" s="1" t="s">
        <v>6</v>
      </c>
      <c r="K1967" s="1" t="s">
        <v>34</v>
      </c>
      <c r="L1967" s="1">
        <v>10541156</v>
      </c>
      <c r="M1967" s="2">
        <v>43118</v>
      </c>
      <c r="N1967" s="1" t="s">
        <v>8</v>
      </c>
      <c r="O1967" s="2">
        <v>44214</v>
      </c>
    </row>
    <row r="1968" spans="1:15" ht="43.2" x14ac:dyDescent="0.3">
      <c r="A1968" s="1" t="s">
        <v>7603</v>
      </c>
      <c r="B1968" s="1" t="str">
        <f>"Rhymney Brewery"</f>
        <v>Rhymney Brewery</v>
      </c>
      <c r="C1968" s="1" t="s">
        <v>5894</v>
      </c>
      <c r="F1968" s="1" t="s">
        <v>1058</v>
      </c>
      <c r="H1968" s="1" t="s">
        <v>2995</v>
      </c>
      <c r="I1968" s="1" t="s">
        <v>19</v>
      </c>
      <c r="J1968" s="1" t="s">
        <v>6</v>
      </c>
      <c r="K1968" s="1" t="s">
        <v>24</v>
      </c>
      <c r="L1968" s="1">
        <v>4557129</v>
      </c>
      <c r="M1968" s="2">
        <v>43118</v>
      </c>
      <c r="N1968" s="1" t="s">
        <v>8</v>
      </c>
      <c r="O1968" s="2">
        <v>44214</v>
      </c>
    </row>
    <row r="1969" spans="1:15" ht="43.2" x14ac:dyDescent="0.3">
      <c r="A1969" s="1" t="s">
        <v>20897</v>
      </c>
      <c r="B1969" s="1" t="str">
        <f>"James White"</f>
        <v>James White</v>
      </c>
      <c r="C1969" s="1" t="s">
        <v>20898</v>
      </c>
      <c r="F1969" s="1" t="s">
        <v>5640</v>
      </c>
      <c r="H1969" s="1" t="s">
        <v>12408</v>
      </c>
      <c r="I1969" s="1" t="s">
        <v>5</v>
      </c>
      <c r="J1969" s="1" t="s">
        <v>67</v>
      </c>
      <c r="K1969" s="1" t="s">
        <v>14</v>
      </c>
      <c r="M1969" s="2">
        <v>43118</v>
      </c>
      <c r="N1969" s="1" t="s">
        <v>8</v>
      </c>
      <c r="O1969" s="1" t="s">
        <v>68</v>
      </c>
    </row>
    <row r="1970" spans="1:15" ht="43.2" x14ac:dyDescent="0.3">
      <c r="A1970" s="1" t="s">
        <v>20899</v>
      </c>
      <c r="B1970" s="1" t="str">
        <f>"D and K Pandya"</f>
        <v>D and K Pandya</v>
      </c>
      <c r="C1970" s="1" t="s">
        <v>20900</v>
      </c>
      <c r="F1970" s="1" t="s">
        <v>1058</v>
      </c>
      <c r="H1970" s="1" t="s">
        <v>20901</v>
      </c>
      <c r="I1970" s="1" t="s">
        <v>5</v>
      </c>
      <c r="J1970" s="1" t="s">
        <v>67</v>
      </c>
      <c r="K1970" s="1" t="s">
        <v>14</v>
      </c>
      <c r="M1970" s="2">
        <v>43118</v>
      </c>
      <c r="N1970" s="1" t="s">
        <v>8</v>
      </c>
      <c r="O1970" s="1" t="s">
        <v>68</v>
      </c>
    </row>
    <row r="1971" spans="1:15" ht="28.8" x14ac:dyDescent="0.3">
      <c r="A1971" s="1" t="s">
        <v>21642</v>
      </c>
      <c r="B1971" s="1" t="str">
        <f>"Oliver Williams O M Williams"</f>
        <v>Oliver Williams O M Williams</v>
      </c>
      <c r="C1971" s="1" t="s">
        <v>21643</v>
      </c>
      <c r="F1971" s="1" t="s">
        <v>710</v>
      </c>
      <c r="H1971" s="1" t="s">
        <v>21644</v>
      </c>
      <c r="I1971" s="1" t="s">
        <v>5</v>
      </c>
      <c r="J1971" s="1" t="s">
        <v>6</v>
      </c>
      <c r="K1971" s="1" t="s">
        <v>24</v>
      </c>
      <c r="M1971" s="2">
        <v>43118</v>
      </c>
      <c r="N1971" s="1" t="s">
        <v>8</v>
      </c>
      <c r="O1971" s="2">
        <v>44214</v>
      </c>
    </row>
    <row r="1972" spans="1:15" ht="43.2" x14ac:dyDescent="0.3">
      <c r="A1972" s="1" t="s">
        <v>5293</v>
      </c>
      <c r="B1972" s="1" t="str">
        <f>"Express takeaway ltd"</f>
        <v>Express takeaway ltd</v>
      </c>
      <c r="C1972" s="1" t="s">
        <v>5294</v>
      </c>
      <c r="F1972" s="1" t="s">
        <v>1093</v>
      </c>
      <c r="H1972" s="1" t="s">
        <v>5295</v>
      </c>
      <c r="I1972" s="1" t="s">
        <v>19</v>
      </c>
      <c r="J1972" s="1" t="s">
        <v>67</v>
      </c>
      <c r="K1972" s="1" t="s">
        <v>14</v>
      </c>
      <c r="M1972" s="2">
        <v>43117</v>
      </c>
      <c r="N1972" s="1" t="s">
        <v>8</v>
      </c>
      <c r="O1972" s="1" t="s">
        <v>68</v>
      </c>
    </row>
    <row r="1973" spans="1:15" ht="28.8" x14ac:dyDescent="0.3">
      <c r="A1973" s="1" t="s">
        <v>5296</v>
      </c>
      <c r="B1973" s="1" t="str">
        <f>"Miller Contractors (Wales) Ltd."</f>
        <v>Miller Contractors (Wales) Ltd.</v>
      </c>
      <c r="C1973" s="1" t="s">
        <v>5297</v>
      </c>
      <c r="D1973" s="1" t="s">
        <v>5298</v>
      </c>
      <c r="F1973" s="1" t="s">
        <v>1274</v>
      </c>
      <c r="H1973" s="1" t="s">
        <v>963</v>
      </c>
      <c r="I1973" s="1" t="s">
        <v>19</v>
      </c>
      <c r="J1973" s="1" t="s">
        <v>6</v>
      </c>
      <c r="K1973" s="1" t="s">
        <v>34</v>
      </c>
      <c r="L1973" s="1">
        <v>3567730</v>
      </c>
      <c r="M1973" s="2">
        <v>43117</v>
      </c>
      <c r="N1973" s="1" t="s">
        <v>8</v>
      </c>
      <c r="O1973" s="2">
        <v>44213</v>
      </c>
    </row>
    <row r="1974" spans="1:15" x14ac:dyDescent="0.3">
      <c r="A1974" s="1" t="s">
        <v>5299</v>
      </c>
      <c r="B1974" s="1" t="str">
        <f>"JC &amp; O Morgan"</f>
        <v>JC &amp; O Morgan</v>
      </c>
      <c r="C1974" s="1" t="s">
        <v>5300</v>
      </c>
      <c r="F1974" s="1" t="s">
        <v>5301</v>
      </c>
      <c r="H1974" s="1" t="s">
        <v>5302</v>
      </c>
      <c r="I1974" s="1" t="s">
        <v>125</v>
      </c>
      <c r="J1974" s="1" t="s">
        <v>6</v>
      </c>
      <c r="K1974" s="1" t="s">
        <v>24</v>
      </c>
      <c r="M1974" s="2">
        <v>43117</v>
      </c>
      <c r="N1974" s="1" t="s">
        <v>8</v>
      </c>
      <c r="O1974" s="2">
        <v>44213</v>
      </c>
    </row>
    <row r="1975" spans="1:15" ht="28.8" x14ac:dyDescent="0.3">
      <c r="A1975" s="1" t="s">
        <v>5303</v>
      </c>
      <c r="B1975" s="1" t="str">
        <f>"MSS FACILITIES SERVICES LTD"</f>
        <v>MSS FACILITIES SERVICES LTD</v>
      </c>
      <c r="C1975" s="1" t="s">
        <v>5304</v>
      </c>
      <c r="D1975" s="1" t="s">
        <v>5305</v>
      </c>
      <c r="F1975" s="1" t="s">
        <v>123</v>
      </c>
      <c r="H1975" s="1" t="s">
        <v>5306</v>
      </c>
      <c r="I1975" s="1" t="s">
        <v>19</v>
      </c>
      <c r="J1975" s="1" t="s">
        <v>6</v>
      </c>
      <c r="K1975" s="1" t="s">
        <v>34</v>
      </c>
      <c r="L1975" s="1">
        <v>5539272</v>
      </c>
      <c r="M1975" s="2">
        <v>43117</v>
      </c>
      <c r="N1975" s="1" t="s">
        <v>8</v>
      </c>
      <c r="O1975" s="2">
        <v>44225</v>
      </c>
    </row>
    <row r="1976" spans="1:15" ht="28.8" x14ac:dyDescent="0.3">
      <c r="A1976" s="1" t="s">
        <v>5307</v>
      </c>
      <c r="B1976" s="1" t="str">
        <f>"MSS Environmental Ltd"</f>
        <v>MSS Environmental Ltd</v>
      </c>
      <c r="C1976" s="1" t="s">
        <v>5304</v>
      </c>
      <c r="D1976" s="1" t="s">
        <v>5308</v>
      </c>
      <c r="F1976" s="1" t="s">
        <v>123</v>
      </c>
      <c r="H1976" s="1" t="s">
        <v>5306</v>
      </c>
      <c r="I1976" s="1" t="s">
        <v>19</v>
      </c>
      <c r="J1976" s="1" t="s">
        <v>6</v>
      </c>
      <c r="K1976" s="1" t="s">
        <v>34</v>
      </c>
      <c r="L1976" s="1">
        <v>5554682</v>
      </c>
      <c r="M1976" s="2">
        <v>43117</v>
      </c>
      <c r="N1976" s="1" t="s">
        <v>8</v>
      </c>
      <c r="O1976" s="2">
        <v>44225</v>
      </c>
    </row>
    <row r="1977" spans="1:15" ht="43.2" x14ac:dyDescent="0.3">
      <c r="A1977" s="1" t="s">
        <v>6541</v>
      </c>
      <c r="B1977" s="1" t="str">
        <f>"burns pet nutrition foundation"</f>
        <v>burns pet nutrition foundation</v>
      </c>
      <c r="C1977" s="1" t="s">
        <v>3725</v>
      </c>
      <c r="F1977" s="1" t="s">
        <v>2342</v>
      </c>
      <c r="H1977" s="1" t="s">
        <v>3727</v>
      </c>
      <c r="I1977" s="1" t="s">
        <v>1872</v>
      </c>
      <c r="J1977" s="1" t="s">
        <v>67</v>
      </c>
      <c r="K1977" s="1" t="s">
        <v>14</v>
      </c>
      <c r="M1977" s="2">
        <v>43117</v>
      </c>
      <c r="N1977" s="1" t="s">
        <v>8</v>
      </c>
      <c r="O1977" s="1" t="s">
        <v>68</v>
      </c>
    </row>
    <row r="1978" spans="1:15" x14ac:dyDescent="0.3">
      <c r="A1978" s="1" t="s">
        <v>6542</v>
      </c>
      <c r="B1978" s="1" t="str">
        <f>"TE &amp; AC Davies &amp; Sons"</f>
        <v>TE &amp; AC Davies &amp; Sons</v>
      </c>
      <c r="C1978" s="1" t="s">
        <v>6543</v>
      </c>
      <c r="F1978" s="1" t="s">
        <v>922</v>
      </c>
      <c r="H1978" s="1" t="s">
        <v>6544</v>
      </c>
      <c r="I1978" s="1" t="s">
        <v>125</v>
      </c>
      <c r="J1978" s="1" t="s">
        <v>6</v>
      </c>
      <c r="K1978" s="1" t="s">
        <v>24</v>
      </c>
      <c r="M1978" s="2">
        <v>43117</v>
      </c>
      <c r="N1978" s="1" t="s">
        <v>8</v>
      </c>
      <c r="O1978" s="2">
        <v>44213</v>
      </c>
    </row>
    <row r="1979" spans="1:15" ht="28.8" x14ac:dyDescent="0.3">
      <c r="A1979" s="1" t="s">
        <v>20100</v>
      </c>
      <c r="B1979" s="1" t="str">
        <f>"Shaun Carroll S Carroll "</f>
        <v xml:space="preserve">Shaun Carroll S Carroll </v>
      </c>
      <c r="C1979" s="1" t="s">
        <v>20101</v>
      </c>
      <c r="F1979" s="1" t="s">
        <v>476</v>
      </c>
      <c r="H1979" s="1" t="s">
        <v>20102</v>
      </c>
      <c r="I1979" s="1" t="s">
        <v>5</v>
      </c>
      <c r="J1979" s="1" t="s">
        <v>6</v>
      </c>
      <c r="K1979" s="1" t="s">
        <v>24</v>
      </c>
      <c r="M1979" s="2">
        <v>43117</v>
      </c>
      <c r="N1979" s="1" t="s">
        <v>8</v>
      </c>
      <c r="O1979" s="2">
        <v>44213</v>
      </c>
    </row>
    <row r="1980" spans="1:15" ht="43.2" x14ac:dyDescent="0.3">
      <c r="A1980" s="1" t="s">
        <v>20103</v>
      </c>
      <c r="B1980" s="1" t="str">
        <f>"Karalasingam Pirathapan"</f>
        <v>Karalasingam Pirathapan</v>
      </c>
      <c r="C1980" s="1" t="s">
        <v>20104</v>
      </c>
      <c r="F1980" s="1" t="s">
        <v>556</v>
      </c>
      <c r="H1980" s="1" t="s">
        <v>20105</v>
      </c>
      <c r="I1980" s="1" t="s">
        <v>5</v>
      </c>
      <c r="J1980" s="1" t="s">
        <v>67</v>
      </c>
      <c r="K1980" s="1" t="s">
        <v>14</v>
      </c>
      <c r="M1980" s="2">
        <v>43117</v>
      </c>
      <c r="N1980" s="1" t="s">
        <v>8</v>
      </c>
      <c r="O1980" s="1" t="s">
        <v>68</v>
      </c>
    </row>
    <row r="1981" spans="1:15" ht="43.2" x14ac:dyDescent="0.3">
      <c r="A1981" s="1" t="s">
        <v>20106</v>
      </c>
      <c r="B1981" s="1" t="str">
        <f>"jeremy evans jeremy evans building &amp; groundwork"</f>
        <v>jeremy evans jeremy evans building &amp; groundwork</v>
      </c>
      <c r="C1981" s="1" t="s">
        <v>20107</v>
      </c>
      <c r="F1981" s="1" t="s">
        <v>64</v>
      </c>
      <c r="H1981" s="1" t="s">
        <v>20108</v>
      </c>
      <c r="I1981" s="1" t="s">
        <v>5</v>
      </c>
      <c r="J1981" s="1" t="s">
        <v>6</v>
      </c>
      <c r="K1981" s="1" t="s">
        <v>24</v>
      </c>
      <c r="M1981" s="2">
        <v>43117</v>
      </c>
      <c r="N1981" s="1" t="s">
        <v>8</v>
      </c>
      <c r="O1981" s="2">
        <v>44213</v>
      </c>
    </row>
    <row r="1982" spans="1:15" ht="43.2" x14ac:dyDescent="0.3">
      <c r="A1982" s="1" t="s">
        <v>20109</v>
      </c>
      <c r="B1982" s="1" t="str">
        <f>"thayananthan gunaratnam"</f>
        <v>thayananthan gunaratnam</v>
      </c>
      <c r="C1982" s="1" t="s">
        <v>20110</v>
      </c>
      <c r="F1982" s="1" t="s">
        <v>3754</v>
      </c>
      <c r="H1982" s="1" t="s">
        <v>20111</v>
      </c>
      <c r="I1982" s="1" t="s">
        <v>5</v>
      </c>
      <c r="J1982" s="1" t="s">
        <v>67</v>
      </c>
      <c r="K1982" s="1" t="s">
        <v>14</v>
      </c>
      <c r="M1982" s="2">
        <v>43117</v>
      </c>
      <c r="N1982" s="1" t="s">
        <v>8</v>
      </c>
      <c r="O1982" s="1" t="s">
        <v>68</v>
      </c>
    </row>
    <row r="1983" spans="1:15" x14ac:dyDescent="0.3">
      <c r="A1983" s="1" t="s">
        <v>20112</v>
      </c>
      <c r="B1983" s="1" t="str">
        <f>"Glyn Davies G Davies"</f>
        <v>Glyn Davies G Davies</v>
      </c>
      <c r="C1983" s="1" t="s">
        <v>20113</v>
      </c>
      <c r="D1983" s="1" t="s">
        <v>922</v>
      </c>
      <c r="F1983" s="1" t="s">
        <v>73</v>
      </c>
      <c r="H1983" s="1" t="s">
        <v>20114</v>
      </c>
      <c r="I1983" s="1" t="s">
        <v>5</v>
      </c>
      <c r="J1983" s="1" t="s">
        <v>6</v>
      </c>
      <c r="K1983" s="1" t="s">
        <v>24</v>
      </c>
      <c r="M1983" s="2">
        <v>43117</v>
      </c>
      <c r="N1983" s="1" t="s">
        <v>8</v>
      </c>
      <c r="O1983" s="2">
        <v>44213</v>
      </c>
    </row>
    <row r="1984" spans="1:15" ht="28.8" x14ac:dyDescent="0.3">
      <c r="A1984" s="1" t="s">
        <v>20894</v>
      </c>
      <c r="B1984" s="1" t="str">
        <f>"Sam Burgess  TRC recycling"</f>
        <v>Sam Burgess  TRC recycling</v>
      </c>
      <c r="C1984" s="1" t="s">
        <v>20895</v>
      </c>
      <c r="F1984" s="1" t="s">
        <v>179</v>
      </c>
      <c r="H1984" s="1" t="s">
        <v>20896</v>
      </c>
      <c r="I1984" s="1" t="s">
        <v>5</v>
      </c>
      <c r="J1984" s="1" t="s">
        <v>6</v>
      </c>
      <c r="K1984" s="1" t="s">
        <v>24</v>
      </c>
      <c r="M1984" s="2">
        <v>43117</v>
      </c>
      <c r="N1984" s="1" t="s">
        <v>8</v>
      </c>
      <c r="O1984" s="2">
        <v>44213</v>
      </c>
    </row>
    <row r="1985" spans="1:15" ht="28.8" x14ac:dyDescent="0.3">
      <c r="A1985" s="1" t="s">
        <v>4254</v>
      </c>
      <c r="B1985" s="1" t="str">
        <f>"C&amp;k groundworks Rhymney Ltd "</f>
        <v xml:space="preserve">C&amp;k groundworks Rhymney Ltd </v>
      </c>
      <c r="C1985" s="1" t="s">
        <v>4255</v>
      </c>
      <c r="F1985" s="1" t="s">
        <v>102</v>
      </c>
      <c r="H1985" s="1" t="s">
        <v>4256</v>
      </c>
      <c r="I1985" s="1" t="s">
        <v>19</v>
      </c>
      <c r="J1985" s="1" t="s">
        <v>6</v>
      </c>
      <c r="K1985" s="1" t="s">
        <v>34</v>
      </c>
      <c r="L1985" s="1">
        <v>9161545</v>
      </c>
      <c r="M1985" s="2">
        <v>43116</v>
      </c>
      <c r="N1985" s="1" t="s">
        <v>8</v>
      </c>
      <c r="O1985" s="2">
        <v>44212</v>
      </c>
    </row>
    <row r="1986" spans="1:15" ht="28.8" x14ac:dyDescent="0.3">
      <c r="A1986" s="1" t="s">
        <v>4257</v>
      </c>
      <c r="B1986" s="1" t="str">
        <f>"HUNT CONSTRUCTION LTD"</f>
        <v>HUNT CONSTRUCTION LTD</v>
      </c>
      <c r="C1986" s="1" t="s">
        <v>4258</v>
      </c>
      <c r="F1986" s="1" t="s">
        <v>179</v>
      </c>
      <c r="H1986" s="1" t="s">
        <v>4259</v>
      </c>
      <c r="I1986" s="1" t="s">
        <v>19</v>
      </c>
      <c r="J1986" s="1" t="s">
        <v>6</v>
      </c>
      <c r="K1986" s="1" t="s">
        <v>34</v>
      </c>
      <c r="L1986" s="1">
        <v>3296294</v>
      </c>
      <c r="M1986" s="2">
        <v>43116</v>
      </c>
      <c r="N1986" s="1" t="s">
        <v>8</v>
      </c>
      <c r="O1986" s="2">
        <v>44220</v>
      </c>
    </row>
    <row r="1987" spans="1:15" ht="43.2" x14ac:dyDescent="0.3">
      <c r="A1987" s="1" t="s">
        <v>4260</v>
      </c>
      <c r="B1987" s="1" t="str">
        <f>"Isle of Anglesey County Council"</f>
        <v>Isle of Anglesey County Council</v>
      </c>
      <c r="C1987" s="1" t="s">
        <v>4261</v>
      </c>
      <c r="F1987" s="1" t="s">
        <v>678</v>
      </c>
      <c r="H1987" s="1" t="s">
        <v>4262</v>
      </c>
      <c r="I1987" s="1" t="s">
        <v>188</v>
      </c>
      <c r="J1987" s="1" t="s">
        <v>67</v>
      </c>
      <c r="K1987" s="1" t="s">
        <v>14</v>
      </c>
      <c r="M1987" s="2">
        <v>43116</v>
      </c>
      <c r="N1987" s="1" t="s">
        <v>8</v>
      </c>
      <c r="O1987" s="1" t="s">
        <v>68</v>
      </c>
    </row>
    <row r="1988" spans="1:15" ht="43.2" x14ac:dyDescent="0.3">
      <c r="A1988" s="1" t="s">
        <v>4263</v>
      </c>
      <c r="B1988" s="1" t="str">
        <f>"Highway Reinstatements Ltd"</f>
        <v>Highway Reinstatements Ltd</v>
      </c>
      <c r="C1988" s="1" t="s">
        <v>4264</v>
      </c>
      <c r="F1988" s="1" t="s">
        <v>22</v>
      </c>
      <c r="H1988" s="1" t="s">
        <v>4265</v>
      </c>
      <c r="I1988" s="1" t="s">
        <v>19</v>
      </c>
      <c r="J1988" s="1" t="s">
        <v>67</v>
      </c>
      <c r="K1988" s="1" t="s">
        <v>24</v>
      </c>
      <c r="L1988" s="1">
        <v>5563187</v>
      </c>
      <c r="M1988" s="2">
        <v>43116</v>
      </c>
      <c r="N1988" s="1" t="s">
        <v>8</v>
      </c>
      <c r="O1988" s="1" t="s">
        <v>68</v>
      </c>
    </row>
    <row r="1989" spans="1:15" ht="28.8" x14ac:dyDescent="0.3">
      <c r="A1989" s="1" t="s">
        <v>4266</v>
      </c>
      <c r="B1989" s="1" t="str">
        <f>"ERVYK (UK) LIMITED"</f>
        <v>ERVYK (UK) LIMITED</v>
      </c>
      <c r="C1989" s="1" t="s">
        <v>4267</v>
      </c>
      <c r="D1989" s="1" t="s">
        <v>3176</v>
      </c>
      <c r="E1989" s="1" t="s">
        <v>285</v>
      </c>
      <c r="F1989" s="1" t="s">
        <v>532</v>
      </c>
      <c r="H1989" s="1" t="s">
        <v>3177</v>
      </c>
      <c r="I1989" s="1" t="s">
        <v>19</v>
      </c>
      <c r="J1989" s="1" t="s">
        <v>6</v>
      </c>
      <c r="K1989" s="1" t="s">
        <v>34</v>
      </c>
      <c r="L1989" s="1">
        <v>2615581</v>
      </c>
      <c r="M1989" s="2">
        <v>43116</v>
      </c>
      <c r="N1989" s="1" t="s">
        <v>8</v>
      </c>
      <c r="O1989" s="2">
        <v>44212</v>
      </c>
    </row>
    <row r="1990" spans="1:15" ht="28.8" x14ac:dyDescent="0.3">
      <c r="A1990" s="1" t="s">
        <v>4268</v>
      </c>
      <c r="B1990" s="1" t="str">
        <f>"JOHNSON &amp; PHILLIPS (CAPACITORS) LTD"</f>
        <v>JOHNSON &amp; PHILLIPS (CAPACITORS) LTD</v>
      </c>
      <c r="C1990" s="1" t="s">
        <v>4269</v>
      </c>
      <c r="F1990" s="1" t="s">
        <v>156</v>
      </c>
      <c r="H1990" s="1" t="s">
        <v>4270</v>
      </c>
      <c r="I1990" s="1" t="s">
        <v>19</v>
      </c>
      <c r="J1990" s="1" t="s">
        <v>6</v>
      </c>
      <c r="K1990" s="1" t="s">
        <v>24</v>
      </c>
      <c r="L1990" s="1">
        <v>8613535</v>
      </c>
      <c r="M1990" s="2">
        <v>43116</v>
      </c>
      <c r="N1990" s="1" t="s">
        <v>8</v>
      </c>
      <c r="O1990" s="2">
        <v>44212</v>
      </c>
    </row>
    <row r="1991" spans="1:15" ht="28.8" x14ac:dyDescent="0.3">
      <c r="A1991" s="1" t="s">
        <v>5284</v>
      </c>
      <c r="B1991" s="1" t="str">
        <f>"Servicemaster Bridgend"</f>
        <v>Servicemaster Bridgend</v>
      </c>
      <c r="C1991" s="1" t="s">
        <v>5285</v>
      </c>
      <c r="F1991" s="1" t="s">
        <v>64</v>
      </c>
      <c r="H1991" s="1" t="s">
        <v>4741</v>
      </c>
      <c r="I1991" s="1" t="s">
        <v>125</v>
      </c>
      <c r="J1991" s="1" t="s">
        <v>6</v>
      </c>
      <c r="K1991" s="1" t="s">
        <v>34</v>
      </c>
      <c r="M1991" s="2">
        <v>43116</v>
      </c>
      <c r="N1991" s="1" t="s">
        <v>8</v>
      </c>
      <c r="O1991" s="2">
        <v>44212</v>
      </c>
    </row>
    <row r="1992" spans="1:15" ht="43.2" x14ac:dyDescent="0.3">
      <c r="A1992" s="1" t="s">
        <v>5286</v>
      </c>
      <c r="B1992" s="1" t="str">
        <f>"Gibson Specialist Technical Services"</f>
        <v>Gibson Specialist Technical Services</v>
      </c>
      <c r="C1992" s="1" t="s">
        <v>5287</v>
      </c>
      <c r="F1992" s="1" t="s">
        <v>179</v>
      </c>
      <c r="H1992" s="1" t="s">
        <v>5288</v>
      </c>
      <c r="I1992" s="1" t="s">
        <v>125</v>
      </c>
      <c r="J1992" s="1" t="s">
        <v>67</v>
      </c>
      <c r="K1992" s="1" t="s">
        <v>24</v>
      </c>
      <c r="M1992" s="2">
        <v>43116</v>
      </c>
      <c r="N1992" s="1" t="s">
        <v>8</v>
      </c>
      <c r="O1992" s="1" t="s">
        <v>68</v>
      </c>
    </row>
    <row r="1993" spans="1:15" x14ac:dyDescent="0.3">
      <c r="A1993" s="1" t="s">
        <v>5289</v>
      </c>
      <c r="B1993" s="1" t="str">
        <f>"Pro Waste Ltd"</f>
        <v>Pro Waste Ltd</v>
      </c>
      <c r="C1993" s="1" t="s">
        <v>5290</v>
      </c>
      <c r="F1993" s="1" t="s">
        <v>5291</v>
      </c>
      <c r="H1993" s="1" t="s">
        <v>5292</v>
      </c>
      <c r="I1993" s="1" t="s">
        <v>19</v>
      </c>
      <c r="J1993" s="1" t="s">
        <v>6</v>
      </c>
      <c r="K1993" s="1" t="s">
        <v>24</v>
      </c>
      <c r="L1993" s="1">
        <v>8819888</v>
      </c>
      <c r="M1993" s="2">
        <v>43116</v>
      </c>
      <c r="N1993" s="1" t="s">
        <v>8</v>
      </c>
      <c r="O1993" s="2">
        <v>44212</v>
      </c>
    </row>
    <row r="1994" spans="1:15" ht="43.2" x14ac:dyDescent="0.3">
      <c r="A1994" s="1" t="s">
        <v>19299</v>
      </c>
      <c r="B1994" s="1" t="str">
        <f>"Carlton DSilva"</f>
        <v>Carlton DSilva</v>
      </c>
      <c r="C1994" s="1" t="s">
        <v>19300</v>
      </c>
      <c r="F1994" s="1" t="s">
        <v>156</v>
      </c>
      <c r="H1994" s="1" t="s">
        <v>19301</v>
      </c>
      <c r="I1994" s="1" t="s">
        <v>5</v>
      </c>
      <c r="J1994" s="1" t="s">
        <v>67</v>
      </c>
      <c r="K1994" s="1" t="s">
        <v>14</v>
      </c>
      <c r="M1994" s="2">
        <v>43116</v>
      </c>
      <c r="N1994" s="1" t="s">
        <v>8</v>
      </c>
      <c r="O1994" s="1" t="s">
        <v>68</v>
      </c>
    </row>
    <row r="1995" spans="1:15" ht="43.2" x14ac:dyDescent="0.3">
      <c r="A1995" s="1" t="s">
        <v>19302</v>
      </c>
      <c r="B1995" s="1" t="str">
        <f>"Sarah Hunter-Rodwell"</f>
        <v>Sarah Hunter-Rodwell</v>
      </c>
      <c r="C1995" s="1" t="s">
        <v>19303</v>
      </c>
      <c r="F1995" s="1" t="s">
        <v>1986</v>
      </c>
      <c r="H1995" s="1" t="s">
        <v>19304</v>
      </c>
      <c r="I1995" s="1" t="s">
        <v>5</v>
      </c>
      <c r="J1995" s="1" t="s">
        <v>67</v>
      </c>
      <c r="K1995" s="1" t="s">
        <v>14</v>
      </c>
      <c r="M1995" s="2">
        <v>43116</v>
      </c>
      <c r="N1995" s="1" t="s">
        <v>8</v>
      </c>
      <c r="O1995" s="1" t="s">
        <v>68</v>
      </c>
    </row>
    <row r="1996" spans="1:15" ht="43.2" x14ac:dyDescent="0.3">
      <c r="A1996" s="1" t="s">
        <v>19305</v>
      </c>
      <c r="B1996" s="1" t="str">
        <f>"Nigel Crick"</f>
        <v>Nigel Crick</v>
      </c>
      <c r="C1996" s="1" t="s">
        <v>19306</v>
      </c>
      <c r="F1996" s="1" t="s">
        <v>513</v>
      </c>
      <c r="H1996" s="1" t="s">
        <v>19307</v>
      </c>
      <c r="I1996" s="1" t="s">
        <v>5</v>
      </c>
      <c r="J1996" s="1" t="s">
        <v>67</v>
      </c>
      <c r="K1996" s="1" t="s">
        <v>14</v>
      </c>
      <c r="M1996" s="2">
        <v>43116</v>
      </c>
      <c r="N1996" s="1" t="s">
        <v>8</v>
      </c>
      <c r="O1996" s="1" t="s">
        <v>68</v>
      </c>
    </row>
    <row r="1997" spans="1:15" ht="28.8" x14ac:dyDescent="0.3">
      <c r="A1997" s="1" t="s">
        <v>20097</v>
      </c>
      <c r="B1997" s="1" t="str">
        <f>"Phillip  Evans  Phillip Evans "</f>
        <v xml:space="preserve">Phillip  Evans  Phillip Evans </v>
      </c>
      <c r="C1997" s="1" t="s">
        <v>20098</v>
      </c>
      <c r="F1997" s="1" t="s">
        <v>1058</v>
      </c>
      <c r="H1997" s="1" t="s">
        <v>20099</v>
      </c>
      <c r="I1997" s="1" t="s">
        <v>5</v>
      </c>
      <c r="J1997" s="1" t="s">
        <v>6</v>
      </c>
      <c r="K1997" s="1" t="s">
        <v>24</v>
      </c>
      <c r="M1997" s="2">
        <v>43116</v>
      </c>
      <c r="N1997" s="1" t="s">
        <v>8</v>
      </c>
      <c r="O1997" s="2">
        <v>44212</v>
      </c>
    </row>
    <row r="1998" spans="1:15" ht="43.2" x14ac:dyDescent="0.3">
      <c r="A1998" s="1" t="s">
        <v>4246</v>
      </c>
      <c r="B1998" s="1" t="str">
        <f>"Pengwern Sports Tours Ltd          "</f>
        <v xml:space="preserve">Pengwern Sports Tours Ltd          </v>
      </c>
      <c r="C1998" s="1" t="s">
        <v>4247</v>
      </c>
      <c r="F1998" s="1" t="s">
        <v>4248</v>
      </c>
      <c r="H1998" s="1" t="s">
        <v>4249</v>
      </c>
      <c r="I1998" s="1" t="s">
        <v>19</v>
      </c>
      <c r="J1998" s="1" t="s">
        <v>67</v>
      </c>
      <c r="K1998" s="1" t="s">
        <v>14</v>
      </c>
      <c r="M1998" s="2">
        <v>43115</v>
      </c>
      <c r="N1998" s="1" t="s">
        <v>8</v>
      </c>
      <c r="O1998" s="1" t="s">
        <v>68</v>
      </c>
    </row>
    <row r="1999" spans="1:15" ht="28.8" x14ac:dyDescent="0.3">
      <c r="A1999" s="1" t="s">
        <v>4250</v>
      </c>
      <c r="B1999" s="1" t="str">
        <f>"BROMBOROUGH PLASTICS LIMITED"</f>
        <v>BROMBOROUGH PLASTICS LIMITED</v>
      </c>
      <c r="C1999" s="1" t="s">
        <v>4251</v>
      </c>
      <c r="D1999" s="1" t="s">
        <v>4252</v>
      </c>
      <c r="F1999" s="1" t="s">
        <v>323</v>
      </c>
      <c r="H1999" s="1" t="s">
        <v>4253</v>
      </c>
      <c r="I1999" s="1" t="s">
        <v>19</v>
      </c>
      <c r="J1999" s="1" t="s">
        <v>6</v>
      </c>
      <c r="K1999" s="1" t="s">
        <v>34</v>
      </c>
      <c r="L1999" s="1">
        <v>3139474</v>
      </c>
      <c r="M1999" s="2">
        <v>43115</v>
      </c>
      <c r="N1999" s="1" t="s">
        <v>8</v>
      </c>
      <c r="O1999" s="2">
        <v>44211</v>
      </c>
    </row>
    <row r="2000" spans="1:15" ht="43.2" x14ac:dyDescent="0.3">
      <c r="A2000" s="1" t="s">
        <v>17875</v>
      </c>
      <c r="B2000" s="1" t="str">
        <f>"CORNHILL ENVIRONMENTAL SOLUTIONS LTD"</f>
        <v>CORNHILL ENVIRONMENTAL SOLUTIONS LTD</v>
      </c>
      <c r="C2000" s="1" t="s">
        <v>17876</v>
      </c>
      <c r="F2000" s="1" t="s">
        <v>2504</v>
      </c>
      <c r="H2000" s="1" t="s">
        <v>17877</v>
      </c>
      <c r="I2000" s="1" t="s">
        <v>19</v>
      </c>
      <c r="J2000" s="1" t="s">
        <v>6</v>
      </c>
      <c r="K2000" s="1" t="s">
        <v>34</v>
      </c>
      <c r="L2000" s="1">
        <v>5340845</v>
      </c>
      <c r="M2000" s="2">
        <v>43115</v>
      </c>
      <c r="N2000" s="1" t="s">
        <v>8</v>
      </c>
      <c r="O2000" s="2">
        <v>44211</v>
      </c>
    </row>
    <row r="2001" spans="1:15" ht="43.2" x14ac:dyDescent="0.3">
      <c r="A2001" s="1" t="s">
        <v>17878</v>
      </c>
      <c r="B2001" s="1" t="str">
        <f>"BRIDGETIME TRANSPORT LIMITED"</f>
        <v>BRIDGETIME TRANSPORT LIMITED</v>
      </c>
      <c r="C2001" s="1" t="s">
        <v>1456</v>
      </c>
      <c r="D2001" s="1" t="s">
        <v>379</v>
      </c>
      <c r="E2001" s="1" t="s">
        <v>1457</v>
      </c>
      <c r="F2001" s="1" t="s">
        <v>380</v>
      </c>
      <c r="H2001" s="1" t="s">
        <v>1458</v>
      </c>
      <c r="I2001" s="1" t="s">
        <v>19</v>
      </c>
      <c r="J2001" s="1" t="s">
        <v>67</v>
      </c>
      <c r="K2001" s="1" t="s">
        <v>24</v>
      </c>
      <c r="L2001" s="1">
        <v>4504602</v>
      </c>
      <c r="M2001" s="2">
        <v>43115</v>
      </c>
      <c r="N2001" s="1" t="s">
        <v>8</v>
      </c>
      <c r="O2001" s="1" t="s">
        <v>68</v>
      </c>
    </row>
    <row r="2002" spans="1:15" ht="28.8" x14ac:dyDescent="0.3">
      <c r="A2002" s="1" t="s">
        <v>17879</v>
      </c>
      <c r="B2002" s="1" t="str">
        <f>"West Coast LGS Ltd"</f>
        <v>West Coast LGS Ltd</v>
      </c>
      <c r="C2002" s="1" t="s">
        <v>17880</v>
      </c>
      <c r="F2002" s="1" t="s">
        <v>64</v>
      </c>
      <c r="H2002" s="1" t="s">
        <v>17881</v>
      </c>
      <c r="I2002" s="1" t="s">
        <v>19</v>
      </c>
      <c r="J2002" s="1" t="s">
        <v>6</v>
      </c>
      <c r="K2002" s="1" t="s">
        <v>34</v>
      </c>
      <c r="L2002" s="1">
        <v>11069618</v>
      </c>
      <c r="M2002" s="2">
        <v>43115</v>
      </c>
      <c r="N2002" s="1" t="s">
        <v>8</v>
      </c>
      <c r="O2002" s="2">
        <v>44211</v>
      </c>
    </row>
    <row r="2003" spans="1:15" ht="43.2" x14ac:dyDescent="0.3">
      <c r="A2003" s="1" t="s">
        <v>17882</v>
      </c>
      <c r="B2003" s="1" t="str">
        <f>"Bob the Butcher Wales Ltd"</f>
        <v>Bob the Butcher Wales Ltd</v>
      </c>
      <c r="C2003" s="1" t="s">
        <v>17883</v>
      </c>
      <c r="F2003" s="1" t="s">
        <v>5301</v>
      </c>
      <c r="H2003" s="1" t="s">
        <v>17884</v>
      </c>
      <c r="I2003" s="1" t="s">
        <v>19</v>
      </c>
      <c r="J2003" s="1" t="s">
        <v>67</v>
      </c>
      <c r="K2003" s="1" t="s">
        <v>14</v>
      </c>
      <c r="M2003" s="2">
        <v>43115</v>
      </c>
      <c r="N2003" s="1" t="s">
        <v>8</v>
      </c>
      <c r="O2003" s="1" t="s">
        <v>68</v>
      </c>
    </row>
    <row r="2004" spans="1:15" ht="28.8" x14ac:dyDescent="0.3">
      <c r="A2004" s="1" t="s">
        <v>17885</v>
      </c>
      <c r="B2004" s="1" t="str">
        <f>"M &amp; K Watkins (M and K )"</f>
        <v>M &amp; K Watkins (M and K )</v>
      </c>
      <c r="C2004" s="1" t="s">
        <v>17886</v>
      </c>
      <c r="F2004" s="1" t="s">
        <v>1206</v>
      </c>
      <c r="H2004" s="1" t="s">
        <v>7484</v>
      </c>
      <c r="I2004" s="1" t="s">
        <v>125</v>
      </c>
      <c r="J2004" s="1" t="s">
        <v>6</v>
      </c>
      <c r="K2004" s="1" t="s">
        <v>24</v>
      </c>
      <c r="M2004" s="2">
        <v>43115</v>
      </c>
      <c r="N2004" s="1" t="s">
        <v>8</v>
      </c>
      <c r="O2004" s="2">
        <v>44211</v>
      </c>
    </row>
    <row r="2005" spans="1:15" ht="28.8" x14ac:dyDescent="0.3">
      <c r="A2005" s="1" t="s">
        <v>17887</v>
      </c>
      <c r="B2005" s="1" t="str">
        <f>"E&amp;N Metal and Waste Recycling Ltd "</f>
        <v xml:space="preserve">E&amp;N Metal and Waste Recycling Ltd </v>
      </c>
      <c r="C2005" s="1" t="s">
        <v>17888</v>
      </c>
      <c r="D2005" s="1" t="s">
        <v>17889</v>
      </c>
      <c r="F2005" s="1" t="s">
        <v>277</v>
      </c>
      <c r="H2005" s="1" t="s">
        <v>6928</v>
      </c>
      <c r="I2005" s="1" t="s">
        <v>19</v>
      </c>
      <c r="J2005" s="1" t="s">
        <v>6</v>
      </c>
      <c r="K2005" s="1" t="s">
        <v>24</v>
      </c>
      <c r="L2005" s="1">
        <v>11093347</v>
      </c>
      <c r="M2005" s="2">
        <v>43115</v>
      </c>
      <c r="N2005" s="1" t="s">
        <v>8</v>
      </c>
      <c r="O2005" s="2">
        <v>44211</v>
      </c>
    </row>
    <row r="2006" spans="1:15" ht="28.8" x14ac:dyDescent="0.3">
      <c r="A2006" s="1" t="s">
        <v>17890</v>
      </c>
      <c r="B2006" s="1" t="str">
        <f>"R U Safe Gas Ltd "</f>
        <v xml:space="preserve">R U Safe Gas Ltd </v>
      </c>
      <c r="C2006" s="1" t="s">
        <v>17891</v>
      </c>
      <c r="F2006" s="1" t="s">
        <v>17892</v>
      </c>
      <c r="H2006" s="1" t="s">
        <v>17893</v>
      </c>
      <c r="I2006" s="1" t="s">
        <v>19</v>
      </c>
      <c r="J2006" s="1" t="s">
        <v>6</v>
      </c>
      <c r="K2006" s="1" t="s">
        <v>34</v>
      </c>
      <c r="L2006" s="1">
        <v>10847274</v>
      </c>
      <c r="M2006" s="2">
        <v>43115</v>
      </c>
      <c r="N2006" s="1" t="s">
        <v>8</v>
      </c>
      <c r="O2006" s="2">
        <v>44211</v>
      </c>
    </row>
    <row r="2007" spans="1:15" ht="28.8" x14ac:dyDescent="0.3">
      <c r="A2007" s="1" t="s">
        <v>17894</v>
      </c>
      <c r="B2007" s="1" t="str">
        <f>"ANTHONY DEVER CONSTRUCTION LTD"</f>
        <v>ANTHONY DEVER CONSTRUCTION LTD</v>
      </c>
      <c r="C2007" s="1" t="s">
        <v>17895</v>
      </c>
      <c r="D2007" s="1" t="s">
        <v>5613</v>
      </c>
      <c r="F2007" s="1" t="s">
        <v>922</v>
      </c>
      <c r="H2007" s="1" t="s">
        <v>5614</v>
      </c>
      <c r="I2007" s="1" t="s">
        <v>19</v>
      </c>
      <c r="J2007" s="1" t="s">
        <v>6</v>
      </c>
      <c r="K2007" s="1" t="s">
        <v>34</v>
      </c>
      <c r="L2007" s="1">
        <v>4670740</v>
      </c>
      <c r="M2007" s="2">
        <v>43115</v>
      </c>
      <c r="N2007" s="1" t="s">
        <v>8</v>
      </c>
      <c r="O2007" s="2">
        <v>44211</v>
      </c>
    </row>
    <row r="2008" spans="1:15" ht="28.8" x14ac:dyDescent="0.3">
      <c r="A2008" s="1" t="s">
        <v>17896</v>
      </c>
      <c r="B2008" s="1" t="str">
        <f>"J RANDALL ROOFING CONTRACTORS LTD"</f>
        <v>J RANDALL ROOFING CONTRACTORS LTD</v>
      </c>
      <c r="C2008" s="1" t="s">
        <v>17897</v>
      </c>
      <c r="D2008" s="1" t="s">
        <v>17898</v>
      </c>
      <c r="F2008" s="1" t="s">
        <v>665</v>
      </c>
      <c r="H2008" s="1" t="s">
        <v>17899</v>
      </c>
      <c r="I2008" s="1" t="s">
        <v>19</v>
      </c>
      <c r="J2008" s="1" t="s">
        <v>6</v>
      </c>
      <c r="K2008" s="1" t="s">
        <v>24</v>
      </c>
      <c r="L2008" s="1">
        <v>7124544</v>
      </c>
      <c r="M2008" s="2">
        <v>43115</v>
      </c>
      <c r="N2008" s="1" t="s">
        <v>8</v>
      </c>
      <c r="O2008" s="2">
        <v>44211</v>
      </c>
    </row>
    <row r="2009" spans="1:15" ht="43.2" x14ac:dyDescent="0.3">
      <c r="A2009" s="1" t="s">
        <v>17900</v>
      </c>
      <c r="B2009" s="1" t="str">
        <f>"JJ Brooks Construction Ltd"</f>
        <v>JJ Brooks Construction Ltd</v>
      </c>
      <c r="C2009" s="1" t="s">
        <v>17901</v>
      </c>
      <c r="D2009" s="1" t="s">
        <v>17902</v>
      </c>
      <c r="F2009" s="1" t="s">
        <v>8782</v>
      </c>
      <c r="H2009" s="1" t="s">
        <v>17903</v>
      </c>
      <c r="I2009" s="1" t="s">
        <v>19</v>
      </c>
      <c r="J2009" s="1" t="s">
        <v>6</v>
      </c>
      <c r="K2009" s="1" t="s">
        <v>24</v>
      </c>
      <c r="L2009" s="1">
        <v>3028781</v>
      </c>
      <c r="M2009" s="2">
        <v>43115</v>
      </c>
      <c r="N2009" s="1" t="s">
        <v>8</v>
      </c>
      <c r="O2009" s="2">
        <v>44211</v>
      </c>
    </row>
    <row r="2010" spans="1:15" ht="28.8" x14ac:dyDescent="0.3">
      <c r="A2010" s="1" t="s">
        <v>19293</v>
      </c>
      <c r="B2010" s="1" t="str">
        <f>"Gerald Williams Gerald Williams Haulage"</f>
        <v>Gerald Williams Gerald Williams Haulage</v>
      </c>
      <c r="C2010" s="1" t="s">
        <v>19294</v>
      </c>
      <c r="F2010" s="1" t="s">
        <v>179</v>
      </c>
      <c r="H2010" s="1" t="s">
        <v>19295</v>
      </c>
      <c r="I2010" s="1" t="s">
        <v>5</v>
      </c>
      <c r="J2010" s="1" t="s">
        <v>6</v>
      </c>
      <c r="K2010" s="1" t="s">
        <v>24</v>
      </c>
      <c r="M2010" s="2">
        <v>43115</v>
      </c>
      <c r="N2010" s="1" t="s">
        <v>8</v>
      </c>
      <c r="O2010" s="2">
        <v>44218</v>
      </c>
    </row>
    <row r="2011" spans="1:15" ht="28.8" x14ac:dyDescent="0.3">
      <c r="A2011" s="1" t="s">
        <v>19296</v>
      </c>
      <c r="B2011" s="1" t="str">
        <f>"Colin Rewston Premier paving"</f>
        <v>Colin Rewston Premier paving</v>
      </c>
      <c r="C2011" s="1" t="s">
        <v>19297</v>
      </c>
      <c r="F2011" s="1" t="s">
        <v>665</v>
      </c>
      <c r="H2011" s="1" t="s">
        <v>19298</v>
      </c>
      <c r="I2011" s="1" t="s">
        <v>5</v>
      </c>
      <c r="J2011" s="1" t="s">
        <v>6</v>
      </c>
      <c r="K2011" s="1" t="s">
        <v>24</v>
      </c>
      <c r="M2011" s="2">
        <v>43115</v>
      </c>
      <c r="N2011" s="1" t="s">
        <v>8</v>
      </c>
      <c r="O2011" s="2">
        <v>44211</v>
      </c>
    </row>
    <row r="2012" spans="1:15" ht="28.8" x14ac:dyDescent="0.3">
      <c r="A2012" s="1" t="s">
        <v>29602</v>
      </c>
      <c r="B2012" s="1" t="str">
        <f>"Andrew  Bridgland Earthwise"</f>
        <v>Andrew  Bridgland Earthwise</v>
      </c>
      <c r="C2012" s="1" t="s">
        <v>26395</v>
      </c>
      <c r="F2012" s="1" t="s">
        <v>653</v>
      </c>
      <c r="H2012" s="1" t="s">
        <v>26396</v>
      </c>
      <c r="I2012" s="1" t="s">
        <v>5</v>
      </c>
      <c r="J2012" s="1" t="s">
        <v>6</v>
      </c>
      <c r="K2012" s="1" t="s">
        <v>34</v>
      </c>
      <c r="M2012" s="2">
        <v>43115</v>
      </c>
      <c r="N2012" s="1" t="s">
        <v>8</v>
      </c>
      <c r="O2012" s="2">
        <v>44211</v>
      </c>
    </row>
    <row r="2013" spans="1:15" ht="28.8" x14ac:dyDescent="0.3">
      <c r="A2013" s="1" t="s">
        <v>29603</v>
      </c>
      <c r="B2013" s="1" t="str">
        <f>"ANTHONY JONES MR ANTHONY JONES"</f>
        <v>ANTHONY JONES MR ANTHONY JONES</v>
      </c>
      <c r="C2013" s="1" t="s">
        <v>29604</v>
      </c>
      <c r="F2013" s="1" t="s">
        <v>1341</v>
      </c>
      <c r="H2013" s="1" t="s">
        <v>29605</v>
      </c>
      <c r="I2013" s="1" t="s">
        <v>5</v>
      </c>
      <c r="J2013" s="1" t="s">
        <v>6</v>
      </c>
      <c r="K2013" s="1" t="s">
        <v>34</v>
      </c>
      <c r="M2013" s="2">
        <v>43115</v>
      </c>
      <c r="N2013" s="1" t="s">
        <v>8</v>
      </c>
      <c r="O2013" s="2">
        <v>44211</v>
      </c>
    </row>
    <row r="2014" spans="1:15" ht="28.8" x14ac:dyDescent="0.3">
      <c r="A2014" s="1" t="s">
        <v>16862</v>
      </c>
      <c r="B2014" s="1" t="str">
        <f>"LAWRENCE LANDFILL LIMITED"</f>
        <v>LAWRENCE LANDFILL LIMITED</v>
      </c>
      <c r="C2014" s="1" t="s">
        <v>16863</v>
      </c>
      <c r="F2014" s="1" t="s">
        <v>1776</v>
      </c>
      <c r="H2014" s="1" t="s">
        <v>16864</v>
      </c>
      <c r="I2014" s="1" t="s">
        <v>19</v>
      </c>
      <c r="J2014" s="1" t="s">
        <v>6</v>
      </c>
      <c r="K2014" s="1" t="s">
        <v>24</v>
      </c>
      <c r="L2014" s="1">
        <v>5424208</v>
      </c>
      <c r="M2014" s="2">
        <v>43114</v>
      </c>
      <c r="N2014" s="1" t="s">
        <v>8</v>
      </c>
      <c r="O2014" s="2">
        <v>44210</v>
      </c>
    </row>
    <row r="2015" spans="1:15" ht="43.2" x14ac:dyDescent="0.3">
      <c r="A2015" s="1" t="s">
        <v>16865</v>
      </c>
      <c r="B2015" s="1" t="str">
        <f>"M J Transport"</f>
        <v>M J Transport</v>
      </c>
      <c r="C2015" s="1" t="s">
        <v>16866</v>
      </c>
      <c r="F2015" s="1" t="s">
        <v>12143</v>
      </c>
      <c r="H2015" s="1" t="s">
        <v>16867</v>
      </c>
      <c r="I2015" s="1" t="s">
        <v>125</v>
      </c>
      <c r="J2015" s="1" t="s">
        <v>67</v>
      </c>
      <c r="K2015" s="1" t="s">
        <v>14</v>
      </c>
      <c r="M2015" s="2">
        <v>43114</v>
      </c>
      <c r="N2015" s="1" t="s">
        <v>8</v>
      </c>
      <c r="O2015" s="1" t="s">
        <v>68</v>
      </c>
    </row>
    <row r="2016" spans="1:15" ht="43.2" x14ac:dyDescent="0.3">
      <c r="A2016" s="1" t="s">
        <v>28838</v>
      </c>
      <c r="B2016" s="1" t="str">
        <f>"Elizabeth Pearce"</f>
        <v>Elizabeth Pearce</v>
      </c>
      <c r="C2016" s="1" t="s">
        <v>28839</v>
      </c>
      <c r="F2016" s="1" t="s">
        <v>42</v>
      </c>
      <c r="H2016" s="1" t="s">
        <v>28840</v>
      </c>
      <c r="I2016" s="1" t="s">
        <v>5</v>
      </c>
      <c r="J2016" s="1" t="s">
        <v>67</v>
      </c>
      <c r="K2016" s="1" t="s">
        <v>14</v>
      </c>
      <c r="M2016" s="2">
        <v>43114</v>
      </c>
      <c r="N2016" s="1" t="s">
        <v>8</v>
      </c>
      <c r="O2016" s="1" t="s">
        <v>68</v>
      </c>
    </row>
    <row r="2017" spans="1:15" ht="28.8" x14ac:dyDescent="0.3">
      <c r="A2017" s="1" t="s">
        <v>29599</v>
      </c>
      <c r="B2017" s="1" t="str">
        <f>"Stephen  Jones  Valley gardens"</f>
        <v>Stephen  Jones  Valley gardens</v>
      </c>
      <c r="C2017" s="1" t="s">
        <v>29600</v>
      </c>
      <c r="F2017" s="1" t="s">
        <v>556</v>
      </c>
      <c r="H2017" s="1" t="s">
        <v>29601</v>
      </c>
      <c r="I2017" s="1" t="s">
        <v>5</v>
      </c>
      <c r="J2017" s="1" t="s">
        <v>6</v>
      </c>
      <c r="K2017" s="1" t="s">
        <v>34</v>
      </c>
      <c r="M2017" s="2">
        <v>43114</v>
      </c>
      <c r="N2017" s="1" t="s">
        <v>8</v>
      </c>
      <c r="O2017" s="2">
        <v>44210</v>
      </c>
    </row>
    <row r="2018" spans="1:15" ht="43.2" x14ac:dyDescent="0.3">
      <c r="A2018" s="1" t="s">
        <v>28829</v>
      </c>
      <c r="B2018" s="1" t="str">
        <f>"fabian lomas"</f>
        <v>fabian lomas</v>
      </c>
      <c r="C2018" s="1" t="s">
        <v>28830</v>
      </c>
      <c r="F2018" s="1" t="s">
        <v>4614</v>
      </c>
      <c r="H2018" s="1" t="s">
        <v>28831</v>
      </c>
      <c r="I2018" s="1" t="s">
        <v>5</v>
      </c>
      <c r="J2018" s="1" t="s">
        <v>67</v>
      </c>
      <c r="K2018" s="1" t="s">
        <v>14</v>
      </c>
      <c r="M2018" s="2">
        <v>43113</v>
      </c>
      <c r="N2018" s="1" t="s">
        <v>8</v>
      </c>
      <c r="O2018" s="1" t="s">
        <v>68</v>
      </c>
    </row>
    <row r="2019" spans="1:15" ht="43.2" x14ac:dyDescent="0.3">
      <c r="A2019" s="1" t="s">
        <v>28832</v>
      </c>
      <c r="B2019" s="1" t="str">
        <f>"kanapathipillai vigneswaran"</f>
        <v>kanapathipillai vigneswaran</v>
      </c>
      <c r="C2019" s="1" t="s">
        <v>28833</v>
      </c>
      <c r="F2019" s="1" t="s">
        <v>10661</v>
      </c>
      <c r="H2019" s="1" t="s">
        <v>28834</v>
      </c>
      <c r="I2019" s="1" t="s">
        <v>5</v>
      </c>
      <c r="J2019" s="1" t="s">
        <v>67</v>
      </c>
      <c r="K2019" s="1" t="s">
        <v>14</v>
      </c>
      <c r="M2019" s="2">
        <v>43113</v>
      </c>
      <c r="N2019" s="1" t="s">
        <v>8</v>
      </c>
      <c r="O2019" s="1" t="s">
        <v>68</v>
      </c>
    </row>
    <row r="2020" spans="1:15" ht="43.2" x14ac:dyDescent="0.3">
      <c r="A2020" s="1" t="s">
        <v>28835</v>
      </c>
      <c r="B2020" s="1" t="str">
        <f>"Colceag Laurentiu marian"</f>
        <v>Colceag Laurentiu marian</v>
      </c>
      <c r="C2020" s="1" t="s">
        <v>28836</v>
      </c>
      <c r="F2020" s="1" t="s">
        <v>9049</v>
      </c>
      <c r="H2020" s="1" t="s">
        <v>28837</v>
      </c>
      <c r="I2020" s="1" t="s">
        <v>5</v>
      </c>
      <c r="J2020" s="1" t="s">
        <v>67</v>
      </c>
      <c r="K2020" s="1" t="s">
        <v>14</v>
      </c>
      <c r="M2020" s="2">
        <v>43113</v>
      </c>
      <c r="N2020" s="1" t="s">
        <v>8</v>
      </c>
      <c r="O2020" s="1" t="s">
        <v>68</v>
      </c>
    </row>
    <row r="2021" spans="1:15" ht="43.2" x14ac:dyDescent="0.3">
      <c r="A2021" s="1" t="s">
        <v>16854</v>
      </c>
      <c r="B2021" s="1" t="str">
        <f>"House clearance and waste removal s"</f>
        <v>House clearance and waste removal s</v>
      </c>
      <c r="C2021" s="1" t="s">
        <v>16855</v>
      </c>
      <c r="F2021" s="1" t="s">
        <v>323</v>
      </c>
      <c r="H2021" s="1" t="s">
        <v>16856</v>
      </c>
      <c r="I2021" s="1" t="s">
        <v>188</v>
      </c>
      <c r="J2021" s="1" t="s">
        <v>67</v>
      </c>
      <c r="K2021" s="1" t="s">
        <v>14</v>
      </c>
      <c r="M2021" s="2">
        <v>43112</v>
      </c>
      <c r="N2021" s="1" t="s">
        <v>8</v>
      </c>
      <c r="O2021" s="1" t="s">
        <v>68</v>
      </c>
    </row>
    <row r="2022" spans="1:15" ht="28.8" x14ac:dyDescent="0.3">
      <c r="A2022" s="1" t="s">
        <v>16857</v>
      </c>
      <c r="B2022" s="1" t="str">
        <f>"GRIFFITHS PHARMACY"</f>
        <v>GRIFFITHS PHARMACY</v>
      </c>
      <c r="C2022" s="1" t="s">
        <v>16858</v>
      </c>
      <c r="F2022" s="1" t="s">
        <v>323</v>
      </c>
      <c r="H2022" s="1" t="s">
        <v>5344</v>
      </c>
      <c r="I2022" s="1" t="s">
        <v>19</v>
      </c>
      <c r="J2022" s="1" t="s">
        <v>6</v>
      </c>
      <c r="K2022" s="1" t="s">
        <v>24</v>
      </c>
      <c r="L2022" s="1">
        <v>7778576</v>
      </c>
      <c r="M2022" s="2">
        <v>43112</v>
      </c>
      <c r="N2022" s="1" t="s">
        <v>8</v>
      </c>
      <c r="O2022" s="2">
        <v>44208</v>
      </c>
    </row>
    <row r="2023" spans="1:15" ht="43.2" x14ac:dyDescent="0.3">
      <c r="A2023" s="1" t="s">
        <v>16859</v>
      </c>
      <c r="B2023" s="1" t="str">
        <f>"buy4save limited"</f>
        <v>buy4save limited</v>
      </c>
      <c r="C2023" s="1" t="s">
        <v>16860</v>
      </c>
      <c r="F2023" s="1" t="s">
        <v>556</v>
      </c>
      <c r="H2023" s="1" t="s">
        <v>16861</v>
      </c>
      <c r="I2023" s="1" t="s">
        <v>19</v>
      </c>
      <c r="J2023" s="1" t="s">
        <v>67</v>
      </c>
      <c r="K2023" s="1" t="s">
        <v>14</v>
      </c>
      <c r="M2023" s="2">
        <v>43112</v>
      </c>
      <c r="N2023" s="1" t="s">
        <v>8</v>
      </c>
      <c r="O2023" s="1" t="s">
        <v>68</v>
      </c>
    </row>
    <row r="2024" spans="1:15" ht="43.2" x14ac:dyDescent="0.3">
      <c r="A2024" s="1" t="s">
        <v>28818</v>
      </c>
      <c r="B2024" s="1" t="str">
        <f>"Gavin Roberts"</f>
        <v>Gavin Roberts</v>
      </c>
      <c r="C2024" s="1" t="s">
        <v>28819</v>
      </c>
      <c r="F2024" s="1" t="s">
        <v>532</v>
      </c>
      <c r="H2024" s="1" t="s">
        <v>28820</v>
      </c>
      <c r="I2024" s="1" t="s">
        <v>5</v>
      </c>
      <c r="J2024" s="1" t="s">
        <v>67</v>
      </c>
      <c r="K2024" s="1" t="s">
        <v>14</v>
      </c>
      <c r="M2024" s="2">
        <v>43112</v>
      </c>
      <c r="N2024" s="1" t="s">
        <v>8</v>
      </c>
      <c r="O2024" s="1" t="s">
        <v>68</v>
      </c>
    </row>
    <row r="2025" spans="1:15" ht="43.2" x14ac:dyDescent="0.3">
      <c r="A2025" s="1" t="s">
        <v>28821</v>
      </c>
      <c r="B2025" s="1" t="str">
        <f>"Lloyd Twigg"</f>
        <v>Lloyd Twigg</v>
      </c>
      <c r="C2025" s="1" t="s">
        <v>28822</v>
      </c>
      <c r="F2025" s="1" t="s">
        <v>156</v>
      </c>
      <c r="H2025" s="1" t="s">
        <v>28823</v>
      </c>
      <c r="I2025" s="1" t="s">
        <v>5</v>
      </c>
      <c r="J2025" s="1" t="s">
        <v>67</v>
      </c>
      <c r="K2025" s="1" t="s">
        <v>14</v>
      </c>
      <c r="M2025" s="2">
        <v>43112</v>
      </c>
      <c r="N2025" s="1" t="s">
        <v>8</v>
      </c>
      <c r="O2025" s="1" t="s">
        <v>68</v>
      </c>
    </row>
    <row r="2026" spans="1:15" ht="43.2" x14ac:dyDescent="0.3">
      <c r="A2026" s="1" t="s">
        <v>28824</v>
      </c>
      <c r="B2026" s="1" t="str">
        <f>"andrew beedles low cost emergency drainage"</f>
        <v>andrew beedles low cost emergency drainage</v>
      </c>
      <c r="C2026" s="1" t="s">
        <v>28825</v>
      </c>
      <c r="F2026" s="1" t="s">
        <v>64</v>
      </c>
      <c r="H2026" s="1" t="s">
        <v>10321</v>
      </c>
      <c r="I2026" s="1" t="s">
        <v>5</v>
      </c>
      <c r="J2026" s="1" t="s">
        <v>6</v>
      </c>
      <c r="K2026" s="1" t="s">
        <v>34</v>
      </c>
      <c r="M2026" s="2">
        <v>43112</v>
      </c>
      <c r="N2026" s="1" t="s">
        <v>8</v>
      </c>
      <c r="O2026" s="2">
        <v>44208</v>
      </c>
    </row>
    <row r="2027" spans="1:15" ht="28.8" x14ac:dyDescent="0.3">
      <c r="A2027" s="1" t="s">
        <v>28826</v>
      </c>
      <c r="B2027" s="1" t="str">
        <f>"Haydn Davies Haydn Davies Low Loaders"</f>
        <v>Haydn Davies Haydn Davies Low Loaders</v>
      </c>
      <c r="C2027" s="1" t="s">
        <v>28827</v>
      </c>
      <c r="F2027" s="1" t="s">
        <v>179</v>
      </c>
      <c r="H2027" s="1" t="s">
        <v>28828</v>
      </c>
      <c r="I2027" s="1" t="s">
        <v>5</v>
      </c>
      <c r="J2027" s="1" t="s">
        <v>6</v>
      </c>
      <c r="K2027" s="1" t="s">
        <v>34</v>
      </c>
      <c r="M2027" s="2">
        <v>43112</v>
      </c>
      <c r="N2027" s="1" t="s">
        <v>8</v>
      </c>
      <c r="O2027" s="2">
        <v>44208</v>
      </c>
    </row>
    <row r="2028" spans="1:15" ht="43.2" x14ac:dyDescent="0.3">
      <c r="A2028" s="1" t="s">
        <v>14916</v>
      </c>
      <c r="B2028" s="1" t="str">
        <f>"ASHWORTH COOLING SYSTEMS LIMITED"</f>
        <v>ASHWORTH COOLING SYSTEMS LIMITED</v>
      </c>
      <c r="C2028" s="1" t="s">
        <v>14917</v>
      </c>
      <c r="D2028" s="1" t="s">
        <v>14918</v>
      </c>
      <c r="F2028" s="1" t="s">
        <v>32</v>
      </c>
      <c r="H2028" s="1" t="s">
        <v>14919</v>
      </c>
      <c r="I2028" s="1" t="s">
        <v>19</v>
      </c>
      <c r="J2028" s="1" t="s">
        <v>67</v>
      </c>
      <c r="K2028" s="1" t="s">
        <v>24</v>
      </c>
      <c r="L2028" s="1">
        <v>3620403</v>
      </c>
      <c r="M2028" s="2">
        <v>43111</v>
      </c>
      <c r="N2028" s="1" t="s">
        <v>8</v>
      </c>
      <c r="O2028" s="1" t="s">
        <v>68</v>
      </c>
    </row>
    <row r="2029" spans="1:15" ht="43.2" x14ac:dyDescent="0.3">
      <c r="A2029" s="1" t="s">
        <v>14920</v>
      </c>
      <c r="B2029" s="1" t="str">
        <f>"GWYNEDD ENVIRONMENTAL WASTE SERVICES LTD"</f>
        <v>GWYNEDD ENVIRONMENTAL WASTE SERVICES LTD</v>
      </c>
      <c r="C2029" s="1" t="s">
        <v>3468</v>
      </c>
      <c r="F2029" s="1" t="s">
        <v>4033</v>
      </c>
      <c r="H2029" s="1" t="s">
        <v>14091</v>
      </c>
      <c r="I2029" s="1" t="s">
        <v>19</v>
      </c>
      <c r="J2029" s="1" t="s">
        <v>6</v>
      </c>
      <c r="K2029" s="1" t="s">
        <v>24</v>
      </c>
      <c r="L2029" s="1">
        <v>4364145</v>
      </c>
      <c r="M2029" s="2">
        <v>43111</v>
      </c>
      <c r="N2029" s="1" t="s">
        <v>8</v>
      </c>
      <c r="O2029" s="2">
        <v>44207</v>
      </c>
    </row>
    <row r="2030" spans="1:15" ht="28.8" x14ac:dyDescent="0.3">
      <c r="A2030" s="1" t="s">
        <v>14921</v>
      </c>
      <c r="B2030" s="1" t="str">
        <f>"GMT POINTING SPECIALISTS LIMITED"</f>
        <v>GMT POINTING SPECIALISTS LIMITED</v>
      </c>
      <c r="C2030" s="1" t="s">
        <v>14922</v>
      </c>
      <c r="F2030" s="1" t="s">
        <v>1479</v>
      </c>
      <c r="H2030" s="1" t="s">
        <v>14923</v>
      </c>
      <c r="I2030" s="1" t="s">
        <v>19</v>
      </c>
      <c r="J2030" s="1" t="s">
        <v>6</v>
      </c>
      <c r="K2030" s="1" t="s">
        <v>34</v>
      </c>
      <c r="L2030" s="1">
        <v>4455388</v>
      </c>
      <c r="M2030" s="2">
        <v>43111</v>
      </c>
      <c r="N2030" s="1" t="s">
        <v>8</v>
      </c>
      <c r="O2030" s="2">
        <v>44207</v>
      </c>
    </row>
    <row r="2031" spans="1:15" ht="43.2" x14ac:dyDescent="0.3">
      <c r="A2031" s="1" t="s">
        <v>15870</v>
      </c>
      <c r="B2031" s="1" t="str">
        <f>"Enviroliance Limited"</f>
        <v>Enviroliance Limited</v>
      </c>
      <c r="C2031" s="1" t="s">
        <v>15871</v>
      </c>
      <c r="F2031" s="1" t="s">
        <v>15872</v>
      </c>
      <c r="H2031" s="1" t="s">
        <v>15873</v>
      </c>
      <c r="I2031" s="1" t="s">
        <v>19</v>
      </c>
      <c r="J2031" s="1" t="s">
        <v>67</v>
      </c>
      <c r="K2031" s="1" t="s">
        <v>14</v>
      </c>
      <c r="M2031" s="2">
        <v>43111</v>
      </c>
      <c r="N2031" s="1" t="s">
        <v>8</v>
      </c>
      <c r="O2031" s="1" t="s">
        <v>68</v>
      </c>
    </row>
    <row r="2032" spans="1:15" ht="28.8" x14ac:dyDescent="0.3">
      <c r="A2032" s="1" t="s">
        <v>15874</v>
      </c>
      <c r="B2032" s="1" t="str">
        <f>"STIENS WASTE RECYCLING"</f>
        <v>STIENS WASTE RECYCLING</v>
      </c>
      <c r="C2032" s="1" t="s">
        <v>15875</v>
      </c>
      <c r="F2032" s="1" t="s">
        <v>888</v>
      </c>
      <c r="H2032" s="1" t="s">
        <v>11514</v>
      </c>
      <c r="I2032" s="1" t="s">
        <v>19</v>
      </c>
      <c r="J2032" s="1" t="s">
        <v>6</v>
      </c>
      <c r="K2032" s="1" t="s">
        <v>34</v>
      </c>
      <c r="L2032" s="1">
        <v>10704357</v>
      </c>
      <c r="M2032" s="2">
        <v>43111</v>
      </c>
      <c r="N2032" s="1" t="s">
        <v>8</v>
      </c>
      <c r="O2032" s="2">
        <v>44207</v>
      </c>
    </row>
    <row r="2033" spans="1:15" ht="28.8" x14ac:dyDescent="0.3">
      <c r="A2033" s="1" t="s">
        <v>15876</v>
      </c>
      <c r="B2033" s="1" t="str">
        <f>"Drew Services"</f>
        <v>Drew Services</v>
      </c>
      <c r="C2033" s="1" t="s">
        <v>15877</v>
      </c>
      <c r="D2033" s="1" t="s">
        <v>31</v>
      </c>
      <c r="F2033" s="1" t="s">
        <v>32</v>
      </c>
      <c r="H2033" s="1" t="s">
        <v>33</v>
      </c>
      <c r="I2033" s="1" t="s">
        <v>125</v>
      </c>
      <c r="J2033" s="1" t="s">
        <v>6</v>
      </c>
      <c r="K2033" s="1" t="s">
        <v>34</v>
      </c>
      <c r="M2033" s="2">
        <v>43111</v>
      </c>
      <c r="N2033" s="1" t="s">
        <v>8</v>
      </c>
      <c r="O2033" s="2">
        <v>44207</v>
      </c>
    </row>
    <row r="2034" spans="1:15" ht="43.2" x14ac:dyDescent="0.3">
      <c r="A2034" s="1" t="s">
        <v>15878</v>
      </c>
      <c r="B2034" s="1" t="str">
        <f>"AVRIL EUROPE LTD"</f>
        <v>AVRIL EUROPE LTD</v>
      </c>
      <c r="C2034" s="1" t="s">
        <v>15879</v>
      </c>
      <c r="F2034" s="1" t="s">
        <v>15880</v>
      </c>
      <c r="H2034" s="1" t="s">
        <v>15881</v>
      </c>
      <c r="I2034" s="1" t="s">
        <v>19</v>
      </c>
      <c r="J2034" s="1" t="s">
        <v>67</v>
      </c>
      <c r="K2034" s="1" t="s">
        <v>14</v>
      </c>
      <c r="M2034" s="2">
        <v>43111</v>
      </c>
      <c r="N2034" s="1" t="s">
        <v>8</v>
      </c>
      <c r="O2034" s="1" t="s">
        <v>68</v>
      </c>
    </row>
    <row r="2035" spans="1:15" ht="43.2" x14ac:dyDescent="0.3">
      <c r="A2035" s="1" t="s">
        <v>15882</v>
      </c>
      <c r="B2035" s="1" t="str">
        <f>"Lomas Office Furniture &amp; Stationery"</f>
        <v>Lomas Office Furniture &amp; Stationery</v>
      </c>
      <c r="C2035" s="1" t="s">
        <v>15883</v>
      </c>
      <c r="F2035" s="1" t="s">
        <v>15884</v>
      </c>
      <c r="H2035" s="1" t="s">
        <v>15885</v>
      </c>
      <c r="I2035" s="1" t="s">
        <v>19</v>
      </c>
      <c r="J2035" s="1" t="s">
        <v>67</v>
      </c>
      <c r="K2035" s="1" t="s">
        <v>14</v>
      </c>
      <c r="M2035" s="2">
        <v>43111</v>
      </c>
      <c r="N2035" s="1" t="s">
        <v>8</v>
      </c>
      <c r="O2035" s="1" t="s">
        <v>68</v>
      </c>
    </row>
    <row r="2036" spans="1:15" ht="43.2" x14ac:dyDescent="0.3">
      <c r="A2036" s="1" t="s">
        <v>15886</v>
      </c>
      <c r="B2036" s="1" t="str">
        <f>"Neath Care"</f>
        <v>Neath Care</v>
      </c>
      <c r="C2036" s="1" t="s">
        <v>441</v>
      </c>
      <c r="F2036" s="1" t="s">
        <v>32</v>
      </c>
      <c r="H2036" s="1" t="s">
        <v>442</v>
      </c>
      <c r="I2036" s="1" t="s">
        <v>19</v>
      </c>
      <c r="J2036" s="1" t="s">
        <v>67</v>
      </c>
      <c r="K2036" s="1" t="s">
        <v>14</v>
      </c>
      <c r="M2036" s="2">
        <v>43111</v>
      </c>
      <c r="N2036" s="1" t="s">
        <v>8</v>
      </c>
      <c r="O2036" s="1" t="s">
        <v>68</v>
      </c>
    </row>
    <row r="2037" spans="1:15" ht="43.2" x14ac:dyDescent="0.3">
      <c r="A2037" s="1" t="s">
        <v>15887</v>
      </c>
      <c r="B2037" s="1" t="str">
        <f>"CHAVA ltd"</f>
        <v>CHAVA ltd</v>
      </c>
      <c r="C2037" s="1" t="s">
        <v>15888</v>
      </c>
      <c r="F2037" s="1" t="s">
        <v>8782</v>
      </c>
      <c r="H2037" s="1" t="s">
        <v>15889</v>
      </c>
      <c r="I2037" s="1" t="s">
        <v>19</v>
      </c>
      <c r="J2037" s="1" t="s">
        <v>67</v>
      </c>
      <c r="K2037" s="1" t="s">
        <v>14</v>
      </c>
      <c r="M2037" s="2">
        <v>43111</v>
      </c>
      <c r="N2037" s="1" t="s">
        <v>8</v>
      </c>
      <c r="O2037" s="1" t="s">
        <v>68</v>
      </c>
    </row>
    <row r="2038" spans="1:15" ht="28.8" x14ac:dyDescent="0.3">
      <c r="A2038" s="1" t="s">
        <v>15890</v>
      </c>
      <c r="B2038" s="1" t="str">
        <f>"Alltrades  Commercial Property Serv"</f>
        <v>Alltrades  Commercial Property Serv</v>
      </c>
      <c r="C2038" s="1" t="s">
        <v>15891</v>
      </c>
      <c r="D2038" s="1" t="s">
        <v>15892</v>
      </c>
      <c r="F2038" s="1" t="s">
        <v>476</v>
      </c>
      <c r="H2038" s="1" t="s">
        <v>15893</v>
      </c>
      <c r="I2038" s="1" t="s">
        <v>19</v>
      </c>
      <c r="J2038" s="1" t="s">
        <v>6</v>
      </c>
      <c r="K2038" s="1" t="s">
        <v>34</v>
      </c>
      <c r="L2038" s="1">
        <v>11080728</v>
      </c>
      <c r="M2038" s="2">
        <v>43111</v>
      </c>
      <c r="N2038" s="1" t="s">
        <v>8</v>
      </c>
      <c r="O2038" s="2">
        <v>44207</v>
      </c>
    </row>
    <row r="2039" spans="1:15" ht="43.2" x14ac:dyDescent="0.3">
      <c r="A2039" s="1" t="s">
        <v>15894</v>
      </c>
      <c r="B2039" s="1" t="str">
        <f>"Pure Property Maintenance Ltd"</f>
        <v>Pure Property Maintenance Ltd</v>
      </c>
      <c r="C2039" s="1" t="s">
        <v>15895</v>
      </c>
      <c r="F2039" s="1" t="s">
        <v>4074</v>
      </c>
      <c r="H2039" s="1" t="s">
        <v>15896</v>
      </c>
      <c r="I2039" s="1" t="s">
        <v>19</v>
      </c>
      <c r="J2039" s="1" t="s">
        <v>67</v>
      </c>
      <c r="K2039" s="1" t="s">
        <v>24</v>
      </c>
      <c r="L2039" s="1">
        <v>10720986</v>
      </c>
      <c r="M2039" s="2">
        <v>43111</v>
      </c>
      <c r="N2039" s="1" t="s">
        <v>8</v>
      </c>
      <c r="O2039" s="1" t="s">
        <v>68</v>
      </c>
    </row>
    <row r="2040" spans="1:15" ht="28.8" x14ac:dyDescent="0.3">
      <c r="A2040" s="1" t="s">
        <v>28038</v>
      </c>
      <c r="B2040" s="1" t="str">
        <f>"Nigel  Swaine Swan property improvements "</f>
        <v xml:space="preserve">Nigel  Swaine Swan property improvements </v>
      </c>
      <c r="C2040" s="1" t="s">
        <v>28039</v>
      </c>
      <c r="F2040" s="1" t="s">
        <v>930</v>
      </c>
      <c r="H2040" s="1" t="s">
        <v>28040</v>
      </c>
      <c r="I2040" s="1" t="s">
        <v>5</v>
      </c>
      <c r="J2040" s="1" t="s">
        <v>6</v>
      </c>
      <c r="K2040" s="1" t="s">
        <v>24</v>
      </c>
      <c r="M2040" s="2">
        <v>43111</v>
      </c>
      <c r="N2040" s="1" t="s">
        <v>8</v>
      </c>
      <c r="O2040" s="2">
        <v>44207</v>
      </c>
    </row>
    <row r="2041" spans="1:15" ht="28.8" x14ac:dyDescent="0.3">
      <c r="A2041" s="1" t="s">
        <v>28041</v>
      </c>
      <c r="B2041" s="1" t="str">
        <f>"Anthony Brown A J Brown"</f>
        <v>Anthony Brown A J Brown</v>
      </c>
      <c r="C2041" s="1" t="s">
        <v>19559</v>
      </c>
      <c r="F2041" s="1" t="s">
        <v>532</v>
      </c>
      <c r="H2041" s="1" t="s">
        <v>19560</v>
      </c>
      <c r="I2041" s="1" t="s">
        <v>5</v>
      </c>
      <c r="J2041" s="1" t="s">
        <v>6</v>
      </c>
      <c r="K2041" s="1" t="s">
        <v>24</v>
      </c>
      <c r="M2041" s="2">
        <v>43111</v>
      </c>
      <c r="N2041" s="1" t="s">
        <v>8</v>
      </c>
      <c r="O2041" s="2">
        <v>44207</v>
      </c>
    </row>
    <row r="2042" spans="1:15" ht="28.8" x14ac:dyDescent="0.3">
      <c r="A2042" s="1" t="s">
        <v>28042</v>
      </c>
      <c r="B2042" s="1" t="str">
        <f>"Kylie  Thomas  Thomas metals of carmarthen "</f>
        <v xml:space="preserve">Kylie  Thomas  Thomas metals of carmarthen </v>
      </c>
      <c r="C2042" s="1" t="s">
        <v>28043</v>
      </c>
      <c r="F2042" s="1" t="s">
        <v>56</v>
      </c>
      <c r="H2042" s="1" t="s">
        <v>28044</v>
      </c>
      <c r="I2042" s="1" t="s">
        <v>5</v>
      </c>
      <c r="J2042" s="1" t="s">
        <v>6</v>
      </c>
      <c r="K2042" s="1" t="s">
        <v>24</v>
      </c>
      <c r="M2042" s="2">
        <v>43111</v>
      </c>
      <c r="N2042" s="1" t="s">
        <v>8</v>
      </c>
      <c r="O2042" s="2">
        <v>44207</v>
      </c>
    </row>
    <row r="2043" spans="1:15" ht="28.8" x14ac:dyDescent="0.3">
      <c r="A2043" s="1" t="s">
        <v>14038</v>
      </c>
      <c r="B2043" s="1" t="str">
        <f>"INDEPENDENT ENERGY SAVERS LIMITED"</f>
        <v>INDEPENDENT ENERGY SAVERS LIMITED</v>
      </c>
      <c r="C2043" s="1" t="s">
        <v>14039</v>
      </c>
      <c r="D2043" s="1" t="s">
        <v>2433</v>
      </c>
      <c r="F2043" s="1" t="s">
        <v>897</v>
      </c>
      <c r="H2043" s="1" t="s">
        <v>12873</v>
      </c>
      <c r="I2043" s="1" t="s">
        <v>19</v>
      </c>
      <c r="J2043" s="1" t="s">
        <v>6</v>
      </c>
      <c r="K2043" s="1" t="s">
        <v>34</v>
      </c>
      <c r="L2043" s="1">
        <v>8475413</v>
      </c>
      <c r="M2043" s="2">
        <v>43110</v>
      </c>
      <c r="N2043" s="1" t="s">
        <v>8</v>
      </c>
      <c r="O2043" s="2">
        <v>44206</v>
      </c>
    </row>
    <row r="2044" spans="1:15" ht="28.8" x14ac:dyDescent="0.3">
      <c r="A2044" s="1" t="s">
        <v>14040</v>
      </c>
      <c r="B2044" s="1" t="str">
        <f>"Hogan (Concrete) Ltd."</f>
        <v>Hogan (Concrete) Ltd.</v>
      </c>
      <c r="C2044" s="1" t="s">
        <v>14041</v>
      </c>
      <c r="F2044" s="1" t="s">
        <v>1321</v>
      </c>
      <c r="H2044" s="1" t="s">
        <v>4961</v>
      </c>
      <c r="I2044" s="1" t="s">
        <v>19</v>
      </c>
      <c r="J2044" s="1" t="s">
        <v>6</v>
      </c>
      <c r="K2044" s="1" t="s">
        <v>24</v>
      </c>
      <c r="L2044" s="1">
        <v>1561126</v>
      </c>
      <c r="M2044" s="2">
        <v>43110</v>
      </c>
      <c r="N2044" s="1" t="s">
        <v>8</v>
      </c>
      <c r="O2044" s="2">
        <v>44206</v>
      </c>
    </row>
    <row r="2045" spans="1:15" ht="28.8" x14ac:dyDescent="0.3">
      <c r="A2045" s="1" t="s">
        <v>14042</v>
      </c>
      <c r="B2045" s="1" t="str">
        <f>"Machinery Movements and Crane Hire"</f>
        <v>Machinery Movements and Crane Hire</v>
      </c>
      <c r="C2045" s="1" t="s">
        <v>14043</v>
      </c>
      <c r="D2045" s="1" t="s">
        <v>14044</v>
      </c>
      <c r="F2045" s="1" t="s">
        <v>123</v>
      </c>
      <c r="H2045" s="1" t="s">
        <v>14045</v>
      </c>
      <c r="I2045" s="1" t="s">
        <v>19</v>
      </c>
      <c r="J2045" s="1" t="s">
        <v>6</v>
      </c>
      <c r="K2045" s="1" t="s">
        <v>24</v>
      </c>
      <c r="L2045" s="1">
        <v>4702165</v>
      </c>
      <c r="M2045" s="2">
        <v>43110</v>
      </c>
      <c r="N2045" s="1" t="s">
        <v>8</v>
      </c>
      <c r="O2045" s="2">
        <v>44206</v>
      </c>
    </row>
    <row r="2046" spans="1:15" ht="43.2" x14ac:dyDescent="0.3">
      <c r="A2046" s="1" t="s">
        <v>14046</v>
      </c>
      <c r="B2046" s="1" t="str">
        <f>"GLYN EDWARDS OFFICE EQUIPMENT LTD"</f>
        <v>GLYN EDWARDS OFFICE EQUIPMENT LTD</v>
      </c>
      <c r="C2046" s="1" t="s">
        <v>14047</v>
      </c>
      <c r="F2046" s="1" t="s">
        <v>513</v>
      </c>
      <c r="H2046" s="1" t="s">
        <v>14048</v>
      </c>
      <c r="I2046" s="1" t="s">
        <v>19</v>
      </c>
      <c r="J2046" s="1" t="s">
        <v>6</v>
      </c>
      <c r="K2046" s="1" t="s">
        <v>34</v>
      </c>
      <c r="L2046" s="1">
        <v>1489926</v>
      </c>
      <c r="M2046" s="2">
        <v>43110</v>
      </c>
      <c r="N2046" s="1" t="s">
        <v>8</v>
      </c>
      <c r="O2046" s="2">
        <v>44206</v>
      </c>
    </row>
    <row r="2047" spans="1:15" ht="28.8" x14ac:dyDescent="0.3">
      <c r="A2047" s="1" t="s">
        <v>14049</v>
      </c>
      <c r="B2047" s="1" t="str">
        <f>"Hogan Aggregates Ltd."</f>
        <v>Hogan Aggregates Ltd.</v>
      </c>
      <c r="C2047" s="1" t="s">
        <v>14041</v>
      </c>
      <c r="F2047" s="1" t="s">
        <v>1321</v>
      </c>
      <c r="H2047" s="1" t="s">
        <v>4961</v>
      </c>
      <c r="I2047" s="1" t="s">
        <v>19</v>
      </c>
      <c r="J2047" s="1" t="s">
        <v>6</v>
      </c>
      <c r="K2047" s="1" t="s">
        <v>24</v>
      </c>
      <c r="L2047" s="1">
        <v>819284</v>
      </c>
      <c r="M2047" s="2">
        <v>43110</v>
      </c>
      <c r="N2047" s="1" t="s">
        <v>8</v>
      </c>
      <c r="O2047" s="2">
        <v>44206</v>
      </c>
    </row>
    <row r="2048" spans="1:15" ht="43.2" x14ac:dyDescent="0.3">
      <c r="A2048" s="1" t="s">
        <v>14050</v>
      </c>
      <c r="B2048" s="1" t="str">
        <f>"fenton convenience stores"</f>
        <v>fenton convenience stores</v>
      </c>
      <c r="C2048" s="1" t="s">
        <v>14051</v>
      </c>
      <c r="F2048" s="1" t="s">
        <v>14052</v>
      </c>
      <c r="H2048" s="1" t="s">
        <v>14053</v>
      </c>
      <c r="I2048" s="1" t="s">
        <v>19</v>
      </c>
      <c r="J2048" s="1" t="s">
        <v>67</v>
      </c>
      <c r="K2048" s="1" t="s">
        <v>14</v>
      </c>
      <c r="M2048" s="2">
        <v>43110</v>
      </c>
      <c r="N2048" s="1" t="s">
        <v>8</v>
      </c>
      <c r="O2048" s="1" t="s">
        <v>68</v>
      </c>
    </row>
    <row r="2049" spans="1:15" ht="28.8" x14ac:dyDescent="0.3">
      <c r="A2049" s="1" t="s">
        <v>14054</v>
      </c>
      <c r="B2049" s="1" t="str">
        <f>"J.K.S.C.K. Limited"</f>
        <v>J.K.S.C.K. Limited</v>
      </c>
      <c r="C2049" s="1" t="s">
        <v>14055</v>
      </c>
      <c r="F2049" s="1" t="s">
        <v>1058</v>
      </c>
      <c r="H2049" s="1" t="s">
        <v>2109</v>
      </c>
      <c r="I2049" s="1" t="s">
        <v>19</v>
      </c>
      <c r="J2049" s="1" t="s">
        <v>6</v>
      </c>
      <c r="K2049" s="1" t="s">
        <v>34</v>
      </c>
      <c r="L2049" s="1">
        <v>10825095</v>
      </c>
      <c r="M2049" s="2">
        <v>43110</v>
      </c>
      <c r="N2049" s="1" t="s">
        <v>8</v>
      </c>
      <c r="O2049" s="2">
        <v>44206</v>
      </c>
    </row>
    <row r="2050" spans="1:15" ht="28.8" x14ac:dyDescent="0.3">
      <c r="A2050" s="1" t="s">
        <v>14899</v>
      </c>
      <c r="B2050" s="1" t="str">
        <f>"Gordon Overthrow Glazing Limited"</f>
        <v>Gordon Overthrow Glazing Limited</v>
      </c>
      <c r="C2050" s="1" t="s">
        <v>10536</v>
      </c>
      <c r="D2050" s="1" t="s">
        <v>8406</v>
      </c>
      <c r="E2050" s="1" t="s">
        <v>3595</v>
      </c>
      <c r="F2050" s="1" t="s">
        <v>476</v>
      </c>
      <c r="H2050" s="1" t="s">
        <v>8407</v>
      </c>
      <c r="I2050" s="1" t="s">
        <v>19</v>
      </c>
      <c r="J2050" s="1" t="s">
        <v>6</v>
      </c>
      <c r="K2050" s="1" t="s">
        <v>34</v>
      </c>
      <c r="L2050" s="1">
        <v>6022759</v>
      </c>
      <c r="M2050" s="2">
        <v>43110</v>
      </c>
      <c r="N2050" s="1" t="s">
        <v>8</v>
      </c>
      <c r="O2050" s="2">
        <v>44206</v>
      </c>
    </row>
    <row r="2051" spans="1:15" ht="43.2" x14ac:dyDescent="0.3">
      <c r="A2051" s="1" t="s">
        <v>14900</v>
      </c>
      <c r="B2051" s="1" t="str">
        <f>"Blaenafon Cheddar Co Ltd"</f>
        <v>Blaenafon Cheddar Co Ltd</v>
      </c>
      <c r="C2051" s="1" t="s">
        <v>14901</v>
      </c>
      <c r="F2051" s="1" t="s">
        <v>1058</v>
      </c>
      <c r="H2051" s="1" t="s">
        <v>14902</v>
      </c>
      <c r="I2051" s="1" t="s">
        <v>19</v>
      </c>
      <c r="J2051" s="1" t="s">
        <v>67</v>
      </c>
      <c r="K2051" s="1" t="s">
        <v>14</v>
      </c>
      <c r="M2051" s="2">
        <v>43110</v>
      </c>
      <c r="N2051" s="1" t="s">
        <v>8</v>
      </c>
      <c r="O2051" s="1" t="s">
        <v>68</v>
      </c>
    </row>
    <row r="2052" spans="1:15" ht="28.8" x14ac:dyDescent="0.3">
      <c r="A2052" s="1" t="s">
        <v>14903</v>
      </c>
      <c r="B2052" s="1" t="str">
        <f>"Gateway To Wales Ltd"</f>
        <v>Gateway To Wales Ltd</v>
      </c>
      <c r="C2052" s="1" t="s">
        <v>14904</v>
      </c>
      <c r="D2052" s="1" t="s">
        <v>258</v>
      </c>
      <c r="F2052" s="1" t="s">
        <v>64</v>
      </c>
      <c r="H2052" s="1" t="s">
        <v>14905</v>
      </c>
      <c r="I2052" s="1" t="s">
        <v>19</v>
      </c>
      <c r="J2052" s="1" t="s">
        <v>6</v>
      </c>
      <c r="K2052" s="1" t="s">
        <v>24</v>
      </c>
      <c r="L2052" s="1">
        <v>10483841</v>
      </c>
      <c r="M2052" s="2">
        <v>43110</v>
      </c>
      <c r="N2052" s="1" t="s">
        <v>8</v>
      </c>
      <c r="O2052" s="2">
        <v>44206</v>
      </c>
    </row>
    <row r="2053" spans="1:15" ht="43.2" x14ac:dyDescent="0.3">
      <c r="A2053" s="1" t="s">
        <v>14906</v>
      </c>
      <c r="B2053" s="1" t="str">
        <f>"Romilly Nursing Home"</f>
        <v>Romilly Nursing Home</v>
      </c>
      <c r="C2053" s="1" t="s">
        <v>14907</v>
      </c>
      <c r="F2053" s="1" t="s">
        <v>123</v>
      </c>
      <c r="H2053" s="1" t="s">
        <v>14908</v>
      </c>
      <c r="I2053" s="1" t="s">
        <v>19</v>
      </c>
      <c r="J2053" s="1" t="s">
        <v>67</v>
      </c>
      <c r="K2053" s="1" t="s">
        <v>14</v>
      </c>
      <c r="M2053" s="2">
        <v>43110</v>
      </c>
      <c r="N2053" s="1" t="s">
        <v>8</v>
      </c>
      <c r="O2053" s="1" t="s">
        <v>68</v>
      </c>
    </row>
    <row r="2054" spans="1:15" ht="43.2" x14ac:dyDescent="0.3">
      <c r="A2054" s="1" t="s">
        <v>14909</v>
      </c>
      <c r="B2054" s="1" t="str">
        <f>"Dive Team Ltd"</f>
        <v>Dive Team Ltd</v>
      </c>
      <c r="C2054" s="1" t="s">
        <v>14910</v>
      </c>
      <c r="F2054" s="1" t="s">
        <v>1021</v>
      </c>
      <c r="H2054" s="1" t="s">
        <v>14911</v>
      </c>
      <c r="I2054" s="1" t="s">
        <v>19</v>
      </c>
      <c r="J2054" s="1" t="s">
        <v>67</v>
      </c>
      <c r="K2054" s="1" t="s">
        <v>14</v>
      </c>
      <c r="M2054" s="2">
        <v>43110</v>
      </c>
      <c r="N2054" s="1" t="s">
        <v>8</v>
      </c>
      <c r="O2054" s="1" t="s">
        <v>68</v>
      </c>
    </row>
    <row r="2055" spans="1:15" ht="28.8" x14ac:dyDescent="0.3">
      <c r="A2055" s="1" t="s">
        <v>14912</v>
      </c>
      <c r="B2055" s="1" t="str">
        <f>"Redwood Construction Cardiff Ltd"</f>
        <v>Redwood Construction Cardiff Ltd</v>
      </c>
      <c r="C2055" s="1" t="s">
        <v>14913</v>
      </c>
      <c r="F2055" s="1" t="s">
        <v>123</v>
      </c>
      <c r="H2055" s="1" t="s">
        <v>14914</v>
      </c>
      <c r="I2055" s="1" t="s">
        <v>19</v>
      </c>
      <c r="J2055" s="1" t="s">
        <v>6</v>
      </c>
      <c r="K2055" s="1" t="s">
        <v>34</v>
      </c>
      <c r="L2055" s="1">
        <v>9209064</v>
      </c>
      <c r="M2055" s="2">
        <v>43110</v>
      </c>
      <c r="N2055" s="1" t="s">
        <v>8</v>
      </c>
      <c r="O2055" s="2">
        <v>44206</v>
      </c>
    </row>
    <row r="2056" spans="1:15" ht="43.2" x14ac:dyDescent="0.3">
      <c r="A2056" s="1" t="s">
        <v>14915</v>
      </c>
      <c r="B2056" s="1" t="str">
        <f>"lakeside fish bar"</f>
        <v>lakeside fish bar</v>
      </c>
      <c r="C2056" s="1" t="s">
        <v>8741</v>
      </c>
      <c r="F2056" s="1" t="s">
        <v>380</v>
      </c>
      <c r="H2056" s="1" t="s">
        <v>8742</v>
      </c>
      <c r="I2056" s="1" t="s">
        <v>125</v>
      </c>
      <c r="J2056" s="1" t="s">
        <v>67</v>
      </c>
      <c r="K2056" s="1" t="s">
        <v>14</v>
      </c>
      <c r="M2056" s="2">
        <v>43110</v>
      </c>
      <c r="N2056" s="1" t="s">
        <v>8</v>
      </c>
      <c r="O2056" s="1" t="s">
        <v>68</v>
      </c>
    </row>
    <row r="2057" spans="1:15" ht="43.2" x14ac:dyDescent="0.3">
      <c r="A2057" s="1" t="s">
        <v>26451</v>
      </c>
      <c r="B2057" s="1" t="str">
        <f>"Peter Howells"</f>
        <v>Peter Howells</v>
      </c>
      <c r="C2057" s="1" t="s">
        <v>25672</v>
      </c>
      <c r="D2057" s="1" t="s">
        <v>449</v>
      </c>
      <c r="F2057" s="1" t="s">
        <v>42</v>
      </c>
      <c r="H2057" s="1" t="s">
        <v>25673</v>
      </c>
      <c r="I2057" s="1" t="s">
        <v>5</v>
      </c>
      <c r="J2057" s="1" t="s">
        <v>67</v>
      </c>
      <c r="K2057" s="1" t="s">
        <v>14</v>
      </c>
      <c r="M2057" s="2">
        <v>43110</v>
      </c>
      <c r="N2057" s="1" t="s">
        <v>8</v>
      </c>
      <c r="O2057" s="1" t="s">
        <v>68</v>
      </c>
    </row>
    <row r="2058" spans="1:15" ht="43.2" x14ac:dyDescent="0.3">
      <c r="A2058" s="1" t="s">
        <v>27216</v>
      </c>
      <c r="B2058" s="1" t="str">
        <f>"MARIAN TANASE"</f>
        <v>MARIAN TANASE</v>
      </c>
      <c r="C2058" s="1" t="s">
        <v>27217</v>
      </c>
      <c r="F2058" s="1" t="s">
        <v>19104</v>
      </c>
      <c r="H2058" s="1" t="s">
        <v>27218</v>
      </c>
      <c r="I2058" s="1" t="s">
        <v>5</v>
      </c>
      <c r="J2058" s="1" t="s">
        <v>67</v>
      </c>
      <c r="K2058" s="1" t="s">
        <v>14</v>
      </c>
      <c r="M2058" s="2">
        <v>43110</v>
      </c>
      <c r="N2058" s="1" t="s">
        <v>8</v>
      </c>
      <c r="O2058" s="1" t="s">
        <v>68</v>
      </c>
    </row>
    <row r="2059" spans="1:15" ht="43.2" x14ac:dyDescent="0.3">
      <c r="A2059" s="1" t="s">
        <v>27219</v>
      </c>
      <c r="B2059" s="1" t="str">
        <f>"David Harris"</f>
        <v>David Harris</v>
      </c>
      <c r="C2059" s="1" t="s">
        <v>27220</v>
      </c>
      <c r="F2059" s="1" t="s">
        <v>140</v>
      </c>
      <c r="H2059" s="1" t="s">
        <v>27221</v>
      </c>
      <c r="I2059" s="1" t="s">
        <v>5</v>
      </c>
      <c r="J2059" s="1" t="s">
        <v>67</v>
      </c>
      <c r="K2059" s="1" t="s">
        <v>14</v>
      </c>
      <c r="M2059" s="2">
        <v>43110</v>
      </c>
      <c r="N2059" s="1" t="s">
        <v>8</v>
      </c>
      <c r="O2059" s="1" t="s">
        <v>68</v>
      </c>
    </row>
    <row r="2060" spans="1:15" ht="28.8" x14ac:dyDescent="0.3">
      <c r="A2060" s="1" t="s">
        <v>27222</v>
      </c>
      <c r="B2060" s="1" t="str">
        <f>"steven farnham SGS GARDENING SERVICES"</f>
        <v>steven farnham SGS GARDENING SERVICES</v>
      </c>
      <c r="C2060" s="1" t="s">
        <v>27223</v>
      </c>
      <c r="F2060" s="1" t="s">
        <v>123</v>
      </c>
      <c r="H2060" s="1" t="s">
        <v>27224</v>
      </c>
      <c r="I2060" s="1" t="s">
        <v>5</v>
      </c>
      <c r="J2060" s="1" t="s">
        <v>6</v>
      </c>
      <c r="K2060" s="1" t="s">
        <v>24</v>
      </c>
      <c r="M2060" s="2">
        <v>43110</v>
      </c>
      <c r="N2060" s="1" t="s">
        <v>8</v>
      </c>
      <c r="O2060" s="2">
        <v>44206</v>
      </c>
    </row>
    <row r="2061" spans="1:15" ht="28.8" x14ac:dyDescent="0.3">
      <c r="A2061" s="1" t="s">
        <v>27225</v>
      </c>
      <c r="B2061" s="1" t="str">
        <f>"Jordan Vickery JTV Construction "</f>
        <v xml:space="preserve">Jordan Vickery JTV Construction </v>
      </c>
      <c r="C2061" s="1" t="s">
        <v>27226</v>
      </c>
      <c r="F2061" s="1" t="s">
        <v>6835</v>
      </c>
      <c r="H2061" s="1" t="s">
        <v>27227</v>
      </c>
      <c r="I2061" s="1" t="s">
        <v>5</v>
      </c>
      <c r="J2061" s="1" t="s">
        <v>6</v>
      </c>
      <c r="K2061" s="1" t="s">
        <v>24</v>
      </c>
      <c r="M2061" s="2">
        <v>43110</v>
      </c>
      <c r="N2061" s="1" t="s">
        <v>8</v>
      </c>
      <c r="O2061" s="2">
        <v>44206</v>
      </c>
    </row>
    <row r="2062" spans="1:15" ht="28.8" x14ac:dyDescent="0.3">
      <c r="A2062" s="1" t="s">
        <v>13009</v>
      </c>
      <c r="B2062" s="1" t="str">
        <f>"PBH Facilities Services Limited"</f>
        <v>PBH Facilities Services Limited</v>
      </c>
      <c r="C2062" s="1" t="s">
        <v>13010</v>
      </c>
      <c r="D2062" s="1" t="s">
        <v>13011</v>
      </c>
      <c r="F2062" s="1" t="s">
        <v>380</v>
      </c>
      <c r="H2062" s="1" t="s">
        <v>3354</v>
      </c>
      <c r="I2062" s="1" t="s">
        <v>19</v>
      </c>
      <c r="J2062" s="1" t="s">
        <v>6</v>
      </c>
      <c r="K2062" s="1" t="s">
        <v>34</v>
      </c>
      <c r="L2062" s="1">
        <v>9624871</v>
      </c>
      <c r="M2062" s="2">
        <v>43109</v>
      </c>
      <c r="N2062" s="1" t="s">
        <v>8</v>
      </c>
      <c r="O2062" s="2">
        <v>44205</v>
      </c>
    </row>
    <row r="2063" spans="1:15" ht="43.2" x14ac:dyDescent="0.3">
      <c r="A2063" s="1" t="s">
        <v>13012</v>
      </c>
      <c r="B2063" s="1" t="str">
        <f>"Sayan Enterprise Limited"</f>
        <v>Sayan Enterprise Limited</v>
      </c>
      <c r="C2063" s="1" t="s">
        <v>13013</v>
      </c>
      <c r="F2063" s="1" t="s">
        <v>123</v>
      </c>
      <c r="H2063" s="1" t="s">
        <v>910</v>
      </c>
      <c r="I2063" s="1" t="s">
        <v>19</v>
      </c>
      <c r="J2063" s="1" t="s">
        <v>67</v>
      </c>
      <c r="K2063" s="1" t="s">
        <v>14</v>
      </c>
      <c r="M2063" s="2">
        <v>43109</v>
      </c>
      <c r="N2063" s="1" t="s">
        <v>8</v>
      </c>
      <c r="O2063" s="1" t="s">
        <v>68</v>
      </c>
    </row>
    <row r="2064" spans="1:15" ht="43.2" x14ac:dyDescent="0.3">
      <c r="A2064" s="1" t="s">
        <v>13014</v>
      </c>
      <c r="B2064" s="1" t="str">
        <f>"R.J. DAVIES RESCUE LTD"</f>
        <v>R.J. DAVIES RESCUE LTD</v>
      </c>
      <c r="C2064" s="1" t="s">
        <v>13015</v>
      </c>
      <c r="F2064" s="1" t="s">
        <v>123</v>
      </c>
      <c r="H2064" s="1" t="s">
        <v>13016</v>
      </c>
      <c r="I2064" s="1" t="s">
        <v>19</v>
      </c>
      <c r="J2064" s="1" t="s">
        <v>67</v>
      </c>
      <c r="K2064" s="1" t="s">
        <v>14</v>
      </c>
      <c r="M2064" s="2">
        <v>43109</v>
      </c>
      <c r="N2064" s="1" t="s">
        <v>8</v>
      </c>
      <c r="O2064" s="1" t="s">
        <v>68</v>
      </c>
    </row>
    <row r="2065" spans="1:15" ht="28.8" x14ac:dyDescent="0.3">
      <c r="A2065" s="1" t="s">
        <v>13017</v>
      </c>
      <c r="B2065" s="1" t="str">
        <f>"S E Cleaning Services"</f>
        <v>S E Cleaning Services</v>
      </c>
      <c r="C2065" s="1" t="s">
        <v>13018</v>
      </c>
      <c r="F2065" s="1" t="s">
        <v>179</v>
      </c>
      <c r="H2065" s="1" t="s">
        <v>6151</v>
      </c>
      <c r="I2065" s="1" t="s">
        <v>125</v>
      </c>
      <c r="J2065" s="1" t="s">
        <v>6</v>
      </c>
      <c r="K2065" s="1" t="s">
        <v>34</v>
      </c>
      <c r="M2065" s="2">
        <v>43109</v>
      </c>
      <c r="N2065" s="1" t="s">
        <v>8</v>
      </c>
      <c r="O2065" s="2">
        <v>44205</v>
      </c>
    </row>
    <row r="2066" spans="1:15" ht="28.8" x14ac:dyDescent="0.3">
      <c r="A2066" s="1" t="s">
        <v>13019</v>
      </c>
      <c r="B2066" s="1" t="str">
        <f>"FREIGHT MOVEMENT LTD"</f>
        <v>FREIGHT MOVEMENT LTD</v>
      </c>
      <c r="C2066" s="1" t="s">
        <v>13020</v>
      </c>
      <c r="D2066" s="1" t="s">
        <v>2438</v>
      </c>
      <c r="F2066" s="1" t="s">
        <v>156</v>
      </c>
      <c r="H2066" s="1" t="s">
        <v>520</v>
      </c>
      <c r="I2066" s="1" t="s">
        <v>19</v>
      </c>
      <c r="J2066" s="1" t="s">
        <v>6</v>
      </c>
      <c r="K2066" s="1" t="s">
        <v>34</v>
      </c>
      <c r="L2066" s="1">
        <v>3605486</v>
      </c>
      <c r="M2066" s="2">
        <v>43109</v>
      </c>
      <c r="N2066" s="1" t="s">
        <v>8</v>
      </c>
      <c r="O2066" s="2">
        <v>44205</v>
      </c>
    </row>
    <row r="2067" spans="1:15" ht="43.2" x14ac:dyDescent="0.3">
      <c r="A2067" s="1" t="s">
        <v>14034</v>
      </c>
      <c r="B2067" s="1" t="str">
        <f>"The Landscape Yard Ltd"</f>
        <v>The Landscape Yard Ltd</v>
      </c>
      <c r="C2067" s="1" t="s">
        <v>14035</v>
      </c>
      <c r="F2067" s="1" t="s">
        <v>14036</v>
      </c>
      <c r="H2067" s="1" t="s">
        <v>14037</v>
      </c>
      <c r="I2067" s="1" t="s">
        <v>19</v>
      </c>
      <c r="J2067" s="1" t="s">
        <v>67</v>
      </c>
      <c r="K2067" s="1" t="s">
        <v>14</v>
      </c>
      <c r="M2067" s="2">
        <v>43109</v>
      </c>
      <c r="N2067" s="1" t="s">
        <v>8</v>
      </c>
      <c r="O2067" s="1" t="s">
        <v>68</v>
      </c>
    </row>
    <row r="2068" spans="1:15" ht="28.8" x14ac:dyDescent="0.3">
      <c r="A2068" s="1" t="s">
        <v>25666</v>
      </c>
      <c r="B2068" s="1" t="str">
        <f>"Oliver Smith Olive Tree Gardening Services "</f>
        <v xml:space="preserve">Oliver Smith Olive Tree Gardening Services </v>
      </c>
      <c r="C2068" s="1" t="s">
        <v>25667</v>
      </c>
      <c r="F2068" s="1" t="s">
        <v>156</v>
      </c>
      <c r="H2068" s="1" t="s">
        <v>25668</v>
      </c>
      <c r="I2068" s="1" t="s">
        <v>5</v>
      </c>
      <c r="J2068" s="1" t="s">
        <v>6</v>
      </c>
      <c r="K2068" s="1" t="s">
        <v>24</v>
      </c>
      <c r="M2068" s="2">
        <v>43109</v>
      </c>
      <c r="N2068" s="1" t="s">
        <v>8</v>
      </c>
      <c r="O2068" s="2">
        <v>44205</v>
      </c>
    </row>
    <row r="2069" spans="1:15" ht="43.2" x14ac:dyDescent="0.3">
      <c r="A2069" s="1" t="s">
        <v>25669</v>
      </c>
      <c r="B2069" s="1" t="str">
        <f>"Dean Rogers"</f>
        <v>Dean Rogers</v>
      </c>
      <c r="C2069" s="1" t="s">
        <v>25670</v>
      </c>
      <c r="F2069" s="1" t="s">
        <v>42</v>
      </c>
      <c r="H2069" s="1" t="s">
        <v>5918</v>
      </c>
      <c r="I2069" s="1" t="s">
        <v>5</v>
      </c>
      <c r="J2069" s="1" t="s">
        <v>67</v>
      </c>
      <c r="K2069" s="1" t="s">
        <v>14</v>
      </c>
      <c r="M2069" s="2">
        <v>43109</v>
      </c>
      <c r="N2069" s="1" t="s">
        <v>8</v>
      </c>
      <c r="O2069" s="1" t="s">
        <v>68</v>
      </c>
    </row>
    <row r="2070" spans="1:15" ht="28.8" x14ac:dyDescent="0.3">
      <c r="A2070" s="1" t="s">
        <v>25671</v>
      </c>
      <c r="B2070" s="1" t="str">
        <f>"Peter Howells"</f>
        <v>Peter Howells</v>
      </c>
      <c r="C2070" s="1" t="s">
        <v>25672</v>
      </c>
      <c r="D2070" s="1" t="s">
        <v>449</v>
      </c>
      <c r="F2070" s="1" t="s">
        <v>42</v>
      </c>
      <c r="H2070" s="1" t="s">
        <v>25673</v>
      </c>
      <c r="I2070" s="1" t="s">
        <v>5</v>
      </c>
      <c r="J2070" s="1" t="s">
        <v>6</v>
      </c>
      <c r="K2070" s="1" t="s">
        <v>34</v>
      </c>
      <c r="M2070" s="2">
        <v>43109</v>
      </c>
      <c r="N2070" s="1" t="s">
        <v>8</v>
      </c>
      <c r="O2070" s="2">
        <v>44205</v>
      </c>
    </row>
    <row r="2071" spans="1:15" ht="43.2" x14ac:dyDescent="0.3">
      <c r="A2071" s="1" t="s">
        <v>25674</v>
      </c>
      <c r="B2071" s="1" t="str">
        <f>"mike moss"</f>
        <v>mike moss</v>
      </c>
      <c r="C2071" s="1" t="s">
        <v>25675</v>
      </c>
      <c r="F2071" s="1" t="s">
        <v>4768</v>
      </c>
      <c r="H2071" s="1" t="s">
        <v>25676</v>
      </c>
      <c r="I2071" s="1" t="s">
        <v>5</v>
      </c>
      <c r="J2071" s="1" t="s">
        <v>67</v>
      </c>
      <c r="K2071" s="1" t="s">
        <v>14</v>
      </c>
      <c r="M2071" s="2">
        <v>43109</v>
      </c>
      <c r="N2071" s="1" t="s">
        <v>8</v>
      </c>
      <c r="O2071" s="1" t="s">
        <v>68</v>
      </c>
    </row>
    <row r="2072" spans="1:15" ht="28.8" x14ac:dyDescent="0.3">
      <c r="A2072" s="1" t="s">
        <v>25677</v>
      </c>
      <c r="B2072" s="1" t="str">
        <f>"Tony Jones Tony Jones Scrap Metal Dealer"</f>
        <v>Tony Jones Tony Jones Scrap Metal Dealer</v>
      </c>
      <c r="C2072" s="1" t="s">
        <v>25678</v>
      </c>
      <c r="D2072" s="1" t="s">
        <v>2596</v>
      </c>
      <c r="F2072" s="1" t="s">
        <v>4944</v>
      </c>
      <c r="H2072" s="1" t="s">
        <v>14005</v>
      </c>
      <c r="I2072" s="1" t="s">
        <v>5</v>
      </c>
      <c r="J2072" s="1" t="s">
        <v>6</v>
      </c>
      <c r="K2072" s="1" t="s">
        <v>24</v>
      </c>
      <c r="M2072" s="2">
        <v>43109</v>
      </c>
      <c r="N2072" s="1" t="s">
        <v>8</v>
      </c>
      <c r="O2072" s="2">
        <v>44205</v>
      </c>
    </row>
    <row r="2073" spans="1:15" ht="28.8" x14ac:dyDescent="0.3">
      <c r="A2073" s="1" t="s">
        <v>26446</v>
      </c>
      <c r="B2073" s="1" t="str">
        <f>"Jason Ferris JR Group"</f>
        <v>Jason Ferris JR Group</v>
      </c>
      <c r="C2073" s="1" t="s">
        <v>26447</v>
      </c>
      <c r="D2073" s="1" t="s">
        <v>1834</v>
      </c>
      <c r="F2073" s="1" t="s">
        <v>123</v>
      </c>
      <c r="H2073" s="1" t="s">
        <v>461</v>
      </c>
      <c r="I2073" s="1" t="s">
        <v>5</v>
      </c>
      <c r="J2073" s="1" t="s">
        <v>6</v>
      </c>
      <c r="K2073" s="1" t="s">
        <v>1859</v>
      </c>
      <c r="M2073" s="2">
        <v>43109</v>
      </c>
      <c r="N2073" s="1" t="s">
        <v>8</v>
      </c>
      <c r="O2073" s="2">
        <v>44205</v>
      </c>
    </row>
    <row r="2074" spans="1:15" ht="28.8" x14ac:dyDescent="0.3">
      <c r="A2074" s="1" t="s">
        <v>26448</v>
      </c>
      <c r="B2074" s="1" t="str">
        <f>"dean williams d.w rubbish removals "</f>
        <v xml:space="preserve">dean williams d.w rubbish removals </v>
      </c>
      <c r="C2074" s="1" t="s">
        <v>26449</v>
      </c>
      <c r="F2074" s="1" t="s">
        <v>64</v>
      </c>
      <c r="H2074" s="1" t="s">
        <v>26450</v>
      </c>
      <c r="I2074" s="1" t="s">
        <v>5</v>
      </c>
      <c r="J2074" s="1" t="s">
        <v>6</v>
      </c>
      <c r="K2074" s="1" t="s">
        <v>24</v>
      </c>
      <c r="M2074" s="2">
        <v>43109</v>
      </c>
      <c r="N2074" s="1" t="s">
        <v>8</v>
      </c>
      <c r="O2074" s="2">
        <v>44205</v>
      </c>
    </row>
    <row r="2075" spans="1:15" ht="28.8" x14ac:dyDescent="0.3">
      <c r="A2075" s="1" t="s">
        <v>12024</v>
      </c>
      <c r="B2075" s="1" t="str">
        <f>"T J MUGRIDGE LTD"</f>
        <v>T J MUGRIDGE LTD</v>
      </c>
      <c r="C2075" s="1" t="s">
        <v>12025</v>
      </c>
      <c r="F2075" s="1" t="s">
        <v>12026</v>
      </c>
      <c r="H2075" s="1" t="s">
        <v>12027</v>
      </c>
      <c r="I2075" s="1" t="s">
        <v>19</v>
      </c>
      <c r="J2075" s="1" t="s">
        <v>6</v>
      </c>
      <c r="K2075" s="1" t="s">
        <v>24</v>
      </c>
      <c r="L2075" s="1">
        <v>11106773</v>
      </c>
      <c r="M2075" s="2">
        <v>43108</v>
      </c>
      <c r="N2075" s="1" t="s">
        <v>8</v>
      </c>
      <c r="O2075" s="2">
        <v>44204</v>
      </c>
    </row>
    <row r="2076" spans="1:15" ht="28.8" x14ac:dyDescent="0.3">
      <c r="A2076" s="1" t="s">
        <v>12028</v>
      </c>
      <c r="B2076" s="1" t="str">
        <f>"North Wales Alarms Ltd"</f>
        <v>North Wales Alarms Ltd</v>
      </c>
      <c r="C2076" s="1" t="s">
        <v>12029</v>
      </c>
      <c r="F2076" s="1" t="s">
        <v>374</v>
      </c>
      <c r="H2076" s="1" t="s">
        <v>12030</v>
      </c>
      <c r="I2076" s="1" t="s">
        <v>19</v>
      </c>
      <c r="J2076" s="1" t="s">
        <v>6</v>
      </c>
      <c r="K2076" s="1" t="s">
        <v>34</v>
      </c>
      <c r="L2076" s="1">
        <v>4785576</v>
      </c>
      <c r="M2076" s="2">
        <v>43108</v>
      </c>
      <c r="N2076" s="1" t="s">
        <v>8</v>
      </c>
      <c r="O2076" s="2">
        <v>44204</v>
      </c>
    </row>
    <row r="2077" spans="1:15" ht="28.8" x14ac:dyDescent="0.3">
      <c r="A2077" s="1" t="s">
        <v>12031</v>
      </c>
      <c r="B2077" s="1" t="str">
        <f>"emis facilities management ltd"</f>
        <v>emis facilities management ltd</v>
      </c>
      <c r="C2077" s="1" t="s">
        <v>12032</v>
      </c>
      <c r="D2077" s="1" t="s">
        <v>12033</v>
      </c>
      <c r="F2077" s="1" t="s">
        <v>825</v>
      </c>
      <c r="H2077" s="1" t="s">
        <v>12034</v>
      </c>
      <c r="I2077" s="1" t="s">
        <v>19</v>
      </c>
      <c r="J2077" s="1" t="s">
        <v>6</v>
      </c>
      <c r="K2077" s="1" t="s">
        <v>24</v>
      </c>
      <c r="L2077" s="1">
        <v>10816751</v>
      </c>
      <c r="M2077" s="2">
        <v>43108</v>
      </c>
      <c r="N2077" s="1" t="s">
        <v>8</v>
      </c>
      <c r="O2077" s="2">
        <v>44204</v>
      </c>
    </row>
    <row r="2078" spans="1:15" ht="28.8" x14ac:dyDescent="0.3">
      <c r="A2078" s="1" t="s">
        <v>12035</v>
      </c>
      <c r="B2078" s="1" t="str">
        <f>"CJ Law Contractors Ltd"</f>
        <v>CJ Law Contractors Ltd</v>
      </c>
      <c r="C2078" s="1" t="s">
        <v>12036</v>
      </c>
      <c r="F2078" s="1" t="s">
        <v>1818</v>
      </c>
      <c r="H2078" s="1" t="s">
        <v>12037</v>
      </c>
      <c r="I2078" s="1" t="s">
        <v>19</v>
      </c>
      <c r="J2078" s="1" t="s">
        <v>6</v>
      </c>
      <c r="K2078" s="1" t="s">
        <v>34</v>
      </c>
      <c r="L2078" s="1">
        <v>10703731</v>
      </c>
      <c r="M2078" s="2">
        <v>43108</v>
      </c>
      <c r="N2078" s="1" t="s">
        <v>8</v>
      </c>
      <c r="O2078" s="2">
        <v>44204</v>
      </c>
    </row>
    <row r="2079" spans="1:15" ht="28.8" x14ac:dyDescent="0.3">
      <c r="A2079" s="1" t="s">
        <v>12038</v>
      </c>
      <c r="B2079" s="1" t="str">
        <f>"J. A. BOWEN &amp; CO. CONTRACTING LTD"</f>
        <v>J. A. BOWEN &amp; CO. CONTRACTING LTD</v>
      </c>
      <c r="C2079" s="1" t="s">
        <v>12039</v>
      </c>
      <c r="D2079" s="1" t="s">
        <v>12040</v>
      </c>
      <c r="F2079" s="1" t="s">
        <v>2459</v>
      </c>
      <c r="H2079" s="1" t="s">
        <v>12041</v>
      </c>
      <c r="I2079" s="1" t="s">
        <v>19</v>
      </c>
      <c r="J2079" s="1" t="s">
        <v>6</v>
      </c>
      <c r="K2079" s="1" t="s">
        <v>34</v>
      </c>
      <c r="L2079" s="1">
        <v>4495314</v>
      </c>
      <c r="M2079" s="2">
        <v>43108</v>
      </c>
      <c r="N2079" s="1" t="s">
        <v>8</v>
      </c>
      <c r="O2079" s="2">
        <v>44204</v>
      </c>
    </row>
    <row r="2080" spans="1:15" ht="28.8" x14ac:dyDescent="0.3">
      <c r="A2080" s="1" t="s">
        <v>12042</v>
      </c>
      <c r="B2080" s="1" t="str">
        <f>"GREENSPORT TRADING LIMITED"</f>
        <v>GREENSPORT TRADING LIMITED</v>
      </c>
      <c r="C2080" s="1" t="s">
        <v>12043</v>
      </c>
      <c r="F2080" s="1" t="s">
        <v>179</v>
      </c>
      <c r="H2080" s="1" t="s">
        <v>12044</v>
      </c>
      <c r="I2080" s="1" t="s">
        <v>19</v>
      </c>
      <c r="J2080" s="1" t="s">
        <v>6</v>
      </c>
      <c r="K2080" s="1" t="s">
        <v>34</v>
      </c>
      <c r="L2080" s="1">
        <v>8317255</v>
      </c>
      <c r="M2080" s="2">
        <v>43108</v>
      </c>
      <c r="N2080" s="1" t="s">
        <v>8</v>
      </c>
      <c r="O2080" s="2">
        <v>44204</v>
      </c>
    </row>
    <row r="2081" spans="1:15" ht="28.8" x14ac:dyDescent="0.3">
      <c r="A2081" s="1" t="s">
        <v>12045</v>
      </c>
      <c r="B2081" s="1" t="str">
        <f>"Redkey Construction Limited"</f>
        <v>Redkey Construction Limited</v>
      </c>
      <c r="C2081" s="1" t="s">
        <v>12046</v>
      </c>
      <c r="F2081" s="1" t="s">
        <v>3068</v>
      </c>
      <c r="H2081" s="1" t="s">
        <v>12047</v>
      </c>
      <c r="I2081" s="1" t="s">
        <v>19</v>
      </c>
      <c r="J2081" s="1" t="s">
        <v>6</v>
      </c>
      <c r="K2081" s="1" t="s">
        <v>34</v>
      </c>
      <c r="L2081" s="1">
        <v>9494816</v>
      </c>
      <c r="M2081" s="2">
        <v>43108</v>
      </c>
      <c r="N2081" s="1" t="s">
        <v>8</v>
      </c>
      <c r="O2081" s="2">
        <v>44204</v>
      </c>
    </row>
    <row r="2082" spans="1:15" ht="28.8" x14ac:dyDescent="0.3">
      <c r="A2082" s="1" t="s">
        <v>13005</v>
      </c>
      <c r="B2082" s="1" t="str">
        <f>"React plumbing and heating limited "</f>
        <v xml:space="preserve">React plumbing and heating limited </v>
      </c>
      <c r="C2082" s="1" t="s">
        <v>13006</v>
      </c>
      <c r="F2082" s="1" t="s">
        <v>13007</v>
      </c>
      <c r="H2082" s="1" t="s">
        <v>13008</v>
      </c>
      <c r="I2082" s="1" t="s">
        <v>19</v>
      </c>
      <c r="J2082" s="1" t="s">
        <v>6</v>
      </c>
      <c r="K2082" s="1" t="s">
        <v>34</v>
      </c>
      <c r="L2082" s="1">
        <v>9454410</v>
      </c>
      <c r="M2082" s="2">
        <v>43108</v>
      </c>
      <c r="N2082" s="1" t="s">
        <v>8</v>
      </c>
      <c r="O2082" s="2">
        <v>44204</v>
      </c>
    </row>
    <row r="2083" spans="1:15" ht="28.8" x14ac:dyDescent="0.3">
      <c r="A2083" s="1" t="s">
        <v>24916</v>
      </c>
      <c r="B2083" s="1" t="str">
        <f>"Matthew Williams M williams "</f>
        <v xml:space="preserve">Matthew Williams M williams </v>
      </c>
      <c r="C2083" s="1" t="s">
        <v>24917</v>
      </c>
      <c r="F2083" s="1" t="s">
        <v>64</v>
      </c>
      <c r="H2083" s="1" t="s">
        <v>24918</v>
      </c>
      <c r="I2083" s="1" t="s">
        <v>5</v>
      </c>
      <c r="J2083" s="1" t="s">
        <v>6</v>
      </c>
      <c r="K2083" s="1" t="s">
        <v>24</v>
      </c>
      <c r="M2083" s="2">
        <v>43108</v>
      </c>
      <c r="N2083" s="1" t="s">
        <v>8</v>
      </c>
      <c r="O2083" s="2">
        <v>44220</v>
      </c>
    </row>
    <row r="2084" spans="1:15" ht="28.8" x14ac:dyDescent="0.3">
      <c r="A2084" s="1" t="s">
        <v>25663</v>
      </c>
      <c r="B2084" s="1" t="str">
        <f>"Robert Blockley R.G.Blockley"</f>
        <v>Robert Blockley R.G.Blockley</v>
      </c>
      <c r="C2084" s="1" t="s">
        <v>25664</v>
      </c>
      <c r="F2084" s="1" t="s">
        <v>2686</v>
      </c>
      <c r="H2084" s="1" t="s">
        <v>25665</v>
      </c>
      <c r="I2084" s="1" t="s">
        <v>5</v>
      </c>
      <c r="J2084" s="1" t="s">
        <v>6</v>
      </c>
      <c r="K2084" s="1" t="s">
        <v>34</v>
      </c>
      <c r="M2084" s="2">
        <v>43108</v>
      </c>
      <c r="N2084" s="1" t="s">
        <v>8</v>
      </c>
      <c r="O2084" s="2">
        <v>44204</v>
      </c>
    </row>
    <row r="2085" spans="1:15" ht="43.2" x14ac:dyDescent="0.3">
      <c r="A2085" s="1" t="s">
        <v>2985</v>
      </c>
      <c r="B2085" s="1" t="str">
        <f>"Premier Commercial development ltd"</f>
        <v>Premier Commercial development ltd</v>
      </c>
      <c r="C2085" s="1" t="s">
        <v>2986</v>
      </c>
      <c r="D2085" s="1" t="s">
        <v>2987</v>
      </c>
      <c r="F2085" s="1" t="s">
        <v>123</v>
      </c>
      <c r="G2085" s="1" t="s">
        <v>27</v>
      </c>
      <c r="H2085" s="1" t="s">
        <v>2988</v>
      </c>
      <c r="I2085" s="1" t="s">
        <v>19</v>
      </c>
      <c r="J2085" s="1" t="s">
        <v>67</v>
      </c>
      <c r="K2085" s="1" t="s">
        <v>14</v>
      </c>
      <c r="L2085" s="1">
        <v>55171743</v>
      </c>
      <c r="M2085" s="2">
        <v>43107</v>
      </c>
      <c r="N2085" s="1" t="s">
        <v>8</v>
      </c>
      <c r="O2085" s="1" t="s">
        <v>68</v>
      </c>
    </row>
    <row r="2086" spans="1:15" ht="43.2" x14ac:dyDescent="0.3">
      <c r="A2086" s="1" t="s">
        <v>12010</v>
      </c>
      <c r="B2086" s="1" t="str">
        <f>"D hunt Roofing ltd"</f>
        <v>D hunt Roofing ltd</v>
      </c>
      <c r="C2086" s="1" t="s">
        <v>12011</v>
      </c>
      <c r="F2086" s="1" t="s">
        <v>12012</v>
      </c>
      <c r="H2086" s="1" t="s">
        <v>12013</v>
      </c>
      <c r="I2086" s="1" t="s">
        <v>19</v>
      </c>
      <c r="J2086" s="1" t="s">
        <v>67</v>
      </c>
      <c r="K2086" s="1" t="s">
        <v>24</v>
      </c>
      <c r="L2086" s="1">
        <v>4511056</v>
      </c>
      <c r="M2086" s="2">
        <v>43107</v>
      </c>
      <c r="N2086" s="1" t="s">
        <v>8</v>
      </c>
      <c r="O2086" s="1" t="s">
        <v>68</v>
      </c>
    </row>
    <row r="2087" spans="1:15" ht="43.2" x14ac:dyDescent="0.3">
      <c r="A2087" s="1" t="s">
        <v>12014</v>
      </c>
      <c r="B2087" s="1" t="str">
        <f>"LLEWELLYN TREE SERVICES LIMITED"</f>
        <v>LLEWELLYN TREE SERVICES LIMITED</v>
      </c>
      <c r="C2087" s="1" t="s">
        <v>12015</v>
      </c>
      <c r="F2087" s="1" t="s">
        <v>140</v>
      </c>
      <c r="H2087" s="1" t="s">
        <v>12016</v>
      </c>
      <c r="I2087" s="1" t="s">
        <v>19</v>
      </c>
      <c r="J2087" s="1" t="s">
        <v>67</v>
      </c>
      <c r="K2087" s="1" t="s">
        <v>24</v>
      </c>
      <c r="L2087" s="1">
        <v>9392153</v>
      </c>
      <c r="M2087" s="2">
        <v>43107</v>
      </c>
      <c r="N2087" s="1" t="s">
        <v>8</v>
      </c>
      <c r="O2087" s="1" t="s">
        <v>68</v>
      </c>
    </row>
    <row r="2088" spans="1:15" ht="28.8" x14ac:dyDescent="0.3">
      <c r="A2088" s="1" t="s">
        <v>12017</v>
      </c>
      <c r="B2088" s="1" t="str">
        <f>"G SPOT HEATING LIMITED"</f>
        <v>G SPOT HEATING LIMITED</v>
      </c>
      <c r="C2088" s="1" t="s">
        <v>12018</v>
      </c>
      <c r="F2088" s="1" t="s">
        <v>10091</v>
      </c>
      <c r="H2088" s="1" t="s">
        <v>12019</v>
      </c>
      <c r="I2088" s="1" t="s">
        <v>19</v>
      </c>
      <c r="J2088" s="1" t="s">
        <v>6</v>
      </c>
      <c r="K2088" s="1" t="s">
        <v>34</v>
      </c>
      <c r="L2088" s="1">
        <v>5800730</v>
      </c>
      <c r="M2088" s="2">
        <v>43107</v>
      </c>
      <c r="N2088" s="1" t="s">
        <v>8</v>
      </c>
      <c r="O2088" s="2">
        <v>44203</v>
      </c>
    </row>
    <row r="2089" spans="1:15" ht="28.8" x14ac:dyDescent="0.3">
      <c r="A2089" s="1" t="s">
        <v>12020</v>
      </c>
      <c r="B2089" s="1" t="str">
        <f>"Dales Logistics Management Solution"</f>
        <v>Dales Logistics Management Solution</v>
      </c>
      <c r="C2089" s="1" t="s">
        <v>12021</v>
      </c>
      <c r="F2089" s="1" t="s">
        <v>12022</v>
      </c>
      <c r="H2089" s="1" t="s">
        <v>12023</v>
      </c>
      <c r="I2089" s="1" t="s">
        <v>19</v>
      </c>
      <c r="J2089" s="1" t="s">
        <v>6</v>
      </c>
      <c r="K2089" s="1" t="s">
        <v>24</v>
      </c>
      <c r="L2089" s="1">
        <v>7429773</v>
      </c>
      <c r="M2089" s="2">
        <v>43107</v>
      </c>
      <c r="N2089" s="1" t="s">
        <v>8</v>
      </c>
      <c r="O2089" s="2">
        <v>44203</v>
      </c>
    </row>
    <row r="2090" spans="1:15" ht="28.8" x14ac:dyDescent="0.3">
      <c r="A2090" s="1" t="s">
        <v>12007</v>
      </c>
      <c r="B2090" s="1" t="str">
        <f>"Uk Technical Drainage Solutions Ltd"</f>
        <v>Uk Technical Drainage Solutions Ltd</v>
      </c>
      <c r="C2090" s="1" t="s">
        <v>12008</v>
      </c>
      <c r="D2090" s="1" t="s">
        <v>12009</v>
      </c>
      <c r="F2090" s="1" t="s">
        <v>1093</v>
      </c>
      <c r="H2090" s="1" t="s">
        <v>7955</v>
      </c>
      <c r="I2090" s="1" t="s">
        <v>19</v>
      </c>
      <c r="J2090" s="1" t="s">
        <v>6</v>
      </c>
      <c r="K2090" s="1" t="s">
        <v>34</v>
      </c>
      <c r="L2090" s="1">
        <v>10398203</v>
      </c>
      <c r="M2090" s="2">
        <v>43106</v>
      </c>
      <c r="N2090" s="1" t="s">
        <v>8</v>
      </c>
      <c r="O2090" s="2">
        <v>44202</v>
      </c>
    </row>
    <row r="2091" spans="1:15" ht="43.2" x14ac:dyDescent="0.3">
      <c r="A2091" s="1" t="s">
        <v>10980</v>
      </c>
      <c r="B2091" s="1" t="str">
        <f>"Taylor Total Weed Control Ltd"</f>
        <v>Taylor Total Weed Control Ltd</v>
      </c>
      <c r="C2091" s="1" t="s">
        <v>10981</v>
      </c>
      <c r="F2091" s="1" t="s">
        <v>123</v>
      </c>
      <c r="H2091" s="1" t="s">
        <v>10982</v>
      </c>
      <c r="I2091" s="1" t="s">
        <v>19</v>
      </c>
      <c r="J2091" s="1" t="s">
        <v>67</v>
      </c>
      <c r="K2091" s="1" t="s">
        <v>34</v>
      </c>
      <c r="L2091" s="1">
        <v>2681618</v>
      </c>
      <c r="M2091" s="2">
        <v>43105</v>
      </c>
      <c r="N2091" s="1" t="s">
        <v>8</v>
      </c>
      <c r="O2091" s="1" t="s">
        <v>68</v>
      </c>
    </row>
    <row r="2092" spans="1:15" ht="43.2" x14ac:dyDescent="0.3">
      <c r="A2092" s="1" t="s">
        <v>10983</v>
      </c>
      <c r="B2092" s="1" t="str">
        <f>"Mogsy Belle Ltd "</f>
        <v xml:space="preserve">Mogsy Belle Ltd </v>
      </c>
      <c r="C2092" s="1" t="s">
        <v>10984</v>
      </c>
      <c r="F2092" s="1" t="s">
        <v>556</v>
      </c>
      <c r="H2092" s="1" t="s">
        <v>10985</v>
      </c>
      <c r="I2092" s="1" t="s">
        <v>19</v>
      </c>
      <c r="J2092" s="1" t="s">
        <v>67</v>
      </c>
      <c r="K2092" s="1" t="s">
        <v>14</v>
      </c>
      <c r="M2092" s="2">
        <v>43105</v>
      </c>
      <c r="N2092" s="1" t="s">
        <v>8</v>
      </c>
      <c r="O2092" s="1" t="s">
        <v>68</v>
      </c>
    </row>
    <row r="2093" spans="1:15" ht="28.8" x14ac:dyDescent="0.3">
      <c r="A2093" s="1" t="s">
        <v>10986</v>
      </c>
      <c r="B2093" s="1" t="str">
        <f>"Britannia fire compliance company l"</f>
        <v>Britannia fire compliance company l</v>
      </c>
      <c r="C2093" s="1" t="s">
        <v>10987</v>
      </c>
      <c r="F2093" s="1" t="s">
        <v>1321</v>
      </c>
      <c r="H2093" s="1" t="s">
        <v>10988</v>
      </c>
      <c r="I2093" s="1" t="s">
        <v>19</v>
      </c>
      <c r="J2093" s="1" t="s">
        <v>6</v>
      </c>
      <c r="K2093" s="1" t="s">
        <v>24</v>
      </c>
      <c r="L2093" s="1">
        <v>10861940</v>
      </c>
      <c r="M2093" s="2">
        <v>43105</v>
      </c>
      <c r="N2093" s="1" t="s">
        <v>8</v>
      </c>
      <c r="O2093" s="2">
        <v>44201</v>
      </c>
    </row>
    <row r="2094" spans="1:15" ht="43.2" x14ac:dyDescent="0.3">
      <c r="A2094" s="1" t="s">
        <v>10989</v>
      </c>
      <c r="B2094" s="1" t="str">
        <f>"Groundwork Caerphilly"</f>
        <v>Groundwork Caerphilly</v>
      </c>
      <c r="C2094" s="1" t="s">
        <v>10990</v>
      </c>
      <c r="D2094" s="1" t="s">
        <v>1676</v>
      </c>
      <c r="F2094" s="1" t="s">
        <v>1341</v>
      </c>
      <c r="H2094" s="1" t="s">
        <v>3293</v>
      </c>
      <c r="I2094" s="1" t="s">
        <v>1872</v>
      </c>
      <c r="J2094" s="1" t="s">
        <v>67</v>
      </c>
      <c r="K2094" s="1" t="s">
        <v>14</v>
      </c>
      <c r="M2094" s="2">
        <v>43105</v>
      </c>
      <c r="N2094" s="1" t="s">
        <v>8</v>
      </c>
      <c r="O2094" s="1" t="s">
        <v>68</v>
      </c>
    </row>
    <row r="2095" spans="1:15" ht="28.8" x14ac:dyDescent="0.3">
      <c r="A2095" s="1" t="s">
        <v>10991</v>
      </c>
      <c r="B2095" s="1" t="str">
        <f>"ALL ROUND ENERGY SOLUTIONS LTD"</f>
        <v>ALL ROUND ENERGY SOLUTIONS LTD</v>
      </c>
      <c r="C2095" s="1" t="s">
        <v>10992</v>
      </c>
      <c r="F2095" s="1" t="s">
        <v>556</v>
      </c>
      <c r="H2095" s="1" t="s">
        <v>10993</v>
      </c>
      <c r="I2095" s="1" t="s">
        <v>19</v>
      </c>
      <c r="J2095" s="1" t="s">
        <v>6</v>
      </c>
      <c r="K2095" s="1" t="s">
        <v>24</v>
      </c>
      <c r="L2095" s="1">
        <v>8129257</v>
      </c>
      <c r="M2095" s="2">
        <v>43105</v>
      </c>
      <c r="N2095" s="1" t="s">
        <v>8</v>
      </c>
      <c r="O2095" s="2">
        <v>44201</v>
      </c>
    </row>
    <row r="2096" spans="1:15" ht="28.8" x14ac:dyDescent="0.3">
      <c r="A2096" s="1" t="s">
        <v>10994</v>
      </c>
      <c r="B2096" s="1" t="str">
        <f>"RHONDDA DAMP-PROOFING LIMITED"</f>
        <v>RHONDDA DAMP-PROOFING LIMITED</v>
      </c>
      <c r="C2096" s="1" t="s">
        <v>10995</v>
      </c>
      <c r="F2096" s="1" t="s">
        <v>123</v>
      </c>
      <c r="H2096" s="1" t="s">
        <v>10996</v>
      </c>
      <c r="I2096" s="1" t="s">
        <v>19</v>
      </c>
      <c r="J2096" s="1" t="s">
        <v>6</v>
      </c>
      <c r="K2096" s="1" t="s">
        <v>24</v>
      </c>
      <c r="L2096" s="1">
        <v>2823433</v>
      </c>
      <c r="M2096" s="2">
        <v>43105</v>
      </c>
      <c r="N2096" s="1" t="s">
        <v>8</v>
      </c>
      <c r="O2096" s="2">
        <v>44201</v>
      </c>
    </row>
    <row r="2097" spans="1:15" x14ac:dyDescent="0.3">
      <c r="A2097" s="1" t="s">
        <v>10997</v>
      </c>
      <c r="B2097" s="1" t="str">
        <f>"Fryer Management LTD"</f>
        <v>Fryer Management LTD</v>
      </c>
      <c r="C2097" s="1" t="s">
        <v>10998</v>
      </c>
      <c r="F2097" s="1" t="s">
        <v>401</v>
      </c>
      <c r="H2097" s="1" t="s">
        <v>10999</v>
      </c>
      <c r="I2097" s="1" t="s">
        <v>19</v>
      </c>
      <c r="J2097" s="1" t="s">
        <v>6</v>
      </c>
      <c r="K2097" s="1" t="s">
        <v>24</v>
      </c>
      <c r="L2097" s="1">
        <v>10953038</v>
      </c>
      <c r="M2097" s="2">
        <v>43105</v>
      </c>
      <c r="N2097" s="1" t="s">
        <v>8</v>
      </c>
      <c r="O2097" s="2">
        <v>44201</v>
      </c>
    </row>
    <row r="2098" spans="1:15" ht="43.2" x14ac:dyDescent="0.3">
      <c r="A2098" s="1" t="s">
        <v>24072</v>
      </c>
      <c r="B2098" s="1" t="str">
        <f>"JEMMA VERNON STEVE VERNON TRANSPORT"</f>
        <v>JEMMA VERNON STEVE VERNON TRANSPORT</v>
      </c>
      <c r="C2098" s="1" t="s">
        <v>12887</v>
      </c>
      <c r="F2098" s="1" t="s">
        <v>532</v>
      </c>
      <c r="H2098" s="1" t="s">
        <v>7264</v>
      </c>
      <c r="I2098" s="1" t="s">
        <v>5</v>
      </c>
      <c r="J2098" s="1" t="s">
        <v>6</v>
      </c>
      <c r="K2098" s="1" t="s">
        <v>34</v>
      </c>
      <c r="M2098" s="2">
        <v>43105</v>
      </c>
      <c r="N2098" s="1" t="s">
        <v>8</v>
      </c>
      <c r="O2098" s="2">
        <v>44200</v>
      </c>
    </row>
    <row r="2099" spans="1:15" ht="28.8" x14ac:dyDescent="0.3">
      <c r="A2099" s="1" t="s">
        <v>24073</v>
      </c>
      <c r="B2099" s="1" t="str">
        <f>"kevin branagan k j branagan"</f>
        <v>kevin branagan k j branagan</v>
      </c>
      <c r="C2099" s="1" t="s">
        <v>24074</v>
      </c>
      <c r="F2099" s="1" t="s">
        <v>170</v>
      </c>
      <c r="H2099" s="1" t="s">
        <v>24075</v>
      </c>
      <c r="I2099" s="1" t="s">
        <v>5</v>
      </c>
      <c r="J2099" s="1" t="s">
        <v>6</v>
      </c>
      <c r="K2099" s="1" t="s">
        <v>24</v>
      </c>
      <c r="M2099" s="2">
        <v>43105</v>
      </c>
      <c r="N2099" s="1" t="s">
        <v>8</v>
      </c>
      <c r="O2099" s="2">
        <v>44201</v>
      </c>
    </row>
    <row r="2100" spans="1:15" x14ac:dyDescent="0.3">
      <c r="A2100" s="1" t="s">
        <v>24076</v>
      </c>
      <c r="B2100" s="1" t="str">
        <f>"Ciprian Tocila"</f>
        <v>Ciprian Tocila</v>
      </c>
      <c r="C2100" s="1" t="s">
        <v>24077</v>
      </c>
      <c r="F2100" s="1" t="s">
        <v>5042</v>
      </c>
      <c r="H2100" s="1" t="s">
        <v>24078</v>
      </c>
      <c r="I2100" s="1" t="s">
        <v>5</v>
      </c>
      <c r="J2100" s="1" t="s">
        <v>6</v>
      </c>
      <c r="K2100" s="1" t="s">
        <v>24</v>
      </c>
      <c r="M2100" s="2">
        <v>43105</v>
      </c>
      <c r="N2100" s="1" t="s">
        <v>8</v>
      </c>
      <c r="O2100" s="2">
        <v>44201</v>
      </c>
    </row>
    <row r="2101" spans="1:15" ht="28.8" x14ac:dyDescent="0.3">
      <c r="A2101" s="1" t="s">
        <v>4232</v>
      </c>
      <c r="B2101" s="1" t="str">
        <f>"CONCEPT OILS LTD"</f>
        <v>CONCEPT OILS LTD</v>
      </c>
      <c r="C2101" s="1" t="s">
        <v>4233</v>
      </c>
      <c r="F2101" s="1" t="s">
        <v>1479</v>
      </c>
      <c r="H2101" s="1" t="s">
        <v>4234</v>
      </c>
      <c r="I2101" s="1" t="s">
        <v>19</v>
      </c>
      <c r="J2101" s="1" t="s">
        <v>6</v>
      </c>
      <c r="K2101" s="1" t="s">
        <v>34</v>
      </c>
      <c r="L2101" s="1">
        <v>3910788</v>
      </c>
      <c r="M2101" s="2">
        <v>43104</v>
      </c>
      <c r="N2101" s="1" t="s">
        <v>8</v>
      </c>
      <c r="O2101" s="2">
        <v>44200</v>
      </c>
    </row>
    <row r="2102" spans="1:15" ht="43.2" x14ac:dyDescent="0.3">
      <c r="A2102" s="1" t="s">
        <v>4235</v>
      </c>
      <c r="B2102" s="1" t="str">
        <f>"p d vehicle service"</f>
        <v>p d vehicle service</v>
      </c>
      <c r="C2102" s="1" t="s">
        <v>4236</v>
      </c>
      <c r="D2102" s="1" t="s">
        <v>4237</v>
      </c>
      <c r="F2102" s="1" t="s">
        <v>4238</v>
      </c>
      <c r="H2102" s="1" t="s">
        <v>4239</v>
      </c>
      <c r="I2102" s="1" t="s">
        <v>188</v>
      </c>
      <c r="J2102" s="1" t="s">
        <v>67</v>
      </c>
      <c r="K2102" s="1" t="s">
        <v>14</v>
      </c>
      <c r="M2102" s="2">
        <v>43104</v>
      </c>
      <c r="N2102" s="1" t="s">
        <v>8</v>
      </c>
      <c r="O2102" s="1" t="s">
        <v>68</v>
      </c>
    </row>
    <row r="2103" spans="1:15" ht="43.2" x14ac:dyDescent="0.3">
      <c r="A2103" s="1" t="s">
        <v>4240</v>
      </c>
      <c r="B2103" s="1" t="str">
        <f>"CARDIFF AUTOSCREENS LIMITED"</f>
        <v>CARDIFF AUTOSCREENS LIMITED</v>
      </c>
      <c r="C2103" s="1" t="s">
        <v>4241</v>
      </c>
      <c r="F2103" s="1" t="s">
        <v>123</v>
      </c>
      <c r="H2103" s="1" t="s">
        <v>4242</v>
      </c>
      <c r="I2103" s="1" t="s">
        <v>19</v>
      </c>
      <c r="J2103" s="1" t="s">
        <v>67</v>
      </c>
      <c r="K2103" s="1" t="s">
        <v>24</v>
      </c>
      <c r="L2103" s="1">
        <v>4729647</v>
      </c>
      <c r="M2103" s="2">
        <v>43104</v>
      </c>
      <c r="N2103" s="1" t="s">
        <v>8</v>
      </c>
      <c r="O2103" s="1" t="s">
        <v>68</v>
      </c>
    </row>
    <row r="2104" spans="1:15" ht="28.8" x14ac:dyDescent="0.3">
      <c r="A2104" s="1" t="s">
        <v>4243</v>
      </c>
      <c r="B2104" s="1" t="str">
        <f>"STUARTS SKIP HIRE LTD"</f>
        <v>STUARTS SKIP HIRE LTD</v>
      </c>
      <c r="C2104" s="1" t="s">
        <v>4244</v>
      </c>
      <c r="F2104" s="1" t="s">
        <v>64</v>
      </c>
      <c r="H2104" s="1" t="s">
        <v>4245</v>
      </c>
      <c r="I2104" s="1" t="s">
        <v>19</v>
      </c>
      <c r="J2104" s="1" t="s">
        <v>6</v>
      </c>
      <c r="K2104" s="1" t="s">
        <v>34</v>
      </c>
      <c r="L2104" s="1">
        <v>8916639</v>
      </c>
      <c r="M2104" s="2">
        <v>43104</v>
      </c>
      <c r="N2104" s="1" t="s">
        <v>8</v>
      </c>
      <c r="O2104" s="2">
        <v>44200</v>
      </c>
    </row>
    <row r="2105" spans="1:15" ht="43.2" x14ac:dyDescent="0.3">
      <c r="A2105" s="1" t="s">
        <v>10979</v>
      </c>
      <c r="B2105" s="1" t="str">
        <f>"Lam's catering"</f>
        <v>Lam's catering</v>
      </c>
      <c r="C2105" s="1" t="s">
        <v>6910</v>
      </c>
      <c r="F2105" s="1" t="s">
        <v>6911</v>
      </c>
      <c r="H2105" s="1" t="s">
        <v>6912</v>
      </c>
      <c r="I2105" s="1" t="s">
        <v>125</v>
      </c>
      <c r="J2105" s="1" t="s">
        <v>67</v>
      </c>
      <c r="K2105" s="1" t="s">
        <v>14</v>
      </c>
      <c r="M2105" s="2">
        <v>43104</v>
      </c>
      <c r="N2105" s="1" t="s">
        <v>8</v>
      </c>
      <c r="O2105" s="1" t="s">
        <v>68</v>
      </c>
    </row>
    <row r="2106" spans="1:15" ht="43.2" x14ac:dyDescent="0.3">
      <c r="A2106" s="1" t="s">
        <v>17840</v>
      </c>
      <c r="B2106" s="1" t="str">
        <f>"FareShare Southern Central"</f>
        <v>FareShare Southern Central</v>
      </c>
      <c r="C2106" s="1" t="s">
        <v>17841</v>
      </c>
      <c r="D2106" s="1" t="s">
        <v>17842</v>
      </c>
      <c r="F2106" s="1" t="s">
        <v>17843</v>
      </c>
      <c r="H2106" s="1" t="s">
        <v>17844</v>
      </c>
      <c r="I2106" s="1" t="s">
        <v>1872</v>
      </c>
      <c r="J2106" s="1" t="s">
        <v>67</v>
      </c>
      <c r="K2106" s="1" t="s">
        <v>14</v>
      </c>
      <c r="M2106" s="2">
        <v>43104</v>
      </c>
      <c r="N2106" s="1" t="s">
        <v>8</v>
      </c>
      <c r="O2106" s="1" t="s">
        <v>68</v>
      </c>
    </row>
    <row r="2107" spans="1:15" x14ac:dyDescent="0.3">
      <c r="A2107" s="1" t="s">
        <v>17845</v>
      </c>
      <c r="B2107" s="1" t="str">
        <f>"Mowgate Limited"</f>
        <v>Mowgate Limited</v>
      </c>
      <c r="C2107" s="1" t="s">
        <v>17846</v>
      </c>
      <c r="F2107" s="1" t="s">
        <v>17847</v>
      </c>
      <c r="H2107" s="1" t="s">
        <v>17848</v>
      </c>
      <c r="I2107" s="1" t="s">
        <v>19</v>
      </c>
      <c r="J2107" s="1" t="s">
        <v>6</v>
      </c>
      <c r="K2107" s="1" t="s">
        <v>24</v>
      </c>
      <c r="L2107" s="1">
        <v>3032117</v>
      </c>
      <c r="M2107" s="2">
        <v>43104</v>
      </c>
      <c r="N2107" s="1" t="s">
        <v>8</v>
      </c>
      <c r="O2107" s="2">
        <v>44200</v>
      </c>
    </row>
    <row r="2108" spans="1:15" ht="43.2" x14ac:dyDescent="0.3">
      <c r="A2108" s="1" t="s">
        <v>17849</v>
      </c>
      <c r="B2108" s="1" t="str">
        <f>"Raddion (Dudley) Ltd"</f>
        <v>Raddion (Dudley) Ltd</v>
      </c>
      <c r="C2108" s="1" t="s">
        <v>17850</v>
      </c>
      <c r="F2108" s="1" t="s">
        <v>17851</v>
      </c>
      <c r="H2108" s="1" t="s">
        <v>17852</v>
      </c>
      <c r="I2108" s="1" t="s">
        <v>19</v>
      </c>
      <c r="J2108" s="1" t="s">
        <v>67</v>
      </c>
      <c r="K2108" s="1" t="s">
        <v>14</v>
      </c>
      <c r="M2108" s="2">
        <v>43104</v>
      </c>
      <c r="N2108" s="1" t="s">
        <v>8</v>
      </c>
      <c r="O2108" s="1" t="s">
        <v>68</v>
      </c>
    </row>
    <row r="2109" spans="1:15" ht="28.8" x14ac:dyDescent="0.3">
      <c r="A2109" s="1" t="s">
        <v>17853</v>
      </c>
      <c r="B2109" s="1" t="str">
        <f>"KYLES TRANSPORT SERVICES LIMITED"</f>
        <v>KYLES TRANSPORT SERVICES LIMITED</v>
      </c>
      <c r="C2109" s="1" t="s">
        <v>17854</v>
      </c>
      <c r="F2109" s="1" t="s">
        <v>156</v>
      </c>
      <c r="H2109" s="1" t="s">
        <v>17855</v>
      </c>
      <c r="I2109" s="1" t="s">
        <v>19</v>
      </c>
      <c r="J2109" s="1" t="s">
        <v>6</v>
      </c>
      <c r="K2109" s="1" t="s">
        <v>34</v>
      </c>
      <c r="L2109" s="1">
        <v>4814913</v>
      </c>
      <c r="M2109" s="2">
        <v>43104</v>
      </c>
      <c r="N2109" s="1" t="s">
        <v>8</v>
      </c>
      <c r="O2109" s="2">
        <v>44200</v>
      </c>
    </row>
    <row r="2110" spans="1:15" ht="28.8" x14ac:dyDescent="0.3">
      <c r="A2110" s="1" t="s">
        <v>19285</v>
      </c>
      <c r="B2110" s="1" t="str">
        <f>"Brian  Owen B&amp;S Skips"</f>
        <v>Brian  Owen B&amp;S Skips</v>
      </c>
      <c r="C2110" s="1" t="s">
        <v>19286</v>
      </c>
      <c r="D2110" s="1" t="s">
        <v>869</v>
      </c>
      <c r="F2110" s="1" t="s">
        <v>532</v>
      </c>
      <c r="H2110" s="1" t="s">
        <v>870</v>
      </c>
      <c r="I2110" s="1" t="s">
        <v>5</v>
      </c>
      <c r="J2110" s="1" t="s">
        <v>6</v>
      </c>
      <c r="K2110" s="1" t="s">
        <v>24</v>
      </c>
      <c r="M2110" s="2">
        <v>43104</v>
      </c>
      <c r="N2110" s="1" t="s">
        <v>8</v>
      </c>
      <c r="O2110" s="2">
        <v>44200</v>
      </c>
    </row>
    <row r="2111" spans="1:15" ht="43.2" x14ac:dyDescent="0.3">
      <c r="A2111" s="1" t="s">
        <v>19287</v>
      </c>
      <c r="B2111" s="1" t="str">
        <f>"Richard Owen"</f>
        <v>Richard Owen</v>
      </c>
      <c r="C2111" s="1" t="s">
        <v>19288</v>
      </c>
      <c r="F2111" s="1" t="s">
        <v>7686</v>
      </c>
      <c r="H2111" s="1" t="s">
        <v>19289</v>
      </c>
      <c r="I2111" s="1" t="s">
        <v>5</v>
      </c>
      <c r="J2111" s="1" t="s">
        <v>67</v>
      </c>
      <c r="K2111" s="1" t="s">
        <v>14</v>
      </c>
      <c r="M2111" s="2">
        <v>43104</v>
      </c>
      <c r="N2111" s="1" t="s">
        <v>8</v>
      </c>
      <c r="O2111" s="1" t="s">
        <v>68</v>
      </c>
    </row>
    <row r="2112" spans="1:15" ht="28.8" x14ac:dyDescent="0.3">
      <c r="A2112" s="1" t="s">
        <v>19290</v>
      </c>
      <c r="B2112" s="1" t="str">
        <f>"Iwan Jones Iwan Jones"</f>
        <v>Iwan Jones Iwan Jones</v>
      </c>
      <c r="C2112" s="1" t="s">
        <v>19291</v>
      </c>
      <c r="D2112" s="1" t="s">
        <v>370</v>
      </c>
      <c r="F2112" s="1" t="s">
        <v>3</v>
      </c>
      <c r="H2112" s="1" t="s">
        <v>19292</v>
      </c>
      <c r="I2112" s="1" t="s">
        <v>5</v>
      </c>
      <c r="J2112" s="1" t="s">
        <v>6</v>
      </c>
      <c r="K2112" s="1" t="s">
        <v>24</v>
      </c>
      <c r="M2112" s="2">
        <v>43104</v>
      </c>
      <c r="N2112" s="1" t="s">
        <v>8</v>
      </c>
      <c r="O2112" s="2">
        <v>44200</v>
      </c>
    </row>
    <row r="2113" spans="1:15" ht="28.8" x14ac:dyDescent="0.3">
      <c r="A2113" s="1" t="s">
        <v>24069</v>
      </c>
      <c r="B2113" s="1" t="str">
        <f>"sion williams m &amp; s concrete imprinting"</f>
        <v>sion williams m &amp; s concrete imprinting</v>
      </c>
      <c r="C2113" s="1" t="s">
        <v>24070</v>
      </c>
      <c r="F2113" s="1" t="s">
        <v>710</v>
      </c>
      <c r="H2113" s="1" t="s">
        <v>24071</v>
      </c>
      <c r="I2113" s="1" t="s">
        <v>5</v>
      </c>
      <c r="J2113" s="1" t="s">
        <v>6</v>
      </c>
      <c r="K2113" s="1" t="s">
        <v>34</v>
      </c>
      <c r="M2113" s="2">
        <v>43104</v>
      </c>
      <c r="N2113" s="1" t="s">
        <v>8</v>
      </c>
      <c r="O2113" s="2">
        <v>44200</v>
      </c>
    </row>
    <row r="2114" spans="1:15" ht="43.2" x14ac:dyDescent="0.3">
      <c r="A2114" s="1" t="s">
        <v>29576</v>
      </c>
      <c r="B2114" s="1" t="str">
        <f>"William Stanford"</f>
        <v>William Stanford</v>
      </c>
      <c r="C2114" s="1" t="s">
        <v>29577</v>
      </c>
      <c r="D2114" s="1" t="s">
        <v>29578</v>
      </c>
      <c r="F2114" s="1" t="s">
        <v>13292</v>
      </c>
      <c r="H2114" s="1" t="s">
        <v>29579</v>
      </c>
      <c r="I2114" s="1" t="s">
        <v>5</v>
      </c>
      <c r="J2114" s="1" t="s">
        <v>67</v>
      </c>
      <c r="K2114" s="1" t="s">
        <v>14</v>
      </c>
      <c r="M2114" s="2">
        <v>43104</v>
      </c>
      <c r="N2114" s="1" t="s">
        <v>8</v>
      </c>
      <c r="O2114" s="1" t="s">
        <v>68</v>
      </c>
    </row>
    <row r="2115" spans="1:15" ht="43.2" x14ac:dyDescent="0.3">
      <c r="A2115" s="1" t="s">
        <v>29580</v>
      </c>
      <c r="B2115" s="1" t="str">
        <f>"Morgan Bailey"</f>
        <v>Morgan Bailey</v>
      </c>
      <c r="C2115" s="1" t="s">
        <v>14112</v>
      </c>
      <c r="F2115" s="1" t="s">
        <v>2686</v>
      </c>
      <c r="H2115" s="1" t="s">
        <v>14113</v>
      </c>
      <c r="I2115" s="1" t="s">
        <v>5</v>
      </c>
      <c r="J2115" s="1" t="s">
        <v>67</v>
      </c>
      <c r="K2115" s="1" t="s">
        <v>24</v>
      </c>
      <c r="M2115" s="2">
        <v>43104</v>
      </c>
      <c r="N2115" s="1" t="s">
        <v>8</v>
      </c>
      <c r="O2115" s="1" t="s">
        <v>68</v>
      </c>
    </row>
    <row r="2116" spans="1:15" ht="28.8" x14ac:dyDescent="0.3">
      <c r="A2116" s="1" t="s">
        <v>16819</v>
      </c>
      <c r="B2116" s="1" t="str">
        <f>"Money Saving Specialists Ltd"</f>
        <v>Money Saving Specialists Ltd</v>
      </c>
      <c r="C2116" s="1" t="s">
        <v>16820</v>
      </c>
      <c r="D2116" s="1" t="s">
        <v>7051</v>
      </c>
      <c r="F2116" s="1" t="s">
        <v>42</v>
      </c>
      <c r="H2116" s="1" t="s">
        <v>4420</v>
      </c>
      <c r="I2116" s="1" t="s">
        <v>19</v>
      </c>
      <c r="J2116" s="1" t="s">
        <v>6</v>
      </c>
      <c r="K2116" s="1" t="s">
        <v>34</v>
      </c>
      <c r="L2116" s="1">
        <v>8516043</v>
      </c>
      <c r="M2116" s="2">
        <v>43103</v>
      </c>
      <c r="N2116" s="1" t="s">
        <v>8</v>
      </c>
      <c r="O2116" s="2">
        <v>44199</v>
      </c>
    </row>
    <row r="2117" spans="1:15" ht="28.8" x14ac:dyDescent="0.3">
      <c r="A2117" s="1" t="s">
        <v>16821</v>
      </c>
      <c r="B2117" s="1" t="str">
        <f>"J. S. Lee Ltd"</f>
        <v>J. S. Lee Ltd</v>
      </c>
      <c r="C2117" s="1" t="s">
        <v>16822</v>
      </c>
      <c r="D2117" s="1" t="s">
        <v>11629</v>
      </c>
      <c r="F2117" s="1" t="s">
        <v>156</v>
      </c>
      <c r="H2117" s="1" t="s">
        <v>16823</v>
      </c>
      <c r="I2117" s="1" t="s">
        <v>19</v>
      </c>
      <c r="J2117" s="1" t="s">
        <v>6</v>
      </c>
      <c r="K2117" s="1" t="s">
        <v>34</v>
      </c>
      <c r="L2117" s="1">
        <v>3411284</v>
      </c>
      <c r="M2117" s="2">
        <v>43103</v>
      </c>
      <c r="N2117" s="1" t="s">
        <v>8</v>
      </c>
      <c r="O2117" s="2">
        <v>44199</v>
      </c>
    </row>
    <row r="2118" spans="1:15" ht="43.2" x14ac:dyDescent="0.3">
      <c r="A2118" s="1" t="s">
        <v>28809</v>
      </c>
      <c r="B2118" s="1" t="str">
        <f>"robert jones"</f>
        <v>robert jones</v>
      </c>
      <c r="C2118" s="1" t="s">
        <v>28810</v>
      </c>
      <c r="F2118" s="1" t="s">
        <v>798</v>
      </c>
      <c r="H2118" s="1" t="s">
        <v>28811</v>
      </c>
      <c r="I2118" s="1" t="s">
        <v>5</v>
      </c>
      <c r="J2118" s="1" t="s">
        <v>67</v>
      </c>
      <c r="K2118" s="1" t="s">
        <v>14</v>
      </c>
      <c r="M2118" s="2">
        <v>43103</v>
      </c>
      <c r="N2118" s="1" t="s">
        <v>8</v>
      </c>
      <c r="O2118" s="1" t="s">
        <v>68</v>
      </c>
    </row>
    <row r="2119" spans="1:15" ht="28.8" x14ac:dyDescent="0.3">
      <c r="A2119" s="1" t="s">
        <v>29560</v>
      </c>
      <c r="B2119" s="1" t="str">
        <f>"David Raymond Williamson"</f>
        <v>David Raymond Williamson</v>
      </c>
      <c r="C2119" s="1" t="s">
        <v>29561</v>
      </c>
      <c r="D2119" s="1" t="s">
        <v>29562</v>
      </c>
      <c r="F2119" s="1" t="s">
        <v>56</v>
      </c>
      <c r="H2119" s="1" t="s">
        <v>1270</v>
      </c>
      <c r="I2119" s="1" t="s">
        <v>5</v>
      </c>
      <c r="J2119" s="1" t="s">
        <v>6</v>
      </c>
      <c r="K2119" s="1" t="s">
        <v>24</v>
      </c>
      <c r="M2119" s="2">
        <v>43103</v>
      </c>
      <c r="N2119" s="1" t="s">
        <v>8</v>
      </c>
      <c r="O2119" s="2">
        <v>44199</v>
      </c>
    </row>
    <row r="2120" spans="1:15" ht="28.8" x14ac:dyDescent="0.3">
      <c r="A2120" s="1" t="s">
        <v>29563</v>
      </c>
      <c r="B2120" s="1" t="str">
        <f>"Andrew Jones A W Jones"</f>
        <v>Andrew Jones A W Jones</v>
      </c>
      <c r="C2120" s="1" t="s">
        <v>29564</v>
      </c>
      <c r="F2120" s="1" t="s">
        <v>140</v>
      </c>
      <c r="H2120" s="1" t="s">
        <v>29565</v>
      </c>
      <c r="I2120" s="1" t="s">
        <v>5</v>
      </c>
      <c r="J2120" s="1" t="s">
        <v>6</v>
      </c>
      <c r="K2120" s="1" t="s">
        <v>24</v>
      </c>
      <c r="M2120" s="2">
        <v>43103</v>
      </c>
      <c r="N2120" s="1" t="s">
        <v>8</v>
      </c>
      <c r="O2120" s="2">
        <v>44199</v>
      </c>
    </row>
    <row r="2121" spans="1:15" ht="43.2" x14ac:dyDescent="0.3">
      <c r="A2121" s="1" t="s">
        <v>29566</v>
      </c>
      <c r="B2121" s="1" t="str">
        <f>"LESLIE WEIR"</f>
        <v>LESLIE WEIR</v>
      </c>
      <c r="C2121" s="1" t="s">
        <v>29567</v>
      </c>
      <c r="F2121" s="1" t="s">
        <v>29568</v>
      </c>
      <c r="H2121" s="1" t="s">
        <v>29569</v>
      </c>
      <c r="I2121" s="1" t="s">
        <v>5</v>
      </c>
      <c r="J2121" s="1" t="s">
        <v>67</v>
      </c>
      <c r="K2121" s="1" t="s">
        <v>14</v>
      </c>
      <c r="M2121" s="2">
        <v>43103</v>
      </c>
      <c r="N2121" s="1" t="s">
        <v>8</v>
      </c>
      <c r="O2121" s="1" t="s">
        <v>68</v>
      </c>
    </row>
    <row r="2122" spans="1:15" ht="43.2" x14ac:dyDescent="0.3">
      <c r="A2122" s="1" t="s">
        <v>29570</v>
      </c>
      <c r="B2122" s="1" t="str">
        <f>"Alastair Ponari"</f>
        <v>Alastair Ponari</v>
      </c>
      <c r="C2122" s="1" t="s">
        <v>29571</v>
      </c>
      <c r="F2122" s="1" t="s">
        <v>7559</v>
      </c>
      <c r="H2122" s="1" t="s">
        <v>29572</v>
      </c>
      <c r="I2122" s="1" t="s">
        <v>5</v>
      </c>
      <c r="J2122" s="1" t="s">
        <v>67</v>
      </c>
      <c r="K2122" s="1" t="s">
        <v>14</v>
      </c>
      <c r="M2122" s="2">
        <v>43103</v>
      </c>
      <c r="N2122" s="1" t="s">
        <v>8</v>
      </c>
      <c r="O2122" s="1" t="s">
        <v>68</v>
      </c>
    </row>
    <row r="2123" spans="1:15" ht="43.2" x14ac:dyDescent="0.3">
      <c r="A2123" s="1" t="s">
        <v>29573</v>
      </c>
      <c r="B2123" s="1" t="str">
        <f>"David Evans"</f>
        <v>David Evans</v>
      </c>
      <c r="C2123" s="1" t="s">
        <v>29574</v>
      </c>
      <c r="F2123" s="1" t="s">
        <v>1556</v>
      </c>
      <c r="H2123" s="1" t="s">
        <v>29575</v>
      </c>
      <c r="I2123" s="1" t="s">
        <v>5</v>
      </c>
      <c r="J2123" s="1" t="s">
        <v>67</v>
      </c>
      <c r="K2123" s="1" t="s">
        <v>14</v>
      </c>
      <c r="M2123" s="2">
        <v>43103</v>
      </c>
      <c r="N2123" s="1" t="s">
        <v>8</v>
      </c>
      <c r="O2123" s="1" t="s">
        <v>68</v>
      </c>
    </row>
    <row r="2124" spans="1:15" ht="28.8" x14ac:dyDescent="0.3">
      <c r="A2124" s="1" t="s">
        <v>16799</v>
      </c>
      <c r="B2124" s="1" t="str">
        <f>"C. THOMAS FARMING LTD"</f>
        <v>C. THOMAS FARMING LTD</v>
      </c>
      <c r="C2124" s="1" t="s">
        <v>16800</v>
      </c>
      <c r="F2124" s="1" t="s">
        <v>2686</v>
      </c>
      <c r="H2124" s="1" t="s">
        <v>16801</v>
      </c>
      <c r="I2124" s="1" t="s">
        <v>19</v>
      </c>
      <c r="J2124" s="1" t="s">
        <v>6</v>
      </c>
      <c r="K2124" s="1" t="s">
        <v>34</v>
      </c>
      <c r="L2124" s="1">
        <v>6841083</v>
      </c>
      <c r="M2124" s="2">
        <v>43102</v>
      </c>
      <c r="N2124" s="1" t="s">
        <v>8</v>
      </c>
      <c r="O2124" s="2">
        <v>44198</v>
      </c>
    </row>
    <row r="2125" spans="1:15" ht="43.2" x14ac:dyDescent="0.3">
      <c r="A2125" s="1" t="s">
        <v>16802</v>
      </c>
      <c r="B2125" s="1" t="str">
        <f>"GW CABINETRY"</f>
        <v>GW CABINETRY</v>
      </c>
      <c r="C2125" s="1" t="s">
        <v>16803</v>
      </c>
      <c r="D2125" s="1" t="s">
        <v>16804</v>
      </c>
      <c r="F2125" s="1" t="s">
        <v>170</v>
      </c>
      <c r="H2125" s="1" t="s">
        <v>16805</v>
      </c>
      <c r="I2125" s="1" t="s">
        <v>19</v>
      </c>
      <c r="J2125" s="1" t="s">
        <v>67</v>
      </c>
      <c r="K2125" s="1" t="s">
        <v>14</v>
      </c>
      <c r="M2125" s="2">
        <v>43102</v>
      </c>
      <c r="N2125" s="1" t="s">
        <v>8</v>
      </c>
      <c r="O2125" s="1" t="s">
        <v>68</v>
      </c>
    </row>
    <row r="2126" spans="1:15" ht="28.8" x14ac:dyDescent="0.3">
      <c r="A2126" s="1" t="s">
        <v>16806</v>
      </c>
      <c r="B2126" s="1" t="str">
        <f>"Kelsan Transport Services Limited"</f>
        <v>Kelsan Transport Services Limited</v>
      </c>
      <c r="C2126" s="1" t="s">
        <v>16807</v>
      </c>
      <c r="F2126" s="1" t="s">
        <v>179</v>
      </c>
      <c r="H2126" s="1" t="s">
        <v>16808</v>
      </c>
      <c r="I2126" s="1" t="s">
        <v>19</v>
      </c>
      <c r="J2126" s="1" t="s">
        <v>6</v>
      </c>
      <c r="K2126" s="1" t="s">
        <v>24</v>
      </c>
      <c r="L2126" s="1">
        <v>6393927</v>
      </c>
      <c r="M2126" s="2">
        <v>43102</v>
      </c>
      <c r="N2126" s="1" t="s">
        <v>8</v>
      </c>
      <c r="O2126" s="2">
        <v>44198</v>
      </c>
    </row>
    <row r="2127" spans="1:15" ht="43.2" x14ac:dyDescent="0.3">
      <c r="A2127" s="1" t="s">
        <v>16809</v>
      </c>
      <c r="B2127" s="1" t="str">
        <f>"New Overlander Restaurant"</f>
        <v>New Overlander Restaurant</v>
      </c>
      <c r="C2127" s="1" t="s">
        <v>16810</v>
      </c>
      <c r="F2127" s="1" t="s">
        <v>1063</v>
      </c>
      <c r="H2127" s="1" t="s">
        <v>16811</v>
      </c>
      <c r="I2127" s="1" t="s">
        <v>125</v>
      </c>
      <c r="J2127" s="1" t="s">
        <v>67</v>
      </c>
      <c r="K2127" s="1" t="s">
        <v>14</v>
      </c>
      <c r="M2127" s="2">
        <v>43102</v>
      </c>
      <c r="N2127" s="1" t="s">
        <v>8</v>
      </c>
      <c r="O2127" s="1" t="s">
        <v>68</v>
      </c>
    </row>
    <row r="2128" spans="1:15" ht="43.2" x14ac:dyDescent="0.3">
      <c r="A2128" s="1" t="s">
        <v>16812</v>
      </c>
      <c r="B2128" s="1" t="str">
        <f>"GWR Polymers Ltd"</f>
        <v>GWR Polymers Ltd</v>
      </c>
      <c r="C2128" s="1" t="s">
        <v>16813</v>
      </c>
      <c r="F2128" s="1" t="s">
        <v>243</v>
      </c>
      <c r="H2128" s="1" t="s">
        <v>16814</v>
      </c>
      <c r="I2128" s="1" t="s">
        <v>19</v>
      </c>
      <c r="J2128" s="1" t="s">
        <v>67</v>
      </c>
      <c r="K2128" s="1" t="s">
        <v>14</v>
      </c>
      <c r="M2128" s="2">
        <v>43102</v>
      </c>
      <c r="N2128" s="1" t="s">
        <v>8</v>
      </c>
      <c r="O2128" s="1" t="s">
        <v>68</v>
      </c>
    </row>
    <row r="2129" spans="1:15" ht="43.2" x14ac:dyDescent="0.3">
      <c r="A2129" s="1" t="s">
        <v>16815</v>
      </c>
      <c r="B2129" s="1" t="str">
        <f>"Westcombe hill food &amp; wine"</f>
        <v>Westcombe hill food &amp; wine</v>
      </c>
      <c r="C2129" s="1" t="s">
        <v>16816</v>
      </c>
      <c r="F2129" s="1" t="s">
        <v>16817</v>
      </c>
      <c r="H2129" s="1" t="s">
        <v>16818</v>
      </c>
      <c r="I2129" s="1" t="s">
        <v>19</v>
      </c>
      <c r="J2129" s="1" t="s">
        <v>67</v>
      </c>
      <c r="K2129" s="1" t="s">
        <v>14</v>
      </c>
      <c r="M2129" s="2">
        <v>43102</v>
      </c>
      <c r="N2129" s="1" t="s">
        <v>8</v>
      </c>
      <c r="O2129" s="1" t="s">
        <v>68</v>
      </c>
    </row>
    <row r="2130" spans="1:15" ht="28.8" x14ac:dyDescent="0.3">
      <c r="A2130" s="1" t="s">
        <v>28800</v>
      </c>
      <c r="B2130" s="1" t="str">
        <f>"Robert Williams RGW Heating Solutions"</f>
        <v>Robert Williams RGW Heating Solutions</v>
      </c>
      <c r="C2130" s="1" t="s">
        <v>28801</v>
      </c>
      <c r="F2130" s="1" t="s">
        <v>825</v>
      </c>
      <c r="H2130" s="1" t="s">
        <v>28802</v>
      </c>
      <c r="I2130" s="1" t="s">
        <v>5</v>
      </c>
      <c r="J2130" s="1" t="s">
        <v>6</v>
      </c>
      <c r="K2130" s="1" t="s">
        <v>24</v>
      </c>
      <c r="M2130" s="2">
        <v>43102</v>
      </c>
      <c r="N2130" s="1" t="s">
        <v>8</v>
      </c>
      <c r="O2130" s="2">
        <v>44198</v>
      </c>
    </row>
    <row r="2131" spans="1:15" ht="43.2" x14ac:dyDescent="0.3">
      <c r="A2131" s="1" t="s">
        <v>28803</v>
      </c>
      <c r="B2131" s="1" t="str">
        <f>"Dyfrig Roberts"</f>
        <v>Dyfrig Roberts</v>
      </c>
      <c r="C2131" s="1" t="s">
        <v>28804</v>
      </c>
      <c r="F2131" s="1" t="s">
        <v>922</v>
      </c>
      <c r="H2131" s="1" t="s">
        <v>28805</v>
      </c>
      <c r="I2131" s="1" t="s">
        <v>5</v>
      </c>
      <c r="J2131" s="1" t="s">
        <v>67</v>
      </c>
      <c r="K2131" s="1" t="s">
        <v>14</v>
      </c>
      <c r="M2131" s="2">
        <v>43102</v>
      </c>
      <c r="N2131" s="1" t="s">
        <v>8</v>
      </c>
      <c r="O2131" s="1" t="s">
        <v>68</v>
      </c>
    </row>
    <row r="2132" spans="1:15" ht="43.2" x14ac:dyDescent="0.3">
      <c r="A2132" s="1" t="s">
        <v>28806</v>
      </c>
      <c r="B2132" s="1" t="str">
        <f>"Julian Scott"</f>
        <v>Julian Scott</v>
      </c>
      <c r="C2132" s="1" t="s">
        <v>28807</v>
      </c>
      <c r="F2132" s="1" t="s">
        <v>3408</v>
      </c>
      <c r="H2132" s="1" t="s">
        <v>28808</v>
      </c>
      <c r="I2132" s="1" t="s">
        <v>5</v>
      </c>
      <c r="J2132" s="1" t="s">
        <v>67</v>
      </c>
      <c r="K2132" s="1" t="s">
        <v>14</v>
      </c>
      <c r="M2132" s="2">
        <v>43102</v>
      </c>
      <c r="N2132" s="1" t="s">
        <v>8</v>
      </c>
      <c r="O2132" s="1" t="s">
        <v>68</v>
      </c>
    </row>
    <row r="2133" spans="1:15" ht="28.8" x14ac:dyDescent="0.3">
      <c r="A2133" s="1" t="s">
        <v>16797</v>
      </c>
      <c r="B2133" s="1" t="str">
        <f>"Sullivan's Auctions ltd"</f>
        <v>Sullivan's Auctions ltd</v>
      </c>
      <c r="C2133" s="1" t="s">
        <v>16798</v>
      </c>
      <c r="D2133" s="1" t="s">
        <v>1264</v>
      </c>
      <c r="F2133" s="1" t="s">
        <v>556</v>
      </c>
      <c r="H2133" s="1" t="s">
        <v>220</v>
      </c>
      <c r="I2133" s="1" t="s">
        <v>19</v>
      </c>
      <c r="J2133" s="1" t="s">
        <v>6</v>
      </c>
      <c r="K2133" s="1" t="s">
        <v>34</v>
      </c>
      <c r="L2133" s="1">
        <v>9953053</v>
      </c>
      <c r="M2133" s="2">
        <v>43101</v>
      </c>
      <c r="N2133" s="1" t="s">
        <v>8</v>
      </c>
      <c r="O2133" s="2">
        <v>44197</v>
      </c>
    </row>
    <row r="2134" spans="1:15" ht="28.8" x14ac:dyDescent="0.3">
      <c r="A2134" s="1" t="s">
        <v>28794</v>
      </c>
      <c r="B2134" s="1" t="str">
        <f>"Jon Phillips Jdp plastering "</f>
        <v xml:space="preserve">Jon Phillips Jdp plastering </v>
      </c>
      <c r="C2134" s="1" t="s">
        <v>28795</v>
      </c>
      <c r="F2134" s="1" t="s">
        <v>64</v>
      </c>
      <c r="H2134" s="1" t="s">
        <v>28796</v>
      </c>
      <c r="I2134" s="1" t="s">
        <v>5</v>
      </c>
      <c r="J2134" s="1" t="s">
        <v>6</v>
      </c>
      <c r="K2134" s="1" t="s">
        <v>24</v>
      </c>
      <c r="M2134" s="2">
        <v>43101</v>
      </c>
      <c r="N2134" s="1" t="s">
        <v>8</v>
      </c>
      <c r="O2134" s="2">
        <v>44197</v>
      </c>
    </row>
    <row r="2135" spans="1:15" ht="28.8" x14ac:dyDescent="0.3">
      <c r="A2135" s="1" t="s">
        <v>28797</v>
      </c>
      <c r="B2135" s="1" t="str">
        <f>"Mark Bevan A &amp; M Agriculture"</f>
        <v>Mark Bevan A &amp; M Agriculture</v>
      </c>
      <c r="C2135" s="1" t="s">
        <v>28798</v>
      </c>
      <c r="F2135" s="1" t="s">
        <v>64</v>
      </c>
      <c r="H2135" s="1" t="s">
        <v>28799</v>
      </c>
      <c r="I2135" s="1" t="s">
        <v>5</v>
      </c>
      <c r="J2135" s="1" t="s">
        <v>6</v>
      </c>
      <c r="K2135" s="1" t="s">
        <v>24</v>
      </c>
      <c r="M2135" s="2">
        <v>43101</v>
      </c>
      <c r="N2135" s="1" t="s">
        <v>8</v>
      </c>
      <c r="O2135" s="2">
        <v>44197</v>
      </c>
    </row>
    <row r="2136" spans="1:15" ht="43.2" x14ac:dyDescent="0.3">
      <c r="A2136" s="1" t="s">
        <v>15828</v>
      </c>
      <c r="B2136" s="1" t="str">
        <f>"Dennis Shingler &amp; Sons Ltd"</f>
        <v>Dennis Shingler &amp; Sons Ltd</v>
      </c>
      <c r="C2136" s="1" t="s">
        <v>15829</v>
      </c>
      <c r="F2136" s="1" t="s">
        <v>2459</v>
      </c>
      <c r="H2136" s="1" t="s">
        <v>15830</v>
      </c>
      <c r="I2136" s="1" t="s">
        <v>19</v>
      </c>
      <c r="J2136" s="1" t="s">
        <v>67</v>
      </c>
      <c r="K2136" s="1" t="s">
        <v>14</v>
      </c>
      <c r="M2136" s="2">
        <v>43099</v>
      </c>
      <c r="N2136" s="1" t="s">
        <v>8</v>
      </c>
      <c r="O2136" s="1" t="s">
        <v>68</v>
      </c>
    </row>
    <row r="2137" spans="1:15" ht="43.2" x14ac:dyDescent="0.3">
      <c r="A2137" s="1" t="s">
        <v>15831</v>
      </c>
      <c r="B2137" s="1" t="str">
        <f>"Sayan Enterprise limited "</f>
        <v xml:space="preserve">Sayan Enterprise limited </v>
      </c>
      <c r="C2137" s="1" t="s">
        <v>15832</v>
      </c>
      <c r="F2137" s="1" t="s">
        <v>401</v>
      </c>
      <c r="H2137" s="1" t="s">
        <v>15833</v>
      </c>
      <c r="I2137" s="1" t="s">
        <v>19</v>
      </c>
      <c r="J2137" s="1" t="s">
        <v>67</v>
      </c>
      <c r="K2137" s="1" t="s">
        <v>14</v>
      </c>
      <c r="M2137" s="2">
        <v>43099</v>
      </c>
      <c r="N2137" s="1" t="s">
        <v>8</v>
      </c>
      <c r="O2137" s="1" t="s">
        <v>68</v>
      </c>
    </row>
    <row r="2138" spans="1:15" ht="28.8" x14ac:dyDescent="0.3">
      <c r="A2138" s="1" t="s">
        <v>15834</v>
      </c>
      <c r="B2138" s="1" t="str">
        <f>"Dragon thermal South Wales ltd"</f>
        <v>Dragon thermal South Wales ltd</v>
      </c>
      <c r="C2138" s="1" t="s">
        <v>15835</v>
      </c>
      <c r="F2138" s="1" t="s">
        <v>56</v>
      </c>
      <c r="H2138" s="1" t="s">
        <v>15836</v>
      </c>
      <c r="I2138" s="1" t="s">
        <v>19</v>
      </c>
      <c r="J2138" s="1" t="s">
        <v>6</v>
      </c>
      <c r="K2138" s="1" t="s">
        <v>24</v>
      </c>
      <c r="L2138" s="1">
        <v>7908821</v>
      </c>
      <c r="M2138" s="2">
        <v>43099</v>
      </c>
      <c r="N2138" s="1" t="s">
        <v>8</v>
      </c>
      <c r="O2138" s="2">
        <v>44195</v>
      </c>
    </row>
    <row r="2139" spans="1:15" ht="43.2" x14ac:dyDescent="0.3">
      <c r="A2139" s="1" t="s">
        <v>15837</v>
      </c>
      <c r="B2139" s="1" t="str">
        <f>"Carr Opticians Limited"</f>
        <v>Carr Opticians Limited</v>
      </c>
      <c r="C2139" s="1" t="s">
        <v>15838</v>
      </c>
      <c r="F2139" s="1" t="s">
        <v>15839</v>
      </c>
      <c r="H2139" s="1" t="s">
        <v>15840</v>
      </c>
      <c r="I2139" s="1" t="s">
        <v>19</v>
      </c>
      <c r="J2139" s="1" t="s">
        <v>67</v>
      </c>
      <c r="K2139" s="1" t="s">
        <v>14</v>
      </c>
      <c r="M2139" s="2">
        <v>43099</v>
      </c>
      <c r="N2139" s="1" t="s">
        <v>8</v>
      </c>
      <c r="O2139" s="1" t="s">
        <v>68</v>
      </c>
    </row>
    <row r="2140" spans="1:15" ht="43.2" x14ac:dyDescent="0.3">
      <c r="A2140" s="1" t="s">
        <v>28023</v>
      </c>
      <c r="B2140" s="1" t="str">
        <f>"Mark Brett"</f>
        <v>Mark Brett</v>
      </c>
      <c r="C2140" s="1" t="s">
        <v>28024</v>
      </c>
      <c r="F2140" s="1" t="s">
        <v>271</v>
      </c>
      <c r="H2140" s="1" t="s">
        <v>28025</v>
      </c>
      <c r="I2140" s="1" t="s">
        <v>5</v>
      </c>
      <c r="J2140" s="1" t="s">
        <v>67</v>
      </c>
      <c r="K2140" s="1" t="s">
        <v>14</v>
      </c>
      <c r="M2140" s="2">
        <v>43099</v>
      </c>
      <c r="N2140" s="1" t="s">
        <v>8</v>
      </c>
      <c r="O2140" s="1" t="s">
        <v>68</v>
      </c>
    </row>
    <row r="2141" spans="1:15" ht="43.2" x14ac:dyDescent="0.3">
      <c r="A2141" s="1" t="s">
        <v>28026</v>
      </c>
      <c r="B2141" s="1" t="str">
        <f>"Phil Humble"</f>
        <v>Phil Humble</v>
      </c>
      <c r="C2141" s="1" t="s">
        <v>28027</v>
      </c>
      <c r="F2141" s="1" t="s">
        <v>1776</v>
      </c>
      <c r="H2141" s="1" t="s">
        <v>28028</v>
      </c>
      <c r="I2141" s="1" t="s">
        <v>5</v>
      </c>
      <c r="J2141" s="1" t="s">
        <v>67</v>
      </c>
      <c r="K2141" s="1" t="s">
        <v>14</v>
      </c>
      <c r="M2141" s="2">
        <v>43099</v>
      </c>
      <c r="N2141" s="1" t="s">
        <v>8</v>
      </c>
      <c r="O2141" s="1" t="s">
        <v>68</v>
      </c>
    </row>
    <row r="2142" spans="1:15" ht="28.8" x14ac:dyDescent="0.3">
      <c r="A2142" s="1" t="s">
        <v>28022</v>
      </c>
      <c r="B2142" s="1" t="str">
        <f>"ricky hughes DR HUGHES HAULAGE"</f>
        <v>ricky hughes DR HUGHES HAULAGE</v>
      </c>
      <c r="C2142" s="1" t="s">
        <v>25906</v>
      </c>
      <c r="D2142" s="1" t="s">
        <v>2169</v>
      </c>
      <c r="F2142" s="1" t="s">
        <v>179</v>
      </c>
      <c r="H2142" s="1" t="s">
        <v>25907</v>
      </c>
      <c r="I2142" s="1" t="s">
        <v>5</v>
      </c>
      <c r="J2142" s="1" t="s">
        <v>6</v>
      </c>
      <c r="K2142" s="1" t="s">
        <v>24</v>
      </c>
      <c r="M2142" s="2">
        <v>43098</v>
      </c>
      <c r="N2142" s="1" t="s">
        <v>8</v>
      </c>
      <c r="O2142" s="2">
        <v>44194</v>
      </c>
    </row>
    <row r="2143" spans="1:15" ht="43.2" x14ac:dyDescent="0.3">
      <c r="A2143" s="1" t="s">
        <v>15822</v>
      </c>
      <c r="B2143" s="1" t="str">
        <f>"BEAR HOTEL"</f>
        <v>BEAR HOTEL</v>
      </c>
      <c r="C2143" s="1" t="s">
        <v>15823</v>
      </c>
      <c r="F2143" s="1" t="s">
        <v>2580</v>
      </c>
      <c r="H2143" s="1" t="s">
        <v>15824</v>
      </c>
      <c r="I2143" s="1" t="s">
        <v>125</v>
      </c>
      <c r="J2143" s="1" t="s">
        <v>67</v>
      </c>
      <c r="K2143" s="1" t="s">
        <v>14</v>
      </c>
      <c r="M2143" s="2">
        <v>43097</v>
      </c>
      <c r="N2143" s="1" t="s">
        <v>8</v>
      </c>
      <c r="O2143" s="1" t="s">
        <v>68</v>
      </c>
    </row>
    <row r="2144" spans="1:15" ht="43.2" x14ac:dyDescent="0.3">
      <c r="A2144" s="1" t="s">
        <v>15825</v>
      </c>
      <c r="B2144" s="1" t="str">
        <f>"Jaymins pound plus (jaymins ltd)"</f>
        <v>Jaymins pound plus (jaymins ltd)</v>
      </c>
      <c r="C2144" s="1" t="s">
        <v>15826</v>
      </c>
      <c r="F2144" s="1" t="s">
        <v>170</v>
      </c>
      <c r="H2144" s="1" t="s">
        <v>15827</v>
      </c>
      <c r="I2144" s="1" t="s">
        <v>19</v>
      </c>
      <c r="J2144" s="1" t="s">
        <v>67</v>
      </c>
      <c r="K2144" s="1" t="s">
        <v>14</v>
      </c>
      <c r="M2144" s="2">
        <v>43097</v>
      </c>
      <c r="N2144" s="1" t="s">
        <v>8</v>
      </c>
      <c r="O2144" s="1" t="s">
        <v>68</v>
      </c>
    </row>
    <row r="2145" spans="1:15" ht="28.8" x14ac:dyDescent="0.3">
      <c r="A2145" s="1" t="s">
        <v>28016</v>
      </c>
      <c r="B2145" s="1" t="str">
        <f>"Malcolm Bailey Bailey kitchens"</f>
        <v>Malcolm Bailey Bailey kitchens</v>
      </c>
      <c r="C2145" s="1" t="s">
        <v>28017</v>
      </c>
      <c r="F2145" s="1" t="s">
        <v>123</v>
      </c>
      <c r="H2145" s="1" t="s">
        <v>28018</v>
      </c>
      <c r="I2145" s="1" t="s">
        <v>5</v>
      </c>
      <c r="J2145" s="1" t="s">
        <v>6</v>
      </c>
      <c r="K2145" s="1" t="s">
        <v>24</v>
      </c>
      <c r="M2145" s="2">
        <v>43097</v>
      </c>
      <c r="N2145" s="1" t="s">
        <v>8</v>
      </c>
      <c r="O2145" s="2">
        <v>44193</v>
      </c>
    </row>
    <row r="2146" spans="1:15" ht="43.2" x14ac:dyDescent="0.3">
      <c r="A2146" s="1" t="s">
        <v>28019</v>
      </c>
      <c r="B2146" s="1" t="str">
        <f>"Jamie Davies"</f>
        <v>Jamie Davies</v>
      </c>
      <c r="C2146" s="1" t="s">
        <v>28020</v>
      </c>
      <c r="F2146" s="1" t="s">
        <v>5631</v>
      </c>
      <c r="H2146" s="1" t="s">
        <v>28021</v>
      </c>
      <c r="I2146" s="1" t="s">
        <v>5</v>
      </c>
      <c r="J2146" s="1" t="s">
        <v>67</v>
      </c>
      <c r="K2146" s="1" t="s">
        <v>14</v>
      </c>
      <c r="M2146" s="2">
        <v>43097</v>
      </c>
      <c r="N2146" s="1" t="s">
        <v>8</v>
      </c>
      <c r="O2146" s="1" t="s">
        <v>68</v>
      </c>
    </row>
    <row r="2147" spans="1:15" ht="28.8" x14ac:dyDescent="0.3">
      <c r="A2147" s="1" t="s">
        <v>14881</v>
      </c>
      <c r="B2147" s="1" t="str">
        <f>"A C Groundtec"</f>
        <v>A C Groundtec</v>
      </c>
      <c r="C2147" s="1" t="s">
        <v>14882</v>
      </c>
      <c r="F2147" s="1" t="s">
        <v>585</v>
      </c>
      <c r="H2147" s="1" t="s">
        <v>14883</v>
      </c>
      <c r="I2147" s="1" t="s">
        <v>125</v>
      </c>
      <c r="J2147" s="1" t="s">
        <v>6</v>
      </c>
      <c r="K2147" s="1" t="s">
        <v>34</v>
      </c>
      <c r="M2147" s="2">
        <v>43096</v>
      </c>
      <c r="N2147" s="1" t="s">
        <v>8</v>
      </c>
      <c r="O2147" s="2">
        <v>44192</v>
      </c>
    </row>
    <row r="2148" spans="1:15" ht="43.2" x14ac:dyDescent="0.3">
      <c r="A2148" s="1" t="s">
        <v>28013</v>
      </c>
      <c r="B2148" s="1" t="str">
        <f>"Robert Graham"</f>
        <v>Robert Graham</v>
      </c>
      <c r="C2148" s="1" t="s">
        <v>28014</v>
      </c>
      <c r="D2148" s="1" t="s">
        <v>24875</v>
      </c>
      <c r="F2148" s="1" t="s">
        <v>401</v>
      </c>
      <c r="H2148" s="1" t="s">
        <v>28015</v>
      </c>
      <c r="I2148" s="1" t="s">
        <v>5</v>
      </c>
      <c r="J2148" s="1" t="s">
        <v>67</v>
      </c>
      <c r="K2148" s="1" t="s">
        <v>14</v>
      </c>
      <c r="M2148" s="2">
        <v>43096</v>
      </c>
      <c r="N2148" s="1" t="s">
        <v>8</v>
      </c>
      <c r="O2148" s="1" t="s">
        <v>68</v>
      </c>
    </row>
    <row r="2149" spans="1:15" ht="28.8" x14ac:dyDescent="0.3">
      <c r="A2149" s="1" t="s">
        <v>14877</v>
      </c>
      <c r="B2149" s="1" t="str">
        <f>"RG building &amp; landscape services lt"</f>
        <v>RG building &amp; landscape services lt</v>
      </c>
      <c r="C2149" s="1" t="s">
        <v>14878</v>
      </c>
      <c r="F2149" s="1" t="s">
        <v>14879</v>
      </c>
      <c r="H2149" s="1" t="s">
        <v>14880</v>
      </c>
      <c r="I2149" s="1" t="s">
        <v>19</v>
      </c>
      <c r="J2149" s="1" t="s">
        <v>6</v>
      </c>
      <c r="K2149" s="1" t="s">
        <v>24</v>
      </c>
      <c r="L2149" s="1">
        <v>8359311</v>
      </c>
      <c r="M2149" s="2">
        <v>43092</v>
      </c>
      <c r="N2149" s="1" t="s">
        <v>8</v>
      </c>
      <c r="O2149" s="2">
        <v>44188</v>
      </c>
    </row>
    <row r="2150" spans="1:15" ht="43.2" x14ac:dyDescent="0.3">
      <c r="A2150" s="1" t="s">
        <v>27185</v>
      </c>
      <c r="B2150" s="1" t="str">
        <f>"aaron harford"</f>
        <v>aaron harford</v>
      </c>
      <c r="C2150" s="1" t="s">
        <v>27186</v>
      </c>
      <c r="F2150" s="1" t="s">
        <v>15338</v>
      </c>
      <c r="H2150" s="1" t="s">
        <v>27187</v>
      </c>
      <c r="I2150" s="1" t="s">
        <v>5</v>
      </c>
      <c r="J2150" s="1" t="s">
        <v>67</v>
      </c>
      <c r="K2150" s="1" t="s">
        <v>14</v>
      </c>
      <c r="M2150" s="2">
        <v>43092</v>
      </c>
      <c r="N2150" s="1" t="s">
        <v>8</v>
      </c>
      <c r="O2150" s="1" t="s">
        <v>68</v>
      </c>
    </row>
    <row r="2151" spans="1:15" ht="43.2" x14ac:dyDescent="0.3">
      <c r="A2151" s="1" t="s">
        <v>14874</v>
      </c>
      <c r="B2151" s="1" t="str">
        <f>"CLAYBROOK CONTRACTING SERVICES LTD"</f>
        <v>CLAYBROOK CONTRACTING SERVICES LTD</v>
      </c>
      <c r="C2151" s="1" t="s">
        <v>14875</v>
      </c>
      <c r="F2151" s="1" t="s">
        <v>532</v>
      </c>
      <c r="H2151" s="1" t="s">
        <v>14876</v>
      </c>
      <c r="I2151" s="1" t="s">
        <v>19</v>
      </c>
      <c r="J2151" s="1" t="s">
        <v>6</v>
      </c>
      <c r="K2151" s="1" t="s">
        <v>34</v>
      </c>
      <c r="L2151" s="1">
        <v>9329552</v>
      </c>
      <c r="M2151" s="2">
        <v>43091</v>
      </c>
      <c r="N2151" s="1" t="s">
        <v>8</v>
      </c>
      <c r="O2151" s="2">
        <v>44187</v>
      </c>
    </row>
    <row r="2152" spans="1:15" ht="28.8" x14ac:dyDescent="0.3">
      <c r="A2152" s="1" t="s">
        <v>14012</v>
      </c>
      <c r="B2152" s="1" t="str">
        <f>"SOLID FUEL SERVICES LTD"</f>
        <v>SOLID FUEL SERVICES LTD</v>
      </c>
      <c r="C2152" s="1" t="s">
        <v>14013</v>
      </c>
      <c r="D2152" s="1" t="s">
        <v>942</v>
      </c>
      <c r="F2152" s="1" t="s">
        <v>665</v>
      </c>
      <c r="H2152" s="1" t="s">
        <v>943</v>
      </c>
      <c r="I2152" s="1" t="s">
        <v>19</v>
      </c>
      <c r="J2152" s="1" t="s">
        <v>6</v>
      </c>
      <c r="K2152" s="1" t="s">
        <v>24</v>
      </c>
      <c r="L2152" s="1">
        <v>4168924</v>
      </c>
      <c r="M2152" s="2">
        <v>43090</v>
      </c>
      <c r="N2152" s="1" t="s">
        <v>8</v>
      </c>
      <c r="O2152" s="2">
        <v>44186</v>
      </c>
    </row>
    <row r="2153" spans="1:15" ht="43.2" x14ac:dyDescent="0.3">
      <c r="A2153" s="1" t="s">
        <v>14014</v>
      </c>
      <c r="B2153" s="1" t="str">
        <f>"Sinfonia Cymru"</f>
        <v>Sinfonia Cymru</v>
      </c>
      <c r="C2153" s="1" t="s">
        <v>14015</v>
      </c>
      <c r="F2153" s="1" t="s">
        <v>123</v>
      </c>
      <c r="H2153" s="1" t="s">
        <v>7281</v>
      </c>
      <c r="I2153" s="1" t="s">
        <v>1872</v>
      </c>
      <c r="J2153" s="1" t="s">
        <v>67</v>
      </c>
      <c r="K2153" s="1" t="s">
        <v>14</v>
      </c>
      <c r="M2153" s="2">
        <v>43090</v>
      </c>
      <c r="N2153" s="1" t="s">
        <v>8</v>
      </c>
      <c r="O2153" s="1" t="s">
        <v>68</v>
      </c>
    </row>
    <row r="2154" spans="1:15" ht="28.8" x14ac:dyDescent="0.3">
      <c r="A2154" s="1" t="s">
        <v>14867</v>
      </c>
      <c r="B2154" s="1" t="str">
        <f>"Dartom Sp. z o.o."</f>
        <v>Dartom Sp. z o.o.</v>
      </c>
      <c r="C2154" s="1" t="s">
        <v>14868</v>
      </c>
      <c r="D2154" s="1" t="s">
        <v>14869</v>
      </c>
      <c r="E2154" s="1" t="s">
        <v>14870</v>
      </c>
      <c r="G2154" s="1" t="s">
        <v>12663</v>
      </c>
      <c r="I2154" s="1" t="s">
        <v>125</v>
      </c>
      <c r="J2154" s="1" t="s">
        <v>6</v>
      </c>
      <c r="K2154" s="1" t="s">
        <v>34</v>
      </c>
      <c r="M2154" s="2">
        <v>43090</v>
      </c>
      <c r="N2154" s="1" t="s">
        <v>8</v>
      </c>
      <c r="O2154" s="2">
        <v>44212</v>
      </c>
    </row>
    <row r="2155" spans="1:15" ht="43.2" x14ac:dyDescent="0.3">
      <c r="A2155" s="1" t="s">
        <v>14871</v>
      </c>
      <c r="B2155" s="1" t="str">
        <f>"Bavarian motors ltd"</f>
        <v>Bavarian motors ltd</v>
      </c>
      <c r="C2155" s="1" t="s">
        <v>14872</v>
      </c>
      <c r="F2155" s="1" t="s">
        <v>14036</v>
      </c>
      <c r="H2155" s="1" t="s">
        <v>14873</v>
      </c>
      <c r="I2155" s="1" t="s">
        <v>19</v>
      </c>
      <c r="J2155" s="1" t="s">
        <v>67</v>
      </c>
      <c r="K2155" s="1" t="s">
        <v>14</v>
      </c>
      <c r="M2155" s="2">
        <v>43090</v>
      </c>
      <c r="N2155" s="1" t="s">
        <v>8</v>
      </c>
      <c r="O2155" s="1" t="s">
        <v>68</v>
      </c>
    </row>
    <row r="2156" spans="1:15" ht="43.2" x14ac:dyDescent="0.3">
      <c r="A2156" s="1" t="s">
        <v>26434</v>
      </c>
      <c r="B2156" s="1" t="str">
        <f>"Hayley Hanson"</f>
        <v>Hayley Hanson</v>
      </c>
      <c r="C2156" s="1" t="s">
        <v>26435</v>
      </c>
      <c r="F2156" s="1" t="s">
        <v>1206</v>
      </c>
      <c r="H2156" s="1" t="s">
        <v>26436</v>
      </c>
      <c r="I2156" s="1" t="s">
        <v>5</v>
      </c>
      <c r="J2156" s="1" t="s">
        <v>67</v>
      </c>
      <c r="K2156" s="1" t="s">
        <v>14</v>
      </c>
      <c r="M2156" s="2">
        <v>43090</v>
      </c>
      <c r="N2156" s="1" t="s">
        <v>8</v>
      </c>
      <c r="O2156" s="1" t="s">
        <v>68</v>
      </c>
    </row>
    <row r="2157" spans="1:15" ht="28.8" x14ac:dyDescent="0.3">
      <c r="A2157" s="1" t="s">
        <v>27175</v>
      </c>
      <c r="B2157" s="1" t="str">
        <f>"Mike Thomas"</f>
        <v>Mike Thomas</v>
      </c>
      <c r="C2157" s="1" t="s">
        <v>27176</v>
      </c>
      <c r="F2157" s="1" t="s">
        <v>665</v>
      </c>
      <c r="H2157" s="1" t="s">
        <v>27177</v>
      </c>
      <c r="I2157" s="1" t="s">
        <v>5</v>
      </c>
      <c r="J2157" s="1" t="s">
        <v>6</v>
      </c>
      <c r="K2157" s="1" t="s">
        <v>24</v>
      </c>
      <c r="M2157" s="2">
        <v>43090</v>
      </c>
      <c r="N2157" s="1" t="s">
        <v>8</v>
      </c>
      <c r="O2157" s="2">
        <v>44186</v>
      </c>
    </row>
    <row r="2158" spans="1:15" ht="43.2" x14ac:dyDescent="0.3">
      <c r="A2158" s="1" t="s">
        <v>27178</v>
      </c>
      <c r="B2158" s="1" t="str">
        <f>"Steven Pitcock"</f>
        <v>Steven Pitcock</v>
      </c>
      <c r="C2158" s="1" t="s">
        <v>27179</v>
      </c>
      <c r="F2158" s="1" t="s">
        <v>706</v>
      </c>
      <c r="H2158" s="1" t="s">
        <v>27180</v>
      </c>
      <c r="I2158" s="1" t="s">
        <v>5</v>
      </c>
      <c r="J2158" s="1" t="s">
        <v>67</v>
      </c>
      <c r="K2158" s="1" t="s">
        <v>14</v>
      </c>
      <c r="M2158" s="2">
        <v>43090</v>
      </c>
      <c r="N2158" s="1" t="s">
        <v>8</v>
      </c>
      <c r="O2158" s="1" t="s">
        <v>68</v>
      </c>
    </row>
    <row r="2159" spans="1:15" ht="43.2" x14ac:dyDescent="0.3">
      <c r="A2159" s="1" t="s">
        <v>27181</v>
      </c>
      <c r="B2159" s="1" t="str">
        <f>"Danny Lamb"</f>
        <v>Danny Lamb</v>
      </c>
      <c r="C2159" s="1" t="s">
        <v>27182</v>
      </c>
      <c r="F2159" s="1" t="s">
        <v>27183</v>
      </c>
      <c r="H2159" s="1" t="s">
        <v>27184</v>
      </c>
      <c r="I2159" s="1" t="s">
        <v>5</v>
      </c>
      <c r="J2159" s="1" t="s">
        <v>67</v>
      </c>
      <c r="K2159" s="1" t="s">
        <v>14</v>
      </c>
      <c r="M2159" s="2">
        <v>43090</v>
      </c>
      <c r="N2159" s="1" t="s">
        <v>8</v>
      </c>
      <c r="O2159" s="1" t="s">
        <v>68</v>
      </c>
    </row>
    <row r="2160" spans="1:15" ht="43.2" x14ac:dyDescent="0.3">
      <c r="A2160" s="1" t="s">
        <v>14009</v>
      </c>
      <c r="B2160" s="1" t="str">
        <f>"St Nicholas House"</f>
        <v>St Nicholas House</v>
      </c>
      <c r="C2160" s="1" t="s">
        <v>14010</v>
      </c>
      <c r="F2160" s="1" t="s">
        <v>3655</v>
      </c>
      <c r="H2160" s="1" t="s">
        <v>14011</v>
      </c>
      <c r="I2160" s="1" t="s">
        <v>19</v>
      </c>
      <c r="J2160" s="1" t="s">
        <v>67</v>
      </c>
      <c r="K2160" s="1" t="s">
        <v>14</v>
      </c>
      <c r="M2160" s="2">
        <v>43089</v>
      </c>
      <c r="N2160" s="1" t="s">
        <v>8</v>
      </c>
      <c r="O2160" s="1" t="s">
        <v>68</v>
      </c>
    </row>
    <row r="2161" spans="1:15" ht="43.2" x14ac:dyDescent="0.3">
      <c r="A2161" s="1" t="s">
        <v>26432</v>
      </c>
      <c r="B2161" s="1" t="str">
        <f>"William Benjamin Evans"</f>
        <v>William Benjamin Evans</v>
      </c>
      <c r="C2161" s="1" t="s">
        <v>12912</v>
      </c>
      <c r="F2161" s="1" t="s">
        <v>3105</v>
      </c>
      <c r="H2161" s="1" t="s">
        <v>26433</v>
      </c>
      <c r="I2161" s="1" t="s">
        <v>5</v>
      </c>
      <c r="J2161" s="1" t="s">
        <v>67</v>
      </c>
      <c r="K2161" s="1" t="s">
        <v>14</v>
      </c>
      <c r="M2161" s="2">
        <v>43089</v>
      </c>
      <c r="N2161" s="1" t="s">
        <v>8</v>
      </c>
      <c r="O2161" s="1" t="s">
        <v>68</v>
      </c>
    </row>
    <row r="2162" spans="1:15" ht="28.8" x14ac:dyDescent="0.3">
      <c r="A2162" s="1" t="s">
        <v>13997</v>
      </c>
      <c r="B2162" s="1" t="str">
        <f>"EDWARDS &amp; ROSS PALLETS LIMITED"</f>
        <v>EDWARDS &amp; ROSS PALLETS LIMITED</v>
      </c>
      <c r="C2162" s="1" t="s">
        <v>13123</v>
      </c>
      <c r="D2162" s="1" t="s">
        <v>13124</v>
      </c>
      <c r="F2162" s="1" t="s">
        <v>6400</v>
      </c>
      <c r="H2162" s="1" t="s">
        <v>13125</v>
      </c>
      <c r="I2162" s="1" t="s">
        <v>19</v>
      </c>
      <c r="J2162" s="1" t="s">
        <v>6</v>
      </c>
      <c r="K2162" s="1" t="s">
        <v>24</v>
      </c>
      <c r="L2162" s="1">
        <v>5608101</v>
      </c>
      <c r="M2162" s="2">
        <v>43088</v>
      </c>
      <c r="N2162" s="1" t="s">
        <v>8</v>
      </c>
      <c r="O2162" s="2">
        <v>44184</v>
      </c>
    </row>
    <row r="2163" spans="1:15" ht="43.2" x14ac:dyDescent="0.3">
      <c r="A2163" s="1" t="s">
        <v>13998</v>
      </c>
      <c r="B2163" s="1" t="str">
        <f>"www.supportmycomputer.co.uk ltd"</f>
        <v>www.supportmycomputer.co.uk ltd</v>
      </c>
      <c r="C2163" s="1" t="s">
        <v>13999</v>
      </c>
      <c r="F2163" s="1" t="s">
        <v>1230</v>
      </c>
      <c r="H2163" s="1" t="s">
        <v>14000</v>
      </c>
      <c r="I2163" s="1" t="s">
        <v>19</v>
      </c>
      <c r="J2163" s="1" t="s">
        <v>67</v>
      </c>
      <c r="K2163" s="1" t="s">
        <v>14</v>
      </c>
      <c r="M2163" s="2">
        <v>43088</v>
      </c>
      <c r="N2163" s="1" t="s">
        <v>8</v>
      </c>
      <c r="O2163" s="1" t="s">
        <v>68</v>
      </c>
    </row>
    <row r="2164" spans="1:15" ht="28.8" x14ac:dyDescent="0.3">
      <c r="A2164" s="1" t="s">
        <v>14001</v>
      </c>
      <c r="B2164" s="1" t="str">
        <f>"ARVANS CIVIL ENGINEERING LTD"</f>
        <v>ARVANS CIVIL ENGINEERING LTD</v>
      </c>
      <c r="C2164" s="1" t="s">
        <v>14002</v>
      </c>
      <c r="F2164" s="1" t="s">
        <v>10122</v>
      </c>
      <c r="H2164" s="1" t="s">
        <v>9080</v>
      </c>
      <c r="I2164" s="1" t="s">
        <v>19</v>
      </c>
      <c r="J2164" s="1" t="s">
        <v>6</v>
      </c>
      <c r="K2164" s="1" t="s">
        <v>34</v>
      </c>
      <c r="L2164" s="1">
        <v>3841337</v>
      </c>
      <c r="M2164" s="2">
        <v>43088</v>
      </c>
      <c r="N2164" s="1" t="s">
        <v>8</v>
      </c>
      <c r="O2164" s="2">
        <v>44184</v>
      </c>
    </row>
    <row r="2165" spans="1:15" ht="28.8" x14ac:dyDescent="0.3">
      <c r="A2165" s="1" t="s">
        <v>14003</v>
      </c>
      <c r="B2165" s="1" t="str">
        <f>"Roadway Civil Eng. &amp; Surfacing Ltd."</f>
        <v>Roadway Civil Eng. &amp; Surfacing Ltd.</v>
      </c>
      <c r="C2165" s="1" t="s">
        <v>14004</v>
      </c>
      <c r="D2165" s="1" t="s">
        <v>8520</v>
      </c>
      <c r="F2165" s="1" t="s">
        <v>532</v>
      </c>
      <c r="H2165" s="1" t="s">
        <v>14005</v>
      </c>
      <c r="I2165" s="1" t="s">
        <v>19</v>
      </c>
      <c r="J2165" s="1" t="s">
        <v>6</v>
      </c>
      <c r="K2165" s="1" t="s">
        <v>34</v>
      </c>
      <c r="L2165" s="1">
        <v>4032393</v>
      </c>
      <c r="M2165" s="2">
        <v>43088</v>
      </c>
      <c r="N2165" s="1" t="s">
        <v>8</v>
      </c>
      <c r="O2165" s="2">
        <v>44184</v>
      </c>
    </row>
    <row r="2166" spans="1:15" ht="43.2" x14ac:dyDescent="0.3">
      <c r="A2166" s="1" t="s">
        <v>14006</v>
      </c>
      <c r="B2166" s="1" t="str">
        <f>"Internet Direct Ltd."</f>
        <v>Internet Direct Ltd.</v>
      </c>
      <c r="C2166" s="1" t="s">
        <v>14007</v>
      </c>
      <c r="F2166" s="1" t="s">
        <v>3465</v>
      </c>
      <c r="H2166" s="1" t="s">
        <v>14008</v>
      </c>
      <c r="I2166" s="1" t="s">
        <v>19</v>
      </c>
      <c r="J2166" s="1" t="s">
        <v>67</v>
      </c>
      <c r="K2166" s="1" t="s">
        <v>14</v>
      </c>
      <c r="M2166" s="2">
        <v>43088</v>
      </c>
      <c r="N2166" s="1" t="s">
        <v>8</v>
      </c>
      <c r="O2166" s="1" t="s">
        <v>68</v>
      </c>
    </row>
    <row r="2167" spans="1:15" ht="28.8" x14ac:dyDescent="0.3">
      <c r="A2167" s="1" t="s">
        <v>26429</v>
      </c>
      <c r="B2167" s="1" t="str">
        <f>"Ian Sumpter Little Jobs"</f>
        <v>Ian Sumpter Little Jobs</v>
      </c>
      <c r="C2167" s="1" t="s">
        <v>26430</v>
      </c>
      <c r="D2167" s="1" t="s">
        <v>4308</v>
      </c>
      <c r="F2167" s="1" t="s">
        <v>532</v>
      </c>
      <c r="H2167" s="1" t="s">
        <v>26431</v>
      </c>
      <c r="I2167" s="1" t="s">
        <v>5</v>
      </c>
      <c r="J2167" s="1" t="s">
        <v>6</v>
      </c>
      <c r="K2167" s="1" t="s">
        <v>24</v>
      </c>
      <c r="M2167" s="2">
        <v>43088</v>
      </c>
      <c r="N2167" s="1" t="s">
        <v>8</v>
      </c>
      <c r="O2167" s="2">
        <v>44184</v>
      </c>
    </row>
    <row r="2168" spans="1:15" ht="28.8" x14ac:dyDescent="0.3">
      <c r="A2168" s="1" t="s">
        <v>12968</v>
      </c>
      <c r="B2168" s="1" t="str">
        <f>"LET LEWIS LTD"</f>
        <v>LET LEWIS LTD</v>
      </c>
      <c r="C2168" s="1" t="s">
        <v>12969</v>
      </c>
      <c r="D2168" s="1" t="s">
        <v>12970</v>
      </c>
      <c r="F2168" s="1" t="s">
        <v>364</v>
      </c>
      <c r="H2168" s="1" t="s">
        <v>12971</v>
      </c>
      <c r="I2168" s="1" t="s">
        <v>19</v>
      </c>
      <c r="J2168" s="1" t="s">
        <v>6</v>
      </c>
      <c r="K2168" s="1" t="s">
        <v>24</v>
      </c>
      <c r="L2168" s="1">
        <v>5622520</v>
      </c>
      <c r="M2168" s="2">
        <v>43087</v>
      </c>
      <c r="N2168" s="1" t="s">
        <v>8</v>
      </c>
      <c r="O2168" s="2">
        <v>44183</v>
      </c>
    </row>
    <row r="2169" spans="1:15" ht="43.2" x14ac:dyDescent="0.3">
      <c r="A2169" s="1" t="s">
        <v>12972</v>
      </c>
      <c r="B2169" s="1" t="str">
        <f>"Florist"</f>
        <v>Florist</v>
      </c>
      <c r="C2169" s="1" t="s">
        <v>12973</v>
      </c>
      <c r="D2169" s="1" t="s">
        <v>12974</v>
      </c>
      <c r="F2169" s="1" t="s">
        <v>170</v>
      </c>
      <c r="H2169" s="1" t="s">
        <v>12975</v>
      </c>
      <c r="I2169" s="1" t="s">
        <v>19</v>
      </c>
      <c r="J2169" s="1" t="s">
        <v>67</v>
      </c>
      <c r="K2169" s="1" t="s">
        <v>14</v>
      </c>
      <c r="M2169" s="2">
        <v>43087</v>
      </c>
      <c r="N2169" s="1" t="s">
        <v>8</v>
      </c>
      <c r="O2169" s="1" t="s">
        <v>68</v>
      </c>
    </row>
    <row r="2170" spans="1:15" ht="43.2" x14ac:dyDescent="0.3">
      <c r="A2170" s="1" t="s">
        <v>12976</v>
      </c>
      <c r="B2170" s="1" t="str">
        <f>"Road Maintenance Services Ltd"</f>
        <v>Road Maintenance Services Ltd</v>
      </c>
      <c r="C2170" s="1" t="s">
        <v>12977</v>
      </c>
      <c r="F2170" s="1" t="s">
        <v>798</v>
      </c>
      <c r="H2170" s="1" t="s">
        <v>12978</v>
      </c>
      <c r="I2170" s="1" t="s">
        <v>19</v>
      </c>
      <c r="J2170" s="1" t="s">
        <v>67</v>
      </c>
      <c r="K2170" s="1" t="s">
        <v>14</v>
      </c>
      <c r="M2170" s="2">
        <v>43087</v>
      </c>
      <c r="N2170" s="1" t="s">
        <v>8</v>
      </c>
      <c r="O2170" s="1" t="s">
        <v>68</v>
      </c>
    </row>
    <row r="2171" spans="1:15" ht="28.8" x14ac:dyDescent="0.3">
      <c r="A2171" s="1" t="s">
        <v>13993</v>
      </c>
      <c r="B2171" s="1" t="str">
        <f>"M &amp; J Woods (SW) Ltd"</f>
        <v>M &amp; J Woods (SW) Ltd</v>
      </c>
      <c r="C2171" s="1" t="s">
        <v>13994</v>
      </c>
      <c r="D2171" s="1" t="s">
        <v>13995</v>
      </c>
      <c r="F2171" s="1" t="s">
        <v>5070</v>
      </c>
      <c r="H2171" s="1" t="s">
        <v>13996</v>
      </c>
      <c r="I2171" s="1" t="s">
        <v>19</v>
      </c>
      <c r="J2171" s="1" t="s">
        <v>6</v>
      </c>
      <c r="K2171" s="1" t="s">
        <v>34</v>
      </c>
      <c r="L2171" s="1">
        <v>11021912</v>
      </c>
      <c r="M2171" s="2">
        <v>43087</v>
      </c>
      <c r="N2171" s="1" t="s">
        <v>8</v>
      </c>
      <c r="O2171" s="2">
        <v>44183</v>
      </c>
    </row>
    <row r="2172" spans="1:15" ht="28.8" x14ac:dyDescent="0.3">
      <c r="A2172" s="1" t="s">
        <v>25630</v>
      </c>
      <c r="B2172" s="1" t="str">
        <f>"David paul  Morgan David Paul Morgan"</f>
        <v>David paul  Morgan David Paul Morgan</v>
      </c>
      <c r="C2172" s="1" t="s">
        <v>25631</v>
      </c>
      <c r="F2172" s="1" t="s">
        <v>64</v>
      </c>
      <c r="H2172" s="1" t="s">
        <v>25632</v>
      </c>
      <c r="I2172" s="1" t="s">
        <v>5</v>
      </c>
      <c r="J2172" s="1" t="s">
        <v>6</v>
      </c>
      <c r="K2172" s="1" t="s">
        <v>24</v>
      </c>
      <c r="M2172" s="2">
        <v>43087</v>
      </c>
      <c r="N2172" s="1" t="s">
        <v>8</v>
      </c>
      <c r="O2172" s="2">
        <v>44183</v>
      </c>
    </row>
    <row r="2173" spans="1:15" ht="28.8" x14ac:dyDescent="0.3">
      <c r="A2173" s="1" t="s">
        <v>25633</v>
      </c>
      <c r="B2173" s="1" t="str">
        <f>"keith thomas man and van"</f>
        <v>keith thomas man and van</v>
      </c>
      <c r="C2173" s="1" t="s">
        <v>25634</v>
      </c>
      <c r="F2173" s="1" t="s">
        <v>42</v>
      </c>
      <c r="H2173" s="1" t="s">
        <v>25635</v>
      </c>
      <c r="I2173" s="1" t="s">
        <v>5</v>
      </c>
      <c r="J2173" s="1" t="s">
        <v>6</v>
      </c>
      <c r="K2173" s="1" t="s">
        <v>24</v>
      </c>
      <c r="M2173" s="2">
        <v>43087</v>
      </c>
      <c r="N2173" s="1" t="s">
        <v>8</v>
      </c>
      <c r="O2173" s="2">
        <v>44183</v>
      </c>
    </row>
    <row r="2174" spans="1:15" ht="28.8" x14ac:dyDescent="0.3">
      <c r="A2174" s="1" t="s">
        <v>26425</v>
      </c>
      <c r="B2174" s="1" t="str">
        <f>"James Gaze Jenson Metals"</f>
        <v>James Gaze Jenson Metals</v>
      </c>
      <c r="C2174" s="1" t="s">
        <v>23186</v>
      </c>
      <c r="F2174" s="1" t="s">
        <v>839</v>
      </c>
      <c r="H2174" s="1" t="s">
        <v>23187</v>
      </c>
      <c r="I2174" s="1" t="s">
        <v>5</v>
      </c>
      <c r="J2174" s="1" t="s">
        <v>6</v>
      </c>
      <c r="K2174" s="1" t="s">
        <v>24</v>
      </c>
      <c r="M2174" s="2">
        <v>43087</v>
      </c>
      <c r="N2174" s="1" t="s">
        <v>8</v>
      </c>
      <c r="O2174" s="2">
        <v>44183</v>
      </c>
    </row>
    <row r="2175" spans="1:15" ht="43.2" x14ac:dyDescent="0.3">
      <c r="A2175" s="1" t="s">
        <v>26426</v>
      </c>
      <c r="B2175" s="1" t="str">
        <f>"Ronald Lewis"</f>
        <v>Ronald Lewis</v>
      </c>
      <c r="C2175" s="1" t="s">
        <v>26427</v>
      </c>
      <c r="F2175" s="1" t="s">
        <v>532</v>
      </c>
      <c r="H2175" s="1" t="s">
        <v>26428</v>
      </c>
      <c r="I2175" s="1" t="s">
        <v>5</v>
      </c>
      <c r="J2175" s="1" t="s">
        <v>67</v>
      </c>
      <c r="K2175" s="1" t="s">
        <v>34</v>
      </c>
      <c r="M2175" s="2">
        <v>43087</v>
      </c>
      <c r="N2175" s="1" t="s">
        <v>8</v>
      </c>
      <c r="O2175" s="1" t="s">
        <v>68</v>
      </c>
    </row>
    <row r="2176" spans="1:15" ht="43.2" x14ac:dyDescent="0.3">
      <c r="A2176" s="1" t="s">
        <v>12966</v>
      </c>
      <c r="B2176" s="1" t="str">
        <f>"Bettws motors ltd"</f>
        <v>Bettws motors ltd</v>
      </c>
      <c r="C2176" s="1" t="s">
        <v>3468</v>
      </c>
      <c r="F2176" s="1" t="s">
        <v>1584</v>
      </c>
      <c r="H2176" s="1" t="s">
        <v>12967</v>
      </c>
      <c r="I2176" s="1" t="s">
        <v>19</v>
      </c>
      <c r="J2176" s="1" t="s">
        <v>67</v>
      </c>
      <c r="K2176" s="1" t="s">
        <v>14</v>
      </c>
      <c r="M2176" s="2">
        <v>43086</v>
      </c>
      <c r="N2176" s="1" t="s">
        <v>8</v>
      </c>
      <c r="O2176" s="1" t="s">
        <v>68</v>
      </c>
    </row>
    <row r="2177" spans="1:15" ht="43.2" x14ac:dyDescent="0.3">
      <c r="A2177" s="1" t="s">
        <v>12960</v>
      </c>
      <c r="B2177" s="1" t="str">
        <f>"Brecon Acupuncture Clinic"</f>
        <v>Brecon Acupuncture Clinic</v>
      </c>
      <c r="C2177" s="1" t="s">
        <v>12961</v>
      </c>
      <c r="D2177" s="1" t="s">
        <v>1206</v>
      </c>
      <c r="F2177" s="1" t="s">
        <v>162</v>
      </c>
      <c r="H2177" s="1" t="s">
        <v>12962</v>
      </c>
      <c r="I2177" s="1" t="s">
        <v>125</v>
      </c>
      <c r="J2177" s="1" t="s">
        <v>67</v>
      </c>
      <c r="K2177" s="1" t="s">
        <v>14</v>
      </c>
      <c r="M2177" s="2">
        <v>43085</v>
      </c>
      <c r="N2177" s="1" t="s">
        <v>8</v>
      </c>
      <c r="O2177" s="1" t="s">
        <v>68</v>
      </c>
    </row>
    <row r="2178" spans="1:15" ht="43.2" x14ac:dyDescent="0.3">
      <c r="A2178" s="1" t="s">
        <v>12963</v>
      </c>
      <c r="B2178" s="1" t="str">
        <f>"Howards removals &amp; deliveries "</f>
        <v xml:space="preserve">Howards removals &amp; deliveries </v>
      </c>
      <c r="C2178" s="1" t="s">
        <v>12964</v>
      </c>
      <c r="F2178" s="1" t="s">
        <v>64</v>
      </c>
      <c r="H2178" s="1" t="s">
        <v>12965</v>
      </c>
      <c r="I2178" s="1" t="s">
        <v>19</v>
      </c>
      <c r="J2178" s="1" t="s">
        <v>67</v>
      </c>
      <c r="K2178" s="1" t="s">
        <v>24</v>
      </c>
      <c r="L2178" s="1">
        <v>10676695</v>
      </c>
      <c r="M2178" s="2">
        <v>43085</v>
      </c>
      <c r="N2178" s="1" t="s">
        <v>8</v>
      </c>
      <c r="O2178" s="1" t="s">
        <v>68</v>
      </c>
    </row>
    <row r="2179" spans="1:15" ht="43.2" x14ac:dyDescent="0.3">
      <c r="A2179" s="1" t="s">
        <v>11981</v>
      </c>
      <c r="B2179" s="1" t="str">
        <f>"GO2Electrical"</f>
        <v>GO2Electrical</v>
      </c>
      <c r="C2179" s="1" t="s">
        <v>11982</v>
      </c>
      <c r="F2179" s="1" t="s">
        <v>532</v>
      </c>
      <c r="H2179" s="1" t="s">
        <v>11983</v>
      </c>
      <c r="I2179" s="1" t="s">
        <v>125</v>
      </c>
      <c r="J2179" s="1" t="s">
        <v>67</v>
      </c>
      <c r="K2179" s="1" t="s">
        <v>14</v>
      </c>
      <c r="M2179" s="2">
        <v>43084</v>
      </c>
      <c r="N2179" s="1" t="s">
        <v>8</v>
      </c>
      <c r="O2179" s="1" t="s">
        <v>68</v>
      </c>
    </row>
    <row r="2180" spans="1:15" ht="28.8" x14ac:dyDescent="0.3">
      <c r="A2180" s="1" t="s">
        <v>12949</v>
      </c>
      <c r="B2180" s="1" t="str">
        <f>"llysgwyn house"</f>
        <v>llysgwyn house</v>
      </c>
      <c r="C2180" s="1" t="s">
        <v>12950</v>
      </c>
      <c r="F2180" s="1" t="s">
        <v>64</v>
      </c>
      <c r="H2180" s="1" t="s">
        <v>12951</v>
      </c>
      <c r="I2180" s="1" t="s">
        <v>19</v>
      </c>
      <c r="J2180" s="1" t="s">
        <v>6</v>
      </c>
      <c r="K2180" s="1" t="s">
        <v>24</v>
      </c>
      <c r="L2180" s="1">
        <v>8657246</v>
      </c>
      <c r="M2180" s="2">
        <v>43084</v>
      </c>
      <c r="N2180" s="1" t="s">
        <v>8</v>
      </c>
      <c r="O2180" s="2">
        <v>44180</v>
      </c>
    </row>
    <row r="2181" spans="1:15" ht="28.8" x14ac:dyDescent="0.3">
      <c r="A2181" s="1" t="s">
        <v>12952</v>
      </c>
      <c r="B2181" s="1" t="str">
        <f>"ADR services"</f>
        <v>ADR services</v>
      </c>
      <c r="C2181" s="1" t="s">
        <v>12953</v>
      </c>
      <c r="D2181" s="1" t="s">
        <v>12954</v>
      </c>
      <c r="F2181" s="1" t="s">
        <v>4813</v>
      </c>
      <c r="H2181" s="1" t="s">
        <v>12955</v>
      </c>
      <c r="I2181" s="1" t="s">
        <v>125</v>
      </c>
      <c r="J2181" s="1" t="s">
        <v>6</v>
      </c>
      <c r="K2181" s="1" t="s">
        <v>34</v>
      </c>
      <c r="M2181" s="2">
        <v>43084</v>
      </c>
      <c r="N2181" s="1" t="s">
        <v>8</v>
      </c>
      <c r="O2181" s="2">
        <v>44180</v>
      </c>
    </row>
    <row r="2182" spans="1:15" ht="43.2" x14ac:dyDescent="0.3">
      <c r="A2182" s="1" t="s">
        <v>12956</v>
      </c>
      <c r="B2182" s="1" t="str">
        <f>"NORTHERN INDUSTRIAL BATTERY SERVICES LIMITED"</f>
        <v>NORTHERN INDUSTRIAL BATTERY SERVICES LIMITED</v>
      </c>
      <c r="C2182" s="1" t="s">
        <v>12957</v>
      </c>
      <c r="F2182" s="1" t="s">
        <v>1230</v>
      </c>
      <c r="H2182" s="1" t="s">
        <v>9275</v>
      </c>
      <c r="I2182" s="1" t="s">
        <v>19</v>
      </c>
      <c r="J2182" s="1" t="s">
        <v>6</v>
      </c>
      <c r="K2182" s="1" t="s">
        <v>34</v>
      </c>
      <c r="L2182" s="1">
        <v>4073791</v>
      </c>
      <c r="M2182" s="2">
        <v>43084</v>
      </c>
      <c r="N2182" s="1" t="s">
        <v>8</v>
      </c>
      <c r="O2182" s="2">
        <v>44180</v>
      </c>
    </row>
    <row r="2183" spans="1:15" ht="28.8" x14ac:dyDescent="0.3">
      <c r="A2183" s="1" t="s">
        <v>12958</v>
      </c>
      <c r="B2183" s="1" t="str">
        <f>"DHL Gwynne Fencing Limited"</f>
        <v>DHL Gwynne Fencing Limited</v>
      </c>
      <c r="C2183" s="1" t="s">
        <v>12959</v>
      </c>
      <c r="F2183" s="1" t="s">
        <v>2200</v>
      </c>
      <c r="H2183" s="1" t="s">
        <v>9804</v>
      </c>
      <c r="I2183" s="1" t="s">
        <v>19</v>
      </c>
      <c r="J2183" s="1" t="s">
        <v>6</v>
      </c>
      <c r="K2183" s="1" t="s">
        <v>24</v>
      </c>
      <c r="L2183" s="1">
        <v>5391397</v>
      </c>
      <c r="M2183" s="2">
        <v>43084</v>
      </c>
      <c r="N2183" s="1" t="s">
        <v>8</v>
      </c>
      <c r="O2183" s="2">
        <v>44180</v>
      </c>
    </row>
    <row r="2184" spans="1:15" ht="28.8" x14ac:dyDescent="0.3">
      <c r="A2184" s="1" t="s">
        <v>11974</v>
      </c>
      <c r="B2184" s="1" t="str">
        <f>"Ground Tech Ltd"</f>
        <v>Ground Tech Ltd</v>
      </c>
      <c r="C2184" s="1" t="s">
        <v>11975</v>
      </c>
      <c r="F2184" s="1" t="s">
        <v>56</v>
      </c>
      <c r="H2184" s="1" t="s">
        <v>11976</v>
      </c>
      <c r="I2184" s="1" t="s">
        <v>19</v>
      </c>
      <c r="J2184" s="1" t="s">
        <v>6</v>
      </c>
      <c r="K2184" s="1" t="s">
        <v>24</v>
      </c>
      <c r="L2184" s="1">
        <v>8267248</v>
      </c>
      <c r="M2184" s="2">
        <v>43083</v>
      </c>
      <c r="N2184" s="1" t="s">
        <v>8</v>
      </c>
      <c r="O2184" s="2">
        <v>44179</v>
      </c>
    </row>
    <row r="2185" spans="1:15" ht="28.8" x14ac:dyDescent="0.3">
      <c r="A2185" s="1" t="s">
        <v>11977</v>
      </c>
      <c r="B2185" s="1" t="str">
        <f>"WAUDBY HAULAGE LIMITED"</f>
        <v>WAUDBY HAULAGE LIMITED</v>
      </c>
      <c r="C2185" s="1" t="s">
        <v>11978</v>
      </c>
      <c r="D2185" s="1" t="s">
        <v>4645</v>
      </c>
      <c r="F2185" s="1" t="s">
        <v>324</v>
      </c>
      <c r="H2185" s="1" t="s">
        <v>8778</v>
      </c>
      <c r="I2185" s="1" t="s">
        <v>19</v>
      </c>
      <c r="J2185" s="1" t="s">
        <v>6</v>
      </c>
      <c r="K2185" s="1" t="s">
        <v>24</v>
      </c>
      <c r="L2185" s="1">
        <v>4291728</v>
      </c>
      <c r="M2185" s="2">
        <v>43083</v>
      </c>
      <c r="N2185" s="1" t="s">
        <v>8</v>
      </c>
      <c r="O2185" s="2">
        <v>44179</v>
      </c>
    </row>
    <row r="2186" spans="1:15" ht="28.8" x14ac:dyDescent="0.3">
      <c r="A2186" s="1" t="s">
        <v>11979</v>
      </c>
      <c r="B2186" s="1" t="str">
        <f>"South Wales Sports Grounds"</f>
        <v>South Wales Sports Grounds</v>
      </c>
      <c r="C2186" s="1" t="s">
        <v>11980</v>
      </c>
      <c r="F2186" s="1" t="s">
        <v>401</v>
      </c>
      <c r="H2186" s="1" t="s">
        <v>9829</v>
      </c>
      <c r="I2186" s="1" t="s">
        <v>19</v>
      </c>
      <c r="J2186" s="1" t="s">
        <v>6</v>
      </c>
      <c r="K2186" s="1" t="s">
        <v>24</v>
      </c>
      <c r="L2186" s="1">
        <v>832363</v>
      </c>
      <c r="M2186" s="2">
        <v>43083</v>
      </c>
      <c r="N2186" s="1" t="s">
        <v>8</v>
      </c>
      <c r="O2186" s="2">
        <v>44179</v>
      </c>
    </row>
    <row r="2187" spans="1:15" ht="28.8" x14ac:dyDescent="0.3">
      <c r="A2187" s="1" t="s">
        <v>24897</v>
      </c>
      <c r="B2187" s="1" t="str">
        <f>"James Ranson Trees2go"</f>
        <v>James Ranson Trees2go</v>
      </c>
      <c r="C2187" s="1" t="s">
        <v>24898</v>
      </c>
      <c r="F2187" s="1" t="s">
        <v>277</v>
      </c>
      <c r="H2187" s="1" t="s">
        <v>24899</v>
      </c>
      <c r="I2187" s="1" t="s">
        <v>5</v>
      </c>
      <c r="J2187" s="1" t="s">
        <v>6</v>
      </c>
      <c r="K2187" s="1" t="s">
        <v>24</v>
      </c>
      <c r="M2187" s="2">
        <v>43083</v>
      </c>
      <c r="N2187" s="1" t="s">
        <v>8</v>
      </c>
      <c r="O2187" s="2">
        <v>44179</v>
      </c>
    </row>
    <row r="2188" spans="1:15" ht="43.2" x14ac:dyDescent="0.3">
      <c r="A2188" s="1" t="s">
        <v>24900</v>
      </c>
      <c r="B2188" s="1" t="str">
        <f>"Chris Ellis"</f>
        <v>Chris Ellis</v>
      </c>
      <c r="C2188" s="1" t="s">
        <v>24901</v>
      </c>
      <c r="F2188" s="1" t="s">
        <v>271</v>
      </c>
      <c r="H2188" s="1" t="s">
        <v>24902</v>
      </c>
      <c r="I2188" s="1" t="s">
        <v>5</v>
      </c>
      <c r="J2188" s="1" t="s">
        <v>67</v>
      </c>
      <c r="K2188" s="1" t="s">
        <v>14</v>
      </c>
      <c r="M2188" s="2">
        <v>43083</v>
      </c>
      <c r="N2188" s="1" t="s">
        <v>8</v>
      </c>
      <c r="O2188" s="1" t="s">
        <v>68</v>
      </c>
    </row>
    <row r="2189" spans="1:15" ht="43.2" x14ac:dyDescent="0.3">
      <c r="A2189" s="1" t="s">
        <v>11964</v>
      </c>
      <c r="B2189" s="1" t="str">
        <f>"A&amp;JM Sheppard LTD"</f>
        <v>A&amp;JM Sheppard LTD</v>
      </c>
      <c r="C2189" s="1" t="s">
        <v>11965</v>
      </c>
      <c r="F2189" s="1" t="s">
        <v>140</v>
      </c>
      <c r="H2189" s="1" t="s">
        <v>11966</v>
      </c>
      <c r="I2189" s="1" t="s">
        <v>19</v>
      </c>
      <c r="J2189" s="1" t="s">
        <v>6</v>
      </c>
      <c r="K2189" s="1" t="s">
        <v>24</v>
      </c>
      <c r="L2189" s="1">
        <v>1203896</v>
      </c>
      <c r="M2189" s="2">
        <v>43082</v>
      </c>
      <c r="N2189" s="1" t="s">
        <v>8</v>
      </c>
      <c r="O2189" s="2">
        <v>44206</v>
      </c>
    </row>
    <row r="2190" spans="1:15" ht="28.8" x14ac:dyDescent="0.3">
      <c r="A2190" s="1" t="s">
        <v>11967</v>
      </c>
      <c r="B2190" s="1" t="str">
        <f>"R cunningham roofing ltd"</f>
        <v>R cunningham roofing ltd</v>
      </c>
      <c r="C2190" s="1" t="s">
        <v>11968</v>
      </c>
      <c r="F2190" s="1" t="s">
        <v>10569</v>
      </c>
      <c r="H2190" s="1" t="s">
        <v>11969</v>
      </c>
      <c r="I2190" s="1" t="s">
        <v>19</v>
      </c>
      <c r="J2190" s="1" t="s">
        <v>6</v>
      </c>
      <c r="K2190" s="1" t="s">
        <v>24</v>
      </c>
      <c r="L2190" s="1">
        <v>8182226</v>
      </c>
      <c r="M2190" s="2">
        <v>43082</v>
      </c>
      <c r="N2190" s="1" t="s">
        <v>8</v>
      </c>
      <c r="O2190" s="2">
        <v>44178</v>
      </c>
    </row>
    <row r="2191" spans="1:15" ht="28.8" x14ac:dyDescent="0.3">
      <c r="A2191" s="1" t="s">
        <v>11970</v>
      </c>
      <c r="B2191" s="1" t="str">
        <f>"Ezra Property &amp; Environmental Servi"</f>
        <v>Ezra Property &amp; Environmental Servi</v>
      </c>
      <c r="C2191" s="1" t="s">
        <v>11971</v>
      </c>
      <c r="F2191" s="1" t="s">
        <v>179</v>
      </c>
      <c r="H2191" s="1" t="s">
        <v>11972</v>
      </c>
      <c r="I2191" s="1" t="s">
        <v>19</v>
      </c>
      <c r="J2191" s="1" t="s">
        <v>6</v>
      </c>
      <c r="K2191" s="1" t="s">
        <v>34</v>
      </c>
      <c r="L2191" s="1">
        <v>9950126</v>
      </c>
      <c r="M2191" s="2">
        <v>43082</v>
      </c>
      <c r="N2191" s="1" t="s">
        <v>8</v>
      </c>
      <c r="O2191" s="2">
        <v>44178</v>
      </c>
    </row>
    <row r="2192" spans="1:15" ht="28.8" x14ac:dyDescent="0.3">
      <c r="A2192" s="1" t="s">
        <v>11973</v>
      </c>
      <c r="B2192" s="1" t="str">
        <f>"Ezra Property &amp; Environmental Servi"</f>
        <v>Ezra Property &amp; Environmental Servi</v>
      </c>
      <c r="C2192" s="1" t="s">
        <v>11971</v>
      </c>
      <c r="F2192" s="1" t="s">
        <v>179</v>
      </c>
      <c r="H2192" s="1" t="s">
        <v>11972</v>
      </c>
      <c r="I2192" s="1" t="s">
        <v>19</v>
      </c>
      <c r="J2192" s="1" t="s">
        <v>6</v>
      </c>
      <c r="K2192" s="1" t="s">
        <v>34</v>
      </c>
      <c r="L2192" s="1">
        <v>9950126</v>
      </c>
      <c r="M2192" s="2">
        <v>43082</v>
      </c>
      <c r="N2192" s="1" t="s">
        <v>8</v>
      </c>
      <c r="O2192" s="2">
        <v>44178</v>
      </c>
    </row>
    <row r="2193" spans="1:15" ht="43.2" x14ac:dyDescent="0.3">
      <c r="A2193" s="1" t="s">
        <v>24888</v>
      </c>
      <c r="B2193" s="1" t="str">
        <f>"DEREK EVANS DEREK EVANS BUILDING CONTRACTORS"</f>
        <v>DEREK EVANS DEREK EVANS BUILDING CONTRACTORS</v>
      </c>
      <c r="C2193" s="1" t="s">
        <v>24889</v>
      </c>
      <c r="D2193" s="1" t="s">
        <v>24890</v>
      </c>
      <c r="F2193" s="1" t="s">
        <v>64</v>
      </c>
      <c r="H2193" s="1" t="s">
        <v>24891</v>
      </c>
      <c r="I2193" s="1" t="s">
        <v>5</v>
      </c>
      <c r="J2193" s="1" t="s">
        <v>6</v>
      </c>
      <c r="K2193" s="1" t="s">
        <v>34</v>
      </c>
      <c r="M2193" s="2">
        <v>43082</v>
      </c>
      <c r="N2193" s="1" t="s">
        <v>8</v>
      </c>
      <c r="O2193" s="2">
        <v>44178</v>
      </c>
    </row>
    <row r="2194" spans="1:15" ht="28.8" x14ac:dyDescent="0.3">
      <c r="A2194" s="1" t="s">
        <v>24892</v>
      </c>
      <c r="B2194" s="1" t="str">
        <f>"Stephen Titcomb Able 2"</f>
        <v>Stephen Titcomb Able 2</v>
      </c>
      <c r="C2194" s="1" t="s">
        <v>24893</v>
      </c>
      <c r="F2194" s="1" t="s">
        <v>32</v>
      </c>
      <c r="H2194" s="1" t="s">
        <v>16452</v>
      </c>
      <c r="I2194" s="1" t="s">
        <v>5</v>
      </c>
      <c r="J2194" s="1" t="s">
        <v>6</v>
      </c>
      <c r="K2194" s="1" t="s">
        <v>24</v>
      </c>
      <c r="M2194" s="2">
        <v>43082</v>
      </c>
      <c r="N2194" s="1" t="s">
        <v>8</v>
      </c>
      <c r="O2194" s="2">
        <v>44178</v>
      </c>
    </row>
    <row r="2195" spans="1:15" ht="28.8" x14ac:dyDescent="0.3">
      <c r="A2195" s="1" t="s">
        <v>24894</v>
      </c>
      <c r="B2195" s="1" t="str">
        <f>"Craig  Nowell  Ctk services"</f>
        <v>Craig  Nowell  Ctk services</v>
      </c>
      <c r="C2195" s="1" t="s">
        <v>24895</v>
      </c>
      <c r="F2195" s="1" t="s">
        <v>1093</v>
      </c>
      <c r="H2195" s="1" t="s">
        <v>24896</v>
      </c>
      <c r="I2195" s="1" t="s">
        <v>5</v>
      </c>
      <c r="J2195" s="1" t="s">
        <v>6</v>
      </c>
      <c r="K2195" s="1" t="s">
        <v>24</v>
      </c>
      <c r="M2195" s="2">
        <v>43082</v>
      </c>
      <c r="N2195" s="1" t="s">
        <v>8</v>
      </c>
      <c r="O2195" s="2">
        <v>44178</v>
      </c>
    </row>
    <row r="2196" spans="1:15" ht="43.2" x14ac:dyDescent="0.3">
      <c r="A2196" s="1" t="s">
        <v>10943</v>
      </c>
      <c r="B2196" s="1" t="str">
        <f>"gwasaneuthau tir a choed "</f>
        <v xml:space="preserve">gwasaneuthau tir a choed </v>
      </c>
      <c r="C2196" s="1" t="s">
        <v>10944</v>
      </c>
      <c r="F2196" s="1" t="s">
        <v>370</v>
      </c>
      <c r="H2196" s="1" t="s">
        <v>10945</v>
      </c>
      <c r="I2196" s="1" t="s">
        <v>125</v>
      </c>
      <c r="J2196" s="1" t="s">
        <v>67</v>
      </c>
      <c r="K2196" s="1" t="s">
        <v>14</v>
      </c>
      <c r="M2196" s="2">
        <v>43081</v>
      </c>
      <c r="N2196" s="1" t="s">
        <v>8</v>
      </c>
      <c r="O2196" s="1" t="s">
        <v>68</v>
      </c>
    </row>
    <row r="2197" spans="1:15" ht="28.8" x14ac:dyDescent="0.3">
      <c r="A2197" s="1" t="s">
        <v>10946</v>
      </c>
      <c r="B2197" s="1" t="str">
        <f>"G&amp;K builders "</f>
        <v xml:space="preserve">G&amp;K builders </v>
      </c>
      <c r="C2197" s="1" t="s">
        <v>10947</v>
      </c>
      <c r="F2197" s="1" t="s">
        <v>179</v>
      </c>
      <c r="H2197" s="1" t="s">
        <v>10948</v>
      </c>
      <c r="I2197" s="1" t="s">
        <v>19</v>
      </c>
      <c r="J2197" s="1" t="s">
        <v>6</v>
      </c>
      <c r="K2197" s="1" t="s">
        <v>24</v>
      </c>
      <c r="L2197" s="1">
        <v>8877460</v>
      </c>
      <c r="M2197" s="2">
        <v>43081</v>
      </c>
      <c r="N2197" s="1" t="s">
        <v>8</v>
      </c>
      <c r="O2197" s="2">
        <v>44177</v>
      </c>
    </row>
    <row r="2198" spans="1:15" ht="28.8" x14ac:dyDescent="0.3">
      <c r="A2198" s="1" t="s">
        <v>10949</v>
      </c>
      <c r="B2198" s="1" t="str">
        <f>"G&amp;K builders Ltd "</f>
        <v xml:space="preserve">G&amp;K builders Ltd </v>
      </c>
      <c r="C2198" s="1" t="s">
        <v>10947</v>
      </c>
      <c r="F2198" s="1" t="s">
        <v>179</v>
      </c>
      <c r="H2198" s="1" t="s">
        <v>10948</v>
      </c>
      <c r="I2198" s="1" t="s">
        <v>19</v>
      </c>
      <c r="J2198" s="1" t="s">
        <v>6</v>
      </c>
      <c r="K2198" s="1" t="s">
        <v>24</v>
      </c>
      <c r="L2198" s="1">
        <v>8877460</v>
      </c>
      <c r="M2198" s="2">
        <v>43081</v>
      </c>
      <c r="N2198" s="1" t="s">
        <v>8</v>
      </c>
      <c r="O2198" s="2">
        <v>44177</v>
      </c>
    </row>
    <row r="2199" spans="1:15" ht="28.8" x14ac:dyDescent="0.3">
      <c r="A2199" s="1" t="s">
        <v>10950</v>
      </c>
      <c r="B2199" s="1" t="str">
        <f>"Wecori Ltd"</f>
        <v>Wecori Ltd</v>
      </c>
      <c r="C2199" s="1" t="s">
        <v>10951</v>
      </c>
      <c r="D2199" s="1" t="s">
        <v>10952</v>
      </c>
      <c r="E2199" s="1" t="s">
        <v>6825</v>
      </c>
      <c r="F2199" s="1" t="s">
        <v>64</v>
      </c>
      <c r="H2199" s="1" t="s">
        <v>10953</v>
      </c>
      <c r="I2199" s="1" t="s">
        <v>19</v>
      </c>
      <c r="J2199" s="1" t="s">
        <v>6</v>
      </c>
      <c r="K2199" s="1" t="s">
        <v>34</v>
      </c>
      <c r="L2199" s="1">
        <v>436741</v>
      </c>
      <c r="M2199" s="2">
        <v>43081</v>
      </c>
      <c r="N2199" s="1" t="s">
        <v>8</v>
      </c>
      <c r="O2199" s="2">
        <v>44177</v>
      </c>
    </row>
    <row r="2200" spans="1:15" ht="43.2" x14ac:dyDescent="0.3">
      <c r="A2200" s="1" t="s">
        <v>10954</v>
      </c>
      <c r="B2200" s="1" t="str">
        <f>"D M JONES ELECTRICAL  GAS AND PLUMBING LIMITED"</f>
        <v>D M JONES ELECTRICAL  GAS AND PLUMBING LIMITED</v>
      </c>
      <c r="C2200" s="1" t="s">
        <v>10955</v>
      </c>
      <c r="F2200" s="1" t="s">
        <v>37</v>
      </c>
      <c r="H2200" s="1" t="s">
        <v>7920</v>
      </c>
      <c r="I2200" s="1" t="s">
        <v>19</v>
      </c>
      <c r="J2200" s="1" t="s">
        <v>6</v>
      </c>
      <c r="K2200" s="1" t="s">
        <v>24</v>
      </c>
      <c r="L2200" s="1">
        <v>11068202</v>
      </c>
      <c r="M2200" s="2">
        <v>43081</v>
      </c>
      <c r="N2200" s="1" t="s">
        <v>8</v>
      </c>
      <c r="O2200" s="2">
        <v>44178</v>
      </c>
    </row>
    <row r="2201" spans="1:15" ht="43.2" x14ac:dyDescent="0.3">
      <c r="A2201" s="1" t="s">
        <v>10956</v>
      </c>
      <c r="B2201" s="1" t="str">
        <f>"Rite Site Property Management Ltd"</f>
        <v>Rite Site Property Management Ltd</v>
      </c>
      <c r="C2201" s="1" t="s">
        <v>10957</v>
      </c>
      <c r="D2201" s="1" t="s">
        <v>10958</v>
      </c>
      <c r="F2201" s="1" t="s">
        <v>487</v>
      </c>
      <c r="H2201" s="1" t="s">
        <v>10959</v>
      </c>
      <c r="I2201" s="1" t="s">
        <v>19</v>
      </c>
      <c r="J2201" s="1" t="s">
        <v>67</v>
      </c>
      <c r="K2201" s="1" t="s">
        <v>34</v>
      </c>
      <c r="L2201" s="1">
        <v>11048034</v>
      </c>
      <c r="M2201" s="2">
        <v>43081</v>
      </c>
      <c r="N2201" s="1" t="s">
        <v>8</v>
      </c>
      <c r="O2201" s="1" t="s">
        <v>68</v>
      </c>
    </row>
    <row r="2202" spans="1:15" ht="43.2" x14ac:dyDescent="0.3">
      <c r="A2202" s="1" t="s">
        <v>10960</v>
      </c>
      <c r="B2202" s="1" t="str">
        <f>"STEVE AMBLER &amp; SONS TREE SPECIALISTS LIMITED"</f>
        <v>STEVE AMBLER &amp; SONS TREE SPECIALISTS LIMITED</v>
      </c>
      <c r="C2202" s="1" t="s">
        <v>10961</v>
      </c>
      <c r="F2202" s="1" t="s">
        <v>641</v>
      </c>
      <c r="H2202" s="1" t="s">
        <v>10962</v>
      </c>
      <c r="I2202" s="1" t="s">
        <v>19</v>
      </c>
      <c r="J2202" s="1" t="s">
        <v>6</v>
      </c>
      <c r="K2202" s="1" t="s">
        <v>24</v>
      </c>
      <c r="L2202" s="1">
        <v>9065522</v>
      </c>
      <c r="M2202" s="2">
        <v>43081</v>
      </c>
      <c r="N2202" s="1" t="s">
        <v>8</v>
      </c>
      <c r="O2202" s="2">
        <v>44177</v>
      </c>
    </row>
    <row r="2203" spans="1:15" ht="28.8" x14ac:dyDescent="0.3">
      <c r="A2203" s="1" t="s">
        <v>11959</v>
      </c>
      <c r="B2203" s="1" t="str">
        <f>"ian davies haulage ltd"</f>
        <v>ian davies haulage ltd</v>
      </c>
      <c r="C2203" s="1" t="s">
        <v>11960</v>
      </c>
      <c r="F2203" s="1" t="s">
        <v>179</v>
      </c>
      <c r="H2203" s="1" t="s">
        <v>11961</v>
      </c>
      <c r="I2203" s="1" t="s">
        <v>19</v>
      </c>
      <c r="J2203" s="1" t="s">
        <v>6</v>
      </c>
      <c r="K2203" s="1" t="s">
        <v>34</v>
      </c>
      <c r="L2203" s="1">
        <v>4570853</v>
      </c>
      <c r="M2203" s="2">
        <v>43081</v>
      </c>
      <c r="N2203" s="1" t="s">
        <v>8</v>
      </c>
      <c r="O2203" s="2">
        <v>44177</v>
      </c>
    </row>
    <row r="2204" spans="1:15" ht="28.8" x14ac:dyDescent="0.3">
      <c r="A2204" s="1" t="s">
        <v>11962</v>
      </c>
      <c r="B2204" s="1" t="str">
        <f>"Ivor Cook Ltd "</f>
        <v xml:space="preserve">Ivor Cook Ltd </v>
      </c>
      <c r="C2204" s="1" t="s">
        <v>11963</v>
      </c>
      <c r="F2204" s="1" t="s">
        <v>156</v>
      </c>
      <c r="H2204" s="1" t="s">
        <v>2047</v>
      </c>
      <c r="I2204" s="1" t="s">
        <v>19</v>
      </c>
      <c r="J2204" s="1" t="s">
        <v>6</v>
      </c>
      <c r="K2204" s="1" t="s">
        <v>34</v>
      </c>
      <c r="L2204" s="1">
        <v>4879317</v>
      </c>
      <c r="M2204" s="2">
        <v>43081</v>
      </c>
      <c r="N2204" s="1" t="s">
        <v>8</v>
      </c>
      <c r="O2204" s="2">
        <v>44177</v>
      </c>
    </row>
    <row r="2205" spans="1:15" ht="43.2" x14ac:dyDescent="0.3">
      <c r="A2205" s="1" t="s">
        <v>24048</v>
      </c>
      <c r="B2205" s="1" t="str">
        <f>"Nigel Roberts Kitchen Miracle"</f>
        <v>Nigel Roberts Kitchen Miracle</v>
      </c>
      <c r="C2205" s="1" t="s">
        <v>24049</v>
      </c>
      <c r="F2205" s="1" t="s">
        <v>358</v>
      </c>
      <c r="H2205" s="1" t="s">
        <v>24050</v>
      </c>
      <c r="I2205" s="1" t="s">
        <v>5</v>
      </c>
      <c r="J2205" s="1" t="s">
        <v>67</v>
      </c>
      <c r="K2205" s="1" t="s">
        <v>24</v>
      </c>
      <c r="M2205" s="2">
        <v>43081</v>
      </c>
      <c r="N2205" s="1" t="s">
        <v>8</v>
      </c>
      <c r="O2205" s="1" t="s">
        <v>68</v>
      </c>
    </row>
    <row r="2206" spans="1:15" ht="43.2" x14ac:dyDescent="0.3">
      <c r="A2206" s="1" t="s">
        <v>24051</v>
      </c>
      <c r="B2206" s="1" t="str">
        <f>"Ian Evans"</f>
        <v>Ian Evans</v>
      </c>
      <c r="C2206" s="1" t="s">
        <v>24052</v>
      </c>
      <c r="D2206" s="1" t="s">
        <v>18020</v>
      </c>
      <c r="F2206" s="1" t="s">
        <v>156</v>
      </c>
      <c r="H2206" s="1" t="s">
        <v>24053</v>
      </c>
      <c r="I2206" s="1" t="s">
        <v>5</v>
      </c>
      <c r="J2206" s="1" t="s">
        <v>67</v>
      </c>
      <c r="K2206" s="1" t="s">
        <v>14</v>
      </c>
      <c r="M2206" s="2">
        <v>43081</v>
      </c>
      <c r="N2206" s="1" t="s">
        <v>8</v>
      </c>
      <c r="O2206" s="1" t="s">
        <v>68</v>
      </c>
    </row>
    <row r="2207" spans="1:15" ht="28.8" x14ac:dyDescent="0.3">
      <c r="A2207" s="1" t="s">
        <v>24882</v>
      </c>
      <c r="B2207" s="1" t="str">
        <f>"JAMES BALL LANDSCAPE WALES"</f>
        <v>JAMES BALL LANDSCAPE WALES</v>
      </c>
      <c r="C2207" s="1" t="s">
        <v>24883</v>
      </c>
      <c r="F2207" s="1" t="s">
        <v>32</v>
      </c>
      <c r="H2207" s="1" t="s">
        <v>24884</v>
      </c>
      <c r="I2207" s="1" t="s">
        <v>5</v>
      </c>
      <c r="J2207" s="1" t="s">
        <v>6</v>
      </c>
      <c r="K2207" s="1" t="s">
        <v>34</v>
      </c>
      <c r="M2207" s="2">
        <v>43081</v>
      </c>
      <c r="N2207" s="1" t="s">
        <v>8</v>
      </c>
      <c r="O2207" s="2">
        <v>44177</v>
      </c>
    </row>
    <row r="2208" spans="1:15" ht="28.8" x14ac:dyDescent="0.3">
      <c r="A2208" s="1" t="s">
        <v>24885</v>
      </c>
      <c r="B2208" s="1" t="str">
        <f>"steven Dunn SD Mulitclean"</f>
        <v>steven Dunn SD Mulitclean</v>
      </c>
      <c r="C2208" s="1" t="s">
        <v>24886</v>
      </c>
      <c r="F2208" s="1" t="s">
        <v>179</v>
      </c>
      <c r="H2208" s="1" t="s">
        <v>24887</v>
      </c>
      <c r="I2208" s="1" t="s">
        <v>5</v>
      </c>
      <c r="J2208" s="1" t="s">
        <v>6</v>
      </c>
      <c r="K2208" s="1" t="s">
        <v>34</v>
      </c>
      <c r="M2208" s="2">
        <v>43081</v>
      </c>
      <c r="N2208" s="1" t="s">
        <v>8</v>
      </c>
      <c r="O2208" s="2">
        <v>44177</v>
      </c>
    </row>
    <row r="2209" spans="1:15" ht="28.8" x14ac:dyDescent="0.3">
      <c r="A2209" s="1" t="s">
        <v>10935</v>
      </c>
      <c r="B2209" s="1" t="str">
        <f>"Penclawdd Shellfish ltd"</f>
        <v>Penclawdd Shellfish ltd</v>
      </c>
      <c r="C2209" s="1" t="s">
        <v>10936</v>
      </c>
      <c r="D2209" s="1" t="s">
        <v>3287</v>
      </c>
      <c r="F2209" s="1" t="s">
        <v>64</v>
      </c>
      <c r="H2209" s="1" t="s">
        <v>9928</v>
      </c>
      <c r="I2209" s="1" t="s">
        <v>19</v>
      </c>
      <c r="J2209" s="1" t="s">
        <v>6</v>
      </c>
      <c r="K2209" s="1" t="s">
        <v>34</v>
      </c>
      <c r="L2209" s="1">
        <v>2750549</v>
      </c>
      <c r="M2209" s="2">
        <v>43080</v>
      </c>
      <c r="N2209" s="1" t="s">
        <v>8</v>
      </c>
      <c r="O2209" s="2">
        <v>44176</v>
      </c>
    </row>
    <row r="2210" spans="1:15" ht="28.8" x14ac:dyDescent="0.3">
      <c r="A2210" s="1" t="s">
        <v>10937</v>
      </c>
      <c r="B2210" s="1" t="str">
        <f>"Superior Style Home Improvements Lt"</f>
        <v>Superior Style Home Improvements Lt</v>
      </c>
      <c r="C2210" s="1" t="s">
        <v>10938</v>
      </c>
      <c r="F2210" s="1" t="s">
        <v>64</v>
      </c>
      <c r="H2210" s="1" t="s">
        <v>10939</v>
      </c>
      <c r="I2210" s="1" t="s">
        <v>19</v>
      </c>
      <c r="J2210" s="1" t="s">
        <v>6</v>
      </c>
      <c r="K2210" s="1" t="s">
        <v>24</v>
      </c>
      <c r="L2210" s="1">
        <v>9375551</v>
      </c>
      <c r="M2210" s="2">
        <v>43080</v>
      </c>
      <c r="N2210" s="1" t="s">
        <v>8</v>
      </c>
      <c r="O2210" s="2">
        <v>44176</v>
      </c>
    </row>
    <row r="2211" spans="1:15" ht="43.2" x14ac:dyDescent="0.3">
      <c r="A2211" s="1" t="s">
        <v>10940</v>
      </c>
      <c r="B2211" s="1" t="str">
        <f>"Drs Alstead &amp; Williams"</f>
        <v>Drs Alstead &amp; Williams</v>
      </c>
      <c r="C2211" s="1" t="s">
        <v>10941</v>
      </c>
      <c r="F2211" s="1" t="s">
        <v>532</v>
      </c>
      <c r="H2211" s="1" t="s">
        <v>10942</v>
      </c>
      <c r="I2211" s="1" t="s">
        <v>188</v>
      </c>
      <c r="J2211" s="1" t="s">
        <v>67</v>
      </c>
      <c r="K2211" s="1" t="s">
        <v>14</v>
      </c>
      <c r="M2211" s="2">
        <v>43080</v>
      </c>
      <c r="N2211" s="1" t="s">
        <v>8</v>
      </c>
      <c r="O2211" s="1" t="s">
        <v>68</v>
      </c>
    </row>
    <row r="2212" spans="1:15" ht="43.2" x14ac:dyDescent="0.3">
      <c r="A2212" s="1" t="s">
        <v>24042</v>
      </c>
      <c r="B2212" s="1" t="str">
        <f>"Charles Weston "</f>
        <v xml:space="preserve">Charles Weston </v>
      </c>
      <c r="C2212" s="1" t="s">
        <v>24043</v>
      </c>
      <c r="F2212" s="1" t="s">
        <v>1206</v>
      </c>
      <c r="H2212" s="1" t="s">
        <v>24044</v>
      </c>
      <c r="I2212" s="1" t="s">
        <v>5</v>
      </c>
      <c r="J2212" s="1" t="s">
        <v>67</v>
      </c>
      <c r="K2212" s="1" t="s">
        <v>14</v>
      </c>
      <c r="M2212" s="2">
        <v>43080</v>
      </c>
      <c r="N2212" s="1" t="s">
        <v>8</v>
      </c>
      <c r="O2212" s="1" t="s">
        <v>68</v>
      </c>
    </row>
    <row r="2213" spans="1:15" ht="28.8" x14ac:dyDescent="0.3">
      <c r="A2213" s="1" t="s">
        <v>24045</v>
      </c>
      <c r="B2213" s="1" t="str">
        <f>"Nick Franklin Muck away"</f>
        <v>Nick Franklin Muck away</v>
      </c>
      <c r="C2213" s="1" t="s">
        <v>24046</v>
      </c>
      <c r="F2213" s="1" t="s">
        <v>532</v>
      </c>
      <c r="H2213" s="1" t="s">
        <v>24047</v>
      </c>
      <c r="I2213" s="1" t="s">
        <v>5</v>
      </c>
      <c r="J2213" s="1" t="s">
        <v>6</v>
      </c>
      <c r="K2213" s="1" t="s">
        <v>34</v>
      </c>
      <c r="M2213" s="2">
        <v>43080</v>
      </c>
      <c r="N2213" s="1" t="s">
        <v>8</v>
      </c>
      <c r="O2213" s="2">
        <v>44176</v>
      </c>
    </row>
    <row r="2214" spans="1:15" ht="43.2" x14ac:dyDescent="0.3">
      <c r="A2214" s="1" t="s">
        <v>9918</v>
      </c>
      <c r="B2214" s="1" t="str">
        <f>"Cost Fox LTD"</f>
        <v>Cost Fox LTD</v>
      </c>
      <c r="C2214" s="1" t="s">
        <v>9919</v>
      </c>
      <c r="D2214" s="1" t="s">
        <v>9920</v>
      </c>
      <c r="F2214" s="1" t="s">
        <v>4867</v>
      </c>
      <c r="H2214" s="1" t="s">
        <v>9921</v>
      </c>
      <c r="I2214" s="1" t="s">
        <v>19</v>
      </c>
      <c r="J2214" s="1" t="s">
        <v>67</v>
      </c>
      <c r="K2214" s="1" t="s">
        <v>14</v>
      </c>
      <c r="M2214" s="2">
        <v>43079</v>
      </c>
      <c r="N2214" s="1" t="s">
        <v>8</v>
      </c>
      <c r="O2214" s="1" t="s">
        <v>68</v>
      </c>
    </row>
    <row r="2215" spans="1:15" ht="28.8" x14ac:dyDescent="0.3">
      <c r="A2215" s="1" t="s">
        <v>23224</v>
      </c>
      <c r="B2215" s="1" t="str">
        <f>"Robert Morgan Galvanized Gates"</f>
        <v>Robert Morgan Galvanized Gates</v>
      </c>
      <c r="C2215" s="1" t="s">
        <v>23225</v>
      </c>
      <c r="F2215" s="1" t="s">
        <v>64</v>
      </c>
      <c r="H2215" s="1" t="s">
        <v>23226</v>
      </c>
      <c r="I2215" s="1" t="s">
        <v>5</v>
      </c>
      <c r="J2215" s="1" t="s">
        <v>6</v>
      </c>
      <c r="K2215" s="1" t="s">
        <v>34</v>
      </c>
      <c r="M2215" s="2">
        <v>43078</v>
      </c>
      <c r="N2215" s="1" t="s">
        <v>8</v>
      </c>
      <c r="O2215" s="2">
        <v>44174</v>
      </c>
    </row>
    <row r="2216" spans="1:15" ht="28.8" x14ac:dyDescent="0.3">
      <c r="A2216" s="1" t="s">
        <v>23227</v>
      </c>
      <c r="B2216" s="1" t="str">
        <f>"Ifan Davies Monomec "</f>
        <v xml:space="preserve">Ifan Davies Monomec </v>
      </c>
      <c r="C2216" s="1" t="s">
        <v>23228</v>
      </c>
      <c r="D2216" s="1" t="s">
        <v>2065</v>
      </c>
      <c r="F2216" s="1" t="s">
        <v>2066</v>
      </c>
      <c r="H2216" s="1" t="s">
        <v>23229</v>
      </c>
      <c r="I2216" s="1" t="s">
        <v>5</v>
      </c>
      <c r="J2216" s="1" t="s">
        <v>6</v>
      </c>
      <c r="K2216" s="1" t="s">
        <v>34</v>
      </c>
      <c r="M2216" s="2">
        <v>43078</v>
      </c>
      <c r="N2216" s="1" t="s">
        <v>8</v>
      </c>
      <c r="O2216" s="2">
        <v>44174</v>
      </c>
    </row>
    <row r="2217" spans="1:15" ht="28.8" x14ac:dyDescent="0.3">
      <c r="A2217" s="1" t="s">
        <v>23230</v>
      </c>
      <c r="B2217" s="1" t="str">
        <f>"william randall randalls removals"</f>
        <v>william randall randalls removals</v>
      </c>
      <c r="C2217" s="1" t="s">
        <v>23231</v>
      </c>
      <c r="F2217" s="1" t="s">
        <v>64</v>
      </c>
      <c r="H2217" s="1" t="s">
        <v>23232</v>
      </c>
      <c r="I2217" s="1" t="s">
        <v>5</v>
      </c>
      <c r="J2217" s="1" t="s">
        <v>6</v>
      </c>
      <c r="K2217" s="1" t="s">
        <v>24</v>
      </c>
      <c r="M2217" s="2">
        <v>43078</v>
      </c>
      <c r="N2217" s="1" t="s">
        <v>8</v>
      </c>
      <c r="O2217" s="2">
        <v>44174</v>
      </c>
    </row>
    <row r="2218" spans="1:15" ht="43.2" x14ac:dyDescent="0.3">
      <c r="A2218" s="1" t="s">
        <v>23233</v>
      </c>
      <c r="B2218" s="1" t="str">
        <f>"NICHOLAS WARD"</f>
        <v>NICHOLAS WARD</v>
      </c>
      <c r="C2218" s="1" t="s">
        <v>23234</v>
      </c>
      <c r="F2218" s="1" t="s">
        <v>1137</v>
      </c>
      <c r="H2218" s="1" t="s">
        <v>23235</v>
      </c>
      <c r="I2218" s="1" t="s">
        <v>5</v>
      </c>
      <c r="J2218" s="1" t="s">
        <v>67</v>
      </c>
      <c r="K2218" s="1" t="s">
        <v>14</v>
      </c>
      <c r="M2218" s="2">
        <v>43078</v>
      </c>
      <c r="N2218" s="1" t="s">
        <v>8</v>
      </c>
      <c r="O2218" s="1" t="s">
        <v>68</v>
      </c>
    </row>
    <row r="2219" spans="1:15" ht="28.8" x14ac:dyDescent="0.3">
      <c r="A2219" s="1" t="s">
        <v>9913</v>
      </c>
      <c r="B2219" s="1" t="str">
        <f>"P &amp; P PEST CONTROL LTD"</f>
        <v>P &amp; P PEST CONTROL LTD</v>
      </c>
      <c r="C2219" s="1" t="s">
        <v>9914</v>
      </c>
      <c r="D2219" s="1" t="s">
        <v>6191</v>
      </c>
      <c r="F2219" s="1" t="s">
        <v>230</v>
      </c>
      <c r="H2219" s="1" t="s">
        <v>9915</v>
      </c>
      <c r="I2219" s="1" t="s">
        <v>19</v>
      </c>
      <c r="J2219" s="1" t="s">
        <v>6</v>
      </c>
      <c r="K2219" s="1" t="s">
        <v>1859</v>
      </c>
      <c r="L2219" s="1">
        <v>4568479</v>
      </c>
      <c r="M2219" s="2">
        <v>43077</v>
      </c>
      <c r="N2219" s="1" t="s">
        <v>8</v>
      </c>
      <c r="O2219" s="2">
        <v>44173</v>
      </c>
    </row>
    <row r="2220" spans="1:15" ht="28.8" x14ac:dyDescent="0.3">
      <c r="A2220" s="1" t="s">
        <v>9916</v>
      </c>
      <c r="B2220" s="1" t="str">
        <f>"ENVIROWALES LIMITED"</f>
        <v>ENVIROWALES LIMITED</v>
      </c>
      <c r="C2220" s="1" t="s">
        <v>9917</v>
      </c>
      <c r="D2220" s="1" t="s">
        <v>2965</v>
      </c>
      <c r="F2220" s="1" t="s">
        <v>641</v>
      </c>
      <c r="H2220" s="1" t="s">
        <v>8320</v>
      </c>
      <c r="I2220" s="1" t="s">
        <v>19</v>
      </c>
      <c r="J2220" s="1" t="s">
        <v>6</v>
      </c>
      <c r="K2220" s="1" t="s">
        <v>34</v>
      </c>
      <c r="L2220" s="1">
        <v>4296277</v>
      </c>
      <c r="M2220" s="2">
        <v>43077</v>
      </c>
      <c r="N2220" s="1" t="s">
        <v>8</v>
      </c>
      <c r="O2220" s="2">
        <v>44173</v>
      </c>
    </row>
    <row r="2221" spans="1:15" ht="43.2" x14ac:dyDescent="0.3">
      <c r="A2221" s="1" t="s">
        <v>23218</v>
      </c>
      <c r="B2221" s="1" t="str">
        <f>"TW  Anwyl"</f>
        <v>TW  Anwyl</v>
      </c>
      <c r="C2221" s="1" t="s">
        <v>23219</v>
      </c>
      <c r="F2221" s="1" t="s">
        <v>7686</v>
      </c>
      <c r="H2221" s="1" t="s">
        <v>23220</v>
      </c>
      <c r="I2221" s="1" t="s">
        <v>5</v>
      </c>
      <c r="J2221" s="1" t="s">
        <v>67</v>
      </c>
      <c r="K2221" s="1" t="s">
        <v>14</v>
      </c>
      <c r="M2221" s="2">
        <v>43077</v>
      </c>
      <c r="N2221" s="1" t="s">
        <v>8</v>
      </c>
      <c r="O2221" s="1" t="s">
        <v>68</v>
      </c>
    </row>
    <row r="2222" spans="1:15" ht="43.2" x14ac:dyDescent="0.3">
      <c r="A2222" s="1" t="s">
        <v>23221</v>
      </c>
      <c r="B2222" s="1" t="str">
        <f>"Stephen Gething Treescape Tree Services"</f>
        <v>Stephen Gething Treescape Tree Services</v>
      </c>
      <c r="C2222" s="1" t="s">
        <v>23222</v>
      </c>
      <c r="F2222" s="1" t="s">
        <v>230</v>
      </c>
      <c r="H2222" s="1" t="s">
        <v>23223</v>
      </c>
      <c r="I2222" s="1" t="s">
        <v>5</v>
      </c>
      <c r="J2222" s="1" t="s">
        <v>67</v>
      </c>
      <c r="K2222" s="1" t="s">
        <v>34</v>
      </c>
      <c r="M2222" s="2">
        <v>43077</v>
      </c>
      <c r="N2222" s="1" t="s">
        <v>8</v>
      </c>
      <c r="O2222" s="1" t="s">
        <v>68</v>
      </c>
    </row>
    <row r="2223" spans="1:15" ht="28.8" x14ac:dyDescent="0.3">
      <c r="A2223" s="1" t="s">
        <v>8743</v>
      </c>
      <c r="B2223" s="1" t="str">
        <f>"Maelor (Construction) Ltd"</f>
        <v>Maelor (Construction) Ltd</v>
      </c>
      <c r="C2223" s="1" t="s">
        <v>8744</v>
      </c>
      <c r="F2223" s="1" t="s">
        <v>532</v>
      </c>
      <c r="H2223" s="1" t="s">
        <v>8745</v>
      </c>
      <c r="I2223" s="1" t="s">
        <v>19</v>
      </c>
      <c r="J2223" s="1" t="s">
        <v>6</v>
      </c>
      <c r="K2223" s="1" t="s">
        <v>34</v>
      </c>
      <c r="L2223" s="1">
        <v>1319241</v>
      </c>
      <c r="M2223" s="2">
        <v>43076</v>
      </c>
      <c r="N2223" s="1" t="s">
        <v>8</v>
      </c>
      <c r="O2223" s="2">
        <v>44172</v>
      </c>
    </row>
    <row r="2224" spans="1:15" ht="28.8" x14ac:dyDescent="0.3">
      <c r="A2224" s="1" t="s">
        <v>8746</v>
      </c>
      <c r="B2224" s="1" t="str">
        <f>"TDM DRAINAGE LIMITED"</f>
        <v>TDM DRAINAGE LIMITED</v>
      </c>
      <c r="C2224" s="1" t="s">
        <v>8747</v>
      </c>
      <c r="F2224" s="1" t="s">
        <v>323</v>
      </c>
      <c r="H2224" s="1" t="s">
        <v>8748</v>
      </c>
      <c r="I2224" s="1" t="s">
        <v>19</v>
      </c>
      <c r="J2224" s="1" t="s">
        <v>6</v>
      </c>
      <c r="K2224" s="1" t="s">
        <v>24</v>
      </c>
      <c r="L2224" s="1">
        <v>5818202</v>
      </c>
      <c r="M2224" s="2">
        <v>43076</v>
      </c>
      <c r="N2224" s="1" t="s">
        <v>8</v>
      </c>
      <c r="O2224" s="2">
        <v>44172</v>
      </c>
    </row>
    <row r="2225" spans="1:15" ht="28.8" x14ac:dyDescent="0.3">
      <c r="A2225" s="1" t="s">
        <v>8749</v>
      </c>
      <c r="B2225" s="1" t="str">
        <f>"OTM Groundscare Ltd"</f>
        <v>OTM Groundscare Ltd</v>
      </c>
      <c r="C2225" s="1" t="s">
        <v>8750</v>
      </c>
      <c r="F2225" s="1" t="s">
        <v>3337</v>
      </c>
      <c r="H2225" s="1" t="s">
        <v>8751</v>
      </c>
      <c r="I2225" s="1" t="s">
        <v>19</v>
      </c>
      <c r="J2225" s="1" t="s">
        <v>6</v>
      </c>
      <c r="K2225" s="1" t="s">
        <v>34</v>
      </c>
      <c r="L2225" s="1">
        <v>10296714</v>
      </c>
      <c r="M2225" s="2">
        <v>43076</v>
      </c>
      <c r="N2225" s="1" t="s">
        <v>8</v>
      </c>
      <c r="O2225" s="2">
        <v>44172</v>
      </c>
    </row>
    <row r="2226" spans="1:15" x14ac:dyDescent="0.3">
      <c r="A2226" s="1" t="s">
        <v>8752</v>
      </c>
      <c r="B2226" s="1" t="str">
        <f>"RandS metal collectors"</f>
        <v>RandS metal collectors</v>
      </c>
      <c r="C2226" s="1" t="s">
        <v>8753</v>
      </c>
      <c r="F2226" s="1" t="s">
        <v>1093</v>
      </c>
      <c r="H2226" s="1" t="s">
        <v>8754</v>
      </c>
      <c r="I2226" s="1" t="s">
        <v>125</v>
      </c>
      <c r="J2226" s="1" t="s">
        <v>6</v>
      </c>
      <c r="K2226" s="1" t="s">
        <v>24</v>
      </c>
      <c r="M2226" s="2">
        <v>43076</v>
      </c>
      <c r="N2226" s="1" t="s">
        <v>8</v>
      </c>
      <c r="O2226" s="2">
        <v>44172</v>
      </c>
    </row>
    <row r="2227" spans="1:15" ht="43.2" x14ac:dyDescent="0.3">
      <c r="A2227" s="1" t="s">
        <v>8755</v>
      </c>
      <c r="B2227" s="1" t="str">
        <f>"COMPLETE TOOLING SOLUTIONS LTD"</f>
        <v>COMPLETE TOOLING SOLUTIONS LTD</v>
      </c>
      <c r="C2227" s="1" t="s">
        <v>8756</v>
      </c>
      <c r="F2227" s="1" t="s">
        <v>476</v>
      </c>
      <c r="H2227" s="1" t="s">
        <v>3234</v>
      </c>
      <c r="I2227" s="1" t="s">
        <v>19</v>
      </c>
      <c r="J2227" s="1" t="s">
        <v>67</v>
      </c>
      <c r="K2227" s="1" t="s">
        <v>34</v>
      </c>
      <c r="L2227" s="1">
        <v>4984101</v>
      </c>
      <c r="M2227" s="2">
        <v>43076</v>
      </c>
      <c r="N2227" s="1" t="s">
        <v>8</v>
      </c>
      <c r="O2227" s="1" t="s">
        <v>68</v>
      </c>
    </row>
    <row r="2228" spans="1:15" ht="28.8" x14ac:dyDescent="0.3">
      <c r="A2228" s="1" t="s">
        <v>8757</v>
      </c>
      <c r="B2228" s="1" t="str">
        <f>"Glan Cymru"</f>
        <v>Glan Cymru</v>
      </c>
      <c r="C2228" s="1" t="s">
        <v>8758</v>
      </c>
      <c r="F2228" s="1" t="s">
        <v>123</v>
      </c>
      <c r="H2228" s="1" t="s">
        <v>8759</v>
      </c>
      <c r="I2228" s="1" t="s">
        <v>19</v>
      </c>
      <c r="J2228" s="1" t="s">
        <v>6</v>
      </c>
      <c r="K2228" s="1" t="s">
        <v>34</v>
      </c>
      <c r="L2228" s="1">
        <v>11009126</v>
      </c>
      <c r="M2228" s="2">
        <v>43076</v>
      </c>
      <c r="N2228" s="1" t="s">
        <v>8</v>
      </c>
      <c r="O2228" s="2">
        <v>44172</v>
      </c>
    </row>
    <row r="2229" spans="1:15" ht="28.8" x14ac:dyDescent="0.3">
      <c r="A2229" s="1" t="s">
        <v>9910</v>
      </c>
      <c r="B2229" s="1" t="str">
        <f>"C &amp; I Transport LTD"</f>
        <v>C &amp; I Transport LTD</v>
      </c>
      <c r="C2229" s="1" t="s">
        <v>9911</v>
      </c>
      <c r="F2229" s="1" t="s">
        <v>358</v>
      </c>
      <c r="H2229" s="1" t="s">
        <v>9912</v>
      </c>
      <c r="I2229" s="1" t="s">
        <v>19</v>
      </c>
      <c r="J2229" s="1" t="s">
        <v>6</v>
      </c>
      <c r="K2229" s="1" t="s">
        <v>24</v>
      </c>
      <c r="L2229" s="1">
        <v>10845969</v>
      </c>
      <c r="M2229" s="2">
        <v>43076</v>
      </c>
      <c r="N2229" s="1" t="s">
        <v>8</v>
      </c>
      <c r="O2229" s="2">
        <v>44172</v>
      </c>
    </row>
    <row r="2230" spans="1:15" ht="28.8" x14ac:dyDescent="0.3">
      <c r="A2230" s="1" t="s">
        <v>22504</v>
      </c>
      <c r="B2230" s="1" t="str">
        <f>"Paul Thomas Trinity Metals"</f>
        <v>Paul Thomas Trinity Metals</v>
      </c>
      <c r="C2230" s="1" t="s">
        <v>14904</v>
      </c>
      <c r="D2230" s="1" t="s">
        <v>258</v>
      </c>
      <c r="F2230" s="1" t="s">
        <v>64</v>
      </c>
      <c r="H2230" s="1" t="s">
        <v>14905</v>
      </c>
      <c r="I2230" s="1" t="s">
        <v>5</v>
      </c>
      <c r="J2230" s="1" t="s">
        <v>6</v>
      </c>
      <c r="K2230" s="1" t="s">
        <v>24</v>
      </c>
      <c r="M2230" s="2">
        <v>43076</v>
      </c>
      <c r="N2230" s="1" t="s">
        <v>8</v>
      </c>
      <c r="O2230" s="2">
        <v>44172</v>
      </c>
    </row>
    <row r="2231" spans="1:15" ht="43.2" x14ac:dyDescent="0.3">
      <c r="A2231" s="1" t="s">
        <v>22505</v>
      </c>
      <c r="B2231" s="1" t="str">
        <f>"Nicholas Jones"</f>
        <v>Nicholas Jones</v>
      </c>
      <c r="C2231" s="1" t="s">
        <v>22506</v>
      </c>
      <c r="F2231" s="1" t="s">
        <v>532</v>
      </c>
      <c r="H2231" s="1" t="s">
        <v>22507</v>
      </c>
      <c r="I2231" s="1" t="s">
        <v>5</v>
      </c>
      <c r="J2231" s="1" t="s">
        <v>67</v>
      </c>
      <c r="K2231" s="1" t="s">
        <v>14</v>
      </c>
      <c r="M2231" s="2">
        <v>43076</v>
      </c>
      <c r="N2231" s="1" t="s">
        <v>8</v>
      </c>
      <c r="O2231" s="1" t="s">
        <v>68</v>
      </c>
    </row>
    <row r="2232" spans="1:15" ht="43.2" x14ac:dyDescent="0.3">
      <c r="A2232" s="1" t="s">
        <v>8732</v>
      </c>
      <c r="B2232" s="1" t="str">
        <f>"Sutton superstore limited"</f>
        <v>Sutton superstore limited</v>
      </c>
      <c r="C2232" s="1" t="s">
        <v>8733</v>
      </c>
      <c r="F2232" s="1" t="s">
        <v>8734</v>
      </c>
      <c r="H2232" s="1" t="s">
        <v>8735</v>
      </c>
      <c r="I2232" s="1" t="s">
        <v>19</v>
      </c>
      <c r="J2232" s="1" t="s">
        <v>67</v>
      </c>
      <c r="K2232" s="1" t="s">
        <v>14</v>
      </c>
      <c r="M2232" s="2">
        <v>43075</v>
      </c>
      <c r="N2232" s="1" t="s">
        <v>8</v>
      </c>
      <c r="O2232" s="1" t="s">
        <v>68</v>
      </c>
    </row>
    <row r="2233" spans="1:15" ht="28.8" x14ac:dyDescent="0.3">
      <c r="A2233" s="1" t="s">
        <v>8736</v>
      </c>
      <c r="B2233" s="1" t="str">
        <f>"Geraint Williams Construction Ltd"</f>
        <v>Geraint Williams Construction Ltd</v>
      </c>
      <c r="C2233" s="1" t="s">
        <v>8737</v>
      </c>
      <c r="F2233" s="1" t="s">
        <v>8738</v>
      </c>
      <c r="H2233" s="1" t="s">
        <v>8739</v>
      </c>
      <c r="I2233" s="1" t="s">
        <v>19</v>
      </c>
      <c r="J2233" s="1" t="s">
        <v>6</v>
      </c>
      <c r="K2233" s="1" t="s">
        <v>34</v>
      </c>
      <c r="L2233" s="1">
        <v>8991867</v>
      </c>
      <c r="M2233" s="2">
        <v>43075</v>
      </c>
      <c r="N2233" s="1" t="s">
        <v>8</v>
      </c>
      <c r="O2233" s="2">
        <v>44171</v>
      </c>
    </row>
    <row r="2234" spans="1:15" ht="43.2" x14ac:dyDescent="0.3">
      <c r="A2234" s="1" t="s">
        <v>8740</v>
      </c>
      <c r="B2234" s="1" t="str">
        <f>"lakeside fish bar"</f>
        <v>lakeside fish bar</v>
      </c>
      <c r="C2234" s="1" t="s">
        <v>8741</v>
      </c>
      <c r="F2234" s="1" t="s">
        <v>380</v>
      </c>
      <c r="H2234" s="1" t="s">
        <v>8742</v>
      </c>
      <c r="I2234" s="1" t="s">
        <v>125</v>
      </c>
      <c r="J2234" s="1" t="s">
        <v>67</v>
      </c>
      <c r="K2234" s="1" t="s">
        <v>14</v>
      </c>
      <c r="M2234" s="2">
        <v>43075</v>
      </c>
      <c r="N2234" s="1" t="s">
        <v>8</v>
      </c>
      <c r="O2234" s="1" t="s">
        <v>68</v>
      </c>
    </row>
    <row r="2235" spans="1:15" ht="43.2" x14ac:dyDescent="0.3">
      <c r="A2235" s="1" t="s">
        <v>22495</v>
      </c>
      <c r="B2235" s="1" t="str">
        <f>"Sharad Rajani"</f>
        <v>Sharad Rajani</v>
      </c>
      <c r="C2235" s="1" t="s">
        <v>22496</v>
      </c>
      <c r="D2235" s="1" t="s">
        <v>8830</v>
      </c>
      <c r="F2235" s="1" t="s">
        <v>1058</v>
      </c>
      <c r="H2235" s="1" t="s">
        <v>22497</v>
      </c>
      <c r="I2235" s="1" t="s">
        <v>5</v>
      </c>
      <c r="J2235" s="1" t="s">
        <v>67</v>
      </c>
      <c r="K2235" s="1" t="s">
        <v>14</v>
      </c>
      <c r="M2235" s="2">
        <v>43075</v>
      </c>
      <c r="N2235" s="1" t="s">
        <v>8</v>
      </c>
      <c r="O2235" s="1" t="s">
        <v>68</v>
      </c>
    </row>
    <row r="2236" spans="1:15" ht="28.8" x14ac:dyDescent="0.3">
      <c r="A2236" s="1" t="s">
        <v>22498</v>
      </c>
      <c r="B2236" s="1" t="str">
        <f>"Paul Barrow Paul Barrow Transport"</f>
        <v>Paul Barrow Paul Barrow Transport</v>
      </c>
      <c r="C2236" s="1" t="s">
        <v>22499</v>
      </c>
      <c r="F2236" s="1" t="s">
        <v>179</v>
      </c>
      <c r="H2236" s="1" t="s">
        <v>22500</v>
      </c>
      <c r="I2236" s="1" t="s">
        <v>5</v>
      </c>
      <c r="J2236" s="1" t="s">
        <v>6</v>
      </c>
      <c r="K2236" s="1" t="s">
        <v>24</v>
      </c>
      <c r="M2236" s="2">
        <v>43075</v>
      </c>
      <c r="N2236" s="1" t="s">
        <v>8</v>
      </c>
      <c r="O2236" s="2">
        <v>44171</v>
      </c>
    </row>
    <row r="2237" spans="1:15" ht="28.8" x14ac:dyDescent="0.3">
      <c r="A2237" s="1" t="s">
        <v>22501</v>
      </c>
      <c r="B2237" s="1" t="str">
        <f>"mark cleaver cardiff waste clearance"</f>
        <v>mark cleaver cardiff waste clearance</v>
      </c>
      <c r="C2237" s="1" t="s">
        <v>22502</v>
      </c>
      <c r="F2237" s="1" t="s">
        <v>123</v>
      </c>
      <c r="H2237" s="1" t="s">
        <v>22503</v>
      </c>
      <c r="I2237" s="1" t="s">
        <v>5</v>
      </c>
      <c r="J2237" s="1" t="s">
        <v>6</v>
      </c>
      <c r="K2237" s="1" t="s">
        <v>24</v>
      </c>
      <c r="M2237" s="2">
        <v>43075</v>
      </c>
      <c r="N2237" s="1" t="s">
        <v>8</v>
      </c>
      <c r="O2237" s="2">
        <v>44171</v>
      </c>
    </row>
    <row r="2238" spans="1:15" ht="43.2" x14ac:dyDescent="0.3">
      <c r="A2238" s="1" t="s">
        <v>7594</v>
      </c>
      <c r="B2238" s="1" t="str">
        <f>"Biosol Renewables UK Ltd"</f>
        <v>Biosol Renewables UK Ltd</v>
      </c>
      <c r="C2238" s="1" t="s">
        <v>7595</v>
      </c>
      <c r="D2238" s="1" t="s">
        <v>658</v>
      </c>
      <c r="F2238" s="1" t="s">
        <v>665</v>
      </c>
      <c r="H2238" s="1" t="s">
        <v>7596</v>
      </c>
      <c r="I2238" s="1" t="s">
        <v>19</v>
      </c>
      <c r="J2238" s="1" t="s">
        <v>67</v>
      </c>
      <c r="K2238" s="1" t="s">
        <v>14</v>
      </c>
      <c r="M2238" s="2">
        <v>43074</v>
      </c>
      <c r="N2238" s="1" t="s">
        <v>8</v>
      </c>
      <c r="O2238" s="1" t="s">
        <v>68</v>
      </c>
    </row>
    <row r="2239" spans="1:15" ht="43.2" x14ac:dyDescent="0.3">
      <c r="A2239" s="1" t="s">
        <v>7597</v>
      </c>
      <c r="B2239" s="1" t="str">
        <f>"Trio Building Contractors Ltd"</f>
        <v>Trio Building Contractors Ltd</v>
      </c>
      <c r="C2239" s="1" t="s">
        <v>7598</v>
      </c>
      <c r="D2239" s="1" t="s">
        <v>934</v>
      </c>
      <c r="F2239" s="1" t="s">
        <v>767</v>
      </c>
      <c r="H2239" s="1" t="s">
        <v>7599</v>
      </c>
      <c r="I2239" s="1" t="s">
        <v>19</v>
      </c>
      <c r="J2239" s="1" t="s">
        <v>6</v>
      </c>
      <c r="K2239" s="1" t="s">
        <v>34</v>
      </c>
      <c r="L2239" s="1">
        <v>8892295</v>
      </c>
      <c r="M2239" s="2">
        <v>43074</v>
      </c>
      <c r="N2239" s="1" t="s">
        <v>8</v>
      </c>
      <c r="O2239" s="2">
        <v>44170</v>
      </c>
    </row>
    <row r="2240" spans="1:15" ht="57.6" x14ac:dyDescent="0.3">
      <c r="A2240" s="1" t="s">
        <v>7600</v>
      </c>
      <c r="B2240" s="1" t="str">
        <f>"SPENCER ENVIRONMENTAL CARE ASSOCIATES LIMITED"</f>
        <v>SPENCER ENVIRONMENTAL CARE ASSOCIATES LIMITED</v>
      </c>
      <c r="C2240" s="1" t="s">
        <v>7601</v>
      </c>
      <c r="F2240" s="1" t="s">
        <v>2961</v>
      </c>
      <c r="H2240" s="1" t="s">
        <v>7602</v>
      </c>
      <c r="I2240" s="1" t="s">
        <v>19</v>
      </c>
      <c r="J2240" s="1" t="s">
        <v>67</v>
      </c>
      <c r="K2240" s="1" t="s">
        <v>24</v>
      </c>
      <c r="L2240" s="1">
        <v>2928764</v>
      </c>
      <c r="M2240" s="2">
        <v>43074</v>
      </c>
      <c r="N2240" s="1" t="s">
        <v>8</v>
      </c>
      <c r="O2240" s="1" t="s">
        <v>68</v>
      </c>
    </row>
    <row r="2241" spans="1:15" ht="57.6" x14ac:dyDescent="0.3">
      <c r="A2241" s="1" t="s">
        <v>8722</v>
      </c>
      <c r="B2241" s="1" t="str">
        <f>"SPENCER ENVIRONMENTAL CARE ASSOCIATES LIMITED"</f>
        <v>SPENCER ENVIRONMENTAL CARE ASSOCIATES LIMITED</v>
      </c>
      <c r="C2241" s="1" t="s">
        <v>7601</v>
      </c>
      <c r="F2241" s="1" t="s">
        <v>2961</v>
      </c>
      <c r="H2241" s="1" t="s">
        <v>7602</v>
      </c>
      <c r="I2241" s="1" t="s">
        <v>19</v>
      </c>
      <c r="J2241" s="1" t="s">
        <v>6</v>
      </c>
      <c r="K2241" s="1" t="s">
        <v>34</v>
      </c>
      <c r="L2241" s="1">
        <v>2928764</v>
      </c>
      <c r="M2241" s="2">
        <v>43074</v>
      </c>
      <c r="N2241" s="1" t="s">
        <v>8</v>
      </c>
      <c r="O2241" s="2">
        <v>44170</v>
      </c>
    </row>
    <row r="2242" spans="1:15" ht="28.8" x14ac:dyDescent="0.3">
      <c r="A2242" s="1" t="s">
        <v>8723</v>
      </c>
      <c r="B2242" s="1" t="str">
        <f>"SOUTH WALES ARBORISTS LTD"</f>
        <v>SOUTH WALES ARBORISTS LTD</v>
      </c>
      <c r="C2242" s="1" t="s">
        <v>8724</v>
      </c>
      <c r="F2242" s="1" t="s">
        <v>32</v>
      </c>
      <c r="H2242" s="1" t="s">
        <v>1223</v>
      </c>
      <c r="I2242" s="1" t="s">
        <v>19</v>
      </c>
      <c r="J2242" s="1" t="s">
        <v>6</v>
      </c>
      <c r="K2242" s="1" t="s">
        <v>24</v>
      </c>
      <c r="L2242" s="1">
        <v>5276991</v>
      </c>
      <c r="M2242" s="2">
        <v>43074</v>
      </c>
      <c r="N2242" s="1" t="s">
        <v>8</v>
      </c>
      <c r="O2242" s="2">
        <v>44170</v>
      </c>
    </row>
    <row r="2243" spans="1:15" ht="43.2" x14ac:dyDescent="0.3">
      <c r="A2243" s="1" t="s">
        <v>8725</v>
      </c>
      <c r="B2243" s="1" t="str">
        <f>"roadways tyre &amp; autos "</f>
        <v xml:space="preserve">roadways tyre &amp; autos </v>
      </c>
      <c r="C2243" s="1" t="s">
        <v>8726</v>
      </c>
      <c r="D2243" s="1" t="s">
        <v>8727</v>
      </c>
      <c r="F2243" s="1" t="s">
        <v>8728</v>
      </c>
      <c r="H2243" s="1" t="s">
        <v>8729</v>
      </c>
      <c r="I2243" s="1" t="s">
        <v>19</v>
      </c>
      <c r="J2243" s="1" t="s">
        <v>67</v>
      </c>
      <c r="K2243" s="1" t="s">
        <v>14</v>
      </c>
      <c r="M2243" s="2">
        <v>43074</v>
      </c>
      <c r="N2243" s="1" t="s">
        <v>8</v>
      </c>
      <c r="O2243" s="1" t="s">
        <v>68</v>
      </c>
    </row>
    <row r="2244" spans="1:15" ht="28.8" x14ac:dyDescent="0.3">
      <c r="A2244" s="1" t="s">
        <v>8730</v>
      </c>
      <c r="B2244" s="1" t="str">
        <f>"Industrial Pipework Services"</f>
        <v>Industrial Pipework Services</v>
      </c>
      <c r="C2244" s="1" t="s">
        <v>8731</v>
      </c>
      <c r="D2244" s="1" t="s">
        <v>738</v>
      </c>
      <c r="F2244" s="1" t="s">
        <v>556</v>
      </c>
      <c r="H2244" s="1" t="s">
        <v>740</v>
      </c>
      <c r="I2244" s="1" t="s">
        <v>19</v>
      </c>
      <c r="J2244" s="1" t="s">
        <v>6</v>
      </c>
      <c r="K2244" s="1" t="s">
        <v>34</v>
      </c>
      <c r="L2244" s="1">
        <v>3398189</v>
      </c>
      <c r="M2244" s="2">
        <v>43074</v>
      </c>
      <c r="N2244" s="1" t="s">
        <v>8</v>
      </c>
      <c r="O2244" s="2">
        <v>44170</v>
      </c>
    </row>
    <row r="2245" spans="1:15" ht="43.2" x14ac:dyDescent="0.3">
      <c r="A2245" s="1" t="s">
        <v>21639</v>
      </c>
      <c r="B2245" s="1" t="str">
        <f>"Charlotte Hill"</f>
        <v>Charlotte Hill</v>
      </c>
      <c r="C2245" s="1" t="s">
        <v>21640</v>
      </c>
      <c r="F2245" s="1" t="s">
        <v>4105</v>
      </c>
      <c r="H2245" s="1" t="s">
        <v>21641</v>
      </c>
      <c r="I2245" s="1" t="s">
        <v>5</v>
      </c>
      <c r="J2245" s="1" t="s">
        <v>67</v>
      </c>
      <c r="K2245" s="1" t="s">
        <v>14</v>
      </c>
      <c r="M2245" s="2">
        <v>43074</v>
      </c>
      <c r="N2245" s="1" t="s">
        <v>8</v>
      </c>
      <c r="O2245" s="1" t="s">
        <v>68</v>
      </c>
    </row>
    <row r="2246" spans="1:15" ht="43.2" x14ac:dyDescent="0.3">
      <c r="A2246" s="1" t="s">
        <v>7580</v>
      </c>
      <c r="B2246" s="1" t="str">
        <f>"PILKINGTON ASBESTOS REMOVAL SERVICES LIMITED"</f>
        <v>PILKINGTON ASBESTOS REMOVAL SERVICES LIMITED</v>
      </c>
      <c r="C2246" s="1" t="s">
        <v>7581</v>
      </c>
      <c r="D2246" s="1" t="s">
        <v>7582</v>
      </c>
      <c r="F2246" s="1" t="s">
        <v>476</v>
      </c>
      <c r="H2246" s="1" t="s">
        <v>7583</v>
      </c>
      <c r="I2246" s="1" t="s">
        <v>19</v>
      </c>
      <c r="J2246" s="1" t="s">
        <v>6</v>
      </c>
      <c r="K2246" s="1" t="s">
        <v>34</v>
      </c>
      <c r="L2246" s="1">
        <v>6396174</v>
      </c>
      <c r="M2246" s="2">
        <v>43073</v>
      </c>
      <c r="N2246" s="1" t="s">
        <v>8</v>
      </c>
      <c r="O2246" s="2">
        <v>44169</v>
      </c>
    </row>
    <row r="2247" spans="1:15" ht="57.6" x14ac:dyDescent="0.3">
      <c r="A2247" s="1" t="s">
        <v>7584</v>
      </c>
      <c r="B2247" s="1" t="str">
        <f>"GR ELECTRICAL SOLUTIONS LTD"</f>
        <v>GR ELECTRICAL SOLUTIONS LTD</v>
      </c>
      <c r="C2247" s="1" t="s">
        <v>7585</v>
      </c>
      <c r="D2247" s="1" t="s">
        <v>7586</v>
      </c>
      <c r="F2247" s="1" t="s">
        <v>1137</v>
      </c>
      <c r="H2247" s="1" t="s">
        <v>7587</v>
      </c>
      <c r="I2247" s="1" t="s">
        <v>19</v>
      </c>
      <c r="J2247" s="1" t="s">
        <v>6</v>
      </c>
      <c r="K2247" s="1" t="s">
        <v>24</v>
      </c>
      <c r="L2247" s="1">
        <v>7855970</v>
      </c>
      <c r="M2247" s="2">
        <v>43073</v>
      </c>
      <c r="N2247" s="1" t="s">
        <v>8</v>
      </c>
      <c r="O2247" s="2">
        <v>44169</v>
      </c>
    </row>
    <row r="2248" spans="1:15" ht="28.8" x14ac:dyDescent="0.3">
      <c r="A2248" s="1" t="s">
        <v>7588</v>
      </c>
      <c r="B2248" s="1" t="str">
        <f>"Huntcliffe Property Maintenance"</f>
        <v>Huntcliffe Property Maintenance</v>
      </c>
      <c r="C2248" s="1" t="s">
        <v>7589</v>
      </c>
      <c r="F2248" s="1" t="s">
        <v>476</v>
      </c>
      <c r="H2248" s="1" t="s">
        <v>7590</v>
      </c>
      <c r="I2248" s="1" t="s">
        <v>125</v>
      </c>
      <c r="J2248" s="1" t="s">
        <v>6</v>
      </c>
      <c r="K2248" s="1" t="s">
        <v>34</v>
      </c>
      <c r="M2248" s="2">
        <v>43073</v>
      </c>
      <c r="N2248" s="1" t="s">
        <v>8</v>
      </c>
      <c r="O2248" s="2">
        <v>44169</v>
      </c>
    </row>
    <row r="2249" spans="1:15" ht="28.8" x14ac:dyDescent="0.3">
      <c r="A2249" s="1" t="s">
        <v>7591</v>
      </c>
      <c r="B2249" s="1" t="str">
        <f>"david roberts transport"</f>
        <v>david roberts transport</v>
      </c>
      <c r="C2249" s="1" t="s">
        <v>7592</v>
      </c>
      <c r="F2249" s="1" t="s">
        <v>2504</v>
      </c>
      <c r="H2249" s="1" t="s">
        <v>7593</v>
      </c>
      <c r="I2249" s="1" t="s">
        <v>19</v>
      </c>
      <c r="J2249" s="1" t="s">
        <v>6</v>
      </c>
      <c r="K2249" s="1" t="s">
        <v>34</v>
      </c>
      <c r="L2249" s="1">
        <v>5344249</v>
      </c>
      <c r="M2249" s="2">
        <v>43073</v>
      </c>
      <c r="N2249" s="1" t="s">
        <v>8</v>
      </c>
      <c r="O2249" s="2">
        <v>44169</v>
      </c>
    </row>
    <row r="2250" spans="1:15" ht="28.8" x14ac:dyDescent="0.3">
      <c r="A2250" s="1" t="s">
        <v>21632</v>
      </c>
      <c r="B2250" s="1" t="str">
        <f>"Jonathan Brettle JB Groundworks"</f>
        <v>Jonathan Brettle JB Groundworks</v>
      </c>
      <c r="C2250" s="1" t="s">
        <v>21633</v>
      </c>
      <c r="F2250" s="1" t="s">
        <v>42</v>
      </c>
      <c r="H2250" s="1" t="s">
        <v>21634</v>
      </c>
      <c r="I2250" s="1" t="s">
        <v>5</v>
      </c>
      <c r="J2250" s="1" t="s">
        <v>6</v>
      </c>
      <c r="K2250" s="1" t="s">
        <v>34</v>
      </c>
      <c r="M2250" s="2">
        <v>43073</v>
      </c>
      <c r="N2250" s="1" t="s">
        <v>8</v>
      </c>
      <c r="O2250" s="2">
        <v>44169</v>
      </c>
    </row>
    <row r="2251" spans="1:15" ht="28.8" x14ac:dyDescent="0.3">
      <c r="A2251" s="1" t="s">
        <v>21635</v>
      </c>
      <c r="B2251" s="1" t="str">
        <f>"Martin Hancock M J Hancock Contracting"</f>
        <v>Martin Hancock M J Hancock Contracting</v>
      </c>
      <c r="C2251" s="1" t="s">
        <v>21636</v>
      </c>
      <c r="F2251" s="1" t="s">
        <v>21637</v>
      </c>
      <c r="H2251" s="1" t="s">
        <v>21638</v>
      </c>
      <c r="I2251" s="1" t="s">
        <v>5</v>
      </c>
      <c r="J2251" s="1" t="s">
        <v>6</v>
      </c>
      <c r="K2251" s="1" t="s">
        <v>34</v>
      </c>
      <c r="M2251" s="2">
        <v>43073</v>
      </c>
      <c r="N2251" s="1" t="s">
        <v>8</v>
      </c>
      <c r="O2251" s="2">
        <v>44169</v>
      </c>
    </row>
    <row r="2252" spans="1:15" ht="28.8" x14ac:dyDescent="0.3">
      <c r="A2252" s="1" t="s">
        <v>6538</v>
      </c>
      <c r="B2252" s="1" t="str">
        <f>"JAXX BAY LIMITED"</f>
        <v>JAXX BAY LIMITED</v>
      </c>
      <c r="C2252" s="1" t="s">
        <v>6539</v>
      </c>
      <c r="F2252" s="1" t="s">
        <v>64</v>
      </c>
      <c r="H2252" s="1" t="s">
        <v>6540</v>
      </c>
      <c r="I2252" s="1" t="s">
        <v>19</v>
      </c>
      <c r="J2252" s="1" t="s">
        <v>6</v>
      </c>
      <c r="K2252" s="1" t="s">
        <v>34</v>
      </c>
      <c r="L2252" s="1">
        <v>3771693</v>
      </c>
      <c r="M2252" s="2">
        <v>43070</v>
      </c>
      <c r="N2252" s="1" t="s">
        <v>8</v>
      </c>
      <c r="O2252" s="2">
        <v>44166</v>
      </c>
    </row>
    <row r="2253" spans="1:15" ht="43.2" x14ac:dyDescent="0.3">
      <c r="A2253" s="1" t="s">
        <v>20889</v>
      </c>
      <c r="B2253" s="1" t="str">
        <f>"Damian McKenna Damian McKenna Property Services"</f>
        <v>Damian McKenna Damian McKenna Property Services</v>
      </c>
      <c r="C2253" s="1" t="s">
        <v>20890</v>
      </c>
      <c r="F2253" s="1" t="s">
        <v>706</v>
      </c>
      <c r="H2253" s="1" t="s">
        <v>3782</v>
      </c>
      <c r="I2253" s="1" t="s">
        <v>5</v>
      </c>
      <c r="J2253" s="1" t="s">
        <v>6</v>
      </c>
      <c r="K2253" s="1" t="s">
        <v>24</v>
      </c>
      <c r="M2253" s="2">
        <v>43070</v>
      </c>
      <c r="N2253" s="1" t="s">
        <v>8</v>
      </c>
      <c r="O2253" s="2">
        <v>44166</v>
      </c>
    </row>
    <row r="2254" spans="1:15" ht="43.2" x14ac:dyDescent="0.3">
      <c r="A2254" s="1" t="s">
        <v>20891</v>
      </c>
      <c r="B2254" s="1" t="str">
        <f>"Ian Rowe Ian Rowe Building and Groundworks"</f>
        <v>Ian Rowe Ian Rowe Building and Groundworks</v>
      </c>
      <c r="C2254" s="1" t="s">
        <v>20892</v>
      </c>
      <c r="D2254" s="1" t="s">
        <v>578</v>
      </c>
      <c r="F2254" s="1" t="s">
        <v>64</v>
      </c>
      <c r="H2254" s="1" t="s">
        <v>20893</v>
      </c>
      <c r="I2254" s="1" t="s">
        <v>5</v>
      </c>
      <c r="J2254" s="1" t="s">
        <v>6</v>
      </c>
      <c r="K2254" s="1" t="s">
        <v>34</v>
      </c>
      <c r="M2254" s="2">
        <v>43070</v>
      </c>
      <c r="N2254" s="1" t="s">
        <v>8</v>
      </c>
      <c r="O2254" s="2">
        <v>44166</v>
      </c>
    </row>
    <row r="2255" spans="1:15" ht="43.2" x14ac:dyDescent="0.3">
      <c r="A2255" s="1" t="s">
        <v>5281</v>
      </c>
      <c r="B2255" s="1" t="str">
        <f>"Morfa Bay Adventure"</f>
        <v>Morfa Bay Adventure</v>
      </c>
      <c r="C2255" s="1" t="s">
        <v>5282</v>
      </c>
      <c r="F2255" s="1" t="s">
        <v>56</v>
      </c>
      <c r="H2255" s="1" t="s">
        <v>5283</v>
      </c>
      <c r="I2255" s="1" t="s">
        <v>19</v>
      </c>
      <c r="J2255" s="1" t="s">
        <v>67</v>
      </c>
      <c r="K2255" s="1" t="s">
        <v>14</v>
      </c>
      <c r="M2255" s="2">
        <v>43069</v>
      </c>
      <c r="N2255" s="1" t="s">
        <v>8</v>
      </c>
      <c r="O2255" s="1" t="s">
        <v>68</v>
      </c>
    </row>
    <row r="2256" spans="1:15" ht="28.8" x14ac:dyDescent="0.3">
      <c r="A2256" s="1" t="s">
        <v>6531</v>
      </c>
      <c r="B2256" s="1" t="str">
        <f>"Adexsi UK Ltd"</f>
        <v>Adexsi UK Ltd</v>
      </c>
      <c r="C2256" s="1" t="s">
        <v>6532</v>
      </c>
      <c r="F2256" s="1" t="s">
        <v>706</v>
      </c>
      <c r="H2256" s="1" t="s">
        <v>6533</v>
      </c>
      <c r="I2256" s="1" t="s">
        <v>19</v>
      </c>
      <c r="J2256" s="1" t="s">
        <v>6</v>
      </c>
      <c r="K2256" s="1" t="s">
        <v>34</v>
      </c>
      <c r="L2256" s="1">
        <v>6981687</v>
      </c>
      <c r="M2256" s="2">
        <v>43069</v>
      </c>
      <c r="N2256" s="1" t="s">
        <v>8</v>
      </c>
      <c r="O2256" s="2">
        <v>44165</v>
      </c>
    </row>
    <row r="2257" spans="1:15" ht="28.8" x14ac:dyDescent="0.3">
      <c r="A2257" s="1" t="s">
        <v>6534</v>
      </c>
      <c r="B2257" s="1" t="str">
        <f>"V J  Bailey (Port Talbot) Ltd."</f>
        <v>V J  Bailey (Port Talbot) Ltd.</v>
      </c>
      <c r="C2257" s="1" t="s">
        <v>6535</v>
      </c>
      <c r="F2257" s="1" t="s">
        <v>6536</v>
      </c>
      <c r="H2257" s="1" t="s">
        <v>6537</v>
      </c>
      <c r="I2257" s="1" t="s">
        <v>19</v>
      </c>
      <c r="J2257" s="1" t="s">
        <v>6</v>
      </c>
      <c r="K2257" s="1" t="s">
        <v>24</v>
      </c>
      <c r="L2257" s="1">
        <v>866355</v>
      </c>
      <c r="M2257" s="2">
        <v>43069</v>
      </c>
      <c r="N2257" s="1" t="s">
        <v>8</v>
      </c>
      <c r="O2257" s="2">
        <v>44165</v>
      </c>
    </row>
    <row r="2258" spans="1:15" ht="28.8" x14ac:dyDescent="0.3">
      <c r="A2258" s="1" t="s">
        <v>20089</v>
      </c>
      <c r="B2258" s="1" t="str">
        <f>"GERANIT HATCHER"</f>
        <v>GERANIT HATCHER</v>
      </c>
      <c r="C2258" s="1" t="s">
        <v>20090</v>
      </c>
      <c r="D2258" s="1" t="s">
        <v>20091</v>
      </c>
      <c r="F2258" s="1" t="s">
        <v>20092</v>
      </c>
      <c r="H2258" s="1" t="s">
        <v>20093</v>
      </c>
      <c r="I2258" s="1" t="s">
        <v>5</v>
      </c>
      <c r="J2258" s="1" t="s">
        <v>6</v>
      </c>
      <c r="K2258" s="1" t="s">
        <v>34</v>
      </c>
      <c r="M2258" s="2">
        <v>43069</v>
      </c>
      <c r="N2258" s="1" t="s">
        <v>8</v>
      </c>
      <c r="O2258" s="2">
        <v>44165</v>
      </c>
    </row>
    <row r="2259" spans="1:15" ht="43.2" x14ac:dyDescent="0.3">
      <c r="A2259" s="1" t="s">
        <v>20094</v>
      </c>
      <c r="B2259" s="1" t="str">
        <f>"Brian Hibbert Brians Home E Factory Improvements"</f>
        <v>Brian Hibbert Brians Home E Factory Improvements</v>
      </c>
      <c r="C2259" s="1" t="s">
        <v>20095</v>
      </c>
      <c r="F2259" s="1" t="s">
        <v>364</v>
      </c>
      <c r="H2259" s="1" t="s">
        <v>20096</v>
      </c>
      <c r="I2259" s="1" t="s">
        <v>5</v>
      </c>
      <c r="J2259" s="1" t="s">
        <v>6</v>
      </c>
      <c r="K2259" s="1" t="s">
        <v>24</v>
      </c>
      <c r="M2259" s="2">
        <v>43069</v>
      </c>
      <c r="N2259" s="1" t="s">
        <v>8</v>
      </c>
      <c r="O2259" s="2">
        <v>44165</v>
      </c>
    </row>
    <row r="2260" spans="1:15" ht="28.8" x14ac:dyDescent="0.3">
      <c r="A2260" s="1" t="s">
        <v>20877</v>
      </c>
      <c r="B2260" s="1" t="str">
        <f>"ivan logan IVAN LOGAN"</f>
        <v>ivan logan IVAN LOGAN</v>
      </c>
      <c r="C2260" s="1" t="s">
        <v>20878</v>
      </c>
      <c r="F2260" s="1" t="s">
        <v>3472</v>
      </c>
      <c r="H2260" s="1" t="s">
        <v>20879</v>
      </c>
      <c r="I2260" s="1" t="s">
        <v>5</v>
      </c>
      <c r="J2260" s="1" t="s">
        <v>6</v>
      </c>
      <c r="K2260" s="1" t="s">
        <v>24</v>
      </c>
      <c r="M2260" s="2">
        <v>43069</v>
      </c>
      <c r="N2260" s="1" t="s">
        <v>8</v>
      </c>
      <c r="O2260" s="2">
        <v>44165</v>
      </c>
    </row>
    <row r="2261" spans="1:15" ht="28.8" x14ac:dyDescent="0.3">
      <c r="A2261" s="1" t="s">
        <v>20880</v>
      </c>
      <c r="B2261" s="1" t="str">
        <f>"Nathan  Thomas NGT Heating &amp; Plumbing"</f>
        <v>Nathan  Thomas NGT Heating &amp; Plumbing</v>
      </c>
      <c r="C2261" s="1" t="s">
        <v>20881</v>
      </c>
      <c r="F2261" s="1" t="s">
        <v>380</v>
      </c>
      <c r="H2261" s="1" t="s">
        <v>20882</v>
      </c>
      <c r="I2261" s="1" t="s">
        <v>5</v>
      </c>
      <c r="J2261" s="1" t="s">
        <v>6</v>
      </c>
      <c r="K2261" s="1" t="s">
        <v>34</v>
      </c>
      <c r="M2261" s="2">
        <v>43069</v>
      </c>
      <c r="N2261" s="1" t="s">
        <v>8</v>
      </c>
      <c r="O2261" s="2">
        <v>44165</v>
      </c>
    </row>
    <row r="2262" spans="1:15" ht="43.2" x14ac:dyDescent="0.3">
      <c r="A2262" s="1" t="s">
        <v>20883</v>
      </c>
      <c r="B2262" s="1" t="str">
        <f>"Andrew Gardner"</f>
        <v>Andrew Gardner</v>
      </c>
      <c r="C2262" s="1" t="s">
        <v>20884</v>
      </c>
      <c r="F2262" s="1" t="s">
        <v>1991</v>
      </c>
      <c r="H2262" s="1" t="s">
        <v>20885</v>
      </c>
      <c r="I2262" s="1" t="s">
        <v>5</v>
      </c>
      <c r="J2262" s="1" t="s">
        <v>67</v>
      </c>
      <c r="K2262" s="1" t="s">
        <v>14</v>
      </c>
      <c r="M2262" s="2">
        <v>43069</v>
      </c>
      <c r="N2262" s="1" t="s">
        <v>8</v>
      </c>
      <c r="O2262" s="1" t="s">
        <v>68</v>
      </c>
    </row>
    <row r="2263" spans="1:15" ht="28.8" x14ac:dyDescent="0.3">
      <c r="A2263" s="1" t="s">
        <v>20886</v>
      </c>
      <c r="B2263" s="1" t="str">
        <f>"Stephen  Kanauros  SPK Windows"</f>
        <v>Stephen  Kanauros  SPK Windows</v>
      </c>
      <c r="C2263" s="1" t="s">
        <v>20887</v>
      </c>
      <c r="F2263" s="1" t="s">
        <v>491</v>
      </c>
      <c r="H2263" s="1" t="s">
        <v>20888</v>
      </c>
      <c r="I2263" s="1" t="s">
        <v>5</v>
      </c>
      <c r="J2263" s="1" t="s">
        <v>6</v>
      </c>
      <c r="K2263" s="1" t="s">
        <v>24</v>
      </c>
      <c r="M2263" s="2">
        <v>43069</v>
      </c>
      <c r="N2263" s="1" t="s">
        <v>8</v>
      </c>
      <c r="O2263" s="2">
        <v>44165</v>
      </c>
    </row>
    <row r="2264" spans="1:15" ht="28.8" x14ac:dyDescent="0.3">
      <c r="A2264" s="1" t="s">
        <v>5268</v>
      </c>
      <c r="B2264" s="1" t="str">
        <f>"RNA PLANT LIMITED"</f>
        <v>RNA PLANT LIMITED</v>
      </c>
      <c r="C2264" s="1" t="s">
        <v>5269</v>
      </c>
      <c r="F2264" s="1" t="s">
        <v>665</v>
      </c>
      <c r="H2264" s="1" t="s">
        <v>2163</v>
      </c>
      <c r="I2264" s="1" t="s">
        <v>19</v>
      </c>
      <c r="J2264" s="1" t="s">
        <v>6</v>
      </c>
      <c r="K2264" s="1" t="s">
        <v>24</v>
      </c>
      <c r="L2264" s="1">
        <v>4501922</v>
      </c>
      <c r="M2264" s="2">
        <v>43068</v>
      </c>
      <c r="N2264" s="1" t="s">
        <v>8</v>
      </c>
      <c r="O2264" s="2">
        <v>44164</v>
      </c>
    </row>
    <row r="2265" spans="1:15" ht="43.2" x14ac:dyDescent="0.3">
      <c r="A2265" s="1" t="s">
        <v>5270</v>
      </c>
      <c r="B2265" s="1" t="str">
        <f>"SERAPH PROPERTY MAINTENANCE LIMITED"</f>
        <v>SERAPH PROPERTY MAINTENANCE LIMITED</v>
      </c>
      <c r="C2265" s="1" t="s">
        <v>5271</v>
      </c>
      <c r="F2265" s="1" t="s">
        <v>123</v>
      </c>
      <c r="H2265" s="1" t="s">
        <v>5272</v>
      </c>
      <c r="I2265" s="1" t="s">
        <v>19</v>
      </c>
      <c r="J2265" s="1" t="s">
        <v>6</v>
      </c>
      <c r="K2265" s="1" t="s">
        <v>34</v>
      </c>
      <c r="L2265" s="1">
        <v>7035818</v>
      </c>
      <c r="M2265" s="2">
        <v>43068</v>
      </c>
      <c r="N2265" s="1" t="s">
        <v>8</v>
      </c>
      <c r="O2265" s="2">
        <v>44164</v>
      </c>
    </row>
    <row r="2266" spans="1:15" ht="28.8" x14ac:dyDescent="0.3">
      <c r="A2266" s="1" t="s">
        <v>5273</v>
      </c>
      <c r="B2266" s="1" t="str">
        <f>"Ecological Land Management Ltd"</f>
        <v>Ecological Land Management Ltd</v>
      </c>
      <c r="C2266" s="1" t="s">
        <v>5274</v>
      </c>
      <c r="D2266" s="1" t="s">
        <v>5275</v>
      </c>
      <c r="F2266" s="1" t="s">
        <v>2596</v>
      </c>
      <c r="H2266" s="1" t="s">
        <v>5276</v>
      </c>
      <c r="I2266" s="1" t="s">
        <v>19</v>
      </c>
      <c r="J2266" s="1" t="s">
        <v>6</v>
      </c>
      <c r="K2266" s="1" t="s">
        <v>34</v>
      </c>
      <c r="L2266" s="1">
        <v>5761592</v>
      </c>
      <c r="M2266" s="2">
        <v>43068</v>
      </c>
      <c r="N2266" s="1" t="s">
        <v>8</v>
      </c>
      <c r="O2266" s="2">
        <v>44164</v>
      </c>
    </row>
    <row r="2267" spans="1:15" ht="28.8" x14ac:dyDescent="0.3">
      <c r="A2267" s="1" t="s">
        <v>5277</v>
      </c>
      <c r="B2267" s="1" t="str">
        <f>"LELO METAL RECYCLING LTD"</f>
        <v>LELO METAL RECYCLING LTD</v>
      </c>
      <c r="C2267" s="1" t="s">
        <v>5278</v>
      </c>
      <c r="D2267" s="1" t="s">
        <v>5279</v>
      </c>
      <c r="F2267" s="1" t="s">
        <v>2281</v>
      </c>
      <c r="H2267" s="1" t="s">
        <v>5280</v>
      </c>
      <c r="I2267" s="1" t="s">
        <v>19</v>
      </c>
      <c r="J2267" s="1" t="s">
        <v>6</v>
      </c>
      <c r="K2267" s="1" t="s">
        <v>34</v>
      </c>
      <c r="L2267" s="1">
        <v>7128968</v>
      </c>
      <c r="M2267" s="2">
        <v>43068</v>
      </c>
      <c r="N2267" s="1" t="s">
        <v>8</v>
      </c>
      <c r="O2267" s="2">
        <v>44164</v>
      </c>
    </row>
    <row r="2268" spans="1:15" ht="43.2" x14ac:dyDescent="0.3">
      <c r="A2268" s="1" t="s">
        <v>20081</v>
      </c>
      <c r="B2268" s="1" t="str">
        <f>"Richard Hughes"</f>
        <v>Richard Hughes</v>
      </c>
      <c r="C2268" s="1" t="s">
        <v>20082</v>
      </c>
      <c r="F2268" s="1" t="s">
        <v>2281</v>
      </c>
      <c r="H2268" s="1" t="s">
        <v>16300</v>
      </c>
      <c r="I2268" s="1" t="s">
        <v>5</v>
      </c>
      <c r="J2268" s="1" t="s">
        <v>67</v>
      </c>
      <c r="K2268" s="1" t="s">
        <v>24</v>
      </c>
      <c r="M2268" s="2">
        <v>43068</v>
      </c>
      <c r="N2268" s="1" t="s">
        <v>8</v>
      </c>
      <c r="O2268" s="1" t="s">
        <v>68</v>
      </c>
    </row>
    <row r="2269" spans="1:15" ht="43.2" x14ac:dyDescent="0.3">
      <c r="A2269" s="1" t="s">
        <v>20083</v>
      </c>
      <c r="B2269" s="1" t="str">
        <f>"Kevin Winstanley Winstanleyplumbingservices"</f>
        <v>Kevin Winstanley Winstanleyplumbingservices</v>
      </c>
      <c r="C2269" s="1" t="s">
        <v>20084</v>
      </c>
      <c r="F2269" s="1" t="s">
        <v>12012</v>
      </c>
      <c r="H2269" s="1" t="s">
        <v>20085</v>
      </c>
      <c r="I2269" s="1" t="s">
        <v>5</v>
      </c>
      <c r="J2269" s="1" t="s">
        <v>6</v>
      </c>
      <c r="K2269" s="1" t="s">
        <v>34</v>
      </c>
      <c r="M2269" s="2">
        <v>43068</v>
      </c>
      <c r="N2269" s="1" t="s">
        <v>8</v>
      </c>
      <c r="O2269" s="2">
        <v>44164</v>
      </c>
    </row>
    <row r="2270" spans="1:15" ht="28.8" x14ac:dyDescent="0.3">
      <c r="A2270" s="1" t="s">
        <v>20086</v>
      </c>
      <c r="B2270" s="1" t="str">
        <f>"dafydd evans d.evans plumbing and heating"</f>
        <v>dafydd evans d.evans plumbing and heating</v>
      </c>
      <c r="C2270" s="1" t="s">
        <v>20087</v>
      </c>
      <c r="F2270" s="1" t="s">
        <v>2504</v>
      </c>
      <c r="H2270" s="1" t="s">
        <v>20088</v>
      </c>
      <c r="I2270" s="1" t="s">
        <v>5</v>
      </c>
      <c r="J2270" s="1" t="s">
        <v>6</v>
      </c>
      <c r="K2270" s="1" t="s">
        <v>34</v>
      </c>
      <c r="M2270" s="2">
        <v>43068</v>
      </c>
      <c r="N2270" s="1" t="s">
        <v>8</v>
      </c>
      <c r="O2270" s="2">
        <v>44164</v>
      </c>
    </row>
    <row r="2271" spans="1:15" ht="43.2" x14ac:dyDescent="0.3">
      <c r="A2271" s="1" t="s">
        <v>4198</v>
      </c>
      <c r="B2271" s="1" t="str">
        <f>"The Landscaping People LTD "</f>
        <v xml:space="preserve">The Landscaping People LTD </v>
      </c>
      <c r="C2271" s="1" t="s">
        <v>4199</v>
      </c>
      <c r="F2271" s="1" t="s">
        <v>4200</v>
      </c>
      <c r="H2271" s="1" t="s">
        <v>4201</v>
      </c>
      <c r="I2271" s="1" t="s">
        <v>19</v>
      </c>
      <c r="J2271" s="1" t="s">
        <v>67</v>
      </c>
      <c r="K2271" s="1" t="s">
        <v>24</v>
      </c>
      <c r="L2271" s="1">
        <v>7938059</v>
      </c>
      <c r="M2271" s="2">
        <v>43067</v>
      </c>
      <c r="N2271" s="1" t="s">
        <v>8</v>
      </c>
      <c r="O2271" s="1" t="s">
        <v>68</v>
      </c>
    </row>
    <row r="2272" spans="1:15" ht="28.8" x14ac:dyDescent="0.3">
      <c r="A2272" s="1" t="s">
        <v>4202</v>
      </c>
      <c r="B2272" s="1" t="str">
        <f>"M j Panter-burke"</f>
        <v>M j Panter-burke</v>
      </c>
      <c r="C2272" s="1" t="s">
        <v>4203</v>
      </c>
      <c r="F2272" s="1" t="s">
        <v>4204</v>
      </c>
      <c r="H2272" s="1" t="s">
        <v>4205</v>
      </c>
      <c r="I2272" s="1" t="s">
        <v>125</v>
      </c>
      <c r="J2272" s="1" t="s">
        <v>6</v>
      </c>
      <c r="K2272" s="1" t="s">
        <v>34</v>
      </c>
      <c r="M2272" s="2">
        <v>43067</v>
      </c>
      <c r="N2272" s="1" t="s">
        <v>8</v>
      </c>
      <c r="O2272" s="2">
        <v>44163</v>
      </c>
    </row>
    <row r="2273" spans="1:15" ht="28.8" x14ac:dyDescent="0.3">
      <c r="A2273" s="1" t="s">
        <v>4206</v>
      </c>
      <c r="B2273" s="1" t="str">
        <f>"ASG ELECTRICAL INSTALLATIONS LTD"</f>
        <v>ASG ELECTRICAL INSTALLATIONS LTD</v>
      </c>
      <c r="C2273" s="1" t="s">
        <v>4207</v>
      </c>
      <c r="F2273" s="1" t="s">
        <v>123</v>
      </c>
      <c r="H2273" s="1" t="s">
        <v>4208</v>
      </c>
      <c r="I2273" s="1" t="s">
        <v>19</v>
      </c>
      <c r="J2273" s="1" t="s">
        <v>6</v>
      </c>
      <c r="K2273" s="1" t="s">
        <v>34</v>
      </c>
      <c r="L2273" s="1">
        <v>7292589</v>
      </c>
      <c r="M2273" s="2">
        <v>43067</v>
      </c>
      <c r="N2273" s="1" t="s">
        <v>8</v>
      </c>
      <c r="O2273" s="2">
        <v>44163</v>
      </c>
    </row>
    <row r="2274" spans="1:15" ht="43.2" x14ac:dyDescent="0.3">
      <c r="A2274" s="1" t="s">
        <v>4209</v>
      </c>
      <c r="B2274" s="1" t="str">
        <f>"The Car Clinic Swansea"</f>
        <v>The Car Clinic Swansea</v>
      </c>
      <c r="C2274" s="1" t="s">
        <v>4210</v>
      </c>
      <c r="D2274" s="1" t="s">
        <v>2041</v>
      </c>
      <c r="F2274" s="1" t="s">
        <v>64</v>
      </c>
      <c r="H2274" s="1" t="s">
        <v>4211</v>
      </c>
      <c r="I2274" s="1" t="s">
        <v>19</v>
      </c>
      <c r="J2274" s="1" t="s">
        <v>67</v>
      </c>
      <c r="K2274" s="1" t="s">
        <v>14</v>
      </c>
      <c r="M2274" s="2">
        <v>43067</v>
      </c>
      <c r="N2274" s="1" t="s">
        <v>8</v>
      </c>
      <c r="O2274" s="1" t="s">
        <v>68</v>
      </c>
    </row>
    <row r="2275" spans="1:15" ht="28.8" x14ac:dyDescent="0.3">
      <c r="A2275" s="1" t="s">
        <v>4212</v>
      </c>
      <c r="B2275" s="1" t="str">
        <f>"RODWAY PLANT"</f>
        <v>RODWAY PLANT</v>
      </c>
      <c r="C2275" s="1" t="s">
        <v>4213</v>
      </c>
      <c r="F2275" s="1" t="s">
        <v>42</v>
      </c>
      <c r="H2275" s="1" t="s">
        <v>4214</v>
      </c>
      <c r="I2275" s="1" t="s">
        <v>125</v>
      </c>
      <c r="J2275" s="1" t="s">
        <v>6</v>
      </c>
      <c r="K2275" s="1" t="s">
        <v>34</v>
      </c>
      <c r="M2275" s="2">
        <v>43067</v>
      </c>
      <c r="N2275" s="1" t="s">
        <v>8</v>
      </c>
      <c r="O2275" s="2">
        <v>44163</v>
      </c>
    </row>
    <row r="2276" spans="1:15" ht="43.2" x14ac:dyDescent="0.3">
      <c r="A2276" s="1" t="s">
        <v>4215</v>
      </c>
      <c r="B2276" s="1" t="str">
        <f>"Cutting Edge Landscapes (WM) Ltd "</f>
        <v xml:space="preserve">Cutting Edge Landscapes (WM) Ltd </v>
      </c>
      <c r="C2276" s="1" t="s">
        <v>4216</v>
      </c>
      <c r="F2276" s="1" t="s">
        <v>532</v>
      </c>
      <c r="H2276" s="1" t="s">
        <v>4217</v>
      </c>
      <c r="I2276" s="1" t="s">
        <v>19</v>
      </c>
      <c r="J2276" s="1" t="s">
        <v>67</v>
      </c>
      <c r="K2276" s="1" t="s">
        <v>24</v>
      </c>
      <c r="M2276" s="2">
        <v>43067</v>
      </c>
      <c r="N2276" s="1" t="s">
        <v>8</v>
      </c>
      <c r="O2276" s="1" t="s">
        <v>68</v>
      </c>
    </row>
    <row r="2277" spans="1:15" ht="28.8" x14ac:dyDescent="0.3">
      <c r="A2277" s="1" t="s">
        <v>4218</v>
      </c>
      <c r="B2277" s="1" t="str">
        <f>"Handywoman Direct Ltd"</f>
        <v>Handywoman Direct Ltd</v>
      </c>
      <c r="C2277" s="1" t="s">
        <v>4219</v>
      </c>
      <c r="D2277" s="1" t="s">
        <v>4220</v>
      </c>
      <c r="F2277" s="1" t="s">
        <v>108</v>
      </c>
      <c r="H2277" s="1" t="s">
        <v>4221</v>
      </c>
      <c r="I2277" s="1" t="s">
        <v>19</v>
      </c>
      <c r="J2277" s="1" t="s">
        <v>6</v>
      </c>
      <c r="K2277" s="1" t="s">
        <v>24</v>
      </c>
      <c r="L2277" s="1">
        <v>5904990</v>
      </c>
      <c r="M2277" s="2">
        <v>43067</v>
      </c>
      <c r="N2277" s="1" t="s">
        <v>8</v>
      </c>
      <c r="O2277" s="2">
        <v>44163</v>
      </c>
    </row>
    <row r="2278" spans="1:15" ht="43.2" x14ac:dyDescent="0.3">
      <c r="A2278" s="1" t="s">
        <v>4222</v>
      </c>
      <c r="B2278" s="1" t="str">
        <f>"Mitchell Price Jason Price  William Price  Williams Price"</f>
        <v>Mitchell Price Jason Price  William Price  Williams Price</v>
      </c>
      <c r="C2278" s="1" t="s">
        <v>4223</v>
      </c>
      <c r="F2278" s="1" t="s">
        <v>42</v>
      </c>
      <c r="H2278" s="1" t="s">
        <v>4224</v>
      </c>
      <c r="I2278" s="1" t="s">
        <v>125</v>
      </c>
      <c r="J2278" s="1" t="s">
        <v>6</v>
      </c>
      <c r="K2278" s="1" t="s">
        <v>24</v>
      </c>
      <c r="M2278" s="2">
        <v>43067</v>
      </c>
      <c r="N2278" s="1" t="s">
        <v>8</v>
      </c>
      <c r="O2278" s="2">
        <v>44163</v>
      </c>
    </row>
    <row r="2279" spans="1:15" ht="28.8" x14ac:dyDescent="0.3">
      <c r="A2279" s="1" t="s">
        <v>4225</v>
      </c>
      <c r="B2279" s="1" t="str">
        <f>"AMT Building and Maintenance"</f>
        <v>AMT Building and Maintenance</v>
      </c>
      <c r="C2279" s="1" t="s">
        <v>4226</v>
      </c>
      <c r="F2279" s="1" t="s">
        <v>1093</v>
      </c>
      <c r="H2279" s="1" t="s">
        <v>4227</v>
      </c>
      <c r="I2279" s="1" t="s">
        <v>125</v>
      </c>
      <c r="J2279" s="1" t="s">
        <v>6</v>
      </c>
      <c r="K2279" s="1" t="s">
        <v>34</v>
      </c>
      <c r="M2279" s="2">
        <v>43067</v>
      </c>
      <c r="N2279" s="1" t="s">
        <v>8</v>
      </c>
      <c r="O2279" s="2">
        <v>44163</v>
      </c>
    </row>
    <row r="2280" spans="1:15" ht="28.8" x14ac:dyDescent="0.3">
      <c r="A2280" s="1" t="s">
        <v>4228</v>
      </c>
      <c r="B2280" s="1" t="str">
        <f>"Jl Torres and sons"</f>
        <v>Jl Torres and sons</v>
      </c>
      <c r="C2280" s="1" t="s">
        <v>4229</v>
      </c>
      <c r="F2280" s="1" t="s">
        <v>1093</v>
      </c>
      <c r="H2280" s="1" t="s">
        <v>4230</v>
      </c>
      <c r="I2280" s="1" t="s">
        <v>125</v>
      </c>
      <c r="J2280" s="1" t="s">
        <v>6</v>
      </c>
      <c r="K2280" s="1" t="s">
        <v>34</v>
      </c>
      <c r="M2280" s="2">
        <v>43067</v>
      </c>
      <c r="N2280" s="1" t="s">
        <v>8</v>
      </c>
      <c r="O2280" s="2">
        <v>44163</v>
      </c>
    </row>
    <row r="2281" spans="1:15" ht="28.8" x14ac:dyDescent="0.3">
      <c r="A2281" s="1" t="s">
        <v>4231</v>
      </c>
      <c r="B2281" s="1" t="str">
        <f>"M2 FLOORING LTD"</f>
        <v>M2 FLOORING LTD</v>
      </c>
      <c r="C2281" s="1" t="s">
        <v>1688</v>
      </c>
      <c r="F2281" s="1" t="s">
        <v>380</v>
      </c>
      <c r="H2281" s="1" t="s">
        <v>1689</v>
      </c>
      <c r="I2281" s="1" t="s">
        <v>19</v>
      </c>
      <c r="J2281" s="1" t="s">
        <v>6</v>
      </c>
      <c r="K2281" s="1" t="s">
        <v>34</v>
      </c>
      <c r="L2281" s="1">
        <v>1407080</v>
      </c>
      <c r="M2281" s="2">
        <v>43067</v>
      </c>
      <c r="N2281" s="1" t="s">
        <v>8</v>
      </c>
      <c r="O2281" s="2">
        <v>44163</v>
      </c>
    </row>
    <row r="2282" spans="1:15" ht="43.2" x14ac:dyDescent="0.3">
      <c r="A2282" s="1" t="s">
        <v>19274</v>
      </c>
      <c r="B2282" s="1" t="str">
        <f>"tim com"</f>
        <v>tim com</v>
      </c>
      <c r="C2282" s="1" t="s">
        <v>19275</v>
      </c>
      <c r="D2282" s="1" t="s">
        <v>1571</v>
      </c>
      <c r="F2282" s="1" t="s">
        <v>156</v>
      </c>
      <c r="H2282" s="1" t="s">
        <v>19276</v>
      </c>
      <c r="I2282" s="1" t="s">
        <v>5</v>
      </c>
      <c r="J2282" s="1" t="s">
        <v>67</v>
      </c>
      <c r="K2282" s="1" t="s">
        <v>14</v>
      </c>
      <c r="M2282" s="2">
        <v>43067</v>
      </c>
      <c r="N2282" s="1" t="s">
        <v>8</v>
      </c>
      <c r="O2282" s="1" t="s">
        <v>68</v>
      </c>
    </row>
    <row r="2283" spans="1:15" ht="28.8" x14ac:dyDescent="0.3">
      <c r="A2283" s="1" t="s">
        <v>19277</v>
      </c>
      <c r="B2283" s="1" t="str">
        <f>"STAN TAYLOR STAN TAYLOR"</f>
        <v>STAN TAYLOR STAN TAYLOR</v>
      </c>
      <c r="C2283" s="1" t="s">
        <v>19278</v>
      </c>
      <c r="D2283" s="1" t="s">
        <v>19279</v>
      </c>
      <c r="F2283" s="1" t="s">
        <v>19280</v>
      </c>
      <c r="H2283" s="1" t="s">
        <v>19281</v>
      </c>
      <c r="I2283" s="1" t="s">
        <v>5</v>
      </c>
      <c r="J2283" s="1" t="s">
        <v>6</v>
      </c>
      <c r="K2283" s="1" t="s">
        <v>24</v>
      </c>
      <c r="M2283" s="2">
        <v>43067</v>
      </c>
      <c r="N2283" s="1" t="s">
        <v>8</v>
      </c>
      <c r="O2283" s="2">
        <v>44163</v>
      </c>
    </row>
    <row r="2284" spans="1:15" ht="43.2" x14ac:dyDescent="0.3">
      <c r="A2284" s="1" t="s">
        <v>19282</v>
      </c>
      <c r="B2284" s="1" t="str">
        <f>"Joseph Murphy"</f>
        <v>Joseph Murphy</v>
      </c>
      <c r="C2284" s="1" t="s">
        <v>19283</v>
      </c>
      <c r="F2284" s="1" t="s">
        <v>32</v>
      </c>
      <c r="H2284" s="1" t="s">
        <v>19284</v>
      </c>
      <c r="I2284" s="1" t="s">
        <v>5</v>
      </c>
      <c r="J2284" s="1" t="s">
        <v>67</v>
      </c>
      <c r="K2284" s="1" t="s">
        <v>14</v>
      </c>
      <c r="M2284" s="2">
        <v>43067</v>
      </c>
      <c r="N2284" s="1" t="s">
        <v>8</v>
      </c>
      <c r="O2284" s="1" t="s">
        <v>68</v>
      </c>
    </row>
    <row r="2285" spans="1:15" ht="28.8" x14ac:dyDescent="0.3">
      <c r="A2285" s="1" t="s">
        <v>4192</v>
      </c>
      <c r="B2285" s="1" t="str">
        <f>"SW Plastic Solutions LTD"</f>
        <v>SW Plastic Solutions LTD</v>
      </c>
      <c r="C2285" s="1" t="s">
        <v>4193</v>
      </c>
      <c r="D2285" s="1" t="s">
        <v>101</v>
      </c>
      <c r="F2285" s="1" t="s">
        <v>102</v>
      </c>
      <c r="H2285" s="1" t="s">
        <v>4194</v>
      </c>
      <c r="I2285" s="1" t="s">
        <v>19</v>
      </c>
      <c r="J2285" s="1" t="s">
        <v>6</v>
      </c>
      <c r="K2285" s="1" t="s">
        <v>34</v>
      </c>
      <c r="L2285" s="1">
        <v>10010391</v>
      </c>
      <c r="M2285" s="2">
        <v>43066</v>
      </c>
      <c r="N2285" s="1" t="s">
        <v>8</v>
      </c>
      <c r="O2285" s="2">
        <v>44162</v>
      </c>
    </row>
    <row r="2286" spans="1:15" ht="28.8" x14ac:dyDescent="0.3">
      <c r="A2286" s="1" t="s">
        <v>4195</v>
      </c>
      <c r="B2286" s="1" t="str">
        <f>"That Wood and Thing"</f>
        <v>That Wood and Thing</v>
      </c>
      <c r="C2286" s="1" t="s">
        <v>4196</v>
      </c>
      <c r="F2286" s="1" t="s">
        <v>179</v>
      </c>
      <c r="H2286" s="1" t="s">
        <v>4197</v>
      </c>
      <c r="I2286" s="1" t="s">
        <v>125</v>
      </c>
      <c r="J2286" s="1" t="s">
        <v>6</v>
      </c>
      <c r="K2286" s="1" t="s">
        <v>24</v>
      </c>
      <c r="M2286" s="2">
        <v>43066</v>
      </c>
      <c r="N2286" s="1" t="s">
        <v>8</v>
      </c>
      <c r="O2286" s="2">
        <v>44162</v>
      </c>
    </row>
    <row r="2287" spans="1:15" ht="28.8" x14ac:dyDescent="0.3">
      <c r="A2287" s="1" t="s">
        <v>17831</v>
      </c>
      <c r="B2287" s="1" t="str">
        <f>"BOND DEMOLITION LTD"</f>
        <v>BOND DEMOLITION LTD</v>
      </c>
      <c r="C2287" s="1" t="s">
        <v>17832</v>
      </c>
      <c r="D2287" s="1" t="s">
        <v>17833</v>
      </c>
      <c r="E2287" s="1" t="s">
        <v>1839</v>
      </c>
      <c r="F2287" s="1" t="s">
        <v>1093</v>
      </c>
      <c r="H2287" s="1" t="s">
        <v>1202</v>
      </c>
      <c r="I2287" s="1" t="s">
        <v>19</v>
      </c>
      <c r="J2287" s="1" t="s">
        <v>6</v>
      </c>
      <c r="K2287" s="1" t="s">
        <v>34</v>
      </c>
      <c r="L2287" s="1">
        <v>3810886</v>
      </c>
      <c r="M2287" s="2">
        <v>43066</v>
      </c>
      <c r="N2287" s="1" t="s">
        <v>8</v>
      </c>
      <c r="O2287" s="2">
        <v>44162</v>
      </c>
    </row>
    <row r="2288" spans="1:15" ht="43.2" x14ac:dyDescent="0.3">
      <c r="A2288" s="1" t="s">
        <v>17834</v>
      </c>
      <c r="B2288" s="1" t="str">
        <f>"Geoday electrical ltd"</f>
        <v>Geoday electrical ltd</v>
      </c>
      <c r="C2288" s="1" t="s">
        <v>17835</v>
      </c>
      <c r="D2288" s="1" t="s">
        <v>95</v>
      </c>
      <c r="F2288" s="1" t="s">
        <v>532</v>
      </c>
      <c r="H2288" s="1" t="s">
        <v>17836</v>
      </c>
      <c r="I2288" s="1" t="s">
        <v>19</v>
      </c>
      <c r="J2288" s="1" t="s">
        <v>67</v>
      </c>
      <c r="K2288" s="1" t="s">
        <v>14</v>
      </c>
      <c r="M2288" s="2">
        <v>43066</v>
      </c>
      <c r="N2288" s="1" t="s">
        <v>8</v>
      </c>
      <c r="O2288" s="1" t="s">
        <v>68</v>
      </c>
    </row>
    <row r="2289" spans="1:15" ht="28.8" x14ac:dyDescent="0.3">
      <c r="A2289" s="1" t="s">
        <v>17837</v>
      </c>
      <c r="B2289" s="1" t="str">
        <f>"Gwyn Roberts a'i Gwmni cyf"</f>
        <v>Gwyn Roberts a'i Gwmni cyf</v>
      </c>
      <c r="C2289" s="1" t="s">
        <v>17838</v>
      </c>
      <c r="F2289" s="1" t="s">
        <v>271</v>
      </c>
      <c r="H2289" s="1" t="s">
        <v>17839</v>
      </c>
      <c r="I2289" s="1" t="s">
        <v>19</v>
      </c>
      <c r="J2289" s="1" t="s">
        <v>6</v>
      </c>
      <c r="K2289" s="1" t="s">
        <v>34</v>
      </c>
      <c r="L2289" s="1">
        <v>6230418</v>
      </c>
      <c r="M2289" s="2">
        <v>43066</v>
      </c>
      <c r="N2289" s="1" t="s">
        <v>8</v>
      </c>
      <c r="O2289" s="2">
        <v>44162</v>
      </c>
    </row>
    <row r="2290" spans="1:15" ht="28.8" x14ac:dyDescent="0.3">
      <c r="A2290" s="1" t="s">
        <v>29554</v>
      </c>
      <c r="B2290" s="1" t="str">
        <f>"Ernest Burton Ernest Burton"</f>
        <v>Ernest Burton Ernest Burton</v>
      </c>
      <c r="C2290" s="1" t="s">
        <v>29555</v>
      </c>
      <c r="F2290" s="1" t="s">
        <v>56</v>
      </c>
      <c r="H2290" s="1" t="s">
        <v>29556</v>
      </c>
      <c r="I2290" s="1" t="s">
        <v>5</v>
      </c>
      <c r="J2290" s="1" t="s">
        <v>6</v>
      </c>
      <c r="K2290" s="1" t="s">
        <v>24</v>
      </c>
      <c r="M2290" s="2">
        <v>43066</v>
      </c>
      <c r="N2290" s="1" t="s">
        <v>8</v>
      </c>
      <c r="O2290" s="2">
        <v>44162</v>
      </c>
    </row>
    <row r="2291" spans="1:15" ht="28.8" x14ac:dyDescent="0.3">
      <c r="A2291" s="1" t="s">
        <v>29557</v>
      </c>
      <c r="B2291" s="1" t="str">
        <f>"simon morgan A touch of grass.wales"</f>
        <v>simon morgan A touch of grass.wales</v>
      </c>
      <c r="C2291" s="1" t="s">
        <v>29558</v>
      </c>
      <c r="F2291" s="1" t="s">
        <v>22</v>
      </c>
      <c r="H2291" s="1" t="s">
        <v>29559</v>
      </c>
      <c r="I2291" s="1" t="s">
        <v>5</v>
      </c>
      <c r="J2291" s="1" t="s">
        <v>6</v>
      </c>
      <c r="K2291" s="1" t="s">
        <v>24</v>
      </c>
      <c r="M2291" s="2">
        <v>43066</v>
      </c>
      <c r="N2291" s="1" t="s">
        <v>8</v>
      </c>
      <c r="O2291" s="2">
        <v>44171</v>
      </c>
    </row>
    <row r="2292" spans="1:15" ht="43.2" x14ac:dyDescent="0.3">
      <c r="A2292" s="1" t="s">
        <v>29546</v>
      </c>
      <c r="B2292" s="1" t="str">
        <f>"Danushka chaminda  Kuruwita arachchige don"</f>
        <v>Danushka chaminda  Kuruwita arachchige don</v>
      </c>
      <c r="C2292" s="1" t="s">
        <v>29547</v>
      </c>
      <c r="F2292" s="1" t="s">
        <v>29548</v>
      </c>
      <c r="H2292" s="1" t="s">
        <v>29549</v>
      </c>
      <c r="I2292" s="1" t="s">
        <v>5</v>
      </c>
      <c r="J2292" s="1" t="s">
        <v>67</v>
      </c>
      <c r="K2292" s="1" t="s">
        <v>14</v>
      </c>
      <c r="M2292" s="2">
        <v>43065</v>
      </c>
      <c r="N2292" s="1" t="s">
        <v>8</v>
      </c>
      <c r="O2292" s="1" t="s">
        <v>68</v>
      </c>
    </row>
    <row r="2293" spans="1:15" ht="28.8" x14ac:dyDescent="0.3">
      <c r="A2293" s="1" t="s">
        <v>29550</v>
      </c>
      <c r="B2293" s="1" t="str">
        <f>"Howard Jones Howard Jones"</f>
        <v>Howard Jones Howard Jones</v>
      </c>
      <c r="C2293" s="1" t="s">
        <v>29551</v>
      </c>
      <c r="D2293" s="1" t="s">
        <v>29552</v>
      </c>
      <c r="F2293" s="1" t="s">
        <v>782</v>
      </c>
      <c r="H2293" s="1" t="s">
        <v>29553</v>
      </c>
      <c r="I2293" s="1" t="s">
        <v>5</v>
      </c>
      <c r="J2293" s="1" t="s">
        <v>6</v>
      </c>
      <c r="K2293" s="1" t="s">
        <v>24</v>
      </c>
      <c r="M2293" s="2">
        <v>43065</v>
      </c>
      <c r="N2293" s="1" t="s">
        <v>8</v>
      </c>
      <c r="O2293" s="2">
        <v>44161</v>
      </c>
    </row>
    <row r="2294" spans="1:15" ht="28.8" x14ac:dyDescent="0.3">
      <c r="A2294" s="1" t="s">
        <v>17828</v>
      </c>
      <c r="B2294" s="1" t="str">
        <f>"Gml heating Ltd "</f>
        <v xml:space="preserve">Gml heating Ltd </v>
      </c>
      <c r="C2294" s="1" t="s">
        <v>17829</v>
      </c>
      <c r="F2294" s="1" t="s">
        <v>556</v>
      </c>
      <c r="H2294" s="1" t="s">
        <v>17830</v>
      </c>
      <c r="I2294" s="1" t="s">
        <v>19</v>
      </c>
      <c r="J2294" s="1" t="s">
        <v>6</v>
      </c>
      <c r="K2294" s="1" t="s">
        <v>34</v>
      </c>
      <c r="L2294" s="1">
        <v>11050554</v>
      </c>
      <c r="M2294" s="2">
        <v>43064</v>
      </c>
      <c r="N2294" s="1" t="s">
        <v>8</v>
      </c>
      <c r="O2294" s="2">
        <v>44160</v>
      </c>
    </row>
    <row r="2295" spans="1:15" ht="43.2" x14ac:dyDescent="0.3">
      <c r="A2295" s="1" t="s">
        <v>29540</v>
      </c>
      <c r="B2295" s="1" t="str">
        <f>"ion alexandru blaga"</f>
        <v>ion alexandru blaga</v>
      </c>
      <c r="C2295" s="1" t="s">
        <v>29541</v>
      </c>
      <c r="F2295" s="1" t="s">
        <v>170</v>
      </c>
      <c r="H2295" s="1" t="s">
        <v>29542</v>
      </c>
      <c r="I2295" s="1" t="s">
        <v>5</v>
      </c>
      <c r="J2295" s="1" t="s">
        <v>67</v>
      </c>
      <c r="K2295" s="1" t="s">
        <v>14</v>
      </c>
      <c r="M2295" s="2">
        <v>43064</v>
      </c>
      <c r="N2295" s="1" t="s">
        <v>8</v>
      </c>
      <c r="O2295" s="1" t="s">
        <v>68</v>
      </c>
    </row>
    <row r="2296" spans="1:15" ht="43.2" x14ac:dyDescent="0.3">
      <c r="A2296" s="1" t="s">
        <v>29543</v>
      </c>
      <c r="B2296" s="1" t="str">
        <f>"Lisa Marshall"</f>
        <v>Lisa Marshall</v>
      </c>
      <c r="C2296" s="1" t="s">
        <v>29544</v>
      </c>
      <c r="F2296" s="1" t="s">
        <v>556</v>
      </c>
      <c r="H2296" s="1" t="s">
        <v>29545</v>
      </c>
      <c r="I2296" s="1" t="s">
        <v>5</v>
      </c>
      <c r="J2296" s="1" t="s">
        <v>67</v>
      </c>
      <c r="K2296" s="1" t="s">
        <v>14</v>
      </c>
      <c r="M2296" s="2">
        <v>43064</v>
      </c>
      <c r="N2296" s="1" t="s">
        <v>8</v>
      </c>
      <c r="O2296" s="1" t="s">
        <v>68</v>
      </c>
    </row>
    <row r="2297" spans="1:15" ht="43.2" x14ac:dyDescent="0.3">
      <c r="A2297" s="1" t="s">
        <v>16791</v>
      </c>
      <c r="B2297" s="1" t="str">
        <f>"Csg Earthworks ltd"</f>
        <v>Csg Earthworks ltd</v>
      </c>
      <c r="C2297" s="1" t="s">
        <v>16792</v>
      </c>
      <c r="F2297" s="1" t="s">
        <v>42</v>
      </c>
      <c r="H2297" s="1" t="s">
        <v>16793</v>
      </c>
      <c r="I2297" s="1" t="s">
        <v>19</v>
      </c>
      <c r="J2297" s="1" t="s">
        <v>67</v>
      </c>
      <c r="K2297" s="1" t="s">
        <v>1859</v>
      </c>
      <c r="L2297" s="1">
        <v>10780286</v>
      </c>
      <c r="M2297" s="2">
        <v>43063</v>
      </c>
      <c r="N2297" s="1" t="s">
        <v>8</v>
      </c>
      <c r="O2297" s="1" t="s">
        <v>68</v>
      </c>
    </row>
    <row r="2298" spans="1:15" ht="43.2" x14ac:dyDescent="0.3">
      <c r="A2298" s="1" t="s">
        <v>16794</v>
      </c>
      <c r="B2298" s="1" t="str">
        <f>"Southgate (Park Garage) Limited"</f>
        <v>Southgate (Park Garage) Limited</v>
      </c>
      <c r="C2298" s="1" t="s">
        <v>16795</v>
      </c>
      <c r="F2298" s="1" t="s">
        <v>767</v>
      </c>
      <c r="H2298" s="1" t="s">
        <v>16796</v>
      </c>
      <c r="I2298" s="1" t="s">
        <v>19</v>
      </c>
      <c r="J2298" s="1" t="s">
        <v>67</v>
      </c>
      <c r="K2298" s="1" t="s">
        <v>14</v>
      </c>
      <c r="M2298" s="2">
        <v>43063</v>
      </c>
      <c r="N2298" s="1" t="s">
        <v>8</v>
      </c>
      <c r="O2298" s="1" t="s">
        <v>68</v>
      </c>
    </row>
    <row r="2299" spans="1:15" ht="28.8" x14ac:dyDescent="0.3">
      <c r="A2299" s="1" t="s">
        <v>17820</v>
      </c>
      <c r="B2299" s="1" t="str">
        <f>"Gavin Griffiths Contracting Ltd"</f>
        <v>Gavin Griffiths Contracting Ltd</v>
      </c>
      <c r="C2299" s="1" t="s">
        <v>8815</v>
      </c>
      <c r="D2299" s="1" t="s">
        <v>4747</v>
      </c>
      <c r="F2299" s="1" t="s">
        <v>64</v>
      </c>
      <c r="H2299" s="1" t="s">
        <v>8816</v>
      </c>
      <c r="I2299" s="1" t="s">
        <v>19</v>
      </c>
      <c r="J2299" s="1" t="s">
        <v>6</v>
      </c>
      <c r="K2299" s="1" t="s">
        <v>34</v>
      </c>
      <c r="L2299" s="1">
        <v>8458763</v>
      </c>
      <c r="M2299" s="2">
        <v>43063</v>
      </c>
      <c r="N2299" s="1" t="s">
        <v>8</v>
      </c>
      <c r="O2299" s="2">
        <v>44159</v>
      </c>
    </row>
    <row r="2300" spans="1:15" ht="28.8" x14ac:dyDescent="0.3">
      <c r="A2300" s="1" t="s">
        <v>17821</v>
      </c>
      <c r="B2300" s="1" t="str">
        <f>"bhm transport ltd"</f>
        <v>bhm transport ltd</v>
      </c>
      <c r="C2300" s="1" t="s">
        <v>17822</v>
      </c>
      <c r="F2300" s="1" t="s">
        <v>2722</v>
      </c>
      <c r="H2300" s="1" t="s">
        <v>17823</v>
      </c>
      <c r="I2300" s="1" t="s">
        <v>19</v>
      </c>
      <c r="J2300" s="1" t="s">
        <v>6</v>
      </c>
      <c r="K2300" s="1" t="s">
        <v>34</v>
      </c>
      <c r="L2300" s="1">
        <v>10238550</v>
      </c>
      <c r="M2300" s="2">
        <v>43063</v>
      </c>
      <c r="N2300" s="1" t="s">
        <v>8</v>
      </c>
      <c r="O2300" s="2">
        <v>44159</v>
      </c>
    </row>
    <row r="2301" spans="1:15" ht="43.2" x14ac:dyDescent="0.3">
      <c r="A2301" s="1" t="s">
        <v>17824</v>
      </c>
      <c r="B2301" s="1" t="str">
        <f>"David Saunders Storage"</f>
        <v>David Saunders Storage</v>
      </c>
      <c r="C2301" s="1" t="s">
        <v>9120</v>
      </c>
      <c r="F2301" s="1" t="s">
        <v>491</v>
      </c>
      <c r="H2301" s="1" t="s">
        <v>9121</v>
      </c>
      <c r="I2301" s="1" t="s">
        <v>125</v>
      </c>
      <c r="J2301" s="1" t="s">
        <v>67</v>
      </c>
      <c r="K2301" s="1" t="s">
        <v>14</v>
      </c>
      <c r="M2301" s="2">
        <v>43063</v>
      </c>
      <c r="N2301" s="1" t="s">
        <v>8</v>
      </c>
      <c r="O2301" s="1" t="s">
        <v>68</v>
      </c>
    </row>
    <row r="2302" spans="1:15" ht="28.8" x14ac:dyDescent="0.3">
      <c r="A2302" s="1" t="s">
        <v>17825</v>
      </c>
      <c r="B2302" s="1" t="str">
        <f>"Steve Youd Plumbing and Heating"</f>
        <v>Steve Youd Plumbing and Heating</v>
      </c>
      <c r="C2302" s="1" t="s">
        <v>17826</v>
      </c>
      <c r="F2302" s="1" t="s">
        <v>532</v>
      </c>
      <c r="H2302" s="1" t="s">
        <v>17827</v>
      </c>
      <c r="I2302" s="1" t="s">
        <v>125</v>
      </c>
      <c r="J2302" s="1" t="s">
        <v>6</v>
      </c>
      <c r="K2302" s="1" t="s">
        <v>24</v>
      </c>
      <c r="M2302" s="2">
        <v>43063</v>
      </c>
      <c r="N2302" s="1" t="s">
        <v>8</v>
      </c>
      <c r="O2302" s="2">
        <v>44159</v>
      </c>
    </row>
    <row r="2303" spans="1:15" ht="28.8" x14ac:dyDescent="0.3">
      <c r="A2303" s="1" t="s">
        <v>28791</v>
      </c>
      <c r="B2303" s="1" t="str">
        <f>"Luke Briggs Luke Briggs"</f>
        <v>Luke Briggs Luke Briggs</v>
      </c>
      <c r="C2303" s="1" t="s">
        <v>28792</v>
      </c>
      <c r="F2303" s="1" t="s">
        <v>1341</v>
      </c>
      <c r="H2303" s="1" t="s">
        <v>28793</v>
      </c>
      <c r="I2303" s="1" t="s">
        <v>5</v>
      </c>
      <c r="J2303" s="1" t="s">
        <v>6</v>
      </c>
      <c r="K2303" s="1" t="s">
        <v>34</v>
      </c>
      <c r="M2303" s="2">
        <v>43063</v>
      </c>
      <c r="N2303" s="1" t="s">
        <v>8</v>
      </c>
      <c r="O2303" s="2">
        <v>44159</v>
      </c>
    </row>
    <row r="2304" spans="1:15" ht="28.8" x14ac:dyDescent="0.3">
      <c r="A2304" s="1" t="s">
        <v>16784</v>
      </c>
      <c r="B2304" s="1" t="str">
        <f>"Wentloog Building Services Limited"</f>
        <v>Wentloog Building Services Limited</v>
      </c>
      <c r="C2304" s="1" t="s">
        <v>11098</v>
      </c>
      <c r="F2304" s="1" t="s">
        <v>123</v>
      </c>
      <c r="H2304" s="1" t="s">
        <v>9133</v>
      </c>
      <c r="I2304" s="1" t="s">
        <v>19</v>
      </c>
      <c r="J2304" s="1" t="s">
        <v>6</v>
      </c>
      <c r="K2304" s="1" t="s">
        <v>24</v>
      </c>
      <c r="L2304" s="1">
        <v>2424261</v>
      </c>
      <c r="M2304" s="2">
        <v>43062</v>
      </c>
      <c r="N2304" s="1" t="s">
        <v>8</v>
      </c>
      <c r="O2304" s="2">
        <v>44158</v>
      </c>
    </row>
    <row r="2305" spans="1:15" ht="28.8" x14ac:dyDescent="0.3">
      <c r="A2305" s="1" t="s">
        <v>16785</v>
      </c>
      <c r="B2305" s="1" t="str">
        <f>"Broadway Bathrooms Limited"</f>
        <v>Broadway Bathrooms Limited</v>
      </c>
      <c r="C2305" s="1" t="s">
        <v>16786</v>
      </c>
      <c r="F2305" s="1" t="s">
        <v>170</v>
      </c>
      <c r="H2305" s="1" t="s">
        <v>16787</v>
      </c>
      <c r="I2305" s="1" t="s">
        <v>19</v>
      </c>
      <c r="J2305" s="1" t="s">
        <v>6</v>
      </c>
      <c r="K2305" s="1" t="s">
        <v>24</v>
      </c>
      <c r="L2305" s="1">
        <v>7234800</v>
      </c>
      <c r="M2305" s="2">
        <v>43062</v>
      </c>
      <c r="N2305" s="1" t="s">
        <v>8</v>
      </c>
      <c r="O2305" s="2">
        <v>44158</v>
      </c>
    </row>
    <row r="2306" spans="1:15" ht="43.2" x14ac:dyDescent="0.3">
      <c r="A2306" s="1" t="s">
        <v>16788</v>
      </c>
      <c r="B2306" s="1" t="str">
        <f>"STEER - The Enteprise Academy "</f>
        <v xml:space="preserve">STEER - The Enteprise Academy </v>
      </c>
      <c r="C2306" s="1" t="s">
        <v>16789</v>
      </c>
      <c r="F2306" s="1" t="s">
        <v>179</v>
      </c>
      <c r="H2306" s="1" t="s">
        <v>16790</v>
      </c>
      <c r="I2306" s="1" t="s">
        <v>1872</v>
      </c>
      <c r="J2306" s="1" t="s">
        <v>67</v>
      </c>
      <c r="K2306" s="1" t="s">
        <v>14</v>
      </c>
      <c r="M2306" s="2">
        <v>43062</v>
      </c>
      <c r="N2306" s="1" t="s">
        <v>8</v>
      </c>
      <c r="O2306" s="1" t="s">
        <v>68</v>
      </c>
    </row>
    <row r="2307" spans="1:15" ht="28.8" x14ac:dyDescent="0.3">
      <c r="A2307" s="1" t="s">
        <v>28788</v>
      </c>
      <c r="B2307" s="1" t="str">
        <f>"Joseph Emmanuel Pace"</f>
        <v>Joseph Emmanuel Pace</v>
      </c>
      <c r="C2307" s="1" t="s">
        <v>28789</v>
      </c>
      <c r="D2307" s="1" t="s">
        <v>2801</v>
      </c>
      <c r="F2307" s="1" t="s">
        <v>665</v>
      </c>
      <c r="H2307" s="1" t="s">
        <v>28790</v>
      </c>
      <c r="I2307" s="1" t="s">
        <v>5</v>
      </c>
      <c r="J2307" s="1" t="s">
        <v>6</v>
      </c>
      <c r="K2307" s="1" t="s">
        <v>24</v>
      </c>
      <c r="M2307" s="2">
        <v>43062</v>
      </c>
      <c r="N2307" s="1" t="s">
        <v>8</v>
      </c>
      <c r="O2307" s="2">
        <v>44158</v>
      </c>
    </row>
    <row r="2308" spans="1:15" ht="43.2" x14ac:dyDescent="0.3">
      <c r="A2308" s="1" t="s">
        <v>15813</v>
      </c>
      <c r="B2308" s="1" t="str">
        <f>"Highland Moors"</f>
        <v>Highland Moors</v>
      </c>
      <c r="C2308" s="1" t="s">
        <v>15814</v>
      </c>
      <c r="F2308" s="1" t="s">
        <v>798</v>
      </c>
      <c r="H2308" s="1" t="s">
        <v>15815</v>
      </c>
      <c r="I2308" s="1" t="s">
        <v>125</v>
      </c>
      <c r="J2308" s="1" t="s">
        <v>67</v>
      </c>
      <c r="K2308" s="1" t="s">
        <v>14</v>
      </c>
      <c r="M2308" s="2">
        <v>43061</v>
      </c>
      <c r="N2308" s="1" t="s">
        <v>8</v>
      </c>
      <c r="O2308" s="1" t="s">
        <v>68</v>
      </c>
    </row>
    <row r="2309" spans="1:15" ht="28.8" x14ac:dyDescent="0.3">
      <c r="A2309" s="1" t="s">
        <v>15816</v>
      </c>
      <c r="B2309" s="1" t="str">
        <f>"Oldfield Logistics Ltd"</f>
        <v>Oldfield Logistics Ltd</v>
      </c>
      <c r="C2309" s="1" t="s">
        <v>15817</v>
      </c>
      <c r="F2309" s="1" t="s">
        <v>710</v>
      </c>
      <c r="H2309" s="1" t="s">
        <v>15818</v>
      </c>
      <c r="I2309" s="1" t="s">
        <v>19</v>
      </c>
      <c r="J2309" s="1" t="s">
        <v>6</v>
      </c>
      <c r="K2309" s="1" t="s">
        <v>34</v>
      </c>
      <c r="L2309" s="1">
        <v>11073646</v>
      </c>
      <c r="M2309" s="2">
        <v>43061</v>
      </c>
      <c r="N2309" s="1" t="s">
        <v>8</v>
      </c>
      <c r="O2309" s="2">
        <v>44157</v>
      </c>
    </row>
    <row r="2310" spans="1:15" ht="28.8" x14ac:dyDescent="0.3">
      <c r="A2310" s="1" t="s">
        <v>15819</v>
      </c>
      <c r="B2310" s="1" t="str">
        <f>"ELITE CONSTRUCTION SOLUTIONS LTD"</f>
        <v>ELITE CONSTRUCTION SOLUTIONS LTD</v>
      </c>
      <c r="C2310" s="1" t="s">
        <v>15820</v>
      </c>
      <c r="F2310" s="1" t="s">
        <v>767</v>
      </c>
      <c r="H2310" s="1" t="s">
        <v>15821</v>
      </c>
      <c r="I2310" s="1" t="s">
        <v>19</v>
      </c>
      <c r="J2310" s="1" t="s">
        <v>6</v>
      </c>
      <c r="K2310" s="1" t="s">
        <v>34</v>
      </c>
      <c r="L2310" s="1">
        <v>10117933</v>
      </c>
      <c r="M2310" s="2">
        <v>43061</v>
      </c>
      <c r="N2310" s="1" t="s">
        <v>8</v>
      </c>
      <c r="O2310" s="2">
        <v>44157</v>
      </c>
    </row>
    <row r="2311" spans="1:15" x14ac:dyDescent="0.3">
      <c r="A2311" s="1" t="s">
        <v>16769</v>
      </c>
      <c r="B2311" s="1" t="str">
        <f>"CJ Mobile Tyres"</f>
        <v>CJ Mobile Tyres</v>
      </c>
      <c r="C2311" s="1" t="s">
        <v>16770</v>
      </c>
      <c r="F2311" s="1" t="s">
        <v>123</v>
      </c>
      <c r="H2311" s="1" t="s">
        <v>16771</v>
      </c>
      <c r="I2311" s="1" t="s">
        <v>125</v>
      </c>
      <c r="J2311" s="1" t="s">
        <v>6</v>
      </c>
      <c r="K2311" s="1" t="s">
        <v>24</v>
      </c>
      <c r="M2311" s="2">
        <v>43061</v>
      </c>
      <c r="N2311" s="1" t="s">
        <v>8</v>
      </c>
      <c r="O2311" s="2">
        <v>44157</v>
      </c>
    </row>
    <row r="2312" spans="1:15" ht="43.2" x14ac:dyDescent="0.3">
      <c r="A2312" s="1" t="s">
        <v>16772</v>
      </c>
      <c r="B2312" s="1" t="str">
        <f>"peter lee carpets ltd"</f>
        <v>peter lee carpets ltd</v>
      </c>
      <c r="C2312" s="1" t="s">
        <v>16773</v>
      </c>
      <c r="F2312" s="1" t="s">
        <v>678</v>
      </c>
      <c r="H2312" s="1" t="s">
        <v>16774</v>
      </c>
      <c r="I2312" s="1" t="s">
        <v>19</v>
      </c>
      <c r="J2312" s="1" t="s">
        <v>67</v>
      </c>
      <c r="K2312" s="1" t="s">
        <v>14</v>
      </c>
      <c r="M2312" s="2">
        <v>43061</v>
      </c>
      <c r="N2312" s="1" t="s">
        <v>8</v>
      </c>
      <c r="O2312" s="1" t="s">
        <v>68</v>
      </c>
    </row>
    <row r="2313" spans="1:15" ht="28.8" x14ac:dyDescent="0.3">
      <c r="A2313" s="1" t="s">
        <v>16775</v>
      </c>
      <c r="B2313" s="1" t="str">
        <f>"BEACON ESTATES (CHEPSTOW) LTD"</f>
        <v>BEACON ESTATES (CHEPSTOW) LTD</v>
      </c>
      <c r="C2313" s="1" t="s">
        <v>16776</v>
      </c>
      <c r="D2313" s="1" t="s">
        <v>400</v>
      </c>
      <c r="F2313" s="1" t="s">
        <v>401</v>
      </c>
      <c r="H2313" s="1" t="s">
        <v>16777</v>
      </c>
      <c r="I2313" s="1" t="s">
        <v>19</v>
      </c>
      <c r="J2313" s="1" t="s">
        <v>6</v>
      </c>
      <c r="K2313" s="1" t="s">
        <v>24</v>
      </c>
      <c r="L2313" s="1">
        <v>2780385</v>
      </c>
      <c r="M2313" s="2">
        <v>43061</v>
      </c>
      <c r="N2313" s="1" t="s">
        <v>8</v>
      </c>
      <c r="O2313" s="2">
        <v>44157</v>
      </c>
    </row>
    <row r="2314" spans="1:15" ht="28.8" x14ac:dyDescent="0.3">
      <c r="A2314" s="1" t="s">
        <v>16778</v>
      </c>
      <c r="B2314" s="1" t="str">
        <f>"MILLENIUM BUILDING &amp; PLASTERING LTD"</f>
        <v>MILLENIUM BUILDING &amp; PLASTERING LTD</v>
      </c>
      <c r="C2314" s="1" t="s">
        <v>16779</v>
      </c>
      <c r="F2314" s="1" t="s">
        <v>64</v>
      </c>
      <c r="H2314" s="1" t="s">
        <v>16780</v>
      </c>
      <c r="I2314" s="1" t="s">
        <v>19</v>
      </c>
      <c r="J2314" s="1" t="s">
        <v>6</v>
      </c>
      <c r="K2314" s="1" t="s">
        <v>34</v>
      </c>
      <c r="L2314" s="1">
        <v>4515441</v>
      </c>
      <c r="M2314" s="2">
        <v>43061</v>
      </c>
      <c r="N2314" s="1" t="s">
        <v>8</v>
      </c>
      <c r="O2314" s="2">
        <v>44157</v>
      </c>
    </row>
    <row r="2315" spans="1:15" ht="43.2" x14ac:dyDescent="0.3">
      <c r="A2315" s="1" t="s">
        <v>16781</v>
      </c>
      <c r="B2315" s="1" t="str">
        <f>"Taylor Landscapes &amp; Grounds Ltd"</f>
        <v>Taylor Landscapes &amp; Grounds Ltd</v>
      </c>
      <c r="C2315" s="1" t="s">
        <v>16782</v>
      </c>
      <c r="F2315" s="1" t="s">
        <v>42</v>
      </c>
      <c r="H2315" s="1" t="s">
        <v>16783</v>
      </c>
      <c r="I2315" s="1" t="s">
        <v>19</v>
      </c>
      <c r="J2315" s="1" t="s">
        <v>67</v>
      </c>
      <c r="K2315" s="1" t="s">
        <v>14</v>
      </c>
      <c r="M2315" s="2">
        <v>43061</v>
      </c>
      <c r="N2315" s="1" t="s">
        <v>8</v>
      </c>
      <c r="O2315" s="1" t="s">
        <v>68</v>
      </c>
    </row>
    <row r="2316" spans="1:15" ht="43.2" x14ac:dyDescent="0.3">
      <c r="A2316" s="1" t="s">
        <v>28007</v>
      </c>
      <c r="B2316" s="1" t="str">
        <f>"Idwal Phillips"</f>
        <v>Idwal Phillips</v>
      </c>
      <c r="C2316" s="1" t="s">
        <v>28008</v>
      </c>
      <c r="D2316" s="1" t="s">
        <v>28009</v>
      </c>
      <c r="E2316" s="1" t="s">
        <v>2395</v>
      </c>
      <c r="F2316" s="1" t="s">
        <v>1776</v>
      </c>
      <c r="H2316" s="1" t="s">
        <v>28010</v>
      </c>
      <c r="I2316" s="1" t="s">
        <v>5</v>
      </c>
      <c r="J2316" s="1" t="s">
        <v>67</v>
      </c>
      <c r="K2316" s="1" t="s">
        <v>14</v>
      </c>
      <c r="M2316" s="2">
        <v>43061</v>
      </c>
      <c r="N2316" s="1" t="s">
        <v>8</v>
      </c>
      <c r="O2316" s="1" t="s">
        <v>68</v>
      </c>
    </row>
    <row r="2317" spans="1:15" ht="43.2" x14ac:dyDescent="0.3">
      <c r="A2317" s="1" t="s">
        <v>28011</v>
      </c>
      <c r="B2317" s="1" t="str">
        <f>"Darren Hughes"</f>
        <v>Darren Hughes</v>
      </c>
      <c r="C2317" s="1" t="s">
        <v>28012</v>
      </c>
      <c r="F2317" s="1" t="s">
        <v>64</v>
      </c>
      <c r="H2317" s="1" t="s">
        <v>4741</v>
      </c>
      <c r="I2317" s="1" t="s">
        <v>5</v>
      </c>
      <c r="J2317" s="1" t="s">
        <v>67</v>
      </c>
      <c r="K2317" s="1" t="s">
        <v>14</v>
      </c>
      <c r="M2317" s="2">
        <v>43061</v>
      </c>
      <c r="N2317" s="1" t="s">
        <v>8</v>
      </c>
      <c r="O2317" s="1" t="s">
        <v>68</v>
      </c>
    </row>
    <row r="2318" spans="1:15" ht="43.2" x14ac:dyDescent="0.3">
      <c r="A2318" s="1" t="s">
        <v>28785</v>
      </c>
      <c r="B2318" s="1" t="str">
        <f>"james llewellyn J L ELECTRICAL &amp; PLUMBING"</f>
        <v>james llewellyn J L ELECTRICAL &amp; PLUMBING</v>
      </c>
      <c r="C2318" s="1" t="s">
        <v>28786</v>
      </c>
      <c r="F2318" s="1" t="s">
        <v>179</v>
      </c>
      <c r="H2318" s="1" t="s">
        <v>28787</v>
      </c>
      <c r="I2318" s="1" t="s">
        <v>5</v>
      </c>
      <c r="J2318" s="1" t="s">
        <v>6</v>
      </c>
      <c r="K2318" s="1" t="s">
        <v>24</v>
      </c>
      <c r="M2318" s="2">
        <v>43061</v>
      </c>
      <c r="N2318" s="1" t="s">
        <v>8</v>
      </c>
      <c r="O2318" s="2">
        <v>44157</v>
      </c>
    </row>
    <row r="2319" spans="1:15" ht="43.2" x14ac:dyDescent="0.3">
      <c r="A2319" s="1" t="s">
        <v>15798</v>
      </c>
      <c r="B2319" s="1" t="str">
        <f>"Recovered Paper Management "</f>
        <v xml:space="preserve">Recovered Paper Management </v>
      </c>
      <c r="C2319" s="1" t="s">
        <v>15799</v>
      </c>
      <c r="D2319" s="1" t="s">
        <v>15800</v>
      </c>
      <c r="F2319" s="1" t="s">
        <v>15801</v>
      </c>
      <c r="H2319" s="1" t="s">
        <v>15802</v>
      </c>
      <c r="I2319" s="1" t="s">
        <v>19</v>
      </c>
      <c r="J2319" s="1" t="s">
        <v>67</v>
      </c>
      <c r="K2319" s="1" t="s">
        <v>14</v>
      </c>
      <c r="M2319" s="2">
        <v>43060</v>
      </c>
      <c r="N2319" s="1" t="s">
        <v>8</v>
      </c>
      <c r="O2319" s="1" t="s">
        <v>68</v>
      </c>
    </row>
    <row r="2320" spans="1:15" ht="43.2" x14ac:dyDescent="0.3">
      <c r="A2320" s="1" t="s">
        <v>15803</v>
      </c>
      <c r="B2320" s="1" t="str">
        <f>"SP &amp; EA Roderick"</f>
        <v>SP &amp; EA Roderick</v>
      </c>
      <c r="C2320" s="1" t="s">
        <v>15804</v>
      </c>
      <c r="F2320" s="1" t="s">
        <v>1206</v>
      </c>
      <c r="H2320" s="1" t="s">
        <v>15805</v>
      </c>
      <c r="I2320" s="1" t="s">
        <v>125</v>
      </c>
      <c r="J2320" s="1" t="s">
        <v>67</v>
      </c>
      <c r="K2320" s="1" t="s">
        <v>14</v>
      </c>
      <c r="M2320" s="2">
        <v>43060</v>
      </c>
      <c r="N2320" s="1" t="s">
        <v>8</v>
      </c>
      <c r="O2320" s="1" t="s">
        <v>68</v>
      </c>
    </row>
    <row r="2321" spans="1:15" ht="28.8" x14ac:dyDescent="0.3">
      <c r="A2321" s="1" t="s">
        <v>15806</v>
      </c>
      <c r="B2321" s="1" t="str">
        <f>"Veolia ES Field Services Limited"</f>
        <v>Veolia ES Field Services Limited</v>
      </c>
      <c r="C2321" s="1" t="s">
        <v>15807</v>
      </c>
      <c r="D2321" s="1" t="s">
        <v>4013</v>
      </c>
      <c r="E2321" s="1" t="s">
        <v>916</v>
      </c>
      <c r="F2321" s="1" t="s">
        <v>123</v>
      </c>
      <c r="H2321" s="1" t="s">
        <v>15808</v>
      </c>
      <c r="I2321" s="1" t="s">
        <v>19</v>
      </c>
      <c r="J2321" s="1" t="s">
        <v>6</v>
      </c>
      <c r="K2321" s="1" t="s">
        <v>34</v>
      </c>
      <c r="L2321" s="1">
        <v>7816723</v>
      </c>
      <c r="M2321" s="2">
        <v>43060</v>
      </c>
      <c r="N2321" s="1" t="s">
        <v>8</v>
      </c>
      <c r="O2321" s="2">
        <v>44158</v>
      </c>
    </row>
    <row r="2322" spans="1:15" ht="43.2" x14ac:dyDescent="0.3">
      <c r="A2322" s="1" t="s">
        <v>15809</v>
      </c>
      <c r="B2322" s="1" t="str">
        <f>"Sheridan &amp; Jones Tree Services"</f>
        <v>Sheridan &amp; Jones Tree Services</v>
      </c>
      <c r="C2322" s="1" t="s">
        <v>15810</v>
      </c>
      <c r="D2322" s="1" t="s">
        <v>15811</v>
      </c>
      <c r="F2322" s="1" t="s">
        <v>359</v>
      </c>
      <c r="H2322" s="1" t="s">
        <v>15812</v>
      </c>
      <c r="I2322" s="1" t="s">
        <v>125</v>
      </c>
      <c r="J2322" s="1" t="s">
        <v>67</v>
      </c>
      <c r="K2322" s="1" t="s">
        <v>14</v>
      </c>
      <c r="M2322" s="2">
        <v>43060</v>
      </c>
      <c r="N2322" s="1" t="s">
        <v>8</v>
      </c>
      <c r="O2322" s="1" t="s">
        <v>68</v>
      </c>
    </row>
    <row r="2323" spans="1:15" ht="43.2" x14ac:dyDescent="0.3">
      <c r="A2323" s="1" t="s">
        <v>28000</v>
      </c>
      <c r="B2323" s="1" t="str">
        <f>"Steven  Roberts SJ Roberts Property Services"</f>
        <v>Steven  Roberts SJ Roberts Property Services</v>
      </c>
      <c r="C2323" s="1" t="s">
        <v>28001</v>
      </c>
      <c r="F2323" s="1" t="s">
        <v>1316</v>
      </c>
      <c r="H2323" s="1" t="s">
        <v>28002</v>
      </c>
      <c r="I2323" s="1" t="s">
        <v>5</v>
      </c>
      <c r="J2323" s="1" t="s">
        <v>6</v>
      </c>
      <c r="K2323" s="1" t="s">
        <v>34</v>
      </c>
      <c r="M2323" s="2">
        <v>43060</v>
      </c>
      <c r="N2323" s="1" t="s">
        <v>8</v>
      </c>
      <c r="O2323" s="2">
        <v>44156</v>
      </c>
    </row>
    <row r="2324" spans="1:15" ht="28.8" x14ac:dyDescent="0.3">
      <c r="A2324" s="1" t="s">
        <v>28003</v>
      </c>
      <c r="B2324" s="1" t="str">
        <f>"kerry williams kw and lp consulting services"</f>
        <v>kerry williams kw and lp consulting services</v>
      </c>
      <c r="C2324" s="1" t="s">
        <v>28004</v>
      </c>
      <c r="D2324" s="1" t="s">
        <v>28005</v>
      </c>
      <c r="F2324" s="1" t="s">
        <v>5110</v>
      </c>
      <c r="H2324" s="1" t="s">
        <v>28006</v>
      </c>
      <c r="I2324" s="1" t="s">
        <v>5</v>
      </c>
      <c r="J2324" s="1" t="s">
        <v>6</v>
      </c>
      <c r="K2324" s="1" t="s">
        <v>1859</v>
      </c>
      <c r="M2324" s="2">
        <v>43060</v>
      </c>
      <c r="N2324" s="1" t="s">
        <v>8</v>
      </c>
      <c r="O2324" s="2">
        <v>44156</v>
      </c>
    </row>
    <row r="2325" spans="1:15" ht="43.2" x14ac:dyDescent="0.3">
      <c r="A2325" s="1" t="s">
        <v>14851</v>
      </c>
      <c r="B2325" s="1" t="str">
        <f>"UNDERGROUND VISION (UK) LIMITED"</f>
        <v>UNDERGROUND VISION (UK) LIMITED</v>
      </c>
      <c r="C2325" s="1" t="s">
        <v>14852</v>
      </c>
      <c r="F2325" s="1" t="s">
        <v>323</v>
      </c>
      <c r="H2325" s="1" t="s">
        <v>14853</v>
      </c>
      <c r="I2325" s="1" t="s">
        <v>188</v>
      </c>
      <c r="J2325" s="1" t="s">
        <v>67</v>
      </c>
      <c r="K2325" s="1" t="s">
        <v>24</v>
      </c>
      <c r="L2325" s="1">
        <v>6291834</v>
      </c>
      <c r="M2325" s="2">
        <v>43059</v>
      </c>
      <c r="N2325" s="1" t="s">
        <v>8</v>
      </c>
      <c r="O2325" s="1" t="s">
        <v>68</v>
      </c>
    </row>
    <row r="2326" spans="1:15" ht="28.8" x14ac:dyDescent="0.3">
      <c r="A2326" s="1" t="s">
        <v>14854</v>
      </c>
      <c r="B2326" s="1" t="str">
        <f>"Buildright Building Services Ltd"</f>
        <v>Buildright Building Services Ltd</v>
      </c>
      <c r="C2326" s="1" t="s">
        <v>14855</v>
      </c>
      <c r="F2326" s="1" t="s">
        <v>1021</v>
      </c>
      <c r="H2326" s="1" t="s">
        <v>1022</v>
      </c>
      <c r="I2326" s="1" t="s">
        <v>19</v>
      </c>
      <c r="J2326" s="1" t="s">
        <v>6</v>
      </c>
      <c r="K2326" s="1" t="s">
        <v>34</v>
      </c>
      <c r="L2326" s="1">
        <v>7767014</v>
      </c>
      <c r="M2326" s="2">
        <v>43059</v>
      </c>
      <c r="N2326" s="1" t="s">
        <v>8</v>
      </c>
      <c r="O2326" s="2">
        <v>44155</v>
      </c>
    </row>
    <row r="2327" spans="1:15" ht="43.2" x14ac:dyDescent="0.3">
      <c r="A2327" s="1" t="s">
        <v>14856</v>
      </c>
      <c r="B2327" s="1" t="str">
        <f>"WENTWOOD CONSTRUCTION LIMITED"</f>
        <v>WENTWOOD CONSTRUCTION LIMITED</v>
      </c>
      <c r="C2327" s="1" t="s">
        <v>14857</v>
      </c>
      <c r="F2327" s="1" t="s">
        <v>156</v>
      </c>
      <c r="H2327" s="1" t="s">
        <v>14858</v>
      </c>
      <c r="I2327" s="1" t="s">
        <v>19</v>
      </c>
      <c r="J2327" s="1" t="s">
        <v>6</v>
      </c>
      <c r="K2327" s="1" t="s">
        <v>1859</v>
      </c>
      <c r="L2327" s="1">
        <v>4218355</v>
      </c>
      <c r="M2327" s="2">
        <v>43059</v>
      </c>
      <c r="N2327" s="1" t="s">
        <v>8</v>
      </c>
      <c r="O2327" s="2">
        <v>44155</v>
      </c>
    </row>
    <row r="2328" spans="1:15" ht="43.2" x14ac:dyDescent="0.3">
      <c r="A2328" s="1" t="s">
        <v>14859</v>
      </c>
      <c r="B2328" s="1" t="str">
        <f>"Richard Edwards Gas Services Ltd"</f>
        <v>Richard Edwards Gas Services Ltd</v>
      </c>
      <c r="C2328" s="1" t="s">
        <v>14860</v>
      </c>
      <c r="D2328" s="1" t="s">
        <v>14861</v>
      </c>
      <c r="E2328" s="1" t="s">
        <v>14862</v>
      </c>
      <c r="F2328" s="1" t="s">
        <v>532</v>
      </c>
      <c r="H2328" s="1" t="s">
        <v>14863</v>
      </c>
      <c r="I2328" s="1" t="s">
        <v>19</v>
      </c>
      <c r="J2328" s="1" t="s">
        <v>67</v>
      </c>
      <c r="K2328" s="1" t="s">
        <v>14</v>
      </c>
      <c r="M2328" s="2">
        <v>43059</v>
      </c>
      <c r="N2328" s="1" t="s">
        <v>8</v>
      </c>
      <c r="O2328" s="1" t="s">
        <v>68</v>
      </c>
    </row>
    <row r="2329" spans="1:15" ht="43.2" x14ac:dyDescent="0.3">
      <c r="A2329" s="1" t="s">
        <v>14864</v>
      </c>
      <c r="B2329" s="1" t="str">
        <f>"M and S Exterior Cleaning ltd"</f>
        <v>M and S Exterior Cleaning ltd</v>
      </c>
      <c r="C2329" s="1" t="s">
        <v>14865</v>
      </c>
      <c r="F2329" s="1" t="s">
        <v>42</v>
      </c>
      <c r="H2329" s="1" t="s">
        <v>14866</v>
      </c>
      <c r="I2329" s="1" t="s">
        <v>19</v>
      </c>
      <c r="J2329" s="1" t="s">
        <v>67</v>
      </c>
      <c r="K2329" s="1" t="s">
        <v>14</v>
      </c>
      <c r="M2329" s="2">
        <v>43059</v>
      </c>
      <c r="N2329" s="1" t="s">
        <v>8</v>
      </c>
      <c r="O2329" s="1" t="s">
        <v>68</v>
      </c>
    </row>
    <row r="2330" spans="1:15" ht="43.2" x14ac:dyDescent="0.3">
      <c r="A2330" s="1" t="s">
        <v>15790</v>
      </c>
      <c r="B2330" s="1" t="str">
        <f>"Safe and Sound Outdoors (2007) Ltd"</f>
        <v>Safe and Sound Outdoors (2007) Ltd</v>
      </c>
      <c r="C2330" s="1" t="s">
        <v>15791</v>
      </c>
      <c r="F2330" s="1" t="s">
        <v>1888</v>
      </c>
      <c r="H2330" s="1" t="s">
        <v>15792</v>
      </c>
      <c r="I2330" s="1" t="s">
        <v>19</v>
      </c>
      <c r="J2330" s="1" t="s">
        <v>67</v>
      </c>
      <c r="K2330" s="1" t="s">
        <v>24</v>
      </c>
      <c r="L2330" s="1">
        <v>7638377</v>
      </c>
      <c r="M2330" s="2">
        <v>43059</v>
      </c>
      <c r="N2330" s="1" t="s">
        <v>8</v>
      </c>
      <c r="O2330" s="1" t="s">
        <v>68</v>
      </c>
    </row>
    <row r="2331" spans="1:15" ht="43.2" x14ac:dyDescent="0.3">
      <c r="A2331" s="1" t="s">
        <v>15793</v>
      </c>
      <c r="B2331" s="1" t="str">
        <f>"Cornelly &amp; District Development Tru"</f>
        <v>Cornelly &amp; District Development Tru</v>
      </c>
      <c r="C2331" s="1" t="s">
        <v>15794</v>
      </c>
      <c r="F2331" s="1" t="s">
        <v>179</v>
      </c>
      <c r="H2331" s="1" t="s">
        <v>15795</v>
      </c>
      <c r="I2331" s="1" t="s">
        <v>1872</v>
      </c>
      <c r="J2331" s="1" t="s">
        <v>67</v>
      </c>
      <c r="K2331" s="1" t="s">
        <v>14</v>
      </c>
      <c r="M2331" s="2">
        <v>43059</v>
      </c>
      <c r="N2331" s="1" t="s">
        <v>8</v>
      </c>
      <c r="O2331" s="1" t="s">
        <v>68</v>
      </c>
    </row>
    <row r="2332" spans="1:15" ht="28.8" x14ac:dyDescent="0.3">
      <c r="A2332" s="1" t="s">
        <v>15796</v>
      </c>
      <c r="B2332" s="1" t="str">
        <f>"RW Peacock &amp; Sons"</f>
        <v>RW Peacock &amp; Sons</v>
      </c>
      <c r="C2332" s="1" t="s">
        <v>15797</v>
      </c>
      <c r="F2332" s="1" t="s">
        <v>2281</v>
      </c>
      <c r="H2332" s="1" t="s">
        <v>13434</v>
      </c>
      <c r="I2332" s="1" t="s">
        <v>125</v>
      </c>
      <c r="J2332" s="1" t="s">
        <v>6</v>
      </c>
      <c r="K2332" s="1" t="s">
        <v>24</v>
      </c>
      <c r="M2332" s="2">
        <v>43059</v>
      </c>
      <c r="N2332" s="1" t="s">
        <v>8</v>
      </c>
      <c r="O2332" s="2">
        <v>44155</v>
      </c>
    </row>
    <row r="2333" spans="1:15" ht="28.8" x14ac:dyDescent="0.3">
      <c r="A2333" s="1" t="s">
        <v>27994</v>
      </c>
      <c r="B2333" s="1" t="str">
        <f>"PHILLIP THOMAS Phillip Thomas"</f>
        <v>PHILLIP THOMAS Phillip Thomas</v>
      </c>
      <c r="C2333" s="1" t="s">
        <v>27995</v>
      </c>
      <c r="F2333" s="1" t="s">
        <v>42</v>
      </c>
      <c r="H2333" s="1" t="s">
        <v>27996</v>
      </c>
      <c r="I2333" s="1" t="s">
        <v>5</v>
      </c>
      <c r="J2333" s="1" t="s">
        <v>6</v>
      </c>
      <c r="K2333" s="1" t="s">
        <v>24</v>
      </c>
      <c r="M2333" s="2">
        <v>43059</v>
      </c>
      <c r="N2333" s="1" t="s">
        <v>8</v>
      </c>
      <c r="O2333" s="2">
        <v>44155</v>
      </c>
    </row>
    <row r="2334" spans="1:15" ht="28.8" x14ac:dyDescent="0.3">
      <c r="A2334" s="1" t="s">
        <v>27997</v>
      </c>
      <c r="B2334" s="1" t="str">
        <f>"Thomas Evans T Barry Evans Property Services"</f>
        <v>Thomas Evans T Barry Evans Property Services</v>
      </c>
      <c r="C2334" s="1" t="s">
        <v>27998</v>
      </c>
      <c r="F2334" s="1" t="s">
        <v>790</v>
      </c>
      <c r="H2334" s="1" t="s">
        <v>27999</v>
      </c>
      <c r="I2334" s="1" t="s">
        <v>5</v>
      </c>
      <c r="J2334" s="1" t="s">
        <v>6</v>
      </c>
      <c r="K2334" s="1" t="s">
        <v>24</v>
      </c>
      <c r="M2334" s="2">
        <v>43059</v>
      </c>
      <c r="N2334" s="1" t="s">
        <v>8</v>
      </c>
      <c r="O2334" s="2">
        <v>44155</v>
      </c>
    </row>
    <row r="2335" spans="1:15" ht="43.2" x14ac:dyDescent="0.3">
      <c r="A2335" s="1" t="s">
        <v>14847</v>
      </c>
      <c r="B2335" s="1" t="str">
        <f>"WAUDBY HAULAGE LIMITED"</f>
        <v>WAUDBY HAULAGE LIMITED</v>
      </c>
      <c r="C2335" s="1" t="s">
        <v>14848</v>
      </c>
      <c r="D2335" s="1" t="s">
        <v>14849</v>
      </c>
      <c r="F2335" s="1" t="s">
        <v>720</v>
      </c>
      <c r="H2335" s="1" t="s">
        <v>14850</v>
      </c>
      <c r="I2335" s="1" t="s">
        <v>19</v>
      </c>
      <c r="J2335" s="1" t="s">
        <v>67</v>
      </c>
      <c r="K2335" s="1" t="s">
        <v>24</v>
      </c>
      <c r="L2335" s="1">
        <v>4291728</v>
      </c>
      <c r="M2335" s="2">
        <v>43058</v>
      </c>
      <c r="N2335" s="1" t="s">
        <v>8</v>
      </c>
      <c r="O2335" s="1" t="s">
        <v>68</v>
      </c>
    </row>
    <row r="2336" spans="1:15" ht="28.8" x14ac:dyDescent="0.3">
      <c r="A2336" s="1" t="s">
        <v>27172</v>
      </c>
      <c r="B2336" s="1" t="str">
        <f>"Simon Pinch  S P REPAIRS"</f>
        <v>Simon Pinch  S P REPAIRS</v>
      </c>
      <c r="C2336" s="1" t="s">
        <v>27173</v>
      </c>
      <c r="F2336" s="1" t="s">
        <v>1351</v>
      </c>
      <c r="H2336" s="1" t="s">
        <v>27174</v>
      </c>
      <c r="I2336" s="1" t="s">
        <v>5</v>
      </c>
      <c r="J2336" s="1" t="s">
        <v>6</v>
      </c>
      <c r="K2336" s="1" t="s">
        <v>24</v>
      </c>
      <c r="M2336" s="2">
        <v>43058</v>
      </c>
      <c r="N2336" s="1" t="s">
        <v>8</v>
      </c>
      <c r="O2336" s="2">
        <v>44154</v>
      </c>
    </row>
    <row r="2337" spans="1:15" ht="43.2" x14ac:dyDescent="0.3">
      <c r="A2337" s="1" t="s">
        <v>27162</v>
      </c>
      <c r="B2337" s="1" t="str">
        <f>"Carwyn Templeton"</f>
        <v>Carwyn Templeton</v>
      </c>
      <c r="C2337" s="1" t="s">
        <v>27163</v>
      </c>
      <c r="F2337" s="1" t="s">
        <v>665</v>
      </c>
      <c r="H2337" s="1" t="s">
        <v>27164</v>
      </c>
      <c r="I2337" s="1" t="s">
        <v>5</v>
      </c>
      <c r="J2337" s="1" t="s">
        <v>67</v>
      </c>
      <c r="K2337" s="1" t="s">
        <v>14</v>
      </c>
      <c r="M2337" s="2">
        <v>43057</v>
      </c>
      <c r="N2337" s="1" t="s">
        <v>8</v>
      </c>
      <c r="O2337" s="1" t="s">
        <v>68</v>
      </c>
    </row>
    <row r="2338" spans="1:15" ht="43.2" x14ac:dyDescent="0.3">
      <c r="A2338" s="1" t="s">
        <v>27165</v>
      </c>
      <c r="B2338" s="1" t="str">
        <f>"Julian Bartlett"</f>
        <v>Julian Bartlett</v>
      </c>
      <c r="C2338" s="1" t="s">
        <v>27166</v>
      </c>
      <c r="F2338" s="1" t="s">
        <v>27167</v>
      </c>
      <c r="H2338" s="1" t="s">
        <v>27168</v>
      </c>
      <c r="I2338" s="1" t="s">
        <v>5</v>
      </c>
      <c r="J2338" s="1" t="s">
        <v>67</v>
      </c>
      <c r="K2338" s="1" t="s">
        <v>14</v>
      </c>
      <c r="M2338" s="2">
        <v>43057</v>
      </c>
      <c r="N2338" s="1" t="s">
        <v>8</v>
      </c>
      <c r="O2338" s="1" t="s">
        <v>68</v>
      </c>
    </row>
    <row r="2339" spans="1:15" ht="28.8" x14ac:dyDescent="0.3">
      <c r="A2339" s="1" t="s">
        <v>27169</v>
      </c>
      <c r="B2339" s="1" t="str">
        <f>"Darren Robinson Porthdy Skip Hire"</f>
        <v>Darren Robinson Porthdy Skip Hire</v>
      </c>
      <c r="C2339" s="1" t="s">
        <v>27170</v>
      </c>
      <c r="F2339" s="1" t="s">
        <v>665</v>
      </c>
      <c r="H2339" s="1" t="s">
        <v>27171</v>
      </c>
      <c r="I2339" s="1" t="s">
        <v>5</v>
      </c>
      <c r="J2339" s="1" t="s">
        <v>6</v>
      </c>
      <c r="K2339" s="1" t="s">
        <v>24</v>
      </c>
      <c r="M2339" s="2">
        <v>43057</v>
      </c>
      <c r="N2339" s="1" t="s">
        <v>8</v>
      </c>
      <c r="O2339" s="2">
        <v>44153</v>
      </c>
    </row>
    <row r="2340" spans="1:15" ht="43.2" x14ac:dyDescent="0.3">
      <c r="A2340" s="1" t="s">
        <v>13980</v>
      </c>
      <c r="B2340" s="1" t="str">
        <f>"autofirma ltd"</f>
        <v>autofirma ltd</v>
      </c>
      <c r="C2340" s="1" t="s">
        <v>11617</v>
      </c>
      <c r="F2340" s="1" t="s">
        <v>11618</v>
      </c>
      <c r="H2340" s="1" t="s">
        <v>11619</v>
      </c>
      <c r="I2340" s="1" t="s">
        <v>19</v>
      </c>
      <c r="J2340" s="1" t="s">
        <v>67</v>
      </c>
      <c r="K2340" s="1" t="s">
        <v>14</v>
      </c>
      <c r="M2340" s="2">
        <v>43056</v>
      </c>
      <c r="N2340" s="1" t="s">
        <v>8</v>
      </c>
      <c r="O2340" s="1" t="s">
        <v>68</v>
      </c>
    </row>
    <row r="2341" spans="1:15" ht="28.8" x14ac:dyDescent="0.3">
      <c r="A2341" s="1" t="s">
        <v>13981</v>
      </c>
      <c r="B2341" s="1" t="str">
        <f>"NSO OILS LTD"</f>
        <v>NSO OILS LTD</v>
      </c>
      <c r="C2341" s="1" t="s">
        <v>13982</v>
      </c>
      <c r="F2341" s="1" t="s">
        <v>4645</v>
      </c>
      <c r="H2341" s="1" t="s">
        <v>7287</v>
      </c>
      <c r="I2341" s="1" t="s">
        <v>19</v>
      </c>
      <c r="J2341" s="1" t="s">
        <v>6</v>
      </c>
      <c r="K2341" s="1" t="s">
        <v>24</v>
      </c>
      <c r="L2341" s="1">
        <v>8897272</v>
      </c>
      <c r="M2341" s="2">
        <v>43056</v>
      </c>
      <c r="N2341" s="1" t="s">
        <v>8</v>
      </c>
      <c r="O2341" s="2">
        <v>44152</v>
      </c>
    </row>
    <row r="2342" spans="1:15" ht="28.8" x14ac:dyDescent="0.3">
      <c r="A2342" s="1" t="s">
        <v>13983</v>
      </c>
      <c r="B2342" s="1" t="str">
        <f>"Hale Heating and Plumbing Ltd"</f>
        <v>Hale Heating and Plumbing Ltd</v>
      </c>
      <c r="C2342" s="1" t="s">
        <v>13984</v>
      </c>
      <c r="F2342" s="1" t="s">
        <v>64</v>
      </c>
      <c r="H2342" s="1" t="s">
        <v>13985</v>
      </c>
      <c r="I2342" s="1" t="s">
        <v>19</v>
      </c>
      <c r="J2342" s="1" t="s">
        <v>6</v>
      </c>
      <c r="K2342" s="1" t="s">
        <v>24</v>
      </c>
      <c r="L2342" s="1">
        <v>10254814</v>
      </c>
      <c r="M2342" s="2">
        <v>43056</v>
      </c>
      <c r="N2342" s="1" t="s">
        <v>8</v>
      </c>
      <c r="O2342" s="2">
        <v>44152</v>
      </c>
    </row>
    <row r="2343" spans="1:15" x14ac:dyDescent="0.3">
      <c r="A2343" s="1" t="s">
        <v>13986</v>
      </c>
      <c r="B2343" s="1" t="str">
        <f>"Elizabethan"</f>
        <v>Elizabethan</v>
      </c>
      <c r="C2343" s="1" t="s">
        <v>13987</v>
      </c>
      <c r="F2343" s="1" t="s">
        <v>9039</v>
      </c>
      <c r="H2343" s="1" t="s">
        <v>13988</v>
      </c>
      <c r="I2343" s="1" t="s">
        <v>19</v>
      </c>
      <c r="J2343" s="1" t="s">
        <v>6</v>
      </c>
      <c r="K2343" s="1" t="s">
        <v>24</v>
      </c>
      <c r="L2343" s="1">
        <v>5037608</v>
      </c>
      <c r="M2343" s="2">
        <v>43056</v>
      </c>
      <c r="N2343" s="1" t="s">
        <v>8</v>
      </c>
      <c r="O2343" s="2">
        <v>44152</v>
      </c>
    </row>
    <row r="2344" spans="1:15" ht="28.8" x14ac:dyDescent="0.3">
      <c r="A2344" s="1" t="s">
        <v>13989</v>
      </c>
      <c r="B2344" s="1" t="str">
        <f>"jk jointing ltd"</f>
        <v>jk jointing ltd</v>
      </c>
      <c r="C2344" s="1" t="s">
        <v>13990</v>
      </c>
      <c r="D2344" s="1" t="s">
        <v>13991</v>
      </c>
      <c r="F2344" s="1" t="s">
        <v>11055</v>
      </c>
      <c r="H2344" s="1" t="s">
        <v>13992</v>
      </c>
      <c r="I2344" s="1" t="s">
        <v>19</v>
      </c>
      <c r="J2344" s="1" t="s">
        <v>6</v>
      </c>
      <c r="K2344" s="1" t="s">
        <v>34</v>
      </c>
      <c r="L2344" s="1">
        <v>6027168</v>
      </c>
      <c r="M2344" s="2">
        <v>43056</v>
      </c>
      <c r="N2344" s="1" t="s">
        <v>8</v>
      </c>
      <c r="O2344" s="2">
        <v>44152</v>
      </c>
    </row>
    <row r="2345" spans="1:15" ht="28.8" x14ac:dyDescent="0.3">
      <c r="A2345" s="1" t="s">
        <v>26424</v>
      </c>
      <c r="B2345" s="1" t="str">
        <f>"Joseph Thomas JRT Landscaping"</f>
        <v>Joseph Thomas JRT Landscaping</v>
      </c>
      <c r="C2345" s="1" t="s">
        <v>6422</v>
      </c>
      <c r="F2345" s="1" t="s">
        <v>64</v>
      </c>
      <c r="H2345" s="1" t="s">
        <v>6423</v>
      </c>
      <c r="I2345" s="1" t="s">
        <v>5</v>
      </c>
      <c r="J2345" s="1" t="s">
        <v>6</v>
      </c>
      <c r="K2345" s="1" t="s">
        <v>24</v>
      </c>
      <c r="M2345" s="2">
        <v>43056</v>
      </c>
      <c r="N2345" s="1" t="s">
        <v>8</v>
      </c>
      <c r="O2345" s="2">
        <v>44152</v>
      </c>
    </row>
    <row r="2346" spans="1:15" ht="28.8" x14ac:dyDescent="0.3">
      <c r="A2346" s="1" t="s">
        <v>12927</v>
      </c>
      <c r="B2346" s="1" t="str">
        <f>"Anglesey Turf Company Limited"</f>
        <v>Anglesey Turf Company Limited</v>
      </c>
      <c r="C2346" s="1" t="s">
        <v>12928</v>
      </c>
      <c r="F2346" s="1" t="s">
        <v>2757</v>
      </c>
      <c r="H2346" s="1" t="s">
        <v>12929</v>
      </c>
      <c r="I2346" s="1" t="s">
        <v>19</v>
      </c>
      <c r="J2346" s="1" t="s">
        <v>6</v>
      </c>
      <c r="K2346" s="1" t="s">
        <v>34</v>
      </c>
      <c r="L2346" s="1">
        <v>6726546</v>
      </c>
      <c r="M2346" s="2">
        <v>43055</v>
      </c>
      <c r="N2346" s="1" t="s">
        <v>8</v>
      </c>
      <c r="O2346" s="2">
        <v>44151</v>
      </c>
    </row>
    <row r="2347" spans="1:15" ht="28.8" x14ac:dyDescent="0.3">
      <c r="A2347" s="1" t="s">
        <v>12930</v>
      </c>
      <c r="B2347" s="1" t="str">
        <f>"GM Williams Heating &amp; Plumbing"</f>
        <v>GM Williams Heating &amp; Plumbing</v>
      </c>
      <c r="C2347" s="1" t="s">
        <v>12931</v>
      </c>
      <c r="F2347" s="1" t="s">
        <v>710</v>
      </c>
      <c r="H2347" s="1" t="s">
        <v>12932</v>
      </c>
      <c r="I2347" s="1" t="s">
        <v>125</v>
      </c>
      <c r="J2347" s="1" t="s">
        <v>6</v>
      </c>
      <c r="K2347" s="1" t="s">
        <v>24</v>
      </c>
      <c r="M2347" s="2">
        <v>43055</v>
      </c>
      <c r="N2347" s="1" t="s">
        <v>8</v>
      </c>
      <c r="O2347" s="2">
        <v>44151</v>
      </c>
    </row>
    <row r="2348" spans="1:15" x14ac:dyDescent="0.3">
      <c r="A2348" s="1" t="s">
        <v>12933</v>
      </c>
      <c r="B2348" s="1" t="str">
        <f>"VoltageUK LTD"</f>
        <v>VoltageUK LTD</v>
      </c>
      <c r="C2348" s="1" t="s">
        <v>12934</v>
      </c>
      <c r="F2348" s="1" t="s">
        <v>123</v>
      </c>
      <c r="H2348" s="1" t="s">
        <v>12499</v>
      </c>
      <c r="I2348" s="1" t="s">
        <v>19</v>
      </c>
      <c r="J2348" s="1" t="s">
        <v>6</v>
      </c>
      <c r="K2348" s="1" t="s">
        <v>24</v>
      </c>
      <c r="L2348" s="1">
        <v>8695363</v>
      </c>
      <c r="M2348" s="2">
        <v>43055</v>
      </c>
      <c r="N2348" s="1" t="s">
        <v>8</v>
      </c>
      <c r="O2348" s="2">
        <v>44151</v>
      </c>
    </row>
    <row r="2349" spans="1:15" x14ac:dyDescent="0.3">
      <c r="A2349" s="1" t="s">
        <v>12935</v>
      </c>
      <c r="B2349" s="1" t="str">
        <f>"Men who can move"</f>
        <v>Men who can move</v>
      </c>
      <c r="C2349" s="1" t="s">
        <v>12936</v>
      </c>
      <c r="F2349" s="1" t="s">
        <v>123</v>
      </c>
      <c r="H2349" s="1" t="s">
        <v>12937</v>
      </c>
      <c r="I2349" s="1" t="s">
        <v>125</v>
      </c>
      <c r="J2349" s="1" t="s">
        <v>6</v>
      </c>
      <c r="K2349" s="1" t="s">
        <v>24</v>
      </c>
      <c r="M2349" s="2">
        <v>43055</v>
      </c>
      <c r="N2349" s="1" t="s">
        <v>8</v>
      </c>
      <c r="O2349" s="2">
        <v>44151</v>
      </c>
    </row>
    <row r="2350" spans="1:15" ht="43.2" x14ac:dyDescent="0.3">
      <c r="A2350" s="1" t="s">
        <v>12938</v>
      </c>
      <c r="B2350" s="1" t="str">
        <f>"THORNCLIFFE BUILDING SUPPLIES LTD"</f>
        <v>THORNCLIFFE BUILDING SUPPLIES LTD</v>
      </c>
      <c r="C2350" s="1" t="s">
        <v>12939</v>
      </c>
      <c r="F2350" s="1" t="s">
        <v>476</v>
      </c>
      <c r="H2350" s="1" t="s">
        <v>5264</v>
      </c>
      <c r="I2350" s="1" t="s">
        <v>19</v>
      </c>
      <c r="J2350" s="1" t="s">
        <v>6</v>
      </c>
      <c r="K2350" s="1" t="s">
        <v>34</v>
      </c>
      <c r="L2350" s="1">
        <v>3627393</v>
      </c>
      <c r="M2350" s="2">
        <v>43055</v>
      </c>
      <c r="N2350" s="1" t="s">
        <v>8</v>
      </c>
      <c r="O2350" s="2">
        <v>44151</v>
      </c>
    </row>
    <row r="2351" spans="1:15" ht="43.2" x14ac:dyDescent="0.3">
      <c r="A2351" s="1" t="s">
        <v>12940</v>
      </c>
      <c r="B2351" s="1" t="str">
        <f>"Edwards Diving Services "</f>
        <v xml:space="preserve">Edwards Diving Services </v>
      </c>
      <c r="C2351" s="1" t="s">
        <v>12941</v>
      </c>
      <c r="D2351" s="1" t="s">
        <v>12942</v>
      </c>
      <c r="E2351" s="1" t="s">
        <v>2079</v>
      </c>
      <c r="F2351" s="1" t="s">
        <v>1093</v>
      </c>
      <c r="H2351" s="1" t="s">
        <v>2080</v>
      </c>
      <c r="I2351" s="1" t="s">
        <v>19</v>
      </c>
      <c r="J2351" s="1" t="s">
        <v>67</v>
      </c>
      <c r="K2351" s="1" t="s">
        <v>14</v>
      </c>
      <c r="M2351" s="2">
        <v>43055</v>
      </c>
      <c r="N2351" s="1" t="s">
        <v>8</v>
      </c>
      <c r="O2351" s="1" t="s">
        <v>68</v>
      </c>
    </row>
    <row r="2352" spans="1:15" ht="28.8" x14ac:dyDescent="0.3">
      <c r="A2352" s="1" t="s">
        <v>12943</v>
      </c>
      <c r="B2352" s="1" t="str">
        <f>"Gower Coasts Construction"</f>
        <v>Gower Coasts Construction</v>
      </c>
      <c r="C2352" s="1" t="s">
        <v>12944</v>
      </c>
      <c r="D2352" s="1" t="s">
        <v>12945</v>
      </c>
      <c r="F2352" s="1" t="s">
        <v>64</v>
      </c>
      <c r="H2352" s="1" t="s">
        <v>12946</v>
      </c>
      <c r="I2352" s="1" t="s">
        <v>19</v>
      </c>
      <c r="J2352" s="1" t="s">
        <v>6</v>
      </c>
      <c r="K2352" s="1" t="s">
        <v>24</v>
      </c>
      <c r="L2352" s="1">
        <v>9822228</v>
      </c>
      <c r="M2352" s="2">
        <v>43055</v>
      </c>
      <c r="N2352" s="1" t="s">
        <v>8</v>
      </c>
      <c r="O2352" s="2">
        <v>44156</v>
      </c>
    </row>
    <row r="2353" spans="1:15" ht="28.8" x14ac:dyDescent="0.3">
      <c r="A2353" s="1" t="s">
        <v>12947</v>
      </c>
      <c r="B2353" s="1" t="str">
        <f>"Home &amp; Property Solutions Limited"</f>
        <v>Home &amp; Property Solutions Limited</v>
      </c>
      <c r="C2353" s="1" t="s">
        <v>12948</v>
      </c>
      <c r="D2353" s="1" t="s">
        <v>1576</v>
      </c>
      <c r="F2353" s="1" t="s">
        <v>706</v>
      </c>
      <c r="H2353" s="1" t="s">
        <v>1577</v>
      </c>
      <c r="I2353" s="1" t="s">
        <v>19</v>
      </c>
      <c r="J2353" s="1" t="s">
        <v>6</v>
      </c>
      <c r="K2353" s="1" t="s">
        <v>24</v>
      </c>
      <c r="L2353" s="1">
        <v>7470326</v>
      </c>
      <c r="M2353" s="2">
        <v>43055</v>
      </c>
      <c r="N2353" s="1" t="s">
        <v>8</v>
      </c>
      <c r="O2353" s="2">
        <v>44151</v>
      </c>
    </row>
    <row r="2354" spans="1:15" ht="43.2" x14ac:dyDescent="0.3">
      <c r="A2354" s="1" t="s">
        <v>13969</v>
      </c>
      <c r="B2354" s="1" t="str">
        <f>"Cardigan Health Centre"</f>
        <v>Cardigan Health Centre</v>
      </c>
      <c r="C2354" s="1" t="s">
        <v>13970</v>
      </c>
      <c r="F2354" s="1" t="s">
        <v>1991</v>
      </c>
      <c r="H2354" s="1" t="s">
        <v>13971</v>
      </c>
      <c r="I2354" s="1" t="s">
        <v>188</v>
      </c>
      <c r="J2354" s="1" t="s">
        <v>67</v>
      </c>
      <c r="K2354" s="1" t="s">
        <v>14</v>
      </c>
      <c r="M2354" s="2">
        <v>43055</v>
      </c>
      <c r="N2354" s="1" t="s">
        <v>8</v>
      </c>
      <c r="O2354" s="1" t="s">
        <v>68</v>
      </c>
    </row>
    <row r="2355" spans="1:15" ht="28.8" x14ac:dyDescent="0.3">
      <c r="A2355" s="1" t="s">
        <v>13972</v>
      </c>
      <c r="B2355" s="1" t="str">
        <f>"Gp Landscaping "</f>
        <v xml:space="preserve">Gp Landscaping </v>
      </c>
      <c r="C2355" s="1" t="s">
        <v>13973</v>
      </c>
      <c r="D2355" s="1" t="s">
        <v>13974</v>
      </c>
      <c r="F2355" s="1" t="s">
        <v>13975</v>
      </c>
      <c r="H2355" s="1" t="s">
        <v>13976</v>
      </c>
      <c r="I2355" s="1" t="s">
        <v>125</v>
      </c>
      <c r="J2355" s="1" t="s">
        <v>6</v>
      </c>
      <c r="K2355" s="1" t="s">
        <v>34</v>
      </c>
      <c r="M2355" s="2">
        <v>43055</v>
      </c>
      <c r="N2355" s="1" t="s">
        <v>8</v>
      </c>
      <c r="O2355" s="2">
        <v>44151</v>
      </c>
    </row>
    <row r="2356" spans="1:15" ht="28.8" x14ac:dyDescent="0.3">
      <c r="A2356" s="1" t="s">
        <v>13977</v>
      </c>
      <c r="B2356" s="1" t="str">
        <f>"W E EDWARDS &amp;CO"</f>
        <v>W E EDWARDS &amp;CO</v>
      </c>
      <c r="C2356" s="1" t="s">
        <v>13978</v>
      </c>
      <c r="F2356" s="1" t="s">
        <v>7543</v>
      </c>
      <c r="H2356" s="1" t="s">
        <v>13979</v>
      </c>
      <c r="I2356" s="1" t="s">
        <v>125</v>
      </c>
      <c r="J2356" s="1" t="s">
        <v>6</v>
      </c>
      <c r="K2356" s="1" t="s">
        <v>34</v>
      </c>
      <c r="M2356" s="2">
        <v>43055</v>
      </c>
      <c r="N2356" s="1" t="s">
        <v>8</v>
      </c>
      <c r="O2356" s="2">
        <v>44151</v>
      </c>
    </row>
    <row r="2357" spans="1:15" ht="28.8" x14ac:dyDescent="0.3">
      <c r="A2357" s="1" t="s">
        <v>25625</v>
      </c>
      <c r="B2357" s="1" t="str">
        <f>"mike bullock ffenestri cymru"</f>
        <v>mike bullock ffenestri cymru</v>
      </c>
      <c r="C2357" s="1" t="s">
        <v>25626</v>
      </c>
      <c r="F2357" s="1" t="s">
        <v>119</v>
      </c>
      <c r="H2357" s="1" t="s">
        <v>16332</v>
      </c>
      <c r="I2357" s="1" t="s">
        <v>5</v>
      </c>
      <c r="J2357" s="1" t="s">
        <v>6</v>
      </c>
      <c r="K2357" s="1" t="s">
        <v>24</v>
      </c>
      <c r="M2357" s="2">
        <v>43055</v>
      </c>
      <c r="N2357" s="1" t="s">
        <v>8</v>
      </c>
      <c r="O2357" s="2">
        <v>44151</v>
      </c>
    </row>
    <row r="2358" spans="1:15" ht="28.8" x14ac:dyDescent="0.3">
      <c r="A2358" s="1" t="s">
        <v>25627</v>
      </c>
      <c r="B2358" s="1" t="str">
        <f>"Andrew Jones Andrew Jones"</f>
        <v>Andrew Jones Andrew Jones</v>
      </c>
      <c r="C2358" s="1" t="s">
        <v>25628</v>
      </c>
      <c r="F2358" s="1" t="s">
        <v>32</v>
      </c>
      <c r="H2358" s="1" t="s">
        <v>25629</v>
      </c>
      <c r="I2358" s="1" t="s">
        <v>5</v>
      </c>
      <c r="J2358" s="1" t="s">
        <v>6</v>
      </c>
      <c r="K2358" s="1" t="s">
        <v>24</v>
      </c>
      <c r="M2358" s="2">
        <v>43055</v>
      </c>
      <c r="N2358" s="1" t="s">
        <v>8</v>
      </c>
      <c r="O2358" s="2">
        <v>44151</v>
      </c>
    </row>
    <row r="2359" spans="1:15" ht="43.2" x14ac:dyDescent="0.3">
      <c r="A2359" s="1" t="s">
        <v>26419</v>
      </c>
      <c r="B2359" s="1" t="str">
        <f>"Gary Jamieson Llandeilo House Clearance"</f>
        <v>Gary Jamieson Llandeilo House Clearance</v>
      </c>
      <c r="C2359" s="1" t="s">
        <v>26420</v>
      </c>
      <c r="F2359" s="1" t="s">
        <v>2200</v>
      </c>
      <c r="H2359" s="1" t="s">
        <v>26421</v>
      </c>
      <c r="I2359" s="1" t="s">
        <v>5</v>
      </c>
      <c r="J2359" s="1" t="s">
        <v>6</v>
      </c>
      <c r="K2359" s="1" t="s">
        <v>24</v>
      </c>
      <c r="M2359" s="2">
        <v>43055</v>
      </c>
      <c r="N2359" s="1" t="s">
        <v>8</v>
      </c>
      <c r="O2359" s="2">
        <v>44151</v>
      </c>
    </row>
    <row r="2360" spans="1:15" ht="28.8" x14ac:dyDescent="0.3">
      <c r="A2360" s="1" t="s">
        <v>26422</v>
      </c>
      <c r="B2360" s="1" t="str">
        <f>"Martin Gapper M G Truck Hire"</f>
        <v>Martin Gapper M G Truck Hire</v>
      </c>
      <c r="C2360" s="1" t="s">
        <v>26423</v>
      </c>
      <c r="D2360" s="1" t="s">
        <v>4273</v>
      </c>
      <c r="E2360" s="1" t="s">
        <v>3176</v>
      </c>
      <c r="F2360" s="1" t="s">
        <v>1093</v>
      </c>
      <c r="H2360" s="1" t="s">
        <v>4274</v>
      </c>
      <c r="I2360" s="1" t="s">
        <v>5</v>
      </c>
      <c r="J2360" s="1" t="s">
        <v>6</v>
      </c>
      <c r="K2360" s="1" t="s">
        <v>24</v>
      </c>
      <c r="M2360" s="2">
        <v>43055</v>
      </c>
      <c r="N2360" s="1" t="s">
        <v>8</v>
      </c>
      <c r="O2360" s="2">
        <v>44151</v>
      </c>
    </row>
    <row r="2361" spans="1:15" ht="43.2" x14ac:dyDescent="0.3">
      <c r="A2361" s="1" t="s">
        <v>10933</v>
      </c>
      <c r="B2361" s="1" t="str">
        <f>"Seager Solutions Ltd"</f>
        <v>Seager Solutions Ltd</v>
      </c>
      <c r="C2361" s="1" t="s">
        <v>10934</v>
      </c>
      <c r="F2361" s="1" t="s">
        <v>2066</v>
      </c>
      <c r="H2361" s="1" t="s">
        <v>5055</v>
      </c>
      <c r="I2361" s="1" t="s">
        <v>19</v>
      </c>
      <c r="J2361" s="1" t="s">
        <v>67</v>
      </c>
      <c r="K2361" s="1" t="s">
        <v>14</v>
      </c>
      <c r="M2361" s="2">
        <v>43054</v>
      </c>
      <c r="N2361" s="1" t="s">
        <v>8</v>
      </c>
      <c r="O2361" s="1" t="s">
        <v>68</v>
      </c>
    </row>
    <row r="2362" spans="1:15" ht="43.2" x14ac:dyDescent="0.3">
      <c r="A2362" s="1" t="s">
        <v>11938</v>
      </c>
      <c r="B2362" s="1" t="str">
        <f>"BASSETTS CITROEN"</f>
        <v>BASSETTS CITROEN</v>
      </c>
      <c r="C2362" s="1" t="s">
        <v>11939</v>
      </c>
      <c r="F2362" s="1" t="s">
        <v>179</v>
      </c>
      <c r="H2362" s="1" t="s">
        <v>11940</v>
      </c>
      <c r="I2362" s="1" t="s">
        <v>19</v>
      </c>
      <c r="J2362" s="1" t="s">
        <v>67</v>
      </c>
      <c r="K2362" s="1" t="s">
        <v>14</v>
      </c>
      <c r="M2362" s="2">
        <v>43054</v>
      </c>
      <c r="N2362" s="1" t="s">
        <v>8</v>
      </c>
      <c r="O2362" s="1" t="s">
        <v>68</v>
      </c>
    </row>
    <row r="2363" spans="1:15" ht="43.2" x14ac:dyDescent="0.3">
      <c r="A2363" s="1" t="s">
        <v>11941</v>
      </c>
      <c r="B2363" s="1" t="str">
        <f>"M.A. HARTLEY ROOFING CONTRACTORS LTD"</f>
        <v>M.A. HARTLEY ROOFING CONTRACTORS LTD</v>
      </c>
      <c r="C2363" s="1" t="s">
        <v>11942</v>
      </c>
      <c r="D2363" s="1" t="s">
        <v>11943</v>
      </c>
      <c r="F2363" s="1" t="s">
        <v>64</v>
      </c>
      <c r="H2363" s="1" t="s">
        <v>889</v>
      </c>
      <c r="I2363" s="1" t="s">
        <v>19</v>
      </c>
      <c r="J2363" s="1" t="s">
        <v>6</v>
      </c>
      <c r="K2363" s="1" t="s">
        <v>34</v>
      </c>
      <c r="L2363" s="1">
        <v>4203492</v>
      </c>
      <c r="M2363" s="2">
        <v>43054</v>
      </c>
      <c r="N2363" s="1" t="s">
        <v>8</v>
      </c>
      <c r="O2363" s="2">
        <v>44150</v>
      </c>
    </row>
    <row r="2364" spans="1:15" ht="43.2" x14ac:dyDescent="0.3">
      <c r="A2364" s="1" t="s">
        <v>11944</v>
      </c>
      <c r="B2364" s="1" t="str">
        <f>"Lj store"</f>
        <v>Lj store</v>
      </c>
      <c r="C2364" s="1" t="s">
        <v>11945</v>
      </c>
      <c r="F2364" s="1" t="s">
        <v>358</v>
      </c>
      <c r="H2364" s="1" t="s">
        <v>11946</v>
      </c>
      <c r="I2364" s="1" t="s">
        <v>19</v>
      </c>
      <c r="J2364" s="1" t="s">
        <v>67</v>
      </c>
      <c r="K2364" s="1" t="s">
        <v>14</v>
      </c>
      <c r="M2364" s="2">
        <v>43054</v>
      </c>
      <c r="N2364" s="1" t="s">
        <v>8</v>
      </c>
      <c r="O2364" s="1" t="s">
        <v>68</v>
      </c>
    </row>
    <row r="2365" spans="1:15" x14ac:dyDescent="0.3">
      <c r="A2365" s="1" t="s">
        <v>11947</v>
      </c>
      <c r="B2365" s="1" t="str">
        <f>"Lampeter Tree Services"</f>
        <v>Lampeter Tree Services</v>
      </c>
      <c r="C2365" s="1" t="s">
        <v>11948</v>
      </c>
      <c r="F2365" s="1" t="s">
        <v>1385</v>
      </c>
      <c r="H2365" s="1" t="s">
        <v>11949</v>
      </c>
      <c r="I2365" s="1" t="s">
        <v>19</v>
      </c>
      <c r="J2365" s="1" t="s">
        <v>6</v>
      </c>
      <c r="K2365" s="1" t="s">
        <v>24</v>
      </c>
      <c r="L2365" s="1">
        <v>4259132</v>
      </c>
      <c r="M2365" s="2">
        <v>43054</v>
      </c>
      <c r="N2365" s="1" t="s">
        <v>8</v>
      </c>
      <c r="O2365" s="2">
        <v>44150</v>
      </c>
    </row>
    <row r="2366" spans="1:15" ht="28.8" x14ac:dyDescent="0.3">
      <c r="A2366" s="1" t="s">
        <v>11950</v>
      </c>
      <c r="B2366" s="1" t="str">
        <f>"City of Cardiff Council"</f>
        <v>City of Cardiff Council</v>
      </c>
      <c r="C2366" s="1" t="s">
        <v>11951</v>
      </c>
      <c r="F2366" s="1" t="s">
        <v>123</v>
      </c>
      <c r="H2366" s="1" t="s">
        <v>11952</v>
      </c>
      <c r="I2366" s="1" t="s">
        <v>188</v>
      </c>
      <c r="J2366" s="1" t="s">
        <v>6</v>
      </c>
      <c r="K2366" s="1" t="s">
        <v>24</v>
      </c>
      <c r="M2366" s="2">
        <v>43054</v>
      </c>
      <c r="N2366" s="1" t="s">
        <v>8</v>
      </c>
      <c r="O2366" s="2">
        <v>44149</v>
      </c>
    </row>
    <row r="2367" spans="1:15" ht="28.8" x14ac:dyDescent="0.3">
      <c r="A2367" s="1" t="s">
        <v>11953</v>
      </c>
      <c r="B2367" s="1" t="str">
        <f>"BSB Building Contractors Ltd"</f>
        <v>BSB Building Contractors Ltd</v>
      </c>
      <c r="C2367" s="1" t="s">
        <v>11954</v>
      </c>
      <c r="F2367" s="1" t="s">
        <v>179</v>
      </c>
      <c r="H2367" s="1" t="s">
        <v>11955</v>
      </c>
      <c r="I2367" s="1" t="s">
        <v>19</v>
      </c>
      <c r="J2367" s="1" t="s">
        <v>6</v>
      </c>
      <c r="K2367" s="1" t="s">
        <v>34</v>
      </c>
      <c r="L2367" s="1">
        <v>9674799</v>
      </c>
      <c r="M2367" s="2">
        <v>43054</v>
      </c>
      <c r="N2367" s="1" t="s">
        <v>8</v>
      </c>
      <c r="O2367" s="2">
        <v>44150</v>
      </c>
    </row>
    <row r="2368" spans="1:15" x14ac:dyDescent="0.3">
      <c r="A2368" s="1" t="s">
        <v>11956</v>
      </c>
      <c r="B2368" s="1" t="str">
        <f>"SB materials UK ltd"</f>
        <v>SB materials UK ltd</v>
      </c>
      <c r="C2368" s="1" t="s">
        <v>11957</v>
      </c>
      <c r="F2368" s="1" t="s">
        <v>532</v>
      </c>
      <c r="H2368" s="1" t="s">
        <v>11958</v>
      </c>
      <c r="I2368" s="1" t="s">
        <v>19</v>
      </c>
      <c r="J2368" s="1" t="s">
        <v>6</v>
      </c>
      <c r="K2368" s="1" t="s">
        <v>1859</v>
      </c>
      <c r="L2368" s="1">
        <v>10896256</v>
      </c>
      <c r="M2368" s="2">
        <v>43054</v>
      </c>
      <c r="N2368" s="1" t="s">
        <v>8</v>
      </c>
      <c r="O2368" s="2">
        <v>44171</v>
      </c>
    </row>
    <row r="2369" spans="1:15" ht="28.8" x14ac:dyDescent="0.3">
      <c r="A2369" s="1" t="s">
        <v>24873</v>
      </c>
      <c r="B2369" s="1" t="str">
        <f>"Richard Collin R J HAULAGE"</f>
        <v>Richard Collin R J HAULAGE</v>
      </c>
      <c r="C2369" s="1" t="s">
        <v>24874</v>
      </c>
      <c r="D2369" s="1" t="s">
        <v>24875</v>
      </c>
      <c r="F2369" s="1" t="s">
        <v>401</v>
      </c>
      <c r="H2369" s="1" t="s">
        <v>24876</v>
      </c>
      <c r="I2369" s="1" t="s">
        <v>5</v>
      </c>
      <c r="J2369" s="1" t="s">
        <v>6</v>
      </c>
      <c r="K2369" s="1" t="s">
        <v>24</v>
      </c>
      <c r="M2369" s="2">
        <v>43054</v>
      </c>
      <c r="N2369" s="1" t="s">
        <v>8</v>
      </c>
      <c r="O2369" s="2">
        <v>44150</v>
      </c>
    </row>
    <row r="2370" spans="1:15" ht="28.8" x14ac:dyDescent="0.3">
      <c r="A2370" s="1" t="s">
        <v>24877</v>
      </c>
      <c r="B2370" s="1" t="str">
        <f>"Thomas Murphy Thomas Murphy"</f>
        <v>Thomas Murphy Thomas Murphy</v>
      </c>
      <c r="C2370" s="1" t="s">
        <v>24878</v>
      </c>
      <c r="D2370" s="1" t="s">
        <v>8368</v>
      </c>
      <c r="F2370" s="1" t="s">
        <v>323</v>
      </c>
      <c r="H2370" s="1" t="s">
        <v>24879</v>
      </c>
      <c r="I2370" s="1" t="s">
        <v>5</v>
      </c>
      <c r="J2370" s="1" t="s">
        <v>6</v>
      </c>
      <c r="K2370" s="1" t="s">
        <v>34</v>
      </c>
      <c r="M2370" s="2">
        <v>43054</v>
      </c>
      <c r="N2370" s="1" t="s">
        <v>8</v>
      </c>
      <c r="O2370" s="2">
        <v>44150</v>
      </c>
    </row>
    <row r="2371" spans="1:15" ht="28.8" x14ac:dyDescent="0.3">
      <c r="A2371" s="1" t="s">
        <v>24880</v>
      </c>
      <c r="B2371" s="1" t="str">
        <f>"Anthony Parsons Anthony Parsons"</f>
        <v>Anthony Parsons Anthony Parsons</v>
      </c>
      <c r="C2371" s="1" t="s">
        <v>24881</v>
      </c>
      <c r="D2371" s="1" t="s">
        <v>405</v>
      </c>
      <c r="F2371" s="1" t="s">
        <v>123</v>
      </c>
      <c r="H2371" s="1" t="s">
        <v>20649</v>
      </c>
      <c r="I2371" s="1" t="s">
        <v>5</v>
      </c>
      <c r="J2371" s="1" t="s">
        <v>6</v>
      </c>
      <c r="K2371" s="1" t="s">
        <v>24</v>
      </c>
      <c r="M2371" s="2">
        <v>43054</v>
      </c>
      <c r="N2371" s="1" t="s">
        <v>8</v>
      </c>
      <c r="O2371" s="2">
        <v>44150</v>
      </c>
    </row>
    <row r="2372" spans="1:15" ht="28.8" x14ac:dyDescent="0.3">
      <c r="A2372" s="1" t="s">
        <v>25623</v>
      </c>
      <c r="B2372" s="1" t="str">
        <f>"Jeff Davies Jeff Davies Transport"</f>
        <v>Jeff Davies Jeff Davies Transport</v>
      </c>
      <c r="C2372" s="1" t="s">
        <v>25624</v>
      </c>
      <c r="F2372" s="1" t="s">
        <v>665</v>
      </c>
      <c r="H2372" s="1" t="s">
        <v>20492</v>
      </c>
      <c r="I2372" s="1" t="s">
        <v>5</v>
      </c>
      <c r="J2372" s="1" t="s">
        <v>6</v>
      </c>
      <c r="K2372" s="1" t="s">
        <v>24</v>
      </c>
      <c r="M2372" s="2">
        <v>43054</v>
      </c>
      <c r="N2372" s="1" t="s">
        <v>8</v>
      </c>
      <c r="O2372" s="2">
        <v>44150</v>
      </c>
    </row>
    <row r="2373" spans="1:15" ht="43.2" x14ac:dyDescent="0.3">
      <c r="A2373" s="1" t="s">
        <v>10920</v>
      </c>
      <c r="B2373" s="1" t="str">
        <f>"Haggis &amp; Hotpot Pub Co. Limited"</f>
        <v>Haggis &amp; Hotpot Pub Co. Limited</v>
      </c>
      <c r="C2373" s="1" t="s">
        <v>10921</v>
      </c>
      <c r="F2373" s="1" t="s">
        <v>532</v>
      </c>
      <c r="H2373" s="1" t="s">
        <v>10922</v>
      </c>
      <c r="I2373" s="1" t="s">
        <v>19</v>
      </c>
      <c r="J2373" s="1" t="s">
        <v>67</v>
      </c>
      <c r="K2373" s="1" t="s">
        <v>14</v>
      </c>
      <c r="M2373" s="2">
        <v>43053</v>
      </c>
      <c r="N2373" s="1" t="s">
        <v>8</v>
      </c>
      <c r="O2373" s="1" t="s">
        <v>68</v>
      </c>
    </row>
    <row r="2374" spans="1:15" ht="43.2" x14ac:dyDescent="0.3">
      <c r="A2374" s="1" t="s">
        <v>10923</v>
      </c>
      <c r="B2374" s="1" t="str">
        <f>"D Coombes "</f>
        <v xml:space="preserve">D Coombes </v>
      </c>
      <c r="C2374" s="1" t="s">
        <v>10924</v>
      </c>
      <c r="F2374" s="1" t="s">
        <v>10925</v>
      </c>
      <c r="H2374" s="1" t="s">
        <v>10926</v>
      </c>
      <c r="I2374" s="1" t="s">
        <v>188</v>
      </c>
      <c r="J2374" s="1" t="s">
        <v>67</v>
      </c>
      <c r="K2374" s="1" t="s">
        <v>14</v>
      </c>
      <c r="M2374" s="2">
        <v>43053</v>
      </c>
      <c r="N2374" s="1" t="s">
        <v>8</v>
      </c>
      <c r="O2374" s="1" t="s">
        <v>68</v>
      </c>
    </row>
    <row r="2375" spans="1:15" ht="43.2" x14ac:dyDescent="0.3">
      <c r="A2375" s="1" t="s">
        <v>10927</v>
      </c>
      <c r="B2375" s="1" t="str">
        <f>"Meddygfa Padarn Surgery"</f>
        <v>Meddygfa Padarn Surgery</v>
      </c>
      <c r="C2375" s="1" t="s">
        <v>10928</v>
      </c>
      <c r="F2375" s="1" t="s">
        <v>37</v>
      </c>
      <c r="H2375" s="1" t="s">
        <v>10929</v>
      </c>
      <c r="I2375" s="1" t="s">
        <v>125</v>
      </c>
      <c r="J2375" s="1" t="s">
        <v>67</v>
      </c>
      <c r="K2375" s="1" t="s">
        <v>14</v>
      </c>
      <c r="M2375" s="2">
        <v>43053</v>
      </c>
      <c r="N2375" s="1" t="s">
        <v>8</v>
      </c>
      <c r="O2375" s="1" t="s">
        <v>68</v>
      </c>
    </row>
    <row r="2376" spans="1:15" ht="43.2" x14ac:dyDescent="0.3">
      <c r="A2376" s="1" t="s">
        <v>10930</v>
      </c>
      <c r="B2376" s="1" t="str">
        <f>"Meddygfa Emlyn"</f>
        <v>Meddygfa Emlyn</v>
      </c>
      <c r="C2376" s="1" t="s">
        <v>10931</v>
      </c>
      <c r="F2376" s="1" t="s">
        <v>1021</v>
      </c>
      <c r="H2376" s="1" t="s">
        <v>10932</v>
      </c>
      <c r="I2376" s="1" t="s">
        <v>188</v>
      </c>
      <c r="J2376" s="1" t="s">
        <v>67</v>
      </c>
      <c r="K2376" s="1" t="s">
        <v>14</v>
      </c>
      <c r="M2376" s="2">
        <v>43053</v>
      </c>
      <c r="N2376" s="1" t="s">
        <v>8</v>
      </c>
      <c r="O2376" s="1" t="s">
        <v>68</v>
      </c>
    </row>
    <row r="2377" spans="1:15" ht="28.8" x14ac:dyDescent="0.3">
      <c r="A2377" s="1" t="s">
        <v>24034</v>
      </c>
      <c r="B2377" s="1" t="str">
        <f>"antonio grasso a w grasso"</f>
        <v>antonio grasso a w grasso</v>
      </c>
      <c r="C2377" s="1" t="s">
        <v>24035</v>
      </c>
      <c r="F2377" s="1" t="s">
        <v>2342</v>
      </c>
      <c r="H2377" s="1" t="s">
        <v>24036</v>
      </c>
      <c r="I2377" s="1" t="s">
        <v>5</v>
      </c>
      <c r="J2377" s="1" t="s">
        <v>6</v>
      </c>
      <c r="K2377" s="1" t="s">
        <v>24</v>
      </c>
      <c r="M2377" s="2">
        <v>43053</v>
      </c>
      <c r="N2377" s="1" t="s">
        <v>8</v>
      </c>
      <c r="O2377" s="2">
        <v>44149</v>
      </c>
    </row>
    <row r="2378" spans="1:15" ht="28.8" x14ac:dyDescent="0.3">
      <c r="A2378" s="1" t="s">
        <v>24037</v>
      </c>
      <c r="B2378" s="1" t="str">
        <f>"andrew jones local garden services"</f>
        <v>andrew jones local garden services</v>
      </c>
      <c r="C2378" s="1" t="s">
        <v>24038</v>
      </c>
      <c r="F2378" s="1" t="s">
        <v>64</v>
      </c>
      <c r="H2378" s="1" t="s">
        <v>8372</v>
      </c>
      <c r="I2378" s="1" t="s">
        <v>5</v>
      </c>
      <c r="J2378" s="1" t="s">
        <v>6</v>
      </c>
      <c r="K2378" s="1" t="s">
        <v>24</v>
      </c>
      <c r="M2378" s="2">
        <v>43053</v>
      </c>
      <c r="N2378" s="1" t="s">
        <v>8</v>
      </c>
      <c r="O2378" s="2">
        <v>44149</v>
      </c>
    </row>
    <row r="2379" spans="1:15" ht="43.2" x14ac:dyDescent="0.3">
      <c r="A2379" s="1" t="s">
        <v>24039</v>
      </c>
      <c r="B2379" s="1" t="str">
        <f>"Nathan Davies Big Naths handyman service "</f>
        <v xml:space="preserve">Nathan Davies Big Naths handyman service </v>
      </c>
      <c r="C2379" s="1" t="s">
        <v>24040</v>
      </c>
      <c r="F2379" s="1" t="s">
        <v>64</v>
      </c>
      <c r="H2379" s="1" t="s">
        <v>24041</v>
      </c>
      <c r="I2379" s="1" t="s">
        <v>5</v>
      </c>
      <c r="J2379" s="1" t="s">
        <v>6</v>
      </c>
      <c r="K2379" s="1" t="s">
        <v>24</v>
      </c>
      <c r="M2379" s="2">
        <v>43053</v>
      </c>
      <c r="N2379" s="1" t="s">
        <v>8</v>
      </c>
      <c r="O2379" s="2">
        <v>44149</v>
      </c>
    </row>
    <row r="2380" spans="1:15" ht="28.8" x14ac:dyDescent="0.3">
      <c r="A2380" s="1" t="s">
        <v>10913</v>
      </c>
      <c r="B2380" s="1" t="str">
        <f>"Velocity Workplace Services Limited"</f>
        <v>Velocity Workplace Services Limited</v>
      </c>
      <c r="C2380" s="1" t="s">
        <v>10914</v>
      </c>
      <c r="D2380" s="1" t="s">
        <v>781</v>
      </c>
      <c r="F2380" s="1" t="s">
        <v>211</v>
      </c>
      <c r="H2380" s="1" t="s">
        <v>4030</v>
      </c>
      <c r="I2380" s="1" t="s">
        <v>19</v>
      </c>
      <c r="J2380" s="1" t="s">
        <v>6</v>
      </c>
      <c r="K2380" s="1" t="s">
        <v>34</v>
      </c>
      <c r="L2380" s="1">
        <v>10972051</v>
      </c>
      <c r="M2380" s="2">
        <v>43052</v>
      </c>
      <c r="N2380" s="1" t="s">
        <v>8</v>
      </c>
      <c r="O2380" s="2">
        <v>44148</v>
      </c>
    </row>
    <row r="2381" spans="1:15" ht="43.2" x14ac:dyDescent="0.3">
      <c r="A2381" s="1" t="s">
        <v>10915</v>
      </c>
      <c r="B2381" s="1" t="str">
        <f>"Just Produce Ltd"</f>
        <v>Just Produce Ltd</v>
      </c>
      <c r="C2381" s="1" t="s">
        <v>10916</v>
      </c>
      <c r="D2381" s="1" t="s">
        <v>10917</v>
      </c>
      <c r="F2381" s="1" t="s">
        <v>10918</v>
      </c>
      <c r="H2381" s="1" t="s">
        <v>10919</v>
      </c>
      <c r="I2381" s="1" t="s">
        <v>19</v>
      </c>
      <c r="J2381" s="1" t="s">
        <v>67</v>
      </c>
      <c r="K2381" s="1" t="s">
        <v>14</v>
      </c>
      <c r="M2381" s="2">
        <v>43052</v>
      </c>
      <c r="N2381" s="1" t="s">
        <v>8</v>
      </c>
      <c r="O2381" s="1" t="s">
        <v>68</v>
      </c>
    </row>
    <row r="2382" spans="1:15" ht="28.8" x14ac:dyDescent="0.3">
      <c r="A2382" s="1" t="s">
        <v>24021</v>
      </c>
      <c r="B2382" s="1" t="str">
        <f>"Kevin Rankin Kevin's Gardens"</f>
        <v>Kevin Rankin Kevin's Gardens</v>
      </c>
      <c r="C2382" s="1" t="s">
        <v>24022</v>
      </c>
      <c r="F2382" s="1" t="s">
        <v>123</v>
      </c>
      <c r="H2382" s="1" t="s">
        <v>24023</v>
      </c>
      <c r="I2382" s="1" t="s">
        <v>5</v>
      </c>
      <c r="J2382" s="1" t="s">
        <v>6</v>
      </c>
      <c r="K2382" s="1" t="s">
        <v>24</v>
      </c>
      <c r="M2382" s="2">
        <v>43052</v>
      </c>
      <c r="N2382" s="1" t="s">
        <v>8</v>
      </c>
      <c r="O2382" s="2">
        <v>44148</v>
      </c>
    </row>
    <row r="2383" spans="1:15" ht="28.8" x14ac:dyDescent="0.3">
      <c r="A2383" s="1" t="s">
        <v>24024</v>
      </c>
      <c r="B2383" s="1" t="str">
        <f>"Joseph Price J E Price"</f>
        <v>Joseph Price J E Price</v>
      </c>
      <c r="C2383" s="1" t="s">
        <v>24025</v>
      </c>
      <c r="F2383" s="1" t="s">
        <v>42</v>
      </c>
      <c r="H2383" s="1" t="s">
        <v>24026</v>
      </c>
      <c r="I2383" s="1" t="s">
        <v>5</v>
      </c>
      <c r="J2383" s="1" t="s">
        <v>6</v>
      </c>
      <c r="K2383" s="1" t="s">
        <v>24</v>
      </c>
      <c r="M2383" s="2">
        <v>43052</v>
      </c>
      <c r="N2383" s="1" t="s">
        <v>8</v>
      </c>
      <c r="O2383" s="2">
        <v>44148</v>
      </c>
    </row>
    <row r="2384" spans="1:15" ht="43.2" x14ac:dyDescent="0.3">
      <c r="A2384" s="1" t="s">
        <v>24027</v>
      </c>
      <c r="B2384" s="1" t="str">
        <f>"Peter Hewitt"</f>
        <v>Peter Hewitt</v>
      </c>
      <c r="C2384" s="1" t="s">
        <v>24028</v>
      </c>
      <c r="D2384" s="1" t="s">
        <v>24029</v>
      </c>
      <c r="F2384" s="1" t="s">
        <v>243</v>
      </c>
      <c r="H2384" s="1" t="s">
        <v>24030</v>
      </c>
      <c r="I2384" s="1" t="s">
        <v>5</v>
      </c>
      <c r="J2384" s="1" t="s">
        <v>67</v>
      </c>
      <c r="K2384" s="1" t="s">
        <v>14</v>
      </c>
      <c r="M2384" s="2">
        <v>43052</v>
      </c>
      <c r="N2384" s="1" t="s">
        <v>8</v>
      </c>
      <c r="O2384" s="1" t="s">
        <v>68</v>
      </c>
    </row>
    <row r="2385" spans="1:15" ht="43.2" x14ac:dyDescent="0.3">
      <c r="A2385" s="1" t="s">
        <v>24031</v>
      </c>
      <c r="B2385" s="1" t="str">
        <f>"Richard Tucker Edward Tucker Conservation &amp; Habitat Management"</f>
        <v>Richard Tucker Edward Tucker Conservation &amp; Habitat Management</v>
      </c>
      <c r="C2385" s="1" t="s">
        <v>24032</v>
      </c>
      <c r="F2385" s="1" t="s">
        <v>32</v>
      </c>
      <c r="H2385" s="1" t="s">
        <v>24033</v>
      </c>
      <c r="I2385" s="1" t="s">
        <v>5</v>
      </c>
      <c r="J2385" s="1" t="s">
        <v>6</v>
      </c>
      <c r="K2385" s="1" t="s">
        <v>24</v>
      </c>
      <c r="M2385" s="2">
        <v>43052</v>
      </c>
      <c r="N2385" s="1" t="s">
        <v>8</v>
      </c>
      <c r="O2385" s="2">
        <v>44148</v>
      </c>
    </row>
    <row r="2386" spans="1:15" ht="28.8" x14ac:dyDescent="0.3">
      <c r="A2386" s="1" t="s">
        <v>10909</v>
      </c>
      <c r="B2386" s="1" t="str">
        <f>"PGS Roofing Ltd"</f>
        <v>PGS Roofing Ltd</v>
      </c>
      <c r="C2386" s="1" t="s">
        <v>10910</v>
      </c>
      <c r="F2386" s="1" t="s">
        <v>10911</v>
      </c>
      <c r="H2386" s="1" t="s">
        <v>10912</v>
      </c>
      <c r="I2386" s="1" t="s">
        <v>19</v>
      </c>
      <c r="J2386" s="1" t="s">
        <v>6</v>
      </c>
      <c r="K2386" s="1" t="s">
        <v>34</v>
      </c>
      <c r="L2386" s="1">
        <v>8143654</v>
      </c>
      <c r="M2386" s="2">
        <v>43050</v>
      </c>
      <c r="N2386" s="1" t="s">
        <v>8</v>
      </c>
      <c r="O2386" s="2">
        <v>44146</v>
      </c>
    </row>
    <row r="2387" spans="1:15" ht="28.8" x14ac:dyDescent="0.3">
      <c r="A2387" s="1" t="s">
        <v>9900</v>
      </c>
      <c r="B2387" s="1" t="str">
        <f>"To Me To You - Removals"</f>
        <v>To Me To You - Removals</v>
      </c>
      <c r="C2387" s="1" t="s">
        <v>9901</v>
      </c>
      <c r="F2387" s="1" t="s">
        <v>1093</v>
      </c>
      <c r="H2387" s="1" t="s">
        <v>9902</v>
      </c>
      <c r="I2387" s="1" t="s">
        <v>125</v>
      </c>
      <c r="J2387" s="1" t="s">
        <v>6</v>
      </c>
      <c r="K2387" s="1" t="s">
        <v>24</v>
      </c>
      <c r="M2387" s="2">
        <v>43049</v>
      </c>
      <c r="N2387" s="1" t="s">
        <v>8</v>
      </c>
      <c r="O2387" s="2">
        <v>44145</v>
      </c>
    </row>
    <row r="2388" spans="1:15" ht="28.8" x14ac:dyDescent="0.3">
      <c r="A2388" s="1" t="s">
        <v>9903</v>
      </c>
      <c r="B2388" s="1" t="str">
        <f>"Celtic Rendering Systems Ltd"</f>
        <v>Celtic Rendering Systems Ltd</v>
      </c>
      <c r="C2388" s="1" t="s">
        <v>9904</v>
      </c>
      <c r="D2388" s="1" t="s">
        <v>9905</v>
      </c>
      <c r="E2388" s="1" t="s">
        <v>9906</v>
      </c>
      <c r="F2388" s="1" t="s">
        <v>42</v>
      </c>
      <c r="G2388" s="1" t="s">
        <v>51</v>
      </c>
      <c r="H2388" s="1" t="s">
        <v>3491</v>
      </c>
      <c r="I2388" s="1" t="s">
        <v>19</v>
      </c>
      <c r="J2388" s="1" t="s">
        <v>6</v>
      </c>
      <c r="K2388" s="1" t="s">
        <v>34</v>
      </c>
      <c r="L2388" s="1">
        <v>6746157</v>
      </c>
      <c r="M2388" s="2">
        <v>43049</v>
      </c>
      <c r="N2388" s="1" t="s">
        <v>8</v>
      </c>
      <c r="O2388" s="2">
        <v>44144</v>
      </c>
    </row>
    <row r="2389" spans="1:15" ht="28.8" x14ac:dyDescent="0.3">
      <c r="A2389" s="1" t="s">
        <v>9907</v>
      </c>
      <c r="B2389" s="1" t="str">
        <f>"Newage Data Shred Limited"</f>
        <v>Newage Data Shred Limited</v>
      </c>
      <c r="C2389" s="1" t="s">
        <v>9908</v>
      </c>
      <c r="D2389" s="1" t="s">
        <v>9909</v>
      </c>
      <c r="E2389" s="1" t="s">
        <v>312</v>
      </c>
      <c r="F2389" s="1" t="s">
        <v>179</v>
      </c>
      <c r="G2389" s="1" t="s">
        <v>180</v>
      </c>
      <c r="H2389" s="1" t="s">
        <v>313</v>
      </c>
      <c r="I2389" s="1" t="s">
        <v>19</v>
      </c>
      <c r="J2389" s="1" t="s">
        <v>6</v>
      </c>
      <c r="K2389" s="1" t="s">
        <v>24</v>
      </c>
      <c r="L2389" s="1">
        <v>10941819</v>
      </c>
      <c r="M2389" s="2">
        <v>43049</v>
      </c>
      <c r="N2389" s="1" t="s">
        <v>8</v>
      </c>
      <c r="O2389" s="2">
        <v>44144</v>
      </c>
    </row>
    <row r="2390" spans="1:15" ht="28.8" x14ac:dyDescent="0.3">
      <c r="A2390" s="1" t="s">
        <v>23203</v>
      </c>
      <c r="B2390" s="1" t="str">
        <f>"Aled  Davies Aled Davies Contracting"</f>
        <v>Aled  Davies Aled Davies Contracting</v>
      </c>
      <c r="C2390" s="1" t="s">
        <v>23204</v>
      </c>
      <c r="D2390" s="1" t="s">
        <v>12495</v>
      </c>
      <c r="F2390" s="1" t="s">
        <v>4645</v>
      </c>
      <c r="H2390" s="1" t="s">
        <v>23205</v>
      </c>
      <c r="I2390" s="1" t="s">
        <v>5</v>
      </c>
      <c r="J2390" s="1" t="s">
        <v>6</v>
      </c>
      <c r="K2390" s="1" t="s">
        <v>24</v>
      </c>
      <c r="M2390" s="2">
        <v>43049</v>
      </c>
      <c r="N2390" s="1" t="s">
        <v>8</v>
      </c>
      <c r="O2390" s="2">
        <v>44145</v>
      </c>
    </row>
    <row r="2391" spans="1:15" ht="28.8" x14ac:dyDescent="0.3">
      <c r="A2391" s="1" t="s">
        <v>23206</v>
      </c>
      <c r="B2391" s="1" t="str">
        <f>"Raymond  Judd Raymond judd"</f>
        <v>Raymond  Judd Raymond judd</v>
      </c>
      <c r="C2391" s="1" t="s">
        <v>23207</v>
      </c>
      <c r="F2391" s="1" t="s">
        <v>179</v>
      </c>
      <c r="H2391" s="1" t="s">
        <v>23208</v>
      </c>
      <c r="I2391" s="1" t="s">
        <v>5</v>
      </c>
      <c r="J2391" s="1" t="s">
        <v>6</v>
      </c>
      <c r="K2391" s="1" t="s">
        <v>34</v>
      </c>
      <c r="M2391" s="2">
        <v>43049</v>
      </c>
      <c r="N2391" s="1" t="s">
        <v>8</v>
      </c>
      <c r="O2391" s="2">
        <v>44145</v>
      </c>
    </row>
    <row r="2392" spans="1:15" ht="43.2" x14ac:dyDescent="0.3">
      <c r="A2392" s="1" t="s">
        <v>23209</v>
      </c>
      <c r="B2392" s="1" t="str">
        <f>"Mark Cleaver"</f>
        <v>Mark Cleaver</v>
      </c>
      <c r="C2392" s="1" t="s">
        <v>22502</v>
      </c>
      <c r="F2392" s="1" t="s">
        <v>123</v>
      </c>
      <c r="H2392" s="1" t="s">
        <v>22503</v>
      </c>
      <c r="I2392" s="1" t="s">
        <v>5</v>
      </c>
      <c r="J2392" s="1" t="s">
        <v>67</v>
      </c>
      <c r="K2392" s="1" t="s">
        <v>14</v>
      </c>
      <c r="M2392" s="2">
        <v>43049</v>
      </c>
      <c r="N2392" s="1" t="s">
        <v>8</v>
      </c>
      <c r="O2392" s="1" t="s">
        <v>68</v>
      </c>
    </row>
    <row r="2393" spans="1:15" ht="43.2" x14ac:dyDescent="0.3">
      <c r="A2393" s="1" t="s">
        <v>23210</v>
      </c>
      <c r="B2393" s="1" t="str">
        <f>"Jeffrey Thomas"</f>
        <v>Jeffrey Thomas</v>
      </c>
      <c r="C2393" s="1" t="s">
        <v>23211</v>
      </c>
      <c r="F2393" s="1" t="s">
        <v>2580</v>
      </c>
      <c r="H2393" s="1" t="s">
        <v>15824</v>
      </c>
      <c r="I2393" s="1" t="s">
        <v>5</v>
      </c>
      <c r="J2393" s="1" t="s">
        <v>67</v>
      </c>
      <c r="K2393" s="1" t="s">
        <v>14</v>
      </c>
      <c r="M2393" s="2">
        <v>43049</v>
      </c>
      <c r="N2393" s="1" t="s">
        <v>8</v>
      </c>
      <c r="O2393" s="1" t="s">
        <v>68</v>
      </c>
    </row>
    <row r="2394" spans="1:15" ht="43.2" x14ac:dyDescent="0.3">
      <c r="A2394" s="1" t="s">
        <v>23212</v>
      </c>
      <c r="B2394" s="1" t="str">
        <f>"Christopher  Hedley "</f>
        <v xml:space="preserve">Christopher  Hedley </v>
      </c>
      <c r="C2394" s="1" t="s">
        <v>23213</v>
      </c>
      <c r="F2394" s="1" t="s">
        <v>1776</v>
      </c>
      <c r="H2394" s="1" t="s">
        <v>23214</v>
      </c>
      <c r="I2394" s="1" t="s">
        <v>5</v>
      </c>
      <c r="J2394" s="1" t="s">
        <v>67</v>
      </c>
      <c r="K2394" s="1" t="s">
        <v>14</v>
      </c>
      <c r="M2394" s="2">
        <v>43049</v>
      </c>
      <c r="N2394" s="1" t="s">
        <v>8</v>
      </c>
      <c r="O2394" s="1" t="s">
        <v>68</v>
      </c>
    </row>
    <row r="2395" spans="1:15" ht="28.8" x14ac:dyDescent="0.3">
      <c r="A2395" s="1" t="s">
        <v>23215</v>
      </c>
      <c r="B2395" s="1" t="str">
        <f>"Joe Dobbs JD Carpentry"</f>
        <v>Joe Dobbs JD Carpentry</v>
      </c>
      <c r="C2395" s="1" t="s">
        <v>23216</v>
      </c>
      <c r="F2395" s="1" t="s">
        <v>1206</v>
      </c>
      <c r="H2395" s="1" t="s">
        <v>23217</v>
      </c>
      <c r="I2395" s="1" t="s">
        <v>5</v>
      </c>
      <c r="J2395" s="1" t="s">
        <v>6</v>
      </c>
      <c r="K2395" s="1" t="s">
        <v>34</v>
      </c>
      <c r="M2395" s="2">
        <v>43049</v>
      </c>
      <c r="N2395" s="1" t="s">
        <v>8</v>
      </c>
      <c r="O2395" s="2">
        <v>44145</v>
      </c>
    </row>
    <row r="2396" spans="1:15" ht="43.2" x14ac:dyDescent="0.3">
      <c r="A2396" s="1" t="s">
        <v>8694</v>
      </c>
      <c r="B2396" s="1" t="str">
        <f>"Walters UK Ltd"</f>
        <v>Walters UK Ltd</v>
      </c>
      <c r="C2396" s="1" t="s">
        <v>8695</v>
      </c>
      <c r="D2396" s="1" t="s">
        <v>1503</v>
      </c>
      <c r="F2396" s="1" t="s">
        <v>140</v>
      </c>
      <c r="H2396" s="1" t="s">
        <v>8696</v>
      </c>
      <c r="I2396" s="1" t="s">
        <v>19</v>
      </c>
      <c r="J2396" s="1" t="s">
        <v>6</v>
      </c>
      <c r="K2396" s="1" t="s">
        <v>34</v>
      </c>
      <c r="L2396" s="1">
        <v>2707042</v>
      </c>
      <c r="M2396" s="2">
        <v>43048</v>
      </c>
      <c r="N2396" s="1" t="s">
        <v>8</v>
      </c>
      <c r="O2396" s="2">
        <v>44144</v>
      </c>
    </row>
    <row r="2397" spans="1:15" ht="28.8" x14ac:dyDescent="0.3">
      <c r="A2397" s="1" t="s">
        <v>8697</v>
      </c>
      <c r="B2397" s="1" t="str">
        <f>"GSL (SOUTH WALES) LTD"</f>
        <v>GSL (SOUTH WALES) LTD</v>
      </c>
      <c r="C2397" s="1" t="s">
        <v>8698</v>
      </c>
      <c r="F2397" s="1" t="s">
        <v>123</v>
      </c>
      <c r="H2397" s="1" t="s">
        <v>8699</v>
      </c>
      <c r="I2397" s="1" t="s">
        <v>19</v>
      </c>
      <c r="J2397" s="1" t="s">
        <v>6</v>
      </c>
      <c r="K2397" s="1" t="s">
        <v>24</v>
      </c>
      <c r="L2397" s="1">
        <v>8042445</v>
      </c>
      <c r="M2397" s="2">
        <v>43048</v>
      </c>
      <c r="N2397" s="1" t="s">
        <v>8</v>
      </c>
      <c r="O2397" s="2">
        <v>44144</v>
      </c>
    </row>
    <row r="2398" spans="1:15" ht="28.8" x14ac:dyDescent="0.3">
      <c r="A2398" s="1" t="s">
        <v>8700</v>
      </c>
      <c r="B2398" s="1" t="str">
        <f>"Corvus Facilities"</f>
        <v>Corvus Facilities</v>
      </c>
      <c r="C2398" s="1" t="s">
        <v>8701</v>
      </c>
      <c r="D2398" s="1" t="s">
        <v>1336</v>
      </c>
      <c r="F2398" s="1" t="s">
        <v>1321</v>
      </c>
      <c r="H2398" s="1" t="s">
        <v>8702</v>
      </c>
      <c r="I2398" s="1" t="s">
        <v>19</v>
      </c>
      <c r="J2398" s="1" t="s">
        <v>6</v>
      </c>
      <c r="K2398" s="1" t="s">
        <v>34</v>
      </c>
      <c r="L2398" s="1">
        <v>6767569</v>
      </c>
      <c r="M2398" s="2">
        <v>43048</v>
      </c>
      <c r="N2398" s="1" t="s">
        <v>8</v>
      </c>
      <c r="O2398" s="2">
        <v>44144</v>
      </c>
    </row>
    <row r="2399" spans="1:15" ht="43.2" x14ac:dyDescent="0.3">
      <c r="A2399" s="1" t="s">
        <v>8703</v>
      </c>
      <c r="B2399" s="1" t="str">
        <f>"Mitsui Components Europe Ltd."</f>
        <v>Mitsui Components Europe Ltd.</v>
      </c>
      <c r="C2399" s="1" t="s">
        <v>8704</v>
      </c>
      <c r="F2399" s="1" t="s">
        <v>665</v>
      </c>
      <c r="H2399" s="1" t="s">
        <v>8705</v>
      </c>
      <c r="I2399" s="1" t="s">
        <v>19</v>
      </c>
      <c r="J2399" s="1" t="s">
        <v>67</v>
      </c>
      <c r="K2399" s="1" t="s">
        <v>14</v>
      </c>
      <c r="M2399" s="2">
        <v>43048</v>
      </c>
      <c r="N2399" s="1" t="s">
        <v>8</v>
      </c>
      <c r="O2399" s="1" t="s">
        <v>68</v>
      </c>
    </row>
    <row r="2400" spans="1:15" ht="28.8" x14ac:dyDescent="0.3">
      <c r="A2400" s="1" t="s">
        <v>8706</v>
      </c>
      <c r="B2400" s="1" t="str">
        <f>"LyRo Supplies Ltd"</f>
        <v>LyRo Supplies Ltd</v>
      </c>
      <c r="C2400" s="1" t="s">
        <v>8707</v>
      </c>
      <c r="D2400" s="1" t="s">
        <v>8708</v>
      </c>
      <c r="F2400" s="1" t="s">
        <v>8709</v>
      </c>
      <c r="H2400" s="1" t="s">
        <v>8710</v>
      </c>
      <c r="I2400" s="1" t="s">
        <v>19</v>
      </c>
      <c r="J2400" s="1" t="s">
        <v>6</v>
      </c>
      <c r="K2400" s="1" t="s">
        <v>24</v>
      </c>
      <c r="L2400" s="1">
        <v>8406117</v>
      </c>
      <c r="M2400" s="2">
        <v>43048</v>
      </c>
      <c r="N2400" s="1" t="s">
        <v>8</v>
      </c>
      <c r="O2400" s="2">
        <v>44144</v>
      </c>
    </row>
    <row r="2401" spans="1:15" ht="43.2" x14ac:dyDescent="0.3">
      <c r="A2401" s="1" t="s">
        <v>8711</v>
      </c>
      <c r="B2401" s="1" t="str">
        <f>"EUROPEST ENVIRONMENTAL SERVICES LIMITED"</f>
        <v>EUROPEST ENVIRONMENTAL SERVICES LIMITED</v>
      </c>
      <c r="C2401" s="1" t="s">
        <v>8712</v>
      </c>
      <c r="F2401" s="1" t="s">
        <v>1093</v>
      </c>
      <c r="H2401" s="1" t="s">
        <v>8713</v>
      </c>
      <c r="I2401" s="1" t="s">
        <v>19</v>
      </c>
      <c r="J2401" s="1" t="s">
        <v>6</v>
      </c>
      <c r="K2401" s="1" t="s">
        <v>24</v>
      </c>
      <c r="L2401" s="1">
        <v>4238468</v>
      </c>
      <c r="M2401" s="2">
        <v>43048</v>
      </c>
      <c r="N2401" s="1" t="s">
        <v>8</v>
      </c>
      <c r="O2401" s="2">
        <v>44144</v>
      </c>
    </row>
    <row r="2402" spans="1:15" ht="28.8" x14ac:dyDescent="0.3">
      <c r="A2402" s="1" t="s">
        <v>8714</v>
      </c>
      <c r="B2402" s="1" t="str">
        <f>"MSM Partitioning Limited"</f>
        <v>MSM Partitioning Limited</v>
      </c>
      <c r="C2402" s="1" t="s">
        <v>8715</v>
      </c>
      <c r="D2402" s="1" t="s">
        <v>1174</v>
      </c>
      <c r="F2402" s="1" t="s">
        <v>1058</v>
      </c>
      <c r="H2402" s="1" t="s">
        <v>3001</v>
      </c>
      <c r="I2402" s="1" t="s">
        <v>19</v>
      </c>
      <c r="J2402" s="1" t="s">
        <v>6</v>
      </c>
      <c r="K2402" s="1" t="s">
        <v>34</v>
      </c>
      <c r="L2402" s="1">
        <v>5914576</v>
      </c>
      <c r="M2402" s="2">
        <v>43048</v>
      </c>
      <c r="N2402" s="1" t="s">
        <v>8</v>
      </c>
      <c r="O2402" s="2">
        <v>44144</v>
      </c>
    </row>
    <row r="2403" spans="1:15" ht="28.8" x14ac:dyDescent="0.3">
      <c r="A2403" s="1" t="s">
        <v>8716</v>
      </c>
      <c r="B2403" s="1" t="str">
        <f>"wood floor specialist ltd"</f>
        <v>wood floor specialist ltd</v>
      </c>
      <c r="C2403" s="1" t="s">
        <v>8717</v>
      </c>
      <c r="F2403" s="1" t="s">
        <v>4850</v>
      </c>
      <c r="H2403" s="1" t="s">
        <v>8718</v>
      </c>
      <c r="I2403" s="1" t="s">
        <v>19</v>
      </c>
      <c r="J2403" s="1" t="s">
        <v>6</v>
      </c>
      <c r="K2403" s="1" t="s">
        <v>24</v>
      </c>
      <c r="L2403" s="1">
        <v>6587020</v>
      </c>
      <c r="M2403" s="2">
        <v>43048</v>
      </c>
      <c r="N2403" s="1" t="s">
        <v>8</v>
      </c>
      <c r="O2403" s="2">
        <v>44144</v>
      </c>
    </row>
    <row r="2404" spans="1:15" ht="28.8" x14ac:dyDescent="0.3">
      <c r="A2404" s="1" t="s">
        <v>8719</v>
      </c>
      <c r="B2404" s="1" t="str">
        <f>"Annabels recycling Limited "</f>
        <v xml:space="preserve">Annabels recycling Limited </v>
      </c>
      <c r="C2404" s="1" t="s">
        <v>8720</v>
      </c>
      <c r="F2404" s="1" t="s">
        <v>4432</v>
      </c>
      <c r="H2404" s="1" t="s">
        <v>8721</v>
      </c>
      <c r="I2404" s="1" t="s">
        <v>19</v>
      </c>
      <c r="J2404" s="1" t="s">
        <v>6</v>
      </c>
      <c r="K2404" s="1" t="s">
        <v>24</v>
      </c>
      <c r="L2404" s="1">
        <v>10969617</v>
      </c>
      <c r="M2404" s="2">
        <v>43048</v>
      </c>
      <c r="N2404" s="1" t="s">
        <v>8</v>
      </c>
      <c r="O2404" s="2">
        <v>44144</v>
      </c>
    </row>
    <row r="2405" spans="1:15" ht="28.8" x14ac:dyDescent="0.3">
      <c r="A2405" s="1" t="s">
        <v>22479</v>
      </c>
      <c r="B2405" s="1" t="str">
        <f>"Lee Norman LN Plant Hire"</f>
        <v>Lee Norman LN Plant Hire</v>
      </c>
      <c r="C2405" s="1" t="s">
        <v>22480</v>
      </c>
      <c r="F2405" s="1" t="s">
        <v>825</v>
      </c>
      <c r="H2405" s="1" t="s">
        <v>22481</v>
      </c>
      <c r="I2405" s="1" t="s">
        <v>5</v>
      </c>
      <c r="J2405" s="1" t="s">
        <v>6</v>
      </c>
      <c r="K2405" s="1" t="s">
        <v>24</v>
      </c>
      <c r="M2405" s="2">
        <v>43048</v>
      </c>
      <c r="N2405" s="1" t="s">
        <v>8</v>
      </c>
      <c r="O2405" s="2">
        <v>44144</v>
      </c>
    </row>
    <row r="2406" spans="1:15" ht="28.8" x14ac:dyDescent="0.3">
      <c r="A2406" s="1" t="s">
        <v>22482</v>
      </c>
      <c r="B2406" s="1" t="str">
        <f>"Ben Stollery Country Coverings"</f>
        <v>Ben Stollery Country Coverings</v>
      </c>
      <c r="C2406" s="1" t="s">
        <v>22483</v>
      </c>
      <c r="D2406" s="1" t="s">
        <v>22484</v>
      </c>
      <c r="F2406" s="1" t="s">
        <v>1239</v>
      </c>
      <c r="H2406" s="1" t="s">
        <v>22485</v>
      </c>
      <c r="I2406" s="1" t="s">
        <v>5</v>
      </c>
      <c r="J2406" s="1" t="s">
        <v>6</v>
      </c>
      <c r="K2406" s="1" t="s">
        <v>24</v>
      </c>
      <c r="M2406" s="2">
        <v>43048</v>
      </c>
      <c r="N2406" s="1" t="s">
        <v>8</v>
      </c>
      <c r="O2406" s="2">
        <v>44144</v>
      </c>
    </row>
    <row r="2407" spans="1:15" ht="28.8" x14ac:dyDescent="0.3">
      <c r="A2407" s="1" t="s">
        <v>22486</v>
      </c>
      <c r="B2407" s="1" t="str">
        <f>"Jason Solomon Weatherproof Roofing"</f>
        <v>Jason Solomon Weatherproof Roofing</v>
      </c>
      <c r="C2407" s="1" t="s">
        <v>22487</v>
      </c>
      <c r="F2407" s="1" t="s">
        <v>170</v>
      </c>
      <c r="H2407" s="1" t="s">
        <v>22488</v>
      </c>
      <c r="I2407" s="1" t="s">
        <v>5</v>
      </c>
      <c r="J2407" s="1" t="s">
        <v>6</v>
      </c>
      <c r="K2407" s="1" t="s">
        <v>34</v>
      </c>
      <c r="M2407" s="2">
        <v>43048</v>
      </c>
      <c r="N2407" s="1" t="s">
        <v>8</v>
      </c>
      <c r="O2407" s="2">
        <v>44144</v>
      </c>
    </row>
    <row r="2408" spans="1:15" ht="43.2" x14ac:dyDescent="0.3">
      <c r="A2408" s="1" t="s">
        <v>22489</v>
      </c>
      <c r="B2408" s="1" t="str">
        <f>"Toby Adam"</f>
        <v>Toby Adam</v>
      </c>
      <c r="C2408" s="1" t="s">
        <v>22490</v>
      </c>
      <c r="F2408" s="1" t="s">
        <v>487</v>
      </c>
      <c r="H2408" s="1" t="s">
        <v>22491</v>
      </c>
      <c r="I2408" s="1" t="s">
        <v>5</v>
      </c>
      <c r="J2408" s="1" t="s">
        <v>67</v>
      </c>
      <c r="K2408" s="1" t="s">
        <v>14</v>
      </c>
      <c r="M2408" s="2">
        <v>43048</v>
      </c>
      <c r="N2408" s="1" t="s">
        <v>8</v>
      </c>
      <c r="O2408" s="1" t="s">
        <v>68</v>
      </c>
    </row>
    <row r="2409" spans="1:15" ht="43.2" x14ac:dyDescent="0.3">
      <c r="A2409" s="1" t="s">
        <v>22492</v>
      </c>
      <c r="B2409" s="1" t="str">
        <f>"Robert  Neil Harwood West Glamorgan Landscapes"</f>
        <v>Robert  Neil Harwood West Glamorgan Landscapes</v>
      </c>
      <c r="C2409" s="1" t="s">
        <v>22493</v>
      </c>
      <c r="F2409" s="1" t="s">
        <v>64</v>
      </c>
      <c r="H2409" s="1" t="s">
        <v>22494</v>
      </c>
      <c r="I2409" s="1" t="s">
        <v>5</v>
      </c>
      <c r="J2409" s="1" t="s">
        <v>6</v>
      </c>
      <c r="K2409" s="1" t="s">
        <v>24</v>
      </c>
      <c r="M2409" s="2">
        <v>43048</v>
      </c>
      <c r="N2409" s="1" t="s">
        <v>8</v>
      </c>
      <c r="O2409" s="2">
        <v>44144</v>
      </c>
    </row>
    <row r="2410" spans="1:15" ht="28.8" x14ac:dyDescent="0.3">
      <c r="A2410" s="1" t="s">
        <v>7461</v>
      </c>
      <c r="B2410" s="1" t="str">
        <f>"CELTIC TECHNOLOGIES LIMITED"</f>
        <v>CELTIC TECHNOLOGIES LIMITED</v>
      </c>
      <c r="C2410" s="1" t="s">
        <v>7462</v>
      </c>
      <c r="D2410" s="1" t="s">
        <v>5514</v>
      </c>
      <c r="F2410" s="1" t="s">
        <v>123</v>
      </c>
      <c r="H2410" s="1" t="s">
        <v>7463</v>
      </c>
      <c r="I2410" s="1" t="s">
        <v>19</v>
      </c>
      <c r="J2410" s="1" t="s">
        <v>6</v>
      </c>
      <c r="K2410" s="1" t="s">
        <v>34</v>
      </c>
      <c r="L2410" s="1">
        <v>2695341</v>
      </c>
      <c r="M2410" s="2">
        <v>43047</v>
      </c>
      <c r="N2410" s="1" t="s">
        <v>8</v>
      </c>
      <c r="O2410" s="2">
        <v>44143</v>
      </c>
    </row>
    <row r="2411" spans="1:15" ht="28.8" x14ac:dyDescent="0.3">
      <c r="A2411" s="1" t="s">
        <v>7464</v>
      </c>
      <c r="B2411" s="1" t="str">
        <f>"MARTEL HOLDINGS LIMITED"</f>
        <v>MARTEL HOLDINGS LIMITED</v>
      </c>
      <c r="C2411" s="1" t="s">
        <v>7465</v>
      </c>
      <c r="D2411" s="1" t="s">
        <v>7466</v>
      </c>
      <c r="F2411" s="1" t="s">
        <v>5963</v>
      </c>
      <c r="H2411" s="1" t="s">
        <v>7467</v>
      </c>
      <c r="I2411" s="1" t="s">
        <v>19</v>
      </c>
      <c r="J2411" s="1" t="s">
        <v>6</v>
      </c>
      <c r="K2411" s="1" t="s">
        <v>34</v>
      </c>
      <c r="L2411" s="1">
        <v>2522324</v>
      </c>
      <c r="M2411" s="2">
        <v>43047</v>
      </c>
      <c r="N2411" s="1" t="s">
        <v>8</v>
      </c>
      <c r="O2411" s="2">
        <v>44143</v>
      </c>
    </row>
    <row r="2412" spans="1:15" ht="28.8" x14ac:dyDescent="0.3">
      <c r="A2412" s="1" t="s">
        <v>7468</v>
      </c>
      <c r="B2412" s="1" t="str">
        <f>"CINDERFORD RECYCLING LTD"</f>
        <v>CINDERFORD RECYCLING LTD</v>
      </c>
      <c r="C2412" s="1" t="s">
        <v>7469</v>
      </c>
      <c r="F2412" s="1" t="s">
        <v>4401</v>
      </c>
      <c r="H2412" s="1" t="s">
        <v>4935</v>
      </c>
      <c r="I2412" s="1" t="s">
        <v>19</v>
      </c>
      <c r="J2412" s="1" t="s">
        <v>6</v>
      </c>
      <c r="K2412" s="1" t="s">
        <v>34</v>
      </c>
      <c r="L2412" s="1">
        <v>9876972</v>
      </c>
      <c r="M2412" s="2">
        <v>43047</v>
      </c>
      <c r="N2412" s="1" t="s">
        <v>8</v>
      </c>
      <c r="O2412" s="2">
        <v>44143</v>
      </c>
    </row>
    <row r="2413" spans="1:15" ht="28.8" x14ac:dyDescent="0.3">
      <c r="A2413" s="1" t="s">
        <v>7470</v>
      </c>
      <c r="B2413" s="1" t="str">
        <f>"PDM PROPERTY HOLDINGS LIMITED"</f>
        <v>PDM PROPERTY HOLDINGS LIMITED</v>
      </c>
      <c r="C2413" s="1" t="s">
        <v>7471</v>
      </c>
      <c r="F2413" s="1" t="s">
        <v>123</v>
      </c>
      <c r="H2413" s="1" t="s">
        <v>7472</v>
      </c>
      <c r="I2413" s="1" t="s">
        <v>19</v>
      </c>
      <c r="J2413" s="1" t="s">
        <v>6</v>
      </c>
      <c r="K2413" s="1" t="s">
        <v>34</v>
      </c>
      <c r="L2413" s="1">
        <v>3908861</v>
      </c>
      <c r="M2413" s="2">
        <v>43047</v>
      </c>
      <c r="N2413" s="1" t="s">
        <v>8</v>
      </c>
      <c r="O2413" s="2">
        <v>44143</v>
      </c>
    </row>
    <row r="2414" spans="1:15" ht="43.2" x14ac:dyDescent="0.3">
      <c r="A2414" s="1" t="s">
        <v>7473</v>
      </c>
      <c r="B2414" s="1" t="str">
        <f>"James Jones &amp; Sons "</f>
        <v xml:space="preserve">James Jones &amp; Sons </v>
      </c>
      <c r="C2414" s="1" t="s">
        <v>7474</v>
      </c>
      <c r="F2414" s="1" t="s">
        <v>532</v>
      </c>
      <c r="H2414" s="1" t="s">
        <v>7475</v>
      </c>
      <c r="I2414" s="1" t="s">
        <v>19</v>
      </c>
      <c r="J2414" s="1" t="s">
        <v>67</v>
      </c>
      <c r="K2414" s="1" t="s">
        <v>14</v>
      </c>
      <c r="M2414" s="2">
        <v>43047</v>
      </c>
      <c r="N2414" s="1" t="s">
        <v>8</v>
      </c>
      <c r="O2414" s="1" t="s">
        <v>68</v>
      </c>
    </row>
    <row r="2415" spans="1:15" ht="43.2" x14ac:dyDescent="0.3">
      <c r="A2415" s="1" t="s">
        <v>7476</v>
      </c>
      <c r="B2415" s="1" t="str">
        <f>"SHILLIBIERS LTD"</f>
        <v>SHILLIBIERS LTD</v>
      </c>
      <c r="C2415" s="1" t="s">
        <v>7477</v>
      </c>
      <c r="D2415" s="1" t="s">
        <v>564</v>
      </c>
      <c r="F2415" s="1" t="s">
        <v>179</v>
      </c>
      <c r="H2415" s="1" t="s">
        <v>7478</v>
      </c>
      <c r="I2415" s="1" t="s">
        <v>19</v>
      </c>
      <c r="J2415" s="1" t="s">
        <v>6</v>
      </c>
      <c r="K2415" s="1" t="s">
        <v>34</v>
      </c>
      <c r="L2415" s="1">
        <v>10439218</v>
      </c>
      <c r="M2415" s="2">
        <v>43047</v>
      </c>
      <c r="N2415" s="1" t="s">
        <v>8</v>
      </c>
      <c r="O2415" s="2">
        <v>44143</v>
      </c>
    </row>
    <row r="2416" spans="1:15" ht="28.8" x14ac:dyDescent="0.3">
      <c r="A2416" s="1" t="s">
        <v>7479</v>
      </c>
      <c r="B2416" s="1" t="str">
        <f>"B&amp;A Walker &amp; Sons"</f>
        <v>B&amp;A Walker &amp; Sons</v>
      </c>
      <c r="C2416" s="1" t="s">
        <v>7480</v>
      </c>
      <c r="F2416" s="1" t="s">
        <v>556</v>
      </c>
      <c r="H2416" s="1" t="s">
        <v>7481</v>
      </c>
      <c r="I2416" s="1" t="s">
        <v>125</v>
      </c>
      <c r="J2416" s="1" t="s">
        <v>6</v>
      </c>
      <c r="K2416" s="1" t="s">
        <v>24</v>
      </c>
      <c r="M2416" s="2">
        <v>43047</v>
      </c>
      <c r="N2416" s="1" t="s">
        <v>8</v>
      </c>
      <c r="O2416" s="2">
        <v>44157</v>
      </c>
    </row>
    <row r="2417" spans="1:15" ht="28.8" x14ac:dyDescent="0.3">
      <c r="A2417" s="1" t="s">
        <v>21600</v>
      </c>
      <c r="B2417" s="1" t="str">
        <f>"Adrian  Jones  Adrian Jones "</f>
        <v xml:space="preserve">Adrian  Jones  Adrian Jones </v>
      </c>
      <c r="C2417" s="1" t="s">
        <v>21601</v>
      </c>
      <c r="F2417" s="1" t="s">
        <v>555</v>
      </c>
      <c r="H2417" s="1" t="s">
        <v>21602</v>
      </c>
      <c r="I2417" s="1" t="s">
        <v>5</v>
      </c>
      <c r="J2417" s="1" t="s">
        <v>6</v>
      </c>
      <c r="K2417" s="1" t="s">
        <v>24</v>
      </c>
      <c r="M2417" s="2">
        <v>43047</v>
      </c>
      <c r="N2417" s="1" t="s">
        <v>8</v>
      </c>
      <c r="O2417" s="2">
        <v>44143</v>
      </c>
    </row>
    <row r="2418" spans="1:15" ht="43.2" x14ac:dyDescent="0.3">
      <c r="A2418" s="1" t="s">
        <v>21603</v>
      </c>
      <c r="B2418" s="1" t="str">
        <f>"STEVEN TUDOR TUDOR JAMES HOME IMPROVEMENTS"</f>
        <v>STEVEN TUDOR TUDOR JAMES HOME IMPROVEMENTS</v>
      </c>
      <c r="C2418" s="1" t="s">
        <v>21604</v>
      </c>
      <c r="F2418" s="1" t="s">
        <v>532</v>
      </c>
      <c r="H2418" s="1" t="s">
        <v>21605</v>
      </c>
      <c r="I2418" s="1" t="s">
        <v>5</v>
      </c>
      <c r="J2418" s="1" t="s">
        <v>6</v>
      </c>
      <c r="K2418" s="1" t="s">
        <v>34</v>
      </c>
      <c r="M2418" s="2">
        <v>43047</v>
      </c>
      <c r="N2418" s="1" t="s">
        <v>8</v>
      </c>
      <c r="O2418" s="2">
        <v>44143</v>
      </c>
    </row>
    <row r="2419" spans="1:15" ht="28.8" x14ac:dyDescent="0.3">
      <c r="A2419" s="1" t="s">
        <v>21606</v>
      </c>
      <c r="B2419" s="1" t="str">
        <f>"Neil JOnes EA &amp; NW Jones"</f>
        <v>Neil JOnes EA &amp; NW Jones</v>
      </c>
      <c r="C2419" s="1" t="s">
        <v>21607</v>
      </c>
      <c r="F2419" s="1" t="s">
        <v>1776</v>
      </c>
      <c r="H2419" s="1" t="s">
        <v>21608</v>
      </c>
      <c r="I2419" s="1" t="s">
        <v>5</v>
      </c>
      <c r="J2419" s="1" t="s">
        <v>6</v>
      </c>
      <c r="K2419" s="1" t="s">
        <v>24</v>
      </c>
      <c r="M2419" s="2">
        <v>43047</v>
      </c>
      <c r="N2419" s="1" t="s">
        <v>8</v>
      </c>
      <c r="O2419" s="2">
        <v>44143</v>
      </c>
    </row>
    <row r="2420" spans="1:15" ht="28.8" x14ac:dyDescent="0.3">
      <c r="A2420" s="1" t="s">
        <v>6407</v>
      </c>
      <c r="B2420" s="1" t="str">
        <f>"M &amp; P Electrical Ltd"</f>
        <v>M &amp; P Electrical Ltd</v>
      </c>
      <c r="C2420" s="1" t="s">
        <v>6408</v>
      </c>
      <c r="D2420" s="1" t="s">
        <v>640</v>
      </c>
      <c r="F2420" s="1" t="s">
        <v>641</v>
      </c>
      <c r="H2420" s="1" t="s">
        <v>6409</v>
      </c>
      <c r="I2420" s="1" t="s">
        <v>19</v>
      </c>
      <c r="J2420" s="1" t="s">
        <v>6</v>
      </c>
      <c r="K2420" s="1" t="s">
        <v>34</v>
      </c>
      <c r="L2420" s="1">
        <v>5886702</v>
      </c>
      <c r="M2420" s="2">
        <v>43046</v>
      </c>
      <c r="N2420" s="1" t="s">
        <v>8</v>
      </c>
      <c r="O2420" s="2">
        <v>44142</v>
      </c>
    </row>
    <row r="2421" spans="1:15" ht="43.2" x14ac:dyDescent="0.3">
      <c r="A2421" s="1" t="s">
        <v>6410</v>
      </c>
      <c r="B2421" s="1" t="str">
        <f>"Cymdeithas Gofal The Care Society"</f>
        <v>Cymdeithas Gofal The Care Society</v>
      </c>
      <c r="C2421" s="1" t="s">
        <v>6411</v>
      </c>
      <c r="F2421" s="1" t="s">
        <v>37</v>
      </c>
      <c r="H2421" s="1" t="s">
        <v>6412</v>
      </c>
      <c r="I2421" s="1" t="s">
        <v>1872</v>
      </c>
      <c r="J2421" s="1" t="s">
        <v>67</v>
      </c>
      <c r="K2421" s="1" t="s">
        <v>14</v>
      </c>
      <c r="M2421" s="2">
        <v>43046</v>
      </c>
      <c r="N2421" s="1" t="s">
        <v>8</v>
      </c>
      <c r="O2421" s="1" t="s">
        <v>68</v>
      </c>
    </row>
    <row r="2422" spans="1:15" ht="28.8" x14ac:dyDescent="0.3">
      <c r="A2422" s="1" t="s">
        <v>6413</v>
      </c>
      <c r="B2422" s="1" t="str">
        <f>"ABER WROUGHT IRON LIMITED"</f>
        <v>ABER WROUGHT IRON LIMITED</v>
      </c>
      <c r="C2422" s="1" t="s">
        <v>6414</v>
      </c>
      <c r="D2422" s="1" t="s">
        <v>6415</v>
      </c>
      <c r="F2422" s="1" t="s">
        <v>6416</v>
      </c>
      <c r="H2422" s="1" t="s">
        <v>6417</v>
      </c>
      <c r="I2422" s="1" t="s">
        <v>19</v>
      </c>
      <c r="J2422" s="1" t="s">
        <v>6</v>
      </c>
      <c r="K2422" s="1" t="s">
        <v>24</v>
      </c>
      <c r="L2422" s="1">
        <v>5337391</v>
      </c>
      <c r="M2422" s="2">
        <v>43046</v>
      </c>
      <c r="N2422" s="1" t="s">
        <v>8</v>
      </c>
      <c r="O2422" s="2">
        <v>44142</v>
      </c>
    </row>
    <row r="2423" spans="1:15" ht="43.2" x14ac:dyDescent="0.3">
      <c r="A2423" s="1" t="s">
        <v>6418</v>
      </c>
      <c r="B2423" s="1" t="str">
        <f>"Abbey Farm Caravan Park"</f>
        <v>Abbey Farm Caravan Park</v>
      </c>
      <c r="C2423" s="1" t="s">
        <v>6419</v>
      </c>
      <c r="F2423" s="1" t="s">
        <v>1888</v>
      </c>
      <c r="H2423" s="1" t="s">
        <v>6420</v>
      </c>
      <c r="I2423" s="1" t="s">
        <v>125</v>
      </c>
      <c r="J2423" s="1" t="s">
        <v>67</v>
      </c>
      <c r="K2423" s="1" t="s">
        <v>14</v>
      </c>
      <c r="M2423" s="2">
        <v>43046</v>
      </c>
      <c r="N2423" s="1" t="s">
        <v>8</v>
      </c>
      <c r="O2423" s="1" t="s">
        <v>68</v>
      </c>
    </row>
    <row r="2424" spans="1:15" ht="43.2" x14ac:dyDescent="0.3">
      <c r="A2424" s="1" t="s">
        <v>6421</v>
      </c>
      <c r="B2424" s="1" t="str">
        <f>"JRT Landscapes"</f>
        <v>JRT Landscapes</v>
      </c>
      <c r="C2424" s="1" t="s">
        <v>6422</v>
      </c>
      <c r="F2424" s="1" t="s">
        <v>64</v>
      </c>
      <c r="H2424" s="1" t="s">
        <v>6423</v>
      </c>
      <c r="I2424" s="1" t="s">
        <v>188</v>
      </c>
      <c r="J2424" s="1" t="s">
        <v>67</v>
      </c>
      <c r="K2424" s="1" t="s">
        <v>24</v>
      </c>
      <c r="M2424" s="2">
        <v>43046</v>
      </c>
      <c r="N2424" s="1" t="s">
        <v>8</v>
      </c>
      <c r="O2424" s="1" t="s">
        <v>68</v>
      </c>
    </row>
    <row r="2425" spans="1:15" ht="28.8" x14ac:dyDescent="0.3">
      <c r="A2425" s="1" t="s">
        <v>6424</v>
      </c>
      <c r="B2425" s="1" t="str">
        <f>"Contract Flooring Services"</f>
        <v>Contract Flooring Services</v>
      </c>
      <c r="C2425" s="1" t="s">
        <v>6425</v>
      </c>
      <c r="F2425" s="1" t="s">
        <v>179</v>
      </c>
      <c r="H2425" s="1" t="s">
        <v>6426</v>
      </c>
      <c r="I2425" s="1" t="s">
        <v>125</v>
      </c>
      <c r="J2425" s="1" t="s">
        <v>6</v>
      </c>
      <c r="K2425" s="1" t="s">
        <v>24</v>
      </c>
      <c r="M2425" s="2">
        <v>43046</v>
      </c>
      <c r="N2425" s="1" t="s">
        <v>8</v>
      </c>
      <c r="O2425" s="2">
        <v>44142</v>
      </c>
    </row>
    <row r="2426" spans="1:15" ht="28.8" x14ac:dyDescent="0.3">
      <c r="A2426" s="1" t="s">
        <v>6427</v>
      </c>
      <c r="B2426" s="1" t="str">
        <f>"FILSOBREIRA LTD"</f>
        <v>FILSOBREIRA LTD</v>
      </c>
      <c r="C2426" s="1" t="s">
        <v>6428</v>
      </c>
      <c r="F2426" s="1" t="s">
        <v>64</v>
      </c>
      <c r="H2426" s="1" t="s">
        <v>6429</v>
      </c>
      <c r="I2426" s="1" t="s">
        <v>19</v>
      </c>
      <c r="J2426" s="1" t="s">
        <v>6</v>
      </c>
      <c r="K2426" s="1" t="s">
        <v>34</v>
      </c>
      <c r="L2426" s="1">
        <v>9702544</v>
      </c>
      <c r="M2426" s="2">
        <v>43046</v>
      </c>
      <c r="N2426" s="1" t="s">
        <v>8</v>
      </c>
      <c r="O2426" s="2">
        <v>44142</v>
      </c>
    </row>
    <row r="2427" spans="1:15" ht="28.8" x14ac:dyDescent="0.3">
      <c r="A2427" s="1" t="s">
        <v>6430</v>
      </c>
      <c r="B2427" s="1" t="str">
        <f>"CITY DEVELOPMENTS (SWANSEA) LTD"</f>
        <v>CITY DEVELOPMENTS (SWANSEA) LTD</v>
      </c>
      <c r="C2427" s="1" t="s">
        <v>6431</v>
      </c>
      <c r="F2427" s="1" t="s">
        <v>64</v>
      </c>
      <c r="H2427" s="1" t="s">
        <v>6432</v>
      </c>
      <c r="I2427" s="1" t="s">
        <v>19</v>
      </c>
      <c r="J2427" s="1" t="s">
        <v>6</v>
      </c>
      <c r="K2427" s="1" t="s">
        <v>34</v>
      </c>
      <c r="L2427" s="1">
        <v>5491306</v>
      </c>
      <c r="M2427" s="2">
        <v>43046</v>
      </c>
      <c r="N2427" s="1" t="s">
        <v>8</v>
      </c>
      <c r="O2427" s="2">
        <v>44142</v>
      </c>
    </row>
    <row r="2428" spans="1:15" ht="28.8" x14ac:dyDescent="0.3">
      <c r="A2428" s="1" t="s">
        <v>6433</v>
      </c>
      <c r="B2428" s="1" t="str">
        <f>"ALLTWEN BUILDING SERVICES LIMITED"</f>
        <v>ALLTWEN BUILDING SERVICES LIMITED</v>
      </c>
      <c r="C2428" s="1" t="s">
        <v>6434</v>
      </c>
      <c r="F2428" s="1" t="s">
        <v>1525</v>
      </c>
      <c r="H2428" s="1" t="s">
        <v>6435</v>
      </c>
      <c r="I2428" s="1" t="s">
        <v>19</v>
      </c>
      <c r="J2428" s="1" t="s">
        <v>6</v>
      </c>
      <c r="K2428" s="1" t="s">
        <v>24</v>
      </c>
      <c r="L2428" s="1">
        <v>8169996</v>
      </c>
      <c r="M2428" s="2">
        <v>43046</v>
      </c>
      <c r="N2428" s="1" t="s">
        <v>8</v>
      </c>
      <c r="O2428" s="2">
        <v>44142</v>
      </c>
    </row>
    <row r="2429" spans="1:15" ht="43.2" x14ac:dyDescent="0.3">
      <c r="A2429" s="1" t="s">
        <v>7456</v>
      </c>
      <c r="B2429" s="1" t="str">
        <f>"R B Service &amp; Repair Ltd"</f>
        <v>R B Service &amp; Repair Ltd</v>
      </c>
      <c r="C2429" s="1" t="s">
        <v>7457</v>
      </c>
      <c r="D2429" s="1" t="s">
        <v>7458</v>
      </c>
      <c r="E2429" s="1" t="s">
        <v>7459</v>
      </c>
      <c r="F2429" s="1" t="s">
        <v>323</v>
      </c>
      <c r="H2429" s="1" t="s">
        <v>7460</v>
      </c>
      <c r="I2429" s="1" t="s">
        <v>19</v>
      </c>
      <c r="J2429" s="1" t="s">
        <v>67</v>
      </c>
      <c r="K2429" s="1" t="s">
        <v>14</v>
      </c>
      <c r="M2429" s="2">
        <v>43046</v>
      </c>
      <c r="N2429" s="1" t="s">
        <v>8</v>
      </c>
      <c r="O2429" s="1" t="s">
        <v>68</v>
      </c>
    </row>
    <row r="2430" spans="1:15" ht="43.2" x14ac:dyDescent="0.3">
      <c r="A2430" s="1" t="s">
        <v>20802</v>
      </c>
      <c r="B2430" s="1" t="str">
        <f>"William Davis"</f>
        <v>William Davis</v>
      </c>
      <c r="C2430" s="1" t="s">
        <v>20803</v>
      </c>
      <c r="F2430" s="1" t="s">
        <v>13292</v>
      </c>
      <c r="H2430" s="1" t="s">
        <v>20804</v>
      </c>
      <c r="I2430" s="1" t="s">
        <v>5</v>
      </c>
      <c r="J2430" s="1" t="s">
        <v>67</v>
      </c>
      <c r="K2430" s="1" t="s">
        <v>14</v>
      </c>
      <c r="M2430" s="2">
        <v>43046</v>
      </c>
      <c r="N2430" s="1" t="s">
        <v>8</v>
      </c>
      <c r="O2430" s="1" t="s">
        <v>68</v>
      </c>
    </row>
    <row r="2431" spans="1:15" ht="43.2" x14ac:dyDescent="0.3">
      <c r="A2431" s="1" t="s">
        <v>20805</v>
      </c>
      <c r="B2431" s="1" t="str">
        <f>"Philip Dearden"</f>
        <v>Philip Dearden</v>
      </c>
      <c r="C2431" s="1" t="s">
        <v>20806</v>
      </c>
      <c r="F2431" s="1" t="s">
        <v>476</v>
      </c>
      <c r="H2431" s="1" t="s">
        <v>20807</v>
      </c>
      <c r="I2431" s="1" t="s">
        <v>5</v>
      </c>
      <c r="J2431" s="1" t="s">
        <v>67</v>
      </c>
      <c r="K2431" s="1" t="s">
        <v>14</v>
      </c>
      <c r="M2431" s="2">
        <v>43046</v>
      </c>
      <c r="N2431" s="1" t="s">
        <v>8</v>
      </c>
      <c r="O2431" s="1" t="s">
        <v>68</v>
      </c>
    </row>
    <row r="2432" spans="1:15" ht="43.2" x14ac:dyDescent="0.3">
      <c r="A2432" s="1" t="s">
        <v>5188</v>
      </c>
      <c r="B2432" s="1" t="str">
        <f>"Julian Davies Opticians"</f>
        <v>Julian Davies Opticians</v>
      </c>
      <c r="C2432" s="1" t="s">
        <v>5189</v>
      </c>
      <c r="F2432" s="1" t="s">
        <v>123</v>
      </c>
      <c r="H2432" s="1" t="s">
        <v>5190</v>
      </c>
      <c r="I2432" s="1" t="s">
        <v>19</v>
      </c>
      <c r="J2432" s="1" t="s">
        <v>67</v>
      </c>
      <c r="K2432" s="1" t="s">
        <v>14</v>
      </c>
      <c r="M2432" s="2">
        <v>43045</v>
      </c>
      <c r="N2432" s="1" t="s">
        <v>8</v>
      </c>
      <c r="O2432" s="1" t="s">
        <v>68</v>
      </c>
    </row>
    <row r="2433" spans="1:15" ht="43.2" x14ac:dyDescent="0.3">
      <c r="A2433" s="1" t="s">
        <v>5191</v>
      </c>
      <c r="B2433" s="1" t="str">
        <f>"Julian Davies Opticians"</f>
        <v>Julian Davies Opticians</v>
      </c>
      <c r="C2433" s="1" t="s">
        <v>5192</v>
      </c>
      <c r="F2433" s="1" t="s">
        <v>2066</v>
      </c>
      <c r="H2433" s="1" t="s">
        <v>2448</v>
      </c>
      <c r="I2433" s="1" t="s">
        <v>19</v>
      </c>
      <c r="J2433" s="1" t="s">
        <v>67</v>
      </c>
      <c r="K2433" s="1" t="s">
        <v>14</v>
      </c>
      <c r="M2433" s="2">
        <v>43045</v>
      </c>
      <c r="N2433" s="1" t="s">
        <v>8</v>
      </c>
      <c r="O2433" s="1" t="s">
        <v>68</v>
      </c>
    </row>
    <row r="2434" spans="1:15" ht="43.2" x14ac:dyDescent="0.3">
      <c r="A2434" s="1" t="s">
        <v>5193</v>
      </c>
      <c r="B2434" s="1" t="str">
        <f>"julian davies opticians"</f>
        <v>julian davies opticians</v>
      </c>
      <c r="C2434" s="1" t="s">
        <v>5194</v>
      </c>
      <c r="F2434" s="1" t="s">
        <v>156</v>
      </c>
      <c r="H2434" s="1" t="s">
        <v>5195</v>
      </c>
      <c r="I2434" s="1" t="s">
        <v>19</v>
      </c>
      <c r="J2434" s="1" t="s">
        <v>67</v>
      </c>
      <c r="K2434" s="1" t="s">
        <v>14</v>
      </c>
      <c r="M2434" s="2">
        <v>43045</v>
      </c>
      <c r="N2434" s="1" t="s">
        <v>8</v>
      </c>
      <c r="O2434" s="1" t="s">
        <v>68</v>
      </c>
    </row>
    <row r="2435" spans="1:15" ht="43.2" x14ac:dyDescent="0.3">
      <c r="A2435" s="1" t="s">
        <v>5196</v>
      </c>
      <c r="B2435" s="1" t="str">
        <f>"P &amp; T LTD"</f>
        <v>P &amp; T LTD</v>
      </c>
      <c r="C2435" s="1" t="s">
        <v>5197</v>
      </c>
      <c r="D2435" s="1" t="s">
        <v>2523</v>
      </c>
      <c r="F2435" s="1" t="s">
        <v>64</v>
      </c>
      <c r="H2435" s="1" t="s">
        <v>889</v>
      </c>
      <c r="I2435" s="1" t="s">
        <v>19</v>
      </c>
      <c r="J2435" s="1" t="s">
        <v>67</v>
      </c>
      <c r="K2435" s="1" t="s">
        <v>24</v>
      </c>
      <c r="L2435" s="1">
        <v>7144454</v>
      </c>
      <c r="M2435" s="2">
        <v>43045</v>
      </c>
      <c r="N2435" s="1" t="s">
        <v>8</v>
      </c>
      <c r="O2435" s="1" t="s">
        <v>68</v>
      </c>
    </row>
    <row r="2436" spans="1:15" ht="43.2" x14ac:dyDescent="0.3">
      <c r="A2436" s="1" t="s">
        <v>5198</v>
      </c>
      <c r="B2436" s="1" t="str">
        <f>"High Torque Rope Access Solutions "</f>
        <v xml:space="preserve">High Torque Rope Access Solutions </v>
      </c>
      <c r="C2436" s="1" t="s">
        <v>5199</v>
      </c>
      <c r="F2436" s="1" t="s">
        <v>401</v>
      </c>
      <c r="H2436" s="1" t="s">
        <v>5200</v>
      </c>
      <c r="I2436" s="1" t="s">
        <v>19</v>
      </c>
      <c r="J2436" s="1" t="s">
        <v>67</v>
      </c>
      <c r="K2436" s="1" t="s">
        <v>14</v>
      </c>
      <c r="M2436" s="2">
        <v>43045</v>
      </c>
      <c r="N2436" s="1" t="s">
        <v>8</v>
      </c>
      <c r="O2436" s="1" t="s">
        <v>68</v>
      </c>
    </row>
    <row r="2437" spans="1:15" ht="28.8" x14ac:dyDescent="0.3">
      <c r="A2437" s="1" t="s">
        <v>6401</v>
      </c>
      <c r="B2437" s="1" t="str">
        <f>"Pramo Ltd"</f>
        <v>Pramo Ltd</v>
      </c>
      <c r="C2437" s="1" t="s">
        <v>6402</v>
      </c>
      <c r="F2437" s="1" t="s">
        <v>3930</v>
      </c>
      <c r="H2437" s="1" t="s">
        <v>6403</v>
      </c>
      <c r="I2437" s="1" t="s">
        <v>19</v>
      </c>
      <c r="J2437" s="1" t="s">
        <v>6</v>
      </c>
      <c r="K2437" s="1" t="s">
        <v>34</v>
      </c>
      <c r="L2437" s="1">
        <v>7547975</v>
      </c>
      <c r="M2437" s="2">
        <v>43045</v>
      </c>
      <c r="N2437" s="1" t="s">
        <v>8</v>
      </c>
      <c r="O2437" s="2">
        <v>44141</v>
      </c>
    </row>
    <row r="2438" spans="1:15" ht="28.8" x14ac:dyDescent="0.3">
      <c r="A2438" s="1" t="s">
        <v>6404</v>
      </c>
      <c r="B2438" s="1" t="str">
        <f>"RCB heating solutions LTD"</f>
        <v>RCB heating solutions LTD</v>
      </c>
      <c r="C2438" s="1" t="s">
        <v>6405</v>
      </c>
      <c r="F2438" s="1" t="s">
        <v>556</v>
      </c>
      <c r="H2438" s="1" t="s">
        <v>6406</v>
      </c>
      <c r="I2438" s="1" t="s">
        <v>19</v>
      </c>
      <c r="J2438" s="1" t="s">
        <v>6</v>
      </c>
      <c r="K2438" s="1" t="s">
        <v>24</v>
      </c>
      <c r="L2438" s="1">
        <v>10913848</v>
      </c>
      <c r="M2438" s="2">
        <v>43045</v>
      </c>
      <c r="N2438" s="1" t="s">
        <v>8</v>
      </c>
      <c r="O2438" s="2">
        <v>44141</v>
      </c>
    </row>
    <row r="2439" spans="1:15" ht="28.8" x14ac:dyDescent="0.3">
      <c r="A2439" s="1" t="s">
        <v>19995</v>
      </c>
      <c r="B2439" s="1" t="str">
        <f>"Paul Melville Cwmdu Skips"</f>
        <v>Paul Melville Cwmdu Skips</v>
      </c>
      <c r="C2439" s="1" t="s">
        <v>19996</v>
      </c>
      <c r="D2439" s="1" t="s">
        <v>4532</v>
      </c>
      <c r="E2439" s="1" t="s">
        <v>2635</v>
      </c>
      <c r="F2439" s="1" t="s">
        <v>64</v>
      </c>
      <c r="H2439" s="1" t="s">
        <v>19997</v>
      </c>
      <c r="I2439" s="1" t="s">
        <v>5</v>
      </c>
      <c r="J2439" s="1" t="s">
        <v>6</v>
      </c>
      <c r="K2439" s="1" t="s">
        <v>24</v>
      </c>
      <c r="M2439" s="2">
        <v>43045</v>
      </c>
      <c r="N2439" s="1" t="s">
        <v>8</v>
      </c>
      <c r="O2439" s="2">
        <v>44141</v>
      </c>
    </row>
    <row r="2440" spans="1:15" ht="43.2" x14ac:dyDescent="0.3">
      <c r="A2440" s="1" t="s">
        <v>19998</v>
      </c>
      <c r="B2440" s="1" t="str">
        <f>"David Morris"</f>
        <v>David Morris</v>
      </c>
      <c r="C2440" s="1" t="s">
        <v>19999</v>
      </c>
      <c r="F2440" s="1" t="s">
        <v>3337</v>
      </c>
      <c r="H2440" s="1" t="s">
        <v>20000</v>
      </c>
      <c r="I2440" s="1" t="s">
        <v>5</v>
      </c>
      <c r="J2440" s="1" t="s">
        <v>67</v>
      </c>
      <c r="K2440" s="1" t="s">
        <v>14</v>
      </c>
      <c r="M2440" s="2">
        <v>43045</v>
      </c>
      <c r="N2440" s="1" t="s">
        <v>8</v>
      </c>
      <c r="O2440" s="1" t="s">
        <v>68</v>
      </c>
    </row>
    <row r="2441" spans="1:15" ht="28.8" x14ac:dyDescent="0.3">
      <c r="A2441" s="1" t="s">
        <v>20001</v>
      </c>
      <c r="B2441" s="1" t="str">
        <f>"christopher sharpe chris sharpe"</f>
        <v>christopher sharpe chris sharpe</v>
      </c>
      <c r="C2441" s="1" t="s">
        <v>20002</v>
      </c>
      <c r="F2441" s="1" t="s">
        <v>1239</v>
      </c>
      <c r="H2441" s="1" t="s">
        <v>20003</v>
      </c>
      <c r="I2441" s="1" t="s">
        <v>5</v>
      </c>
      <c r="J2441" s="1" t="s">
        <v>6</v>
      </c>
      <c r="K2441" s="1" t="s">
        <v>24</v>
      </c>
      <c r="M2441" s="2">
        <v>43045</v>
      </c>
      <c r="N2441" s="1" t="s">
        <v>8</v>
      </c>
      <c r="O2441" s="2">
        <v>44141</v>
      </c>
    </row>
    <row r="2442" spans="1:15" ht="43.2" x14ac:dyDescent="0.3">
      <c r="A2442" s="1" t="s">
        <v>4088</v>
      </c>
      <c r="B2442" s="1" t="str">
        <f>"A M WILLIAMS PLUMBING &amp; HEATING LTD"</f>
        <v>A M WILLIAMS PLUMBING &amp; HEATING LTD</v>
      </c>
      <c r="C2442" s="1" t="s">
        <v>4089</v>
      </c>
      <c r="F2442" s="1" t="s">
        <v>1051</v>
      </c>
      <c r="H2442" s="1" t="s">
        <v>4090</v>
      </c>
      <c r="I2442" s="1" t="s">
        <v>19</v>
      </c>
      <c r="J2442" s="1" t="s">
        <v>6</v>
      </c>
      <c r="K2442" s="1" t="s">
        <v>34</v>
      </c>
      <c r="L2442" s="1">
        <v>11017707</v>
      </c>
      <c r="M2442" s="2">
        <v>43044</v>
      </c>
      <c r="N2442" s="1" t="s">
        <v>8</v>
      </c>
      <c r="O2442" s="2">
        <v>44140</v>
      </c>
    </row>
    <row r="2443" spans="1:15" ht="43.2" x14ac:dyDescent="0.3">
      <c r="A2443" s="1" t="s">
        <v>4091</v>
      </c>
      <c r="B2443" s="1" t="str">
        <f>"G w Lewis &amp; sons ltd"</f>
        <v>G w Lewis &amp; sons ltd</v>
      </c>
      <c r="C2443" s="1" t="s">
        <v>4092</v>
      </c>
      <c r="F2443" s="1" t="s">
        <v>720</v>
      </c>
      <c r="H2443" s="1" t="s">
        <v>4093</v>
      </c>
      <c r="I2443" s="1" t="s">
        <v>19</v>
      </c>
      <c r="J2443" s="1" t="s">
        <v>67</v>
      </c>
      <c r="K2443" s="1" t="s">
        <v>14</v>
      </c>
      <c r="M2443" s="2">
        <v>43044</v>
      </c>
      <c r="N2443" s="1" t="s">
        <v>8</v>
      </c>
      <c r="O2443" s="1" t="s">
        <v>68</v>
      </c>
    </row>
    <row r="2444" spans="1:15" ht="28.8" x14ac:dyDescent="0.3">
      <c r="A2444" s="1" t="s">
        <v>4080</v>
      </c>
      <c r="B2444" s="1" t="str">
        <f>"Meacher &amp; Associates Ltd"</f>
        <v>Meacher &amp; Associates Ltd</v>
      </c>
      <c r="C2444" s="1" t="s">
        <v>4081</v>
      </c>
      <c r="F2444" s="1" t="s">
        <v>4082</v>
      </c>
      <c r="H2444" s="1" t="s">
        <v>4083</v>
      </c>
      <c r="I2444" s="1" t="s">
        <v>19</v>
      </c>
      <c r="J2444" s="1" t="s">
        <v>6</v>
      </c>
      <c r="K2444" s="1" t="s">
        <v>34</v>
      </c>
      <c r="L2444" s="1">
        <v>6972419</v>
      </c>
      <c r="M2444" s="2">
        <v>43043</v>
      </c>
      <c r="N2444" s="1" t="s">
        <v>8</v>
      </c>
      <c r="O2444" s="2">
        <v>44139</v>
      </c>
    </row>
    <row r="2445" spans="1:15" ht="43.2" x14ac:dyDescent="0.3">
      <c r="A2445" s="1" t="s">
        <v>4084</v>
      </c>
      <c r="B2445" s="1" t="str">
        <f>"Gardener"</f>
        <v>Gardener</v>
      </c>
      <c r="C2445" s="1" t="s">
        <v>4085</v>
      </c>
      <c r="F2445" s="1" t="s">
        <v>4086</v>
      </c>
      <c r="H2445" s="1" t="s">
        <v>4087</v>
      </c>
      <c r="I2445" s="1" t="s">
        <v>188</v>
      </c>
      <c r="J2445" s="1" t="s">
        <v>67</v>
      </c>
      <c r="K2445" s="1" t="s">
        <v>14</v>
      </c>
      <c r="M2445" s="2">
        <v>43043</v>
      </c>
      <c r="N2445" s="1" t="s">
        <v>8</v>
      </c>
      <c r="O2445" s="1" t="s">
        <v>68</v>
      </c>
    </row>
    <row r="2446" spans="1:15" ht="57.6" x14ac:dyDescent="0.3">
      <c r="A2446" s="1" t="s">
        <v>4062</v>
      </c>
      <c r="B2446" s="1" t="str">
        <f>"WAREHOUSE &amp; INDUSTRIAL DEVELOPMENTS LIMITED"</f>
        <v>WAREHOUSE &amp; INDUSTRIAL DEVELOPMENTS LIMITED</v>
      </c>
      <c r="C2446" s="1" t="s">
        <v>4063</v>
      </c>
      <c r="F2446" s="1" t="s">
        <v>1638</v>
      </c>
      <c r="H2446" s="1" t="s">
        <v>4064</v>
      </c>
      <c r="I2446" s="1" t="s">
        <v>19</v>
      </c>
      <c r="J2446" s="1" t="s">
        <v>6</v>
      </c>
      <c r="K2446" s="1" t="s">
        <v>24</v>
      </c>
      <c r="L2446" s="1">
        <v>1902223</v>
      </c>
      <c r="M2446" s="2">
        <v>43042</v>
      </c>
      <c r="N2446" s="1" t="s">
        <v>8</v>
      </c>
      <c r="O2446" s="2">
        <v>44138</v>
      </c>
    </row>
    <row r="2447" spans="1:15" x14ac:dyDescent="0.3">
      <c r="A2447" s="1" t="s">
        <v>4065</v>
      </c>
      <c r="B2447" s="1" t="str">
        <f>"ECO OPERATIVE"</f>
        <v>ECO OPERATIVE</v>
      </c>
      <c r="C2447" s="1" t="s">
        <v>4066</v>
      </c>
      <c r="F2447" s="1" t="s">
        <v>532</v>
      </c>
      <c r="H2447" s="1" t="s">
        <v>4067</v>
      </c>
      <c r="I2447" s="1" t="s">
        <v>19</v>
      </c>
      <c r="J2447" s="1" t="s">
        <v>6</v>
      </c>
      <c r="K2447" s="1" t="s">
        <v>24</v>
      </c>
      <c r="L2447" s="1">
        <v>9174872</v>
      </c>
      <c r="M2447" s="2">
        <v>43042</v>
      </c>
      <c r="N2447" s="1" t="s">
        <v>8</v>
      </c>
      <c r="O2447" s="2">
        <v>44138</v>
      </c>
    </row>
    <row r="2448" spans="1:15" ht="43.2" x14ac:dyDescent="0.3">
      <c r="A2448" s="1" t="s">
        <v>4068</v>
      </c>
      <c r="B2448" s="1" t="str">
        <f>"CWR GROUNDS MAINTENANCE LTD"</f>
        <v>CWR GROUNDS MAINTENANCE LTD</v>
      </c>
      <c r="C2448" s="1" t="s">
        <v>4069</v>
      </c>
      <c r="D2448" s="1" t="s">
        <v>4070</v>
      </c>
      <c r="F2448" s="1" t="s">
        <v>358</v>
      </c>
      <c r="H2448" s="1" t="s">
        <v>4071</v>
      </c>
      <c r="I2448" s="1" t="s">
        <v>19</v>
      </c>
      <c r="J2448" s="1" t="s">
        <v>67</v>
      </c>
      <c r="K2448" s="1" t="s">
        <v>14</v>
      </c>
      <c r="M2448" s="2">
        <v>43042</v>
      </c>
      <c r="N2448" s="1" t="s">
        <v>8</v>
      </c>
      <c r="O2448" s="1" t="s">
        <v>68</v>
      </c>
    </row>
    <row r="2449" spans="1:15" ht="28.8" x14ac:dyDescent="0.3">
      <c r="A2449" s="1" t="s">
        <v>4072</v>
      </c>
      <c r="B2449" s="1" t="str">
        <f>"jolt plumbing heating and mechanica"</f>
        <v>jolt plumbing heating and mechanica</v>
      </c>
      <c r="C2449" s="1" t="s">
        <v>4073</v>
      </c>
      <c r="F2449" s="1" t="s">
        <v>4074</v>
      </c>
      <c r="H2449" s="1" t="s">
        <v>4075</v>
      </c>
      <c r="I2449" s="1" t="s">
        <v>19</v>
      </c>
      <c r="J2449" s="1" t="s">
        <v>6</v>
      </c>
      <c r="K2449" s="1" t="s">
        <v>34</v>
      </c>
      <c r="L2449" s="1">
        <v>6924263</v>
      </c>
      <c r="M2449" s="2">
        <v>43042</v>
      </c>
      <c r="N2449" s="1" t="s">
        <v>8</v>
      </c>
      <c r="O2449" s="2">
        <v>44138</v>
      </c>
    </row>
    <row r="2450" spans="1:15" ht="28.8" x14ac:dyDescent="0.3">
      <c r="A2450" s="1" t="s">
        <v>4076</v>
      </c>
      <c r="B2450" s="1" t="str">
        <f>"momentumreurbltd"</f>
        <v>momentumreurbltd</v>
      </c>
      <c r="C2450" s="1" t="s">
        <v>4077</v>
      </c>
      <c r="D2450" s="1" t="s">
        <v>4078</v>
      </c>
      <c r="F2450" s="1" t="s">
        <v>641</v>
      </c>
      <c r="H2450" s="1" t="s">
        <v>4079</v>
      </c>
      <c r="I2450" s="1" t="s">
        <v>125</v>
      </c>
      <c r="J2450" s="1" t="s">
        <v>6</v>
      </c>
      <c r="K2450" s="1" t="s">
        <v>24</v>
      </c>
      <c r="M2450" s="2">
        <v>43042</v>
      </c>
      <c r="N2450" s="1" t="s">
        <v>8</v>
      </c>
      <c r="O2450" s="2">
        <v>44138</v>
      </c>
    </row>
    <row r="2451" spans="1:15" ht="43.2" x14ac:dyDescent="0.3">
      <c r="A2451" s="1" t="s">
        <v>17774</v>
      </c>
      <c r="B2451" s="1" t="str">
        <f>"Protectorcomms Limited"</f>
        <v>Protectorcomms Limited</v>
      </c>
      <c r="C2451" s="1" t="s">
        <v>17775</v>
      </c>
      <c r="D2451" s="1" t="s">
        <v>17776</v>
      </c>
      <c r="E2451" s="1" t="s">
        <v>2079</v>
      </c>
      <c r="F2451" s="1" t="s">
        <v>1093</v>
      </c>
      <c r="H2451" s="1" t="s">
        <v>2080</v>
      </c>
      <c r="I2451" s="1" t="s">
        <v>19</v>
      </c>
      <c r="J2451" s="1" t="s">
        <v>67</v>
      </c>
      <c r="K2451" s="1" t="s">
        <v>14</v>
      </c>
      <c r="M2451" s="2">
        <v>43042</v>
      </c>
      <c r="N2451" s="1" t="s">
        <v>8</v>
      </c>
      <c r="O2451" s="1" t="s">
        <v>68</v>
      </c>
    </row>
    <row r="2452" spans="1:15" ht="28.8" x14ac:dyDescent="0.3">
      <c r="A2452" s="1" t="s">
        <v>19209</v>
      </c>
      <c r="B2452" s="1" t="str">
        <f>"Michael Jones Michael jones"</f>
        <v>Michael Jones Michael jones</v>
      </c>
      <c r="C2452" s="1" t="s">
        <v>19210</v>
      </c>
      <c r="F2452" s="1" t="s">
        <v>767</v>
      </c>
      <c r="H2452" s="1" t="s">
        <v>19211</v>
      </c>
      <c r="I2452" s="1" t="s">
        <v>5</v>
      </c>
      <c r="J2452" s="1" t="s">
        <v>6</v>
      </c>
      <c r="K2452" s="1" t="s">
        <v>24</v>
      </c>
      <c r="M2452" s="2">
        <v>43042</v>
      </c>
      <c r="N2452" s="1" t="s">
        <v>8</v>
      </c>
      <c r="O2452" s="2">
        <v>44138</v>
      </c>
    </row>
    <row r="2453" spans="1:15" ht="28.8" x14ac:dyDescent="0.3">
      <c r="A2453" s="1" t="s">
        <v>19212</v>
      </c>
      <c r="B2453" s="1" t="str">
        <f>"ANDREW JENKINS AD Jenkins Building"</f>
        <v>ANDREW JENKINS AD Jenkins Building</v>
      </c>
      <c r="C2453" s="1" t="s">
        <v>19213</v>
      </c>
      <c r="D2453" s="1" t="s">
        <v>596</v>
      </c>
      <c r="F2453" s="1" t="s">
        <v>64</v>
      </c>
      <c r="H2453" s="1" t="s">
        <v>19214</v>
      </c>
      <c r="I2453" s="1" t="s">
        <v>5</v>
      </c>
      <c r="J2453" s="1" t="s">
        <v>6</v>
      </c>
      <c r="K2453" s="1" t="s">
        <v>24</v>
      </c>
      <c r="M2453" s="2">
        <v>43042</v>
      </c>
      <c r="N2453" s="1" t="s">
        <v>8</v>
      </c>
      <c r="O2453" s="2">
        <v>44138</v>
      </c>
    </row>
    <row r="2454" spans="1:15" ht="28.8" x14ac:dyDescent="0.3">
      <c r="A2454" s="1" t="s">
        <v>29513</v>
      </c>
      <c r="B2454" s="1" t="str">
        <f>"Leigh Davies Leigh davies"</f>
        <v>Leigh Davies Leigh davies</v>
      </c>
      <c r="C2454" s="1" t="s">
        <v>29514</v>
      </c>
      <c r="F2454" s="1" t="s">
        <v>64</v>
      </c>
      <c r="H2454" s="1" t="s">
        <v>29515</v>
      </c>
      <c r="I2454" s="1" t="s">
        <v>5</v>
      </c>
      <c r="J2454" s="1" t="s">
        <v>6</v>
      </c>
      <c r="K2454" s="1" t="s">
        <v>24</v>
      </c>
      <c r="M2454" s="2">
        <v>43042</v>
      </c>
      <c r="N2454" s="1" t="s">
        <v>8</v>
      </c>
      <c r="O2454" s="2">
        <v>44138</v>
      </c>
    </row>
    <row r="2455" spans="1:15" ht="28.8" x14ac:dyDescent="0.3">
      <c r="A2455" s="1" t="s">
        <v>29516</v>
      </c>
      <c r="B2455" s="1" t="str">
        <f>"LEIGH LAVILLE P &amp; L REMOVALS"</f>
        <v>LEIGH LAVILLE P &amp; L REMOVALS</v>
      </c>
      <c r="C2455" s="1" t="s">
        <v>29517</v>
      </c>
      <c r="F2455" s="1" t="s">
        <v>491</v>
      </c>
      <c r="H2455" s="1" t="s">
        <v>29518</v>
      </c>
      <c r="I2455" s="1" t="s">
        <v>5</v>
      </c>
      <c r="J2455" s="1" t="s">
        <v>6</v>
      </c>
      <c r="K2455" s="1" t="s">
        <v>34</v>
      </c>
      <c r="M2455" s="2">
        <v>43042</v>
      </c>
      <c r="N2455" s="1" t="s">
        <v>8</v>
      </c>
      <c r="O2455" s="2">
        <v>44138</v>
      </c>
    </row>
    <row r="2456" spans="1:15" ht="43.2" x14ac:dyDescent="0.3">
      <c r="A2456" s="1" t="s">
        <v>16721</v>
      </c>
      <c r="B2456" s="1" t="str">
        <f>"S&amp;C Electric UK Holdings Ltd"</f>
        <v>S&amp;C Electric UK Holdings Ltd</v>
      </c>
      <c r="C2456" s="1" t="s">
        <v>16722</v>
      </c>
      <c r="D2456" s="1" t="s">
        <v>7353</v>
      </c>
      <c r="F2456" s="1" t="s">
        <v>32</v>
      </c>
      <c r="H2456" s="1" t="s">
        <v>15648</v>
      </c>
      <c r="I2456" s="1" t="s">
        <v>19</v>
      </c>
      <c r="J2456" s="1" t="s">
        <v>67</v>
      </c>
      <c r="K2456" s="1" t="s">
        <v>14</v>
      </c>
      <c r="M2456" s="2">
        <v>43041</v>
      </c>
      <c r="N2456" s="1" t="s">
        <v>8</v>
      </c>
      <c r="O2456" s="1" t="s">
        <v>68</v>
      </c>
    </row>
    <row r="2457" spans="1:15" ht="28.8" x14ac:dyDescent="0.3">
      <c r="A2457" s="1" t="s">
        <v>16723</v>
      </c>
      <c r="B2457" s="1" t="str">
        <f>"D &amp; E SCRAP METALS LIMITED"</f>
        <v>D &amp; E SCRAP METALS LIMITED</v>
      </c>
      <c r="C2457" s="1" t="s">
        <v>1919</v>
      </c>
      <c r="F2457" s="1" t="s">
        <v>156</v>
      </c>
      <c r="H2457" s="1" t="s">
        <v>1920</v>
      </c>
      <c r="I2457" s="1" t="s">
        <v>19</v>
      </c>
      <c r="J2457" s="1" t="s">
        <v>6</v>
      </c>
      <c r="K2457" s="1" t="s">
        <v>34</v>
      </c>
      <c r="L2457" s="1">
        <v>7916380</v>
      </c>
      <c r="M2457" s="2">
        <v>43041</v>
      </c>
      <c r="N2457" s="1" t="s">
        <v>8</v>
      </c>
      <c r="O2457" s="2">
        <v>44137</v>
      </c>
    </row>
    <row r="2458" spans="1:15" ht="28.8" x14ac:dyDescent="0.3">
      <c r="A2458" s="1" t="s">
        <v>16724</v>
      </c>
      <c r="B2458" s="1" t="str">
        <f>"EDWARDS ROOFING (NEWPORT) LIMITED"</f>
        <v>EDWARDS ROOFING (NEWPORT) LIMITED</v>
      </c>
      <c r="C2458" s="1" t="s">
        <v>16725</v>
      </c>
      <c r="F2458" s="1" t="s">
        <v>2773</v>
      </c>
      <c r="H2458" s="1" t="s">
        <v>2047</v>
      </c>
      <c r="I2458" s="1" t="s">
        <v>19</v>
      </c>
      <c r="J2458" s="1" t="s">
        <v>6</v>
      </c>
      <c r="K2458" s="1" t="s">
        <v>34</v>
      </c>
      <c r="L2458" s="1">
        <v>8046410</v>
      </c>
      <c r="M2458" s="2">
        <v>43041</v>
      </c>
      <c r="N2458" s="1" t="s">
        <v>8</v>
      </c>
      <c r="O2458" s="2">
        <v>44137</v>
      </c>
    </row>
    <row r="2459" spans="1:15" ht="43.2" x14ac:dyDescent="0.3">
      <c r="A2459" s="1" t="s">
        <v>16726</v>
      </c>
      <c r="B2459" s="1" t="str">
        <f>"Meddygfa "</f>
        <v xml:space="preserve">Meddygfa </v>
      </c>
      <c r="C2459" s="1" t="s">
        <v>16727</v>
      </c>
      <c r="F2459" s="1" t="s">
        <v>1584</v>
      </c>
      <c r="H2459" s="1" t="s">
        <v>16728</v>
      </c>
      <c r="I2459" s="1" t="s">
        <v>125</v>
      </c>
      <c r="J2459" s="1" t="s">
        <v>67</v>
      </c>
      <c r="K2459" s="1" t="s">
        <v>14</v>
      </c>
      <c r="M2459" s="2">
        <v>43041</v>
      </c>
      <c r="N2459" s="1" t="s">
        <v>8</v>
      </c>
      <c r="O2459" s="1" t="s">
        <v>68</v>
      </c>
    </row>
    <row r="2460" spans="1:15" ht="43.2" x14ac:dyDescent="0.3">
      <c r="A2460" s="1" t="s">
        <v>17764</v>
      </c>
      <c r="B2460" s="1" t="str">
        <f>"Iolo Jones &amp; Associates"</f>
        <v>Iolo Jones &amp; Associates</v>
      </c>
      <c r="C2460" s="1" t="s">
        <v>17765</v>
      </c>
      <c r="F2460" s="1" t="s">
        <v>1108</v>
      </c>
      <c r="H2460" s="1" t="s">
        <v>17766</v>
      </c>
      <c r="I2460" s="1" t="s">
        <v>188</v>
      </c>
      <c r="J2460" s="1" t="s">
        <v>67</v>
      </c>
      <c r="K2460" s="1" t="s">
        <v>14</v>
      </c>
      <c r="M2460" s="2">
        <v>43041</v>
      </c>
      <c r="N2460" s="1" t="s">
        <v>8</v>
      </c>
      <c r="O2460" s="1" t="s">
        <v>68</v>
      </c>
    </row>
    <row r="2461" spans="1:15" ht="43.2" x14ac:dyDescent="0.3">
      <c r="A2461" s="1" t="s">
        <v>17767</v>
      </c>
      <c r="B2461" s="1" t="str">
        <f>"JJP Heavy Haulage Ltd "</f>
        <v xml:space="preserve">JJP Heavy Haulage Ltd </v>
      </c>
      <c r="C2461" s="1" t="s">
        <v>17768</v>
      </c>
      <c r="D2461" s="1" t="s">
        <v>17769</v>
      </c>
      <c r="F2461" s="1" t="s">
        <v>5631</v>
      </c>
      <c r="H2461" s="1" t="s">
        <v>17770</v>
      </c>
      <c r="I2461" s="1" t="s">
        <v>19</v>
      </c>
      <c r="J2461" s="1" t="s">
        <v>67</v>
      </c>
      <c r="K2461" s="1" t="s">
        <v>14</v>
      </c>
      <c r="M2461" s="2">
        <v>43041</v>
      </c>
      <c r="N2461" s="1" t="s">
        <v>8</v>
      </c>
      <c r="O2461" s="1" t="s">
        <v>68</v>
      </c>
    </row>
    <row r="2462" spans="1:15" ht="28.8" x14ac:dyDescent="0.3">
      <c r="A2462" s="1" t="s">
        <v>17771</v>
      </c>
      <c r="B2462" s="1" t="str">
        <f>"Elite flooring wales ltd"</f>
        <v>Elite flooring wales ltd</v>
      </c>
      <c r="C2462" s="1" t="s">
        <v>17772</v>
      </c>
      <c r="F2462" s="1" t="s">
        <v>64</v>
      </c>
      <c r="H2462" s="1" t="s">
        <v>17773</v>
      </c>
      <c r="I2462" s="1" t="s">
        <v>19</v>
      </c>
      <c r="J2462" s="1" t="s">
        <v>6</v>
      </c>
      <c r="K2462" s="1" t="s">
        <v>24</v>
      </c>
      <c r="L2462" s="1">
        <v>10885914</v>
      </c>
      <c r="M2462" s="2">
        <v>43041</v>
      </c>
      <c r="N2462" s="1" t="s">
        <v>8</v>
      </c>
      <c r="O2462" s="2">
        <v>44137</v>
      </c>
    </row>
    <row r="2463" spans="1:15" ht="28.8" x14ac:dyDescent="0.3">
      <c r="A2463" s="1" t="s">
        <v>28749</v>
      </c>
      <c r="B2463" s="1" t="str">
        <f>"Matthew Klemencic Electrical Estimates"</f>
        <v>Matthew Klemencic Electrical Estimates</v>
      </c>
      <c r="C2463" s="1" t="s">
        <v>28750</v>
      </c>
      <c r="F2463" s="1" t="s">
        <v>37</v>
      </c>
      <c r="H2463" s="1" t="s">
        <v>28751</v>
      </c>
      <c r="I2463" s="1" t="s">
        <v>5</v>
      </c>
      <c r="J2463" s="1" t="s">
        <v>6</v>
      </c>
      <c r="K2463" s="1" t="s">
        <v>34</v>
      </c>
      <c r="M2463" s="2">
        <v>43041</v>
      </c>
      <c r="N2463" s="1" t="s">
        <v>8</v>
      </c>
      <c r="O2463" s="2">
        <v>44137</v>
      </c>
    </row>
    <row r="2464" spans="1:15" ht="43.2" x14ac:dyDescent="0.3">
      <c r="A2464" s="1" t="s">
        <v>28752</v>
      </c>
      <c r="B2464" s="1" t="str">
        <f>"Martin Pooley"</f>
        <v>Martin Pooley</v>
      </c>
      <c r="C2464" s="1" t="s">
        <v>28753</v>
      </c>
      <c r="F2464" s="1" t="s">
        <v>491</v>
      </c>
      <c r="H2464" s="1" t="s">
        <v>28754</v>
      </c>
      <c r="I2464" s="1" t="s">
        <v>5</v>
      </c>
      <c r="J2464" s="1" t="s">
        <v>67</v>
      </c>
      <c r="K2464" s="1" t="s">
        <v>14</v>
      </c>
      <c r="M2464" s="2">
        <v>43041</v>
      </c>
      <c r="N2464" s="1" t="s">
        <v>8</v>
      </c>
      <c r="O2464" s="1" t="s">
        <v>68</v>
      </c>
    </row>
    <row r="2465" spans="1:15" ht="43.2" x14ac:dyDescent="0.3">
      <c r="A2465" s="1" t="s">
        <v>29506</v>
      </c>
      <c r="B2465" s="1" t="str">
        <f>"Paul Waite-Jones"</f>
        <v>Paul Waite-Jones</v>
      </c>
      <c r="C2465" s="1" t="s">
        <v>20052</v>
      </c>
      <c r="D2465" s="1" t="s">
        <v>20053</v>
      </c>
      <c r="F2465" s="1" t="s">
        <v>2686</v>
      </c>
      <c r="H2465" s="1" t="s">
        <v>20054</v>
      </c>
      <c r="I2465" s="1" t="s">
        <v>5</v>
      </c>
      <c r="J2465" s="1" t="s">
        <v>67</v>
      </c>
      <c r="K2465" s="1" t="s">
        <v>14</v>
      </c>
      <c r="M2465" s="2">
        <v>43041</v>
      </c>
      <c r="N2465" s="1" t="s">
        <v>8</v>
      </c>
      <c r="O2465" s="1" t="s">
        <v>68</v>
      </c>
    </row>
    <row r="2466" spans="1:15" ht="43.2" x14ac:dyDescent="0.3">
      <c r="A2466" s="1" t="s">
        <v>29507</v>
      </c>
      <c r="B2466" s="1" t="str">
        <f>"MARK  EVANS"</f>
        <v>MARK  EVANS</v>
      </c>
      <c r="C2466" s="1" t="s">
        <v>29508</v>
      </c>
      <c r="F2466" s="1" t="s">
        <v>3684</v>
      </c>
      <c r="H2466" s="1" t="s">
        <v>29509</v>
      </c>
      <c r="I2466" s="1" t="s">
        <v>5</v>
      </c>
      <c r="J2466" s="1" t="s">
        <v>67</v>
      </c>
      <c r="K2466" s="1" t="s">
        <v>14</v>
      </c>
      <c r="M2466" s="2">
        <v>43041</v>
      </c>
      <c r="N2466" s="1" t="s">
        <v>8</v>
      </c>
      <c r="O2466" s="1" t="s">
        <v>68</v>
      </c>
    </row>
    <row r="2467" spans="1:15" ht="28.8" x14ac:dyDescent="0.3">
      <c r="A2467" s="1" t="s">
        <v>29510</v>
      </c>
      <c r="B2467" s="1" t="str">
        <f>"BRIAN THORNE J.A.B Plastering"</f>
        <v>BRIAN THORNE J.A.B Plastering</v>
      </c>
      <c r="C2467" s="1" t="s">
        <v>29511</v>
      </c>
      <c r="F2467" s="1" t="s">
        <v>64</v>
      </c>
      <c r="H2467" s="1" t="s">
        <v>29512</v>
      </c>
      <c r="I2467" s="1" t="s">
        <v>5</v>
      </c>
      <c r="J2467" s="1" t="s">
        <v>6</v>
      </c>
      <c r="K2467" s="1" t="s">
        <v>24</v>
      </c>
      <c r="M2467" s="2">
        <v>43041</v>
      </c>
      <c r="N2467" s="1" t="s">
        <v>8</v>
      </c>
      <c r="O2467" s="2">
        <v>44137</v>
      </c>
    </row>
    <row r="2468" spans="1:15" ht="28.8" x14ac:dyDescent="0.3">
      <c r="A2468" s="1" t="s">
        <v>15727</v>
      </c>
      <c r="B2468" s="1" t="str">
        <f>"Flintshire Windows Ltd."</f>
        <v>Flintshire Windows Ltd.</v>
      </c>
      <c r="C2468" s="1" t="s">
        <v>15728</v>
      </c>
      <c r="F2468" s="1" t="s">
        <v>2686</v>
      </c>
      <c r="H2468" s="1" t="s">
        <v>6014</v>
      </c>
      <c r="I2468" s="1" t="s">
        <v>19</v>
      </c>
      <c r="J2468" s="1" t="s">
        <v>6</v>
      </c>
      <c r="K2468" s="1" t="s">
        <v>24</v>
      </c>
      <c r="L2468" s="1">
        <v>4688528</v>
      </c>
      <c r="M2468" s="2">
        <v>43040</v>
      </c>
      <c r="N2468" s="1" t="s">
        <v>8</v>
      </c>
      <c r="O2468" s="2">
        <v>44136</v>
      </c>
    </row>
    <row r="2469" spans="1:15" ht="28.8" x14ac:dyDescent="0.3">
      <c r="A2469" s="1" t="s">
        <v>15729</v>
      </c>
      <c r="B2469" s="1" t="str">
        <f>"A Wootton Heating Services"</f>
        <v>A Wootton Heating Services</v>
      </c>
      <c r="C2469" s="1" t="s">
        <v>15730</v>
      </c>
      <c r="F2469" s="1" t="s">
        <v>156</v>
      </c>
      <c r="H2469" s="1" t="s">
        <v>15731</v>
      </c>
      <c r="I2469" s="1" t="s">
        <v>19</v>
      </c>
      <c r="J2469" s="1" t="s">
        <v>6</v>
      </c>
      <c r="K2469" s="1" t="s">
        <v>24</v>
      </c>
      <c r="L2469" s="1">
        <v>4085160</v>
      </c>
      <c r="M2469" s="2">
        <v>43040</v>
      </c>
      <c r="N2469" s="1" t="s">
        <v>8</v>
      </c>
      <c r="O2469" s="2">
        <v>44136</v>
      </c>
    </row>
    <row r="2470" spans="1:15" ht="28.8" x14ac:dyDescent="0.3">
      <c r="A2470" s="1" t="s">
        <v>16714</v>
      </c>
      <c r="B2470" s="1" t="str">
        <f>"TR33 LIMITED"</f>
        <v>TR33 LIMITED</v>
      </c>
      <c r="C2470" s="1" t="s">
        <v>16715</v>
      </c>
      <c r="F2470" s="1" t="s">
        <v>123</v>
      </c>
      <c r="H2470" s="1" t="s">
        <v>16716</v>
      </c>
      <c r="I2470" s="1" t="s">
        <v>19</v>
      </c>
      <c r="J2470" s="1" t="s">
        <v>6</v>
      </c>
      <c r="K2470" s="1" t="s">
        <v>24</v>
      </c>
      <c r="L2470" s="1">
        <v>6399991</v>
      </c>
      <c r="M2470" s="2">
        <v>43040</v>
      </c>
      <c r="N2470" s="1" t="s">
        <v>8</v>
      </c>
      <c r="O2470" s="2">
        <v>44136</v>
      </c>
    </row>
    <row r="2471" spans="1:15" ht="43.2" x14ac:dyDescent="0.3">
      <c r="A2471" s="1" t="s">
        <v>16717</v>
      </c>
      <c r="B2471" s="1" t="str">
        <f>"Autocrafts Services Ltd"</f>
        <v>Autocrafts Services Ltd</v>
      </c>
      <c r="C2471" s="1" t="s">
        <v>16718</v>
      </c>
      <c r="D2471" s="1" t="s">
        <v>4237</v>
      </c>
      <c r="E2471" s="1" t="s">
        <v>16719</v>
      </c>
      <c r="F2471" s="1" t="s">
        <v>8904</v>
      </c>
      <c r="H2471" s="1" t="s">
        <v>16720</v>
      </c>
      <c r="I2471" s="1" t="s">
        <v>19</v>
      </c>
      <c r="J2471" s="1" t="s">
        <v>67</v>
      </c>
      <c r="K2471" s="1" t="s">
        <v>14</v>
      </c>
      <c r="M2471" s="2">
        <v>43040</v>
      </c>
      <c r="N2471" s="1" t="s">
        <v>8</v>
      </c>
      <c r="O2471" s="1" t="s">
        <v>68</v>
      </c>
    </row>
    <row r="2472" spans="1:15" ht="28.8" x14ac:dyDescent="0.3">
      <c r="A2472" s="1" t="s">
        <v>28740</v>
      </c>
      <c r="B2472" s="1" t="str">
        <f>"Richard Williams Richard Williams"</f>
        <v>Richard Williams Richard Williams</v>
      </c>
      <c r="C2472" s="1" t="s">
        <v>28741</v>
      </c>
      <c r="F2472" s="1" t="s">
        <v>1880</v>
      </c>
      <c r="H2472" s="1" t="s">
        <v>28742</v>
      </c>
      <c r="I2472" s="1" t="s">
        <v>5</v>
      </c>
      <c r="J2472" s="1" t="s">
        <v>6</v>
      </c>
      <c r="K2472" s="1" t="s">
        <v>24</v>
      </c>
      <c r="M2472" s="2">
        <v>43040</v>
      </c>
      <c r="N2472" s="1" t="s">
        <v>8</v>
      </c>
      <c r="O2472" s="2">
        <v>44136</v>
      </c>
    </row>
    <row r="2473" spans="1:15" ht="28.8" x14ac:dyDescent="0.3">
      <c r="A2473" s="1" t="s">
        <v>28743</v>
      </c>
      <c r="B2473" s="1" t="str">
        <f>"Gwyn Roberts Gwyn Roberts"</f>
        <v>Gwyn Roberts Gwyn Roberts</v>
      </c>
      <c r="C2473" s="1" t="s">
        <v>28744</v>
      </c>
      <c r="F2473" s="1" t="s">
        <v>374</v>
      </c>
      <c r="H2473" s="1" t="s">
        <v>16584</v>
      </c>
      <c r="I2473" s="1" t="s">
        <v>5</v>
      </c>
      <c r="J2473" s="1" t="s">
        <v>6</v>
      </c>
      <c r="K2473" s="1" t="s">
        <v>24</v>
      </c>
      <c r="M2473" s="2">
        <v>43040</v>
      </c>
      <c r="N2473" s="1" t="s">
        <v>8</v>
      </c>
      <c r="O2473" s="2">
        <v>44136</v>
      </c>
    </row>
    <row r="2474" spans="1:15" ht="43.2" x14ac:dyDescent="0.3">
      <c r="A2474" s="1" t="s">
        <v>28745</v>
      </c>
      <c r="B2474" s="1" t="str">
        <f>"Alireza  Vaezifard "</f>
        <v xml:space="preserve">Alireza  Vaezifard </v>
      </c>
      <c r="C2474" s="1" t="s">
        <v>28746</v>
      </c>
      <c r="D2474" s="1" t="s">
        <v>28747</v>
      </c>
      <c r="F2474" s="1" t="s">
        <v>170</v>
      </c>
      <c r="H2474" s="1" t="s">
        <v>28748</v>
      </c>
      <c r="I2474" s="1" t="s">
        <v>5</v>
      </c>
      <c r="J2474" s="1" t="s">
        <v>67</v>
      </c>
      <c r="K2474" s="1" t="s">
        <v>14</v>
      </c>
      <c r="M2474" s="2">
        <v>43040</v>
      </c>
      <c r="N2474" s="1" t="s">
        <v>8</v>
      </c>
      <c r="O2474" s="1" t="s">
        <v>68</v>
      </c>
    </row>
    <row r="2475" spans="1:15" ht="43.2" x14ac:dyDescent="0.3">
      <c r="A2475" s="1" t="s">
        <v>15714</v>
      </c>
      <c r="B2475" s="1" t="str">
        <f>"E TEAM LTD"</f>
        <v>E TEAM LTD</v>
      </c>
      <c r="C2475" s="1" t="s">
        <v>15715</v>
      </c>
      <c r="D2475" s="1" t="s">
        <v>4123</v>
      </c>
      <c r="F2475" s="1" t="s">
        <v>42</v>
      </c>
      <c r="H2475" s="1" t="s">
        <v>4124</v>
      </c>
      <c r="I2475" s="1" t="s">
        <v>19</v>
      </c>
      <c r="J2475" s="1" t="s">
        <v>6</v>
      </c>
      <c r="K2475" s="1" t="s">
        <v>34</v>
      </c>
      <c r="L2475" s="1">
        <v>7795184</v>
      </c>
      <c r="M2475" s="2">
        <v>43039</v>
      </c>
      <c r="N2475" s="1" t="s">
        <v>8</v>
      </c>
      <c r="O2475" s="2">
        <v>44135</v>
      </c>
    </row>
    <row r="2476" spans="1:15" ht="43.2" x14ac:dyDescent="0.3">
      <c r="A2476" s="1" t="s">
        <v>15716</v>
      </c>
      <c r="B2476" s="1" t="str">
        <f>"TONYPANDY INDUSTRIAL ROOFING &amp; CLADDING"</f>
        <v>TONYPANDY INDUSTRIAL ROOFING &amp; CLADDING</v>
      </c>
      <c r="C2476" s="1" t="s">
        <v>15717</v>
      </c>
      <c r="F2476" s="1" t="s">
        <v>457</v>
      </c>
      <c r="H2476" s="1" t="s">
        <v>15718</v>
      </c>
      <c r="I2476" s="1" t="s">
        <v>19</v>
      </c>
      <c r="J2476" s="1" t="s">
        <v>6</v>
      </c>
      <c r="K2476" s="1" t="s">
        <v>24</v>
      </c>
      <c r="L2476" s="1">
        <v>4608658</v>
      </c>
      <c r="M2476" s="2">
        <v>43039</v>
      </c>
      <c r="N2476" s="1" t="s">
        <v>8</v>
      </c>
      <c r="O2476" s="2">
        <v>44135</v>
      </c>
    </row>
    <row r="2477" spans="1:15" ht="28.8" x14ac:dyDescent="0.3">
      <c r="A2477" s="1" t="s">
        <v>15719</v>
      </c>
      <c r="B2477" s="1" t="str">
        <f>"STUART EVANS"</f>
        <v>STUART EVANS</v>
      </c>
      <c r="C2477" s="1" t="s">
        <v>15720</v>
      </c>
      <c r="F2477" s="1" t="s">
        <v>665</v>
      </c>
      <c r="H2477" s="1" t="s">
        <v>15721</v>
      </c>
      <c r="I2477" s="1" t="s">
        <v>5</v>
      </c>
      <c r="J2477" s="1" t="s">
        <v>6</v>
      </c>
      <c r="K2477" s="1" t="s">
        <v>24</v>
      </c>
      <c r="M2477" s="2">
        <v>43039</v>
      </c>
      <c r="N2477" s="1" t="s">
        <v>8</v>
      </c>
      <c r="O2477" s="2">
        <v>44135</v>
      </c>
    </row>
    <row r="2478" spans="1:15" ht="28.8" x14ac:dyDescent="0.3">
      <c r="A2478" s="1" t="s">
        <v>15722</v>
      </c>
      <c r="B2478" s="1" t="str">
        <f>"Hartley and Parry Developments"</f>
        <v>Hartley and Parry Developments</v>
      </c>
      <c r="C2478" s="1" t="s">
        <v>15723</v>
      </c>
      <c r="D2478" s="1" t="s">
        <v>5334</v>
      </c>
      <c r="E2478" s="1" t="s">
        <v>4301</v>
      </c>
      <c r="F2478" s="1" t="s">
        <v>585</v>
      </c>
      <c r="H2478" s="1" t="s">
        <v>15724</v>
      </c>
      <c r="I2478" s="1" t="s">
        <v>19</v>
      </c>
      <c r="J2478" s="1" t="s">
        <v>6</v>
      </c>
      <c r="K2478" s="1" t="s">
        <v>34</v>
      </c>
      <c r="L2478" s="1">
        <v>8226947</v>
      </c>
      <c r="M2478" s="2">
        <v>43039</v>
      </c>
      <c r="N2478" s="1" t="s">
        <v>8</v>
      </c>
      <c r="O2478" s="2">
        <v>44135</v>
      </c>
    </row>
    <row r="2479" spans="1:15" ht="43.2" x14ac:dyDescent="0.3">
      <c r="A2479" s="1" t="s">
        <v>15725</v>
      </c>
      <c r="B2479" s="1" t="str">
        <f>"Cadog surgery"</f>
        <v>Cadog surgery</v>
      </c>
      <c r="C2479" s="1" t="s">
        <v>3468</v>
      </c>
      <c r="F2479" s="1" t="s">
        <v>6881</v>
      </c>
      <c r="H2479" s="1" t="s">
        <v>15726</v>
      </c>
      <c r="I2479" s="1" t="s">
        <v>125</v>
      </c>
      <c r="J2479" s="1" t="s">
        <v>67</v>
      </c>
      <c r="K2479" s="1" t="s">
        <v>14</v>
      </c>
      <c r="M2479" s="2">
        <v>43039</v>
      </c>
      <c r="N2479" s="1" t="s">
        <v>8</v>
      </c>
      <c r="O2479" s="1" t="s">
        <v>68</v>
      </c>
    </row>
    <row r="2480" spans="1:15" ht="28.8" x14ac:dyDescent="0.3">
      <c r="A2480" s="1" t="s">
        <v>27950</v>
      </c>
      <c r="B2480" s="1" t="str">
        <f>"Ceri  Owen  Ceri Owen"</f>
        <v>Ceri  Owen  Ceri Owen</v>
      </c>
      <c r="C2480" s="1" t="s">
        <v>27951</v>
      </c>
      <c r="F2480" s="1" t="s">
        <v>123</v>
      </c>
      <c r="H2480" s="1" t="s">
        <v>27952</v>
      </c>
      <c r="I2480" s="1" t="s">
        <v>5</v>
      </c>
      <c r="J2480" s="1" t="s">
        <v>6</v>
      </c>
      <c r="K2480" s="1" t="s">
        <v>34</v>
      </c>
      <c r="M2480" s="2">
        <v>43039</v>
      </c>
      <c r="N2480" s="1" t="s">
        <v>8</v>
      </c>
      <c r="O2480" s="2">
        <v>44155</v>
      </c>
    </row>
    <row r="2481" spans="1:15" ht="43.2" x14ac:dyDescent="0.3">
      <c r="A2481" s="1" t="s">
        <v>27953</v>
      </c>
      <c r="B2481" s="1" t="str">
        <f>"kenneth leech Kingfisher Property Solutions"</f>
        <v>kenneth leech Kingfisher Property Solutions</v>
      </c>
      <c r="C2481" s="1" t="s">
        <v>27954</v>
      </c>
      <c r="F2481" s="1" t="s">
        <v>476</v>
      </c>
      <c r="H2481" s="1" t="s">
        <v>27955</v>
      </c>
      <c r="I2481" s="1" t="s">
        <v>5</v>
      </c>
      <c r="J2481" s="1" t="s">
        <v>6</v>
      </c>
      <c r="K2481" s="1" t="s">
        <v>24</v>
      </c>
      <c r="M2481" s="2">
        <v>43039</v>
      </c>
      <c r="N2481" s="1" t="s">
        <v>8</v>
      </c>
      <c r="O2481" s="2">
        <v>44135</v>
      </c>
    </row>
    <row r="2482" spans="1:15" ht="43.2" x14ac:dyDescent="0.3">
      <c r="A2482" s="1" t="s">
        <v>27956</v>
      </c>
      <c r="B2482" s="1" t="str">
        <f>"Leonard Gheorghe"</f>
        <v>Leonard Gheorghe</v>
      </c>
      <c r="C2482" s="1" t="s">
        <v>27957</v>
      </c>
      <c r="F2482" s="1" t="s">
        <v>5350</v>
      </c>
      <c r="H2482" s="1" t="s">
        <v>27958</v>
      </c>
      <c r="I2482" s="1" t="s">
        <v>5</v>
      </c>
      <c r="J2482" s="1" t="s">
        <v>67</v>
      </c>
      <c r="K2482" s="1" t="s">
        <v>14</v>
      </c>
      <c r="M2482" s="2">
        <v>43039</v>
      </c>
      <c r="N2482" s="1" t="s">
        <v>8</v>
      </c>
      <c r="O2482" s="1" t="s">
        <v>68</v>
      </c>
    </row>
    <row r="2483" spans="1:15" ht="43.2" x14ac:dyDescent="0.3">
      <c r="A2483" s="1" t="s">
        <v>27959</v>
      </c>
      <c r="B2483" s="1" t="str">
        <f>"John Rhys Jenkins RENOV8 PROPERTY SERVICES"</f>
        <v>John Rhys Jenkins RENOV8 PROPERTY SERVICES</v>
      </c>
      <c r="C2483" s="1" t="s">
        <v>15720</v>
      </c>
      <c r="F2483" s="1" t="s">
        <v>665</v>
      </c>
      <c r="H2483" s="1" t="s">
        <v>15721</v>
      </c>
      <c r="I2483" s="1" t="s">
        <v>5</v>
      </c>
      <c r="J2483" s="1" t="s">
        <v>6</v>
      </c>
      <c r="K2483" s="1" t="s">
        <v>24</v>
      </c>
      <c r="M2483" s="2">
        <v>43039</v>
      </c>
      <c r="N2483" s="1" t="s">
        <v>8</v>
      </c>
      <c r="O2483" s="2">
        <v>44135</v>
      </c>
    </row>
    <row r="2484" spans="1:15" ht="43.2" x14ac:dyDescent="0.3">
      <c r="A2484" s="1" t="s">
        <v>27960</v>
      </c>
      <c r="B2484" s="1" t="str">
        <f>"Steven  Evans"</f>
        <v>Steven  Evans</v>
      </c>
      <c r="C2484" s="1" t="s">
        <v>27961</v>
      </c>
      <c r="F2484" s="1" t="s">
        <v>710</v>
      </c>
      <c r="H2484" s="1" t="s">
        <v>8316</v>
      </c>
      <c r="I2484" s="1" t="s">
        <v>5</v>
      </c>
      <c r="J2484" s="1" t="s">
        <v>67</v>
      </c>
      <c r="K2484" s="1" t="s">
        <v>14</v>
      </c>
      <c r="M2484" s="2">
        <v>43039</v>
      </c>
      <c r="N2484" s="1" t="s">
        <v>8</v>
      </c>
      <c r="O2484" s="1" t="s">
        <v>68</v>
      </c>
    </row>
    <row r="2485" spans="1:15" ht="43.2" x14ac:dyDescent="0.3">
      <c r="A2485" s="1" t="s">
        <v>27962</v>
      </c>
      <c r="B2485" s="1" t="str">
        <f>"NICHOLAS ROBERTS Wnion Contractors A Plant"</f>
        <v>NICHOLAS ROBERTS Wnion Contractors A Plant</v>
      </c>
      <c r="C2485" s="1" t="s">
        <v>27963</v>
      </c>
      <c r="F2485" s="1" t="s">
        <v>1400</v>
      </c>
      <c r="H2485" s="1" t="s">
        <v>27964</v>
      </c>
      <c r="I2485" s="1" t="s">
        <v>5</v>
      </c>
      <c r="J2485" s="1" t="s">
        <v>6</v>
      </c>
      <c r="K2485" s="1" t="s">
        <v>34</v>
      </c>
      <c r="M2485" s="2">
        <v>43039</v>
      </c>
      <c r="N2485" s="1" t="s">
        <v>8</v>
      </c>
      <c r="O2485" s="2">
        <v>44135</v>
      </c>
    </row>
    <row r="2486" spans="1:15" ht="43.2" x14ac:dyDescent="0.3">
      <c r="A2486" s="1" t="s">
        <v>14788</v>
      </c>
      <c r="B2486" s="1" t="str">
        <f>"57 Tyres Ltd"</f>
        <v>57 Tyres Ltd</v>
      </c>
      <c r="C2486" s="1" t="s">
        <v>14789</v>
      </c>
      <c r="F2486" s="1" t="s">
        <v>156</v>
      </c>
      <c r="H2486" s="1" t="s">
        <v>926</v>
      </c>
      <c r="I2486" s="1" t="s">
        <v>19</v>
      </c>
      <c r="J2486" s="1" t="s">
        <v>67</v>
      </c>
      <c r="K2486" s="1" t="s">
        <v>14</v>
      </c>
      <c r="M2486" s="2">
        <v>43038</v>
      </c>
      <c r="N2486" s="1" t="s">
        <v>8</v>
      </c>
      <c r="O2486" s="1" t="s">
        <v>68</v>
      </c>
    </row>
    <row r="2487" spans="1:15" ht="28.8" x14ac:dyDescent="0.3">
      <c r="A2487" s="1" t="s">
        <v>14790</v>
      </c>
      <c r="B2487" s="1" t="str">
        <f>"METLAB SUPPLIES LTD"</f>
        <v>METLAB SUPPLIES LTD</v>
      </c>
      <c r="C2487" s="1" t="s">
        <v>14791</v>
      </c>
      <c r="D2487" s="1" t="s">
        <v>1790</v>
      </c>
      <c r="E2487" s="1" t="s">
        <v>746</v>
      </c>
      <c r="F2487" s="1" t="s">
        <v>323</v>
      </c>
      <c r="H2487" s="1" t="s">
        <v>1791</v>
      </c>
      <c r="I2487" s="1" t="s">
        <v>19</v>
      </c>
      <c r="J2487" s="1" t="s">
        <v>6</v>
      </c>
      <c r="K2487" s="1" t="s">
        <v>24</v>
      </c>
      <c r="L2487" s="1">
        <v>1794167</v>
      </c>
      <c r="M2487" s="2">
        <v>43038</v>
      </c>
      <c r="N2487" s="1" t="s">
        <v>8</v>
      </c>
      <c r="O2487" s="2">
        <v>44134</v>
      </c>
    </row>
    <row r="2488" spans="1:15" x14ac:dyDescent="0.3">
      <c r="A2488" s="1" t="s">
        <v>14792</v>
      </c>
      <c r="B2488" s="1" t="str">
        <f>"SJB Heating LTD"</f>
        <v>SJB Heating LTD</v>
      </c>
      <c r="C2488" s="1" t="s">
        <v>14793</v>
      </c>
      <c r="F2488" s="1" t="s">
        <v>1351</v>
      </c>
      <c r="H2488" s="1" t="s">
        <v>7518</v>
      </c>
      <c r="I2488" s="1" t="s">
        <v>19</v>
      </c>
      <c r="J2488" s="1" t="s">
        <v>6</v>
      </c>
      <c r="K2488" s="1" t="s">
        <v>24</v>
      </c>
      <c r="L2488" s="1">
        <v>11018327</v>
      </c>
      <c r="M2488" s="2">
        <v>43038</v>
      </c>
      <c r="N2488" s="1" t="s">
        <v>8</v>
      </c>
      <c r="O2488" s="2">
        <v>44134</v>
      </c>
    </row>
    <row r="2489" spans="1:15" ht="28.8" x14ac:dyDescent="0.3">
      <c r="A2489" s="1" t="s">
        <v>14794</v>
      </c>
      <c r="B2489" s="1" t="str">
        <f>"Elite Pipeline Services Ltd"</f>
        <v>Elite Pipeline Services Ltd</v>
      </c>
      <c r="C2489" s="1" t="s">
        <v>14795</v>
      </c>
      <c r="F2489" s="1" t="s">
        <v>179</v>
      </c>
      <c r="H2489" s="1" t="s">
        <v>14796</v>
      </c>
      <c r="I2489" s="1" t="s">
        <v>19</v>
      </c>
      <c r="J2489" s="1" t="s">
        <v>6</v>
      </c>
      <c r="K2489" s="1" t="s">
        <v>34</v>
      </c>
      <c r="L2489" s="1">
        <v>10903949</v>
      </c>
      <c r="M2489" s="2">
        <v>43038</v>
      </c>
      <c r="N2489" s="1" t="s">
        <v>8</v>
      </c>
      <c r="O2489" s="2">
        <v>44134</v>
      </c>
    </row>
    <row r="2490" spans="1:15" ht="43.2" x14ac:dyDescent="0.3">
      <c r="A2490" s="1" t="s">
        <v>14797</v>
      </c>
      <c r="B2490" s="1" t="str">
        <f>"AQUATEC COATINGS LIMITED"</f>
        <v>AQUATEC COATINGS LIMITED</v>
      </c>
      <c r="C2490" s="1" t="s">
        <v>14798</v>
      </c>
      <c r="D2490" s="1" t="s">
        <v>7509</v>
      </c>
      <c r="F2490" s="1" t="s">
        <v>532</v>
      </c>
      <c r="H2490" s="1" t="s">
        <v>3720</v>
      </c>
      <c r="I2490" s="1" t="s">
        <v>19</v>
      </c>
      <c r="J2490" s="1" t="s">
        <v>67</v>
      </c>
      <c r="K2490" s="1" t="s">
        <v>34</v>
      </c>
      <c r="L2490" s="1">
        <v>3718694</v>
      </c>
      <c r="M2490" s="2">
        <v>43038</v>
      </c>
      <c r="N2490" s="1" t="s">
        <v>8</v>
      </c>
      <c r="O2490" s="1" t="s">
        <v>68</v>
      </c>
    </row>
    <row r="2491" spans="1:15" ht="28.8" x14ac:dyDescent="0.3">
      <c r="A2491" s="1" t="s">
        <v>15712</v>
      </c>
      <c r="B2491" s="1" t="str">
        <f>"R.D.M. ELECTRICAL SERVICES LIMITED"</f>
        <v>R.D.M. ELECTRICAL SERVICES LIMITED</v>
      </c>
      <c r="C2491" s="1" t="s">
        <v>15713</v>
      </c>
      <c r="D2491" s="1" t="s">
        <v>9924</v>
      </c>
      <c r="E2491" s="1" t="s">
        <v>258</v>
      </c>
      <c r="F2491" s="1" t="s">
        <v>64</v>
      </c>
      <c r="H2491" s="1" t="s">
        <v>9925</v>
      </c>
      <c r="I2491" s="1" t="s">
        <v>19</v>
      </c>
      <c r="J2491" s="1" t="s">
        <v>6</v>
      </c>
      <c r="K2491" s="1" t="s">
        <v>24</v>
      </c>
      <c r="L2491" s="1">
        <v>2229614</v>
      </c>
      <c r="M2491" s="2">
        <v>43038</v>
      </c>
      <c r="N2491" s="1" t="s">
        <v>8</v>
      </c>
      <c r="O2491" s="2">
        <v>44133</v>
      </c>
    </row>
    <row r="2492" spans="1:15" ht="43.2" x14ac:dyDescent="0.3">
      <c r="A2492" s="1" t="s">
        <v>27105</v>
      </c>
      <c r="B2492" s="1" t="str">
        <f>"Christopher  Smith"</f>
        <v>Christopher  Smith</v>
      </c>
      <c r="C2492" s="1" t="s">
        <v>27106</v>
      </c>
      <c r="F2492" s="1" t="s">
        <v>2459</v>
      </c>
      <c r="H2492" s="1" t="s">
        <v>27107</v>
      </c>
      <c r="I2492" s="1" t="s">
        <v>5</v>
      </c>
      <c r="J2492" s="1" t="s">
        <v>67</v>
      </c>
      <c r="K2492" s="1" t="s">
        <v>14</v>
      </c>
      <c r="M2492" s="2">
        <v>43038</v>
      </c>
      <c r="N2492" s="1" t="s">
        <v>8</v>
      </c>
      <c r="O2492" s="1" t="s">
        <v>68</v>
      </c>
    </row>
    <row r="2493" spans="1:15" ht="43.2" x14ac:dyDescent="0.3">
      <c r="A2493" s="1" t="s">
        <v>27945</v>
      </c>
      <c r="B2493" s="1" t="str">
        <f>"John Scarry"</f>
        <v>John Scarry</v>
      </c>
      <c r="C2493" s="1" t="s">
        <v>27946</v>
      </c>
      <c r="F2493" s="1" t="s">
        <v>476</v>
      </c>
      <c r="H2493" s="1" t="s">
        <v>84</v>
      </c>
      <c r="I2493" s="1" t="s">
        <v>5</v>
      </c>
      <c r="J2493" s="1" t="s">
        <v>67</v>
      </c>
      <c r="K2493" s="1" t="s">
        <v>34</v>
      </c>
      <c r="M2493" s="2">
        <v>43038</v>
      </c>
      <c r="N2493" s="1" t="s">
        <v>8</v>
      </c>
      <c r="O2493" s="1" t="s">
        <v>68</v>
      </c>
    </row>
    <row r="2494" spans="1:15" ht="28.8" x14ac:dyDescent="0.3">
      <c r="A2494" s="1" t="s">
        <v>27947</v>
      </c>
      <c r="B2494" s="1" t="str">
        <f>"Neil Fenwick Fencerite"</f>
        <v>Neil Fenwick Fencerite</v>
      </c>
      <c r="C2494" s="1" t="s">
        <v>27948</v>
      </c>
      <c r="F2494" s="1" t="s">
        <v>17442</v>
      </c>
      <c r="H2494" s="1" t="s">
        <v>27949</v>
      </c>
      <c r="I2494" s="1" t="s">
        <v>5</v>
      </c>
      <c r="J2494" s="1" t="s">
        <v>6</v>
      </c>
      <c r="K2494" s="1" t="s">
        <v>24</v>
      </c>
      <c r="M2494" s="2">
        <v>43038</v>
      </c>
      <c r="N2494" s="1" t="s">
        <v>8</v>
      </c>
      <c r="O2494" s="2">
        <v>44134</v>
      </c>
    </row>
    <row r="2495" spans="1:15" ht="43.2" x14ac:dyDescent="0.3">
      <c r="A2495" s="1" t="s">
        <v>14782</v>
      </c>
      <c r="B2495" s="1" t="str">
        <f>"Mark Reynolds plumbing and heating "</f>
        <v xml:space="preserve">Mark Reynolds plumbing and heating </v>
      </c>
      <c r="C2495" s="1" t="s">
        <v>14783</v>
      </c>
      <c r="F2495" s="1" t="s">
        <v>7692</v>
      </c>
      <c r="H2495" s="1" t="s">
        <v>14784</v>
      </c>
      <c r="I2495" s="1" t="s">
        <v>19</v>
      </c>
      <c r="J2495" s="1" t="s">
        <v>67</v>
      </c>
      <c r="K2495" s="1" t="s">
        <v>14</v>
      </c>
      <c r="M2495" s="2">
        <v>43037</v>
      </c>
      <c r="N2495" s="1" t="s">
        <v>8</v>
      </c>
      <c r="O2495" s="1" t="s">
        <v>68</v>
      </c>
    </row>
    <row r="2496" spans="1:15" ht="43.2" x14ac:dyDescent="0.3">
      <c r="A2496" s="1" t="s">
        <v>14785</v>
      </c>
      <c r="B2496" s="1" t="str">
        <f>"Llanvair landscapes"</f>
        <v>Llanvair landscapes</v>
      </c>
      <c r="C2496" s="1" t="s">
        <v>14786</v>
      </c>
      <c r="F2496" s="1" t="s">
        <v>243</v>
      </c>
      <c r="H2496" s="1" t="s">
        <v>14787</v>
      </c>
      <c r="I2496" s="1" t="s">
        <v>125</v>
      </c>
      <c r="J2496" s="1" t="s">
        <v>67</v>
      </c>
      <c r="K2496" s="1" t="s">
        <v>14</v>
      </c>
      <c r="M2496" s="2">
        <v>43037</v>
      </c>
      <c r="N2496" s="1" t="s">
        <v>8</v>
      </c>
      <c r="O2496" s="1" t="s">
        <v>68</v>
      </c>
    </row>
    <row r="2497" spans="1:15" ht="43.2" x14ac:dyDescent="0.3">
      <c r="A2497" s="1" t="s">
        <v>27099</v>
      </c>
      <c r="B2497" s="1" t="str">
        <f>"Steve Hampson"</f>
        <v>Steve Hampson</v>
      </c>
      <c r="C2497" s="1" t="s">
        <v>27100</v>
      </c>
      <c r="F2497" s="1" t="s">
        <v>123</v>
      </c>
      <c r="H2497" s="1" t="s">
        <v>27101</v>
      </c>
      <c r="I2497" s="1" t="s">
        <v>5</v>
      </c>
      <c r="J2497" s="1" t="s">
        <v>67</v>
      </c>
      <c r="K2497" s="1" t="s">
        <v>14</v>
      </c>
      <c r="M2497" s="2">
        <v>43037</v>
      </c>
      <c r="N2497" s="1" t="s">
        <v>8</v>
      </c>
      <c r="O2497" s="1" t="s">
        <v>68</v>
      </c>
    </row>
    <row r="2498" spans="1:15" ht="28.8" x14ac:dyDescent="0.3">
      <c r="A2498" s="1" t="s">
        <v>27102</v>
      </c>
      <c r="B2498" s="1" t="str">
        <f>"Phillip Wilson Pmw plant services"</f>
        <v>Phillip Wilson Pmw plant services</v>
      </c>
      <c r="C2498" s="1" t="s">
        <v>27103</v>
      </c>
      <c r="F2498" s="1" t="s">
        <v>897</v>
      </c>
      <c r="H2498" s="1" t="s">
        <v>27104</v>
      </c>
      <c r="I2498" s="1" t="s">
        <v>5</v>
      </c>
      <c r="J2498" s="1" t="s">
        <v>6</v>
      </c>
      <c r="K2498" s="1" t="s">
        <v>34</v>
      </c>
      <c r="M2498" s="2">
        <v>43037</v>
      </c>
      <c r="N2498" s="1" t="s">
        <v>8</v>
      </c>
      <c r="O2498" s="2">
        <v>44133</v>
      </c>
    </row>
    <row r="2499" spans="1:15" ht="28.8" x14ac:dyDescent="0.3">
      <c r="A2499" s="1" t="s">
        <v>27096</v>
      </c>
      <c r="B2499" s="1" t="str">
        <f>"Gareth Clement  Gareth Clement "</f>
        <v xml:space="preserve">Gareth Clement  Gareth Clement </v>
      </c>
      <c r="C2499" s="1" t="s">
        <v>27097</v>
      </c>
      <c r="F2499" s="1" t="s">
        <v>513</v>
      </c>
      <c r="H2499" s="1" t="s">
        <v>27098</v>
      </c>
      <c r="I2499" s="1" t="s">
        <v>5</v>
      </c>
      <c r="J2499" s="1" t="s">
        <v>6</v>
      </c>
      <c r="K2499" s="1" t="s">
        <v>24</v>
      </c>
      <c r="M2499" s="2">
        <v>43036</v>
      </c>
      <c r="N2499" s="1" t="s">
        <v>8</v>
      </c>
      <c r="O2499" s="2">
        <v>44132</v>
      </c>
    </row>
    <row r="2500" spans="1:15" ht="43.2" x14ac:dyDescent="0.3">
      <c r="A2500" s="1" t="s">
        <v>13923</v>
      </c>
      <c r="B2500" s="1" t="str">
        <f>"Benton Cooling Ltd"</f>
        <v>Benton Cooling Ltd</v>
      </c>
      <c r="C2500" s="1" t="s">
        <v>13924</v>
      </c>
      <c r="F2500" s="1" t="s">
        <v>3142</v>
      </c>
      <c r="H2500" s="1" t="s">
        <v>13925</v>
      </c>
      <c r="I2500" s="1" t="s">
        <v>19</v>
      </c>
      <c r="J2500" s="1" t="s">
        <v>67</v>
      </c>
      <c r="K2500" s="1" t="s">
        <v>14</v>
      </c>
      <c r="M2500" s="2">
        <v>43035</v>
      </c>
      <c r="N2500" s="1" t="s">
        <v>8</v>
      </c>
      <c r="O2500" s="1" t="s">
        <v>68</v>
      </c>
    </row>
    <row r="2501" spans="1:15" ht="43.2" x14ac:dyDescent="0.3">
      <c r="A2501" s="1" t="s">
        <v>13926</v>
      </c>
      <c r="B2501" s="1" t="str">
        <f>"BRIAN LLOYD CONTRACTORS LIMITED"</f>
        <v>BRIAN LLOYD CONTRACTORS LIMITED</v>
      </c>
      <c r="C2501" s="1" t="s">
        <v>13927</v>
      </c>
      <c r="F2501" s="1" t="s">
        <v>688</v>
      </c>
      <c r="H2501" s="1" t="s">
        <v>13928</v>
      </c>
      <c r="I2501" s="1" t="s">
        <v>19</v>
      </c>
      <c r="J2501" s="1" t="s">
        <v>6</v>
      </c>
      <c r="K2501" s="1" t="s">
        <v>24</v>
      </c>
      <c r="L2501" s="1">
        <v>6666653</v>
      </c>
      <c r="M2501" s="2">
        <v>43035</v>
      </c>
      <c r="N2501" s="1" t="s">
        <v>8</v>
      </c>
      <c r="O2501" s="2">
        <v>44131</v>
      </c>
    </row>
    <row r="2502" spans="1:15" ht="43.2" x14ac:dyDescent="0.3">
      <c r="A2502" s="1" t="s">
        <v>13929</v>
      </c>
      <c r="B2502" s="1" t="str">
        <f>"First Cymru Buses Ltd"</f>
        <v>First Cymru Buses Ltd</v>
      </c>
      <c r="C2502" s="1" t="s">
        <v>13930</v>
      </c>
      <c r="F2502" s="1" t="s">
        <v>64</v>
      </c>
      <c r="H2502" s="1" t="s">
        <v>13931</v>
      </c>
      <c r="I2502" s="1" t="s">
        <v>19</v>
      </c>
      <c r="J2502" s="1" t="s">
        <v>67</v>
      </c>
      <c r="K2502" s="1" t="s">
        <v>14</v>
      </c>
      <c r="M2502" s="2">
        <v>43035</v>
      </c>
      <c r="N2502" s="1" t="s">
        <v>8</v>
      </c>
      <c r="O2502" s="1" t="s">
        <v>68</v>
      </c>
    </row>
    <row r="2503" spans="1:15" ht="28.8" x14ac:dyDescent="0.3">
      <c r="A2503" s="1" t="s">
        <v>26365</v>
      </c>
      <c r="B2503" s="1" t="str">
        <f>"Robert Maden Robert maden"</f>
        <v>Robert Maden Robert maden</v>
      </c>
      <c r="C2503" s="1" t="s">
        <v>26366</v>
      </c>
      <c r="F2503" s="1" t="s">
        <v>1786</v>
      </c>
      <c r="H2503" s="1" t="s">
        <v>26367</v>
      </c>
      <c r="I2503" s="1" t="s">
        <v>5</v>
      </c>
      <c r="J2503" s="1" t="s">
        <v>6</v>
      </c>
      <c r="K2503" s="1" t="s">
        <v>34</v>
      </c>
      <c r="M2503" s="2">
        <v>43035</v>
      </c>
      <c r="N2503" s="1" t="s">
        <v>8</v>
      </c>
      <c r="O2503" s="2">
        <v>44131</v>
      </c>
    </row>
    <row r="2504" spans="1:15" ht="43.2" x14ac:dyDescent="0.3">
      <c r="A2504" s="1" t="s">
        <v>26368</v>
      </c>
      <c r="B2504" s="1" t="str">
        <f>"Anoshanth Alagendran"</f>
        <v>Anoshanth Alagendran</v>
      </c>
      <c r="C2504" s="1" t="s">
        <v>26369</v>
      </c>
      <c r="F2504" s="1" t="s">
        <v>156</v>
      </c>
      <c r="H2504" s="1" t="s">
        <v>6294</v>
      </c>
      <c r="I2504" s="1" t="s">
        <v>5</v>
      </c>
      <c r="J2504" s="1" t="s">
        <v>67</v>
      </c>
      <c r="K2504" s="1" t="s">
        <v>14</v>
      </c>
      <c r="M2504" s="2">
        <v>43035</v>
      </c>
      <c r="N2504" s="1" t="s">
        <v>8</v>
      </c>
      <c r="O2504" s="1" t="s">
        <v>68</v>
      </c>
    </row>
    <row r="2505" spans="1:15" ht="28.8" x14ac:dyDescent="0.3">
      <c r="A2505" s="1" t="s">
        <v>26370</v>
      </c>
      <c r="B2505" s="1" t="str">
        <f>"Aaron  Pattison  Cleanadrain "</f>
        <v xml:space="preserve">Aaron  Pattison  Cleanadrain </v>
      </c>
      <c r="C2505" s="1" t="s">
        <v>26371</v>
      </c>
      <c r="F2505" s="1" t="s">
        <v>6637</v>
      </c>
      <c r="H2505" s="1" t="s">
        <v>26372</v>
      </c>
      <c r="I2505" s="1" t="s">
        <v>5</v>
      </c>
      <c r="J2505" s="1" t="s">
        <v>6</v>
      </c>
      <c r="K2505" s="1" t="s">
        <v>24</v>
      </c>
      <c r="M2505" s="2">
        <v>43035</v>
      </c>
      <c r="N2505" s="1" t="s">
        <v>8</v>
      </c>
      <c r="O2505" s="2">
        <v>44131</v>
      </c>
    </row>
    <row r="2506" spans="1:15" ht="28.8" x14ac:dyDescent="0.3">
      <c r="A2506" s="1" t="s">
        <v>26373</v>
      </c>
      <c r="B2506" s="1" t="str">
        <f>"Daniel Moss 1 tennyson close "</f>
        <v xml:space="preserve">Daniel Moss 1 tennyson close </v>
      </c>
      <c r="C2506" s="1" t="s">
        <v>26374</v>
      </c>
      <c r="F2506" s="1" t="s">
        <v>277</v>
      </c>
      <c r="H2506" s="1" t="s">
        <v>26375</v>
      </c>
      <c r="I2506" s="1" t="s">
        <v>5</v>
      </c>
      <c r="J2506" s="1" t="s">
        <v>6</v>
      </c>
      <c r="K2506" s="1" t="s">
        <v>24</v>
      </c>
      <c r="M2506" s="2">
        <v>43035</v>
      </c>
      <c r="N2506" s="1" t="s">
        <v>8</v>
      </c>
      <c r="O2506" s="2">
        <v>44131</v>
      </c>
    </row>
    <row r="2507" spans="1:15" ht="28.8" x14ac:dyDescent="0.3">
      <c r="A2507" s="1" t="s">
        <v>12851</v>
      </c>
      <c r="B2507" s="1" t="str">
        <f>"AES Plant Ltd"</f>
        <v>AES Plant Ltd</v>
      </c>
      <c r="C2507" s="1" t="s">
        <v>12852</v>
      </c>
      <c r="F2507" s="1" t="s">
        <v>401</v>
      </c>
      <c r="G2507" s="1" t="s">
        <v>231</v>
      </c>
      <c r="H2507" s="1" t="s">
        <v>12853</v>
      </c>
      <c r="I2507" s="1" t="s">
        <v>19</v>
      </c>
      <c r="J2507" s="1" t="s">
        <v>6</v>
      </c>
      <c r="K2507" s="1" t="s">
        <v>34</v>
      </c>
      <c r="L2507" s="1">
        <v>8636933</v>
      </c>
      <c r="M2507" s="2">
        <v>43034</v>
      </c>
      <c r="N2507" s="1" t="s">
        <v>8</v>
      </c>
      <c r="O2507" s="2">
        <v>44129</v>
      </c>
    </row>
    <row r="2508" spans="1:15" ht="28.8" x14ac:dyDescent="0.3">
      <c r="A2508" s="1" t="s">
        <v>12854</v>
      </c>
      <c r="B2508" s="1" t="str">
        <f>"Oakmain Ltd"</f>
        <v>Oakmain Ltd</v>
      </c>
      <c r="C2508" s="1" t="s">
        <v>12855</v>
      </c>
      <c r="D2508" s="1" t="s">
        <v>523</v>
      </c>
      <c r="F2508" s="1" t="s">
        <v>364</v>
      </c>
      <c r="H2508" s="1" t="s">
        <v>12856</v>
      </c>
      <c r="I2508" s="1" t="s">
        <v>19</v>
      </c>
      <c r="J2508" s="1" t="s">
        <v>6</v>
      </c>
      <c r="K2508" s="1" t="s">
        <v>24</v>
      </c>
      <c r="L2508" s="1">
        <v>2879991</v>
      </c>
      <c r="M2508" s="2">
        <v>43034</v>
      </c>
      <c r="N2508" s="1" t="s">
        <v>8</v>
      </c>
      <c r="O2508" s="2">
        <v>44130</v>
      </c>
    </row>
    <row r="2509" spans="1:15" ht="43.2" x14ac:dyDescent="0.3">
      <c r="A2509" s="1" t="s">
        <v>12857</v>
      </c>
      <c r="B2509" s="1" t="str">
        <f>"AHC Logistics Ltd"</f>
        <v>AHC Logistics Ltd</v>
      </c>
      <c r="C2509" s="1" t="s">
        <v>12858</v>
      </c>
      <c r="D2509" s="1" t="s">
        <v>12859</v>
      </c>
      <c r="F2509" s="1" t="s">
        <v>12860</v>
      </c>
      <c r="H2509" s="1" t="s">
        <v>12861</v>
      </c>
      <c r="I2509" s="1" t="s">
        <v>19</v>
      </c>
      <c r="J2509" s="1" t="s">
        <v>67</v>
      </c>
      <c r="K2509" s="1" t="s">
        <v>14</v>
      </c>
      <c r="M2509" s="2">
        <v>43034</v>
      </c>
      <c r="N2509" s="1" t="s">
        <v>8</v>
      </c>
      <c r="O2509" s="1" t="s">
        <v>68</v>
      </c>
    </row>
    <row r="2510" spans="1:15" ht="28.8" x14ac:dyDescent="0.3">
      <c r="A2510" s="1" t="s">
        <v>12862</v>
      </c>
      <c r="B2510" s="1" t="str">
        <f>"PALACE WINDOW SYSTEMS LIMITED"</f>
        <v>PALACE WINDOW SYSTEMS LIMITED</v>
      </c>
      <c r="C2510" s="1" t="s">
        <v>12863</v>
      </c>
      <c r="F2510" s="1" t="s">
        <v>380</v>
      </c>
      <c r="H2510" s="1" t="s">
        <v>9824</v>
      </c>
      <c r="I2510" s="1" t="s">
        <v>19</v>
      </c>
      <c r="J2510" s="1" t="s">
        <v>6</v>
      </c>
      <c r="K2510" s="1" t="s">
        <v>34</v>
      </c>
      <c r="L2510" s="1">
        <v>3236808</v>
      </c>
      <c r="M2510" s="2">
        <v>43034</v>
      </c>
      <c r="N2510" s="1" t="s">
        <v>8</v>
      </c>
      <c r="O2510" s="2">
        <v>44130</v>
      </c>
    </row>
    <row r="2511" spans="1:15" ht="28.8" x14ac:dyDescent="0.3">
      <c r="A2511" s="1" t="s">
        <v>12864</v>
      </c>
      <c r="B2511" s="1" t="str">
        <f>"ANTHONY A DAVIES LTD"</f>
        <v>ANTHONY A DAVIES LTD</v>
      </c>
      <c r="C2511" s="1" t="s">
        <v>12865</v>
      </c>
      <c r="F2511" s="1" t="s">
        <v>230</v>
      </c>
      <c r="H2511" s="1" t="s">
        <v>12866</v>
      </c>
      <c r="I2511" s="1" t="s">
        <v>19</v>
      </c>
      <c r="J2511" s="1" t="s">
        <v>6</v>
      </c>
      <c r="K2511" s="1" t="s">
        <v>34</v>
      </c>
      <c r="L2511" s="1">
        <v>3354301</v>
      </c>
      <c r="M2511" s="2">
        <v>43034</v>
      </c>
      <c r="N2511" s="1" t="s">
        <v>8</v>
      </c>
      <c r="O2511" s="2">
        <v>44130</v>
      </c>
    </row>
    <row r="2512" spans="1:15" ht="28.8" x14ac:dyDescent="0.3">
      <c r="A2512" s="1" t="s">
        <v>12867</v>
      </c>
      <c r="B2512" s="1" t="str">
        <f>"Ash Civil Engineering Limited"</f>
        <v>Ash Civil Engineering Limited</v>
      </c>
      <c r="C2512" s="1" t="s">
        <v>12868</v>
      </c>
      <c r="F2512" s="1" t="s">
        <v>4645</v>
      </c>
      <c r="H2512" s="1" t="s">
        <v>12869</v>
      </c>
      <c r="I2512" s="1" t="s">
        <v>19</v>
      </c>
      <c r="J2512" s="1" t="s">
        <v>6</v>
      </c>
      <c r="K2512" s="1" t="s">
        <v>24</v>
      </c>
      <c r="L2512" s="1">
        <v>6713095</v>
      </c>
      <c r="M2512" s="2">
        <v>43034</v>
      </c>
      <c r="N2512" s="1" t="s">
        <v>8</v>
      </c>
      <c r="O2512" s="2">
        <v>44130</v>
      </c>
    </row>
    <row r="2513" spans="1:15" ht="43.2" x14ac:dyDescent="0.3">
      <c r="A2513" s="1" t="s">
        <v>12870</v>
      </c>
      <c r="B2513" s="1" t="str">
        <f>"j g plant ltd"</f>
        <v>j g plant ltd</v>
      </c>
      <c r="C2513" s="1" t="s">
        <v>12043</v>
      </c>
      <c r="F2513" s="1" t="s">
        <v>179</v>
      </c>
      <c r="H2513" s="1" t="s">
        <v>12044</v>
      </c>
      <c r="I2513" s="1" t="s">
        <v>19</v>
      </c>
      <c r="J2513" s="1" t="s">
        <v>67</v>
      </c>
      <c r="K2513" s="1" t="s">
        <v>14</v>
      </c>
      <c r="M2513" s="2">
        <v>43034</v>
      </c>
      <c r="N2513" s="1" t="s">
        <v>8</v>
      </c>
      <c r="O2513" s="1" t="s">
        <v>68</v>
      </c>
    </row>
    <row r="2514" spans="1:15" ht="43.2" x14ac:dyDescent="0.3">
      <c r="A2514" s="1" t="s">
        <v>13919</v>
      </c>
      <c r="B2514" s="1" t="str">
        <f>"Lloyd Morris Electrical Ltd"</f>
        <v>Lloyd Morris Electrical Ltd</v>
      </c>
      <c r="C2514" s="1" t="s">
        <v>13920</v>
      </c>
      <c r="D2514" s="1" t="s">
        <v>13921</v>
      </c>
      <c r="F2514" s="1" t="s">
        <v>532</v>
      </c>
      <c r="H2514" s="1" t="s">
        <v>13922</v>
      </c>
      <c r="I2514" s="1" t="s">
        <v>19</v>
      </c>
      <c r="J2514" s="1" t="s">
        <v>67</v>
      </c>
      <c r="K2514" s="1" t="s">
        <v>14</v>
      </c>
      <c r="M2514" s="2">
        <v>43034</v>
      </c>
      <c r="N2514" s="1" t="s">
        <v>8</v>
      </c>
      <c r="O2514" s="1" t="s">
        <v>68</v>
      </c>
    </row>
    <row r="2515" spans="1:15" ht="43.2" x14ac:dyDescent="0.3">
      <c r="A2515" s="1" t="s">
        <v>25574</v>
      </c>
      <c r="B2515" s="1" t="str">
        <f>"Gillian Coyle"</f>
        <v>Gillian Coyle</v>
      </c>
      <c r="C2515" s="1" t="s">
        <v>25575</v>
      </c>
      <c r="F2515" s="1" t="s">
        <v>25576</v>
      </c>
      <c r="H2515" s="1" t="s">
        <v>25577</v>
      </c>
      <c r="I2515" s="1" t="s">
        <v>5</v>
      </c>
      <c r="J2515" s="1" t="s">
        <v>6</v>
      </c>
      <c r="K2515" s="1" t="s">
        <v>24</v>
      </c>
      <c r="M2515" s="2">
        <v>43034</v>
      </c>
      <c r="N2515" s="1" t="s">
        <v>8</v>
      </c>
      <c r="O2515" s="2">
        <v>44130</v>
      </c>
    </row>
    <row r="2516" spans="1:15" ht="43.2" x14ac:dyDescent="0.3">
      <c r="A2516" s="1" t="s">
        <v>25578</v>
      </c>
      <c r="B2516" s="1" t="str">
        <f>"Hayley Roberts Hay and Son Construction"</f>
        <v>Hayley Roberts Hay and Son Construction</v>
      </c>
      <c r="C2516" s="1" t="s">
        <v>25579</v>
      </c>
      <c r="D2516" s="1" t="s">
        <v>358</v>
      </c>
      <c r="F2516" s="1" t="s">
        <v>359</v>
      </c>
      <c r="H2516" s="1" t="s">
        <v>2640</v>
      </c>
      <c r="I2516" s="1" t="s">
        <v>5</v>
      </c>
      <c r="J2516" s="1" t="s">
        <v>6</v>
      </c>
      <c r="K2516" s="1" t="s">
        <v>24</v>
      </c>
      <c r="M2516" s="2">
        <v>43034</v>
      </c>
      <c r="N2516" s="1" t="s">
        <v>8</v>
      </c>
      <c r="O2516" s="2">
        <v>44130</v>
      </c>
    </row>
    <row r="2517" spans="1:15" ht="43.2" x14ac:dyDescent="0.3">
      <c r="A2517" s="1" t="s">
        <v>26356</v>
      </c>
      <c r="B2517" s="1" t="str">
        <f>"mathew taylor the woodsman"</f>
        <v>mathew taylor the woodsman</v>
      </c>
      <c r="C2517" s="1" t="s">
        <v>26357</v>
      </c>
      <c r="F2517" s="1" t="s">
        <v>123</v>
      </c>
      <c r="H2517" s="1" t="s">
        <v>26358</v>
      </c>
      <c r="I2517" s="1" t="s">
        <v>5</v>
      </c>
      <c r="J2517" s="1" t="s">
        <v>67</v>
      </c>
      <c r="K2517" s="1" t="s">
        <v>24</v>
      </c>
      <c r="M2517" s="2">
        <v>43034</v>
      </c>
      <c r="N2517" s="1" t="s">
        <v>8</v>
      </c>
      <c r="O2517" s="1" t="s">
        <v>68</v>
      </c>
    </row>
    <row r="2518" spans="1:15" ht="43.2" x14ac:dyDescent="0.3">
      <c r="A2518" s="1" t="s">
        <v>26359</v>
      </c>
      <c r="B2518" s="1" t="str">
        <f>"rob  Griffiths "</f>
        <v xml:space="preserve">rob  Griffiths </v>
      </c>
      <c r="C2518" s="1" t="s">
        <v>26360</v>
      </c>
      <c r="F2518" s="1" t="s">
        <v>3465</v>
      </c>
      <c r="H2518" s="1" t="s">
        <v>26361</v>
      </c>
      <c r="I2518" s="1" t="s">
        <v>5</v>
      </c>
      <c r="J2518" s="1" t="s">
        <v>67</v>
      </c>
      <c r="K2518" s="1" t="s">
        <v>14</v>
      </c>
      <c r="M2518" s="2">
        <v>43034</v>
      </c>
      <c r="N2518" s="1" t="s">
        <v>8</v>
      </c>
      <c r="O2518" s="1" t="s">
        <v>68</v>
      </c>
    </row>
    <row r="2519" spans="1:15" ht="28.8" x14ac:dyDescent="0.3">
      <c r="A2519" s="1" t="s">
        <v>26362</v>
      </c>
      <c r="B2519" s="1" t="str">
        <f>"David Stowell D D S General Builders"</f>
        <v>David Stowell D D S General Builders</v>
      </c>
      <c r="C2519" s="1" t="s">
        <v>26363</v>
      </c>
      <c r="F2519" s="1" t="s">
        <v>513</v>
      </c>
      <c r="H2519" s="1" t="s">
        <v>26364</v>
      </c>
      <c r="I2519" s="1" t="s">
        <v>5</v>
      </c>
      <c r="J2519" s="1" t="s">
        <v>6</v>
      </c>
      <c r="K2519" s="1" t="s">
        <v>24</v>
      </c>
      <c r="M2519" s="2">
        <v>43034</v>
      </c>
      <c r="N2519" s="1" t="s">
        <v>8</v>
      </c>
      <c r="O2519" s="2">
        <v>44130</v>
      </c>
    </row>
    <row r="2520" spans="1:15" ht="43.2" x14ac:dyDescent="0.3">
      <c r="A2520" s="1" t="s">
        <v>11856</v>
      </c>
      <c r="B2520" s="1" t="str">
        <f>"Sparesworld Ltd"</f>
        <v>Sparesworld Ltd</v>
      </c>
      <c r="C2520" s="1" t="s">
        <v>11857</v>
      </c>
      <c r="F2520" s="1" t="s">
        <v>457</v>
      </c>
      <c r="H2520" s="1" t="s">
        <v>11858</v>
      </c>
      <c r="I2520" s="1" t="s">
        <v>19</v>
      </c>
      <c r="J2520" s="1" t="s">
        <v>67</v>
      </c>
      <c r="K2520" s="1" t="s">
        <v>14</v>
      </c>
      <c r="M2520" s="2">
        <v>43033</v>
      </c>
      <c r="N2520" s="1" t="s">
        <v>8</v>
      </c>
      <c r="O2520" s="1" t="s">
        <v>68</v>
      </c>
    </row>
    <row r="2521" spans="1:15" ht="43.2" x14ac:dyDescent="0.3">
      <c r="A2521" s="1" t="s">
        <v>11859</v>
      </c>
      <c r="B2521" s="1" t="str">
        <f>"Celtic Foodservices Ltd"</f>
        <v>Celtic Foodservices Ltd</v>
      </c>
      <c r="C2521" s="1" t="s">
        <v>11860</v>
      </c>
      <c r="F2521" s="1" t="s">
        <v>3068</v>
      </c>
      <c r="H2521" s="1" t="s">
        <v>11861</v>
      </c>
      <c r="I2521" s="1" t="s">
        <v>19</v>
      </c>
      <c r="J2521" s="1" t="s">
        <v>67</v>
      </c>
      <c r="K2521" s="1" t="s">
        <v>14</v>
      </c>
      <c r="M2521" s="2">
        <v>43033</v>
      </c>
      <c r="N2521" s="1" t="s">
        <v>8</v>
      </c>
      <c r="O2521" s="1" t="s">
        <v>68</v>
      </c>
    </row>
    <row r="2522" spans="1:15" ht="28.8" x14ac:dyDescent="0.3">
      <c r="A2522" s="1" t="s">
        <v>11862</v>
      </c>
      <c r="B2522" s="1" t="str">
        <f>"AJL CONTRACTORS LIMITED"</f>
        <v>AJL CONTRACTORS LIMITED</v>
      </c>
      <c r="C2522" s="1" t="s">
        <v>11863</v>
      </c>
      <c r="F2522" s="1" t="s">
        <v>123</v>
      </c>
      <c r="H2522" s="1" t="s">
        <v>11864</v>
      </c>
      <c r="I2522" s="1" t="s">
        <v>19</v>
      </c>
      <c r="J2522" s="1" t="s">
        <v>6</v>
      </c>
      <c r="K2522" s="1" t="s">
        <v>24</v>
      </c>
      <c r="L2522" s="1">
        <v>8368630</v>
      </c>
      <c r="M2522" s="2">
        <v>43033</v>
      </c>
      <c r="N2522" s="1" t="s">
        <v>8</v>
      </c>
      <c r="O2522" s="2">
        <v>44129</v>
      </c>
    </row>
    <row r="2523" spans="1:15" ht="28.8" x14ac:dyDescent="0.3">
      <c r="A2523" s="1" t="s">
        <v>11865</v>
      </c>
      <c r="B2523" s="1" t="str">
        <f>"LAKESIDE FLOOD SOLUTIONS"</f>
        <v>LAKESIDE FLOOD SOLUTIONS</v>
      </c>
      <c r="C2523" s="1" t="s">
        <v>6509</v>
      </c>
      <c r="D2523" s="1" t="s">
        <v>6510</v>
      </c>
      <c r="E2523" s="1" t="s">
        <v>2041</v>
      </c>
      <c r="F2523" s="1" t="s">
        <v>64</v>
      </c>
      <c r="H2523" s="1" t="s">
        <v>6511</v>
      </c>
      <c r="I2523" s="1" t="s">
        <v>19</v>
      </c>
      <c r="J2523" s="1" t="s">
        <v>6</v>
      </c>
      <c r="K2523" s="1" t="s">
        <v>34</v>
      </c>
      <c r="L2523" s="1">
        <v>10232357</v>
      </c>
      <c r="M2523" s="2">
        <v>43033</v>
      </c>
      <c r="N2523" s="1" t="s">
        <v>8</v>
      </c>
      <c r="O2523" s="2">
        <v>44129</v>
      </c>
    </row>
    <row r="2524" spans="1:15" ht="43.2" x14ac:dyDescent="0.3">
      <c r="A2524" s="1" t="s">
        <v>11866</v>
      </c>
      <c r="B2524" s="1" t="str">
        <f>"keith brown &amp; sons"</f>
        <v>keith brown &amp; sons</v>
      </c>
      <c r="C2524" s="1" t="s">
        <v>11867</v>
      </c>
      <c r="F2524" s="1" t="s">
        <v>782</v>
      </c>
      <c r="H2524" s="1" t="s">
        <v>1332</v>
      </c>
      <c r="I2524" s="1" t="s">
        <v>19</v>
      </c>
      <c r="J2524" s="1" t="s">
        <v>67</v>
      </c>
      <c r="K2524" s="1" t="s">
        <v>14</v>
      </c>
      <c r="M2524" s="2">
        <v>43033</v>
      </c>
      <c r="N2524" s="1" t="s">
        <v>8</v>
      </c>
      <c r="O2524" s="1" t="s">
        <v>68</v>
      </c>
    </row>
    <row r="2525" spans="1:15" ht="28.8" x14ac:dyDescent="0.3">
      <c r="A2525" s="1" t="s">
        <v>12842</v>
      </c>
      <c r="B2525" s="1" t="str">
        <f>"GTP WASTE LTD"</f>
        <v>GTP WASTE LTD</v>
      </c>
      <c r="C2525" s="1" t="s">
        <v>12843</v>
      </c>
      <c r="F2525" s="1" t="s">
        <v>1206</v>
      </c>
      <c r="H2525" s="1" t="s">
        <v>12844</v>
      </c>
      <c r="I2525" s="1" t="s">
        <v>19</v>
      </c>
      <c r="J2525" s="1" t="s">
        <v>6</v>
      </c>
      <c r="K2525" s="1" t="s">
        <v>24</v>
      </c>
      <c r="L2525" s="1">
        <v>9262906</v>
      </c>
      <c r="M2525" s="2">
        <v>43033</v>
      </c>
      <c r="N2525" s="1" t="s">
        <v>8</v>
      </c>
      <c r="O2525" s="2">
        <v>44129</v>
      </c>
    </row>
    <row r="2526" spans="1:15" ht="57.6" x14ac:dyDescent="0.3">
      <c r="A2526" s="1" t="s">
        <v>12845</v>
      </c>
      <c r="B2526" s="1" t="str">
        <f>"NORTH WALES LANDSCAPE CONTRACTORS LIMITED"</f>
        <v>NORTH WALES LANDSCAPE CONTRACTORS LIMITED</v>
      </c>
      <c r="C2526" s="1" t="s">
        <v>12846</v>
      </c>
      <c r="F2526" s="1" t="s">
        <v>323</v>
      </c>
      <c r="H2526" s="1" t="s">
        <v>8369</v>
      </c>
      <c r="I2526" s="1" t="s">
        <v>19</v>
      </c>
      <c r="J2526" s="1" t="s">
        <v>67</v>
      </c>
      <c r="K2526" s="1" t="s">
        <v>24</v>
      </c>
      <c r="L2526" s="1">
        <v>1483037</v>
      </c>
      <c r="M2526" s="2">
        <v>43033</v>
      </c>
      <c r="N2526" s="1" t="s">
        <v>8</v>
      </c>
      <c r="O2526" s="1" t="s">
        <v>68</v>
      </c>
    </row>
    <row r="2527" spans="1:15" ht="28.8" x14ac:dyDescent="0.3">
      <c r="A2527" s="1" t="s">
        <v>12847</v>
      </c>
      <c r="B2527" s="1" t="str">
        <f>"A1 recycling"</f>
        <v>A1 recycling</v>
      </c>
      <c r="C2527" s="1" t="s">
        <v>12848</v>
      </c>
      <c r="F2527" s="1" t="s">
        <v>12849</v>
      </c>
      <c r="H2527" s="1" t="s">
        <v>12850</v>
      </c>
      <c r="I2527" s="1" t="s">
        <v>125</v>
      </c>
      <c r="J2527" s="1" t="s">
        <v>6</v>
      </c>
      <c r="K2527" s="1" t="s">
        <v>34</v>
      </c>
      <c r="M2527" s="2">
        <v>43033</v>
      </c>
      <c r="N2527" s="1" t="s">
        <v>8</v>
      </c>
      <c r="O2527" s="2">
        <v>44129</v>
      </c>
    </row>
    <row r="2528" spans="1:15" ht="43.2" x14ac:dyDescent="0.3">
      <c r="A2528" s="1" t="s">
        <v>24808</v>
      </c>
      <c r="B2528" s="1" t="str">
        <f>"Awse Mohammed Ali"</f>
        <v>Awse Mohammed Ali</v>
      </c>
      <c r="C2528" s="1" t="s">
        <v>24809</v>
      </c>
      <c r="F2528" s="1" t="s">
        <v>123</v>
      </c>
      <c r="H2528" s="1" t="s">
        <v>24810</v>
      </c>
      <c r="I2528" s="1" t="s">
        <v>5</v>
      </c>
      <c r="J2528" s="1" t="s">
        <v>67</v>
      </c>
      <c r="K2528" s="1" t="s">
        <v>14</v>
      </c>
      <c r="M2528" s="2">
        <v>43033</v>
      </c>
      <c r="N2528" s="1" t="s">
        <v>8</v>
      </c>
      <c r="O2528" s="1" t="s">
        <v>68</v>
      </c>
    </row>
    <row r="2529" spans="1:15" ht="43.2" x14ac:dyDescent="0.3">
      <c r="A2529" s="1" t="s">
        <v>24811</v>
      </c>
      <c r="B2529" s="1" t="str">
        <f>"Kieran  Downing"</f>
        <v>Kieran  Downing</v>
      </c>
      <c r="C2529" s="1" t="s">
        <v>24812</v>
      </c>
      <c r="F2529" s="1" t="s">
        <v>665</v>
      </c>
      <c r="H2529" s="1" t="s">
        <v>24813</v>
      </c>
      <c r="I2529" s="1" t="s">
        <v>5</v>
      </c>
      <c r="J2529" s="1" t="s">
        <v>67</v>
      </c>
      <c r="K2529" s="1" t="s">
        <v>14</v>
      </c>
      <c r="M2529" s="2">
        <v>43033</v>
      </c>
      <c r="N2529" s="1" t="s">
        <v>8</v>
      </c>
      <c r="O2529" s="1" t="s">
        <v>68</v>
      </c>
    </row>
    <row r="2530" spans="1:15" ht="28.8" x14ac:dyDescent="0.3">
      <c r="A2530" s="1" t="s">
        <v>24814</v>
      </c>
      <c r="B2530" s="1" t="str">
        <f>"Kieran Downing KD Gardening Services"</f>
        <v>Kieran Downing KD Gardening Services</v>
      </c>
      <c r="C2530" s="1" t="s">
        <v>24812</v>
      </c>
      <c r="F2530" s="1" t="s">
        <v>665</v>
      </c>
      <c r="H2530" s="1" t="s">
        <v>24813</v>
      </c>
      <c r="I2530" s="1" t="s">
        <v>5</v>
      </c>
      <c r="J2530" s="1" t="s">
        <v>6</v>
      </c>
      <c r="K2530" s="1" t="s">
        <v>24</v>
      </c>
      <c r="M2530" s="2">
        <v>43033</v>
      </c>
      <c r="N2530" s="1" t="s">
        <v>8</v>
      </c>
      <c r="O2530" s="2">
        <v>44129</v>
      </c>
    </row>
    <row r="2531" spans="1:15" ht="28.8" x14ac:dyDescent="0.3">
      <c r="A2531" s="1" t="s">
        <v>24815</v>
      </c>
      <c r="B2531" s="1" t="str">
        <f>"Mathew Jones Mathew Jones"</f>
        <v>Mathew Jones Mathew Jones</v>
      </c>
      <c r="C2531" s="1" t="s">
        <v>24816</v>
      </c>
      <c r="F2531" s="1" t="s">
        <v>457</v>
      </c>
      <c r="H2531" s="1" t="s">
        <v>24817</v>
      </c>
      <c r="I2531" s="1" t="s">
        <v>5</v>
      </c>
      <c r="J2531" s="1" t="s">
        <v>6</v>
      </c>
      <c r="K2531" s="1" t="s">
        <v>24</v>
      </c>
      <c r="M2531" s="2">
        <v>43033</v>
      </c>
      <c r="N2531" s="1" t="s">
        <v>8</v>
      </c>
      <c r="O2531" s="2">
        <v>44129</v>
      </c>
    </row>
    <row r="2532" spans="1:15" ht="28.8" x14ac:dyDescent="0.3">
      <c r="A2532" s="1" t="s">
        <v>25571</v>
      </c>
      <c r="B2532" s="1" t="str">
        <f>"christopher elias gnoll roofing"</f>
        <v>christopher elias gnoll roofing</v>
      </c>
      <c r="C2532" s="1" t="s">
        <v>25572</v>
      </c>
      <c r="F2532" s="1" t="s">
        <v>32</v>
      </c>
      <c r="H2532" s="1" t="s">
        <v>25573</v>
      </c>
      <c r="I2532" s="1" t="s">
        <v>5</v>
      </c>
      <c r="J2532" s="1" t="s">
        <v>6</v>
      </c>
      <c r="K2532" s="1" t="s">
        <v>24</v>
      </c>
      <c r="M2532" s="2">
        <v>43033</v>
      </c>
      <c r="N2532" s="1" t="s">
        <v>8</v>
      </c>
      <c r="O2532" s="2">
        <v>44129</v>
      </c>
    </row>
    <row r="2533" spans="1:15" ht="43.2" x14ac:dyDescent="0.3">
      <c r="A2533" s="1" t="s">
        <v>10850</v>
      </c>
      <c r="B2533" s="1" t="str">
        <f>"Bron Derw Medical Centre"</f>
        <v>Bron Derw Medical Centre</v>
      </c>
      <c r="C2533" s="1" t="s">
        <v>10851</v>
      </c>
      <c r="F2533" s="1" t="s">
        <v>1321</v>
      </c>
      <c r="H2533" s="1" t="s">
        <v>10852</v>
      </c>
      <c r="I2533" s="1" t="s">
        <v>125</v>
      </c>
      <c r="J2533" s="1" t="s">
        <v>67</v>
      </c>
      <c r="K2533" s="1" t="s">
        <v>14</v>
      </c>
      <c r="M2533" s="2">
        <v>43032</v>
      </c>
      <c r="N2533" s="1" t="s">
        <v>8</v>
      </c>
      <c r="O2533" s="1" t="s">
        <v>68</v>
      </c>
    </row>
    <row r="2534" spans="1:15" ht="28.8" x14ac:dyDescent="0.3">
      <c r="A2534" s="1" t="s">
        <v>11848</v>
      </c>
      <c r="B2534" s="1" t="str">
        <f>"Electrical Compliance ltd"</f>
        <v>Electrical Compliance ltd</v>
      </c>
      <c r="C2534" s="1" t="s">
        <v>11849</v>
      </c>
      <c r="D2534" s="1" t="s">
        <v>11850</v>
      </c>
      <c r="F2534" s="1" t="s">
        <v>532</v>
      </c>
      <c r="H2534" s="1" t="s">
        <v>6073</v>
      </c>
      <c r="I2534" s="1" t="s">
        <v>19</v>
      </c>
      <c r="J2534" s="1" t="s">
        <v>6</v>
      </c>
      <c r="K2534" s="1" t="s">
        <v>34</v>
      </c>
      <c r="L2534" s="1">
        <v>10804376</v>
      </c>
      <c r="M2534" s="2">
        <v>43032</v>
      </c>
      <c r="N2534" s="1" t="s">
        <v>8</v>
      </c>
      <c r="O2534" s="2">
        <v>44128</v>
      </c>
    </row>
    <row r="2535" spans="1:15" ht="43.2" x14ac:dyDescent="0.3">
      <c r="A2535" s="1" t="s">
        <v>11851</v>
      </c>
      <c r="B2535" s="1" t="str">
        <f>"TONY G. HARRIS &amp; SONS BUILDING CONTRACTOR LTD"</f>
        <v>TONY G. HARRIS &amp; SONS BUILDING CONTRACTOR LTD</v>
      </c>
      <c r="C2535" s="1" t="s">
        <v>11852</v>
      </c>
      <c r="F2535" s="1" t="s">
        <v>123</v>
      </c>
      <c r="G2535" s="1" t="s">
        <v>27</v>
      </c>
      <c r="H2535" s="1" t="s">
        <v>1515</v>
      </c>
      <c r="I2535" s="1" t="s">
        <v>19</v>
      </c>
      <c r="J2535" s="1" t="s">
        <v>6</v>
      </c>
      <c r="K2535" s="1" t="s">
        <v>24</v>
      </c>
      <c r="L2535" s="1">
        <v>2218544</v>
      </c>
      <c r="M2535" s="2">
        <v>43032</v>
      </c>
      <c r="N2535" s="1" t="s">
        <v>8</v>
      </c>
      <c r="O2535" s="2">
        <v>44127</v>
      </c>
    </row>
    <row r="2536" spans="1:15" x14ac:dyDescent="0.3">
      <c r="A2536" s="1" t="s">
        <v>11853</v>
      </c>
      <c r="B2536" s="1" t="str">
        <f>"Seasons Roofing Ltd"</f>
        <v>Seasons Roofing Ltd</v>
      </c>
      <c r="C2536" s="1" t="s">
        <v>11854</v>
      </c>
      <c r="F2536" s="1" t="s">
        <v>1063</v>
      </c>
      <c r="H2536" s="1" t="s">
        <v>11855</v>
      </c>
      <c r="I2536" s="1" t="s">
        <v>19</v>
      </c>
      <c r="J2536" s="1" t="s">
        <v>6</v>
      </c>
      <c r="K2536" s="1" t="s">
        <v>24</v>
      </c>
      <c r="L2536" s="1">
        <v>6514290</v>
      </c>
      <c r="M2536" s="2">
        <v>43032</v>
      </c>
      <c r="N2536" s="1" t="s">
        <v>8</v>
      </c>
      <c r="O2536" s="2">
        <v>44128</v>
      </c>
    </row>
    <row r="2537" spans="1:15" x14ac:dyDescent="0.3">
      <c r="A2537" s="1" t="s">
        <v>23946</v>
      </c>
      <c r="B2537" s="1" t="str">
        <f>"William Arfon Owen"</f>
        <v>William Arfon Owen</v>
      </c>
      <c r="C2537" s="1" t="s">
        <v>23947</v>
      </c>
      <c r="F2537" s="1" t="s">
        <v>1108</v>
      </c>
      <c r="H2537" s="1" t="s">
        <v>23948</v>
      </c>
      <c r="I2537" s="1" t="s">
        <v>5</v>
      </c>
      <c r="J2537" s="1" t="s">
        <v>6</v>
      </c>
      <c r="K2537" s="1" t="s">
        <v>24</v>
      </c>
      <c r="M2537" s="2">
        <v>43032</v>
      </c>
      <c r="N2537" s="1" t="s">
        <v>8</v>
      </c>
      <c r="O2537" s="2">
        <v>44128</v>
      </c>
    </row>
    <row r="2538" spans="1:15" ht="28.8" x14ac:dyDescent="0.3">
      <c r="A2538" s="1" t="s">
        <v>23949</v>
      </c>
      <c r="B2538" s="1" t="str">
        <f>"Calvin Wall Cw big waste Removels "</f>
        <v xml:space="preserve">Calvin Wall Cw big waste Removels </v>
      </c>
      <c r="C2538" s="1" t="s">
        <v>23950</v>
      </c>
      <c r="F2538" s="1" t="s">
        <v>156</v>
      </c>
      <c r="H2538" s="1" t="s">
        <v>23951</v>
      </c>
      <c r="I2538" s="1" t="s">
        <v>5</v>
      </c>
      <c r="J2538" s="1" t="s">
        <v>6</v>
      </c>
      <c r="K2538" s="1" t="s">
        <v>24</v>
      </c>
      <c r="M2538" s="2">
        <v>43032</v>
      </c>
      <c r="N2538" s="1" t="s">
        <v>8</v>
      </c>
      <c r="O2538" s="2">
        <v>44128</v>
      </c>
    </row>
    <row r="2539" spans="1:15" ht="43.2" x14ac:dyDescent="0.3">
      <c r="A2539" s="1" t="s">
        <v>23952</v>
      </c>
      <c r="B2539" s="1" t="str">
        <f>"terry jackson tjglazing"</f>
        <v>terry jackson tjglazing</v>
      </c>
      <c r="C2539" s="1" t="s">
        <v>23953</v>
      </c>
      <c r="F2539" s="1" t="s">
        <v>4086</v>
      </c>
      <c r="H2539" s="1" t="s">
        <v>23954</v>
      </c>
      <c r="I2539" s="1" t="s">
        <v>5</v>
      </c>
      <c r="J2539" s="1" t="s">
        <v>67</v>
      </c>
      <c r="K2539" s="1" t="s">
        <v>1859</v>
      </c>
      <c r="M2539" s="2">
        <v>43032</v>
      </c>
      <c r="N2539" s="1" t="s">
        <v>8</v>
      </c>
      <c r="O2539" s="1" t="s">
        <v>68</v>
      </c>
    </row>
    <row r="2540" spans="1:15" ht="43.2" x14ac:dyDescent="0.3">
      <c r="A2540" s="1" t="s">
        <v>23955</v>
      </c>
      <c r="B2540" s="1" t="str">
        <f>"Justin Moss J.moss construction landscaping &amp; p"</f>
        <v>Justin Moss J.moss construction landscaping &amp; p</v>
      </c>
      <c r="C2540" s="1" t="s">
        <v>23956</v>
      </c>
      <c r="D2540" s="1" t="s">
        <v>23957</v>
      </c>
      <c r="F2540" s="1" t="s">
        <v>380</v>
      </c>
      <c r="H2540" s="1" t="s">
        <v>23958</v>
      </c>
      <c r="I2540" s="1" t="s">
        <v>5</v>
      </c>
      <c r="J2540" s="1" t="s">
        <v>6</v>
      </c>
      <c r="K2540" s="1" t="s">
        <v>24</v>
      </c>
      <c r="M2540" s="2">
        <v>43032</v>
      </c>
      <c r="N2540" s="1" t="s">
        <v>8</v>
      </c>
      <c r="O2540" s="2">
        <v>44128</v>
      </c>
    </row>
    <row r="2541" spans="1:15" ht="43.2" x14ac:dyDescent="0.3">
      <c r="A2541" s="1" t="s">
        <v>23959</v>
      </c>
      <c r="B2541" s="1" t="str">
        <f>"Gareth Evans"</f>
        <v>Gareth Evans</v>
      </c>
      <c r="C2541" s="1" t="s">
        <v>23960</v>
      </c>
      <c r="F2541" s="1" t="s">
        <v>1351</v>
      </c>
      <c r="H2541" s="1" t="s">
        <v>23961</v>
      </c>
      <c r="I2541" s="1" t="s">
        <v>5</v>
      </c>
      <c r="J2541" s="1" t="s">
        <v>67</v>
      </c>
      <c r="K2541" s="1" t="s">
        <v>14</v>
      </c>
      <c r="M2541" s="2">
        <v>43032</v>
      </c>
      <c r="N2541" s="1" t="s">
        <v>8</v>
      </c>
      <c r="O2541" s="1" t="s">
        <v>68</v>
      </c>
    </row>
    <row r="2542" spans="1:15" ht="43.2" x14ac:dyDescent="0.3">
      <c r="A2542" s="1" t="s">
        <v>24802</v>
      </c>
      <c r="B2542" s="1" t="str">
        <f>"Andrew Honey"</f>
        <v>Andrew Honey</v>
      </c>
      <c r="C2542" s="1" t="s">
        <v>24803</v>
      </c>
      <c r="F2542" s="1" t="s">
        <v>5042</v>
      </c>
      <c r="H2542" s="1" t="s">
        <v>24804</v>
      </c>
      <c r="I2542" s="1" t="s">
        <v>5</v>
      </c>
      <c r="J2542" s="1" t="s">
        <v>67</v>
      </c>
      <c r="K2542" s="1" t="s">
        <v>14</v>
      </c>
      <c r="M2542" s="2">
        <v>43032</v>
      </c>
      <c r="N2542" s="1" t="s">
        <v>8</v>
      </c>
      <c r="O2542" s="1" t="s">
        <v>68</v>
      </c>
    </row>
    <row r="2543" spans="1:15" ht="28.8" x14ac:dyDescent="0.3">
      <c r="A2543" s="1" t="s">
        <v>24805</v>
      </c>
      <c r="B2543" s="1" t="str">
        <f>"Joseph Jones Green landscapes"</f>
        <v>Joseph Jones Green landscapes</v>
      </c>
      <c r="C2543" s="1" t="s">
        <v>24806</v>
      </c>
      <c r="F2543" s="1" t="s">
        <v>156</v>
      </c>
      <c r="H2543" s="1" t="s">
        <v>24807</v>
      </c>
      <c r="I2543" s="1" t="s">
        <v>5</v>
      </c>
      <c r="J2543" s="1" t="s">
        <v>6</v>
      </c>
      <c r="K2543" s="1" t="s">
        <v>24</v>
      </c>
      <c r="M2543" s="2">
        <v>43032</v>
      </c>
      <c r="N2543" s="1" t="s">
        <v>8</v>
      </c>
      <c r="O2543" s="2">
        <v>44128</v>
      </c>
    </row>
    <row r="2544" spans="1:15" ht="43.2" x14ac:dyDescent="0.3">
      <c r="A2544" s="1" t="s">
        <v>9833</v>
      </c>
      <c r="B2544" s="1" t="str">
        <f>"Rhondda recovery"</f>
        <v>Rhondda recovery</v>
      </c>
      <c r="C2544" s="1" t="s">
        <v>9834</v>
      </c>
      <c r="F2544" s="1" t="s">
        <v>457</v>
      </c>
      <c r="H2544" s="1" t="s">
        <v>9835</v>
      </c>
      <c r="I2544" s="1" t="s">
        <v>188</v>
      </c>
      <c r="J2544" s="1" t="s">
        <v>67</v>
      </c>
      <c r="K2544" s="1" t="s">
        <v>14</v>
      </c>
      <c r="M2544" s="2">
        <v>43031</v>
      </c>
      <c r="N2544" s="1" t="s">
        <v>8</v>
      </c>
      <c r="O2544" s="1" t="s">
        <v>68</v>
      </c>
    </row>
    <row r="2545" spans="1:15" ht="43.2" x14ac:dyDescent="0.3">
      <c r="A2545" s="1" t="s">
        <v>10822</v>
      </c>
      <c r="B2545" s="1" t="str">
        <f>"abergavenny garden centre"</f>
        <v>abergavenny garden centre</v>
      </c>
      <c r="C2545" s="1" t="s">
        <v>10823</v>
      </c>
      <c r="F2545" s="1" t="s">
        <v>230</v>
      </c>
      <c r="H2545" s="1" t="s">
        <v>10824</v>
      </c>
      <c r="I2545" s="1" t="s">
        <v>19</v>
      </c>
      <c r="J2545" s="1" t="s">
        <v>67</v>
      </c>
      <c r="K2545" s="1" t="s">
        <v>14</v>
      </c>
      <c r="M2545" s="2">
        <v>43031</v>
      </c>
      <c r="N2545" s="1" t="s">
        <v>8</v>
      </c>
      <c r="O2545" s="1" t="s">
        <v>68</v>
      </c>
    </row>
    <row r="2546" spans="1:15" ht="28.8" x14ac:dyDescent="0.3">
      <c r="A2546" s="1" t="s">
        <v>10825</v>
      </c>
      <c r="B2546" s="1" t="str">
        <f>"Mobile Home Services Ltd"</f>
        <v>Mobile Home Services Ltd</v>
      </c>
      <c r="C2546" s="1" t="s">
        <v>10826</v>
      </c>
      <c r="F2546" s="1" t="s">
        <v>790</v>
      </c>
      <c r="H2546" s="1" t="s">
        <v>10827</v>
      </c>
      <c r="I2546" s="1" t="s">
        <v>19</v>
      </c>
      <c r="J2546" s="1" t="s">
        <v>6</v>
      </c>
      <c r="K2546" s="1" t="s">
        <v>34</v>
      </c>
      <c r="L2546" s="1">
        <v>4015989</v>
      </c>
      <c r="M2546" s="2">
        <v>43031</v>
      </c>
      <c r="N2546" s="1" t="s">
        <v>8</v>
      </c>
      <c r="O2546" s="2">
        <v>44127</v>
      </c>
    </row>
    <row r="2547" spans="1:15" ht="43.2" x14ac:dyDescent="0.3">
      <c r="A2547" s="1" t="s">
        <v>10828</v>
      </c>
      <c r="B2547" s="1" t="str">
        <f>"TFN Group LTD"</f>
        <v>TFN Group LTD</v>
      </c>
      <c r="C2547" s="1" t="s">
        <v>10829</v>
      </c>
      <c r="F2547" s="1" t="s">
        <v>56</v>
      </c>
      <c r="H2547" s="1" t="s">
        <v>10830</v>
      </c>
      <c r="I2547" s="1" t="s">
        <v>19</v>
      </c>
      <c r="J2547" s="1" t="s">
        <v>67</v>
      </c>
      <c r="K2547" s="1" t="s">
        <v>14</v>
      </c>
      <c r="M2547" s="2">
        <v>43031</v>
      </c>
      <c r="N2547" s="1" t="s">
        <v>8</v>
      </c>
      <c r="O2547" s="1" t="s">
        <v>68</v>
      </c>
    </row>
    <row r="2548" spans="1:15" ht="28.8" x14ac:dyDescent="0.3">
      <c r="A2548" s="1" t="s">
        <v>10831</v>
      </c>
      <c r="B2548" s="1" t="str">
        <f>"Cynon Valley Waste Disposal Co. Ltd."</f>
        <v>Cynon Valley Waste Disposal Co. Ltd.</v>
      </c>
      <c r="C2548" s="1" t="s">
        <v>10832</v>
      </c>
      <c r="F2548" s="1" t="s">
        <v>140</v>
      </c>
      <c r="H2548" s="1" t="s">
        <v>10833</v>
      </c>
      <c r="I2548" s="1" t="s">
        <v>19</v>
      </c>
      <c r="J2548" s="1" t="s">
        <v>6</v>
      </c>
      <c r="K2548" s="1" t="s">
        <v>34</v>
      </c>
      <c r="L2548" s="1">
        <v>2660628</v>
      </c>
      <c r="M2548" s="2">
        <v>43031</v>
      </c>
      <c r="N2548" s="1" t="s">
        <v>8</v>
      </c>
      <c r="O2548" s="2">
        <v>44127</v>
      </c>
    </row>
    <row r="2549" spans="1:15" ht="28.8" x14ac:dyDescent="0.3">
      <c r="A2549" s="1" t="s">
        <v>10834</v>
      </c>
      <c r="B2549" s="1" t="str">
        <f>"S A METALS AND RECYCLING"</f>
        <v>S A METALS AND RECYCLING</v>
      </c>
      <c r="C2549" s="1" t="s">
        <v>10835</v>
      </c>
      <c r="D2549" s="1" t="s">
        <v>3128</v>
      </c>
      <c r="F2549" s="1" t="s">
        <v>156</v>
      </c>
      <c r="H2549" s="1" t="s">
        <v>10836</v>
      </c>
      <c r="I2549" s="1" t="s">
        <v>125</v>
      </c>
      <c r="J2549" s="1" t="s">
        <v>6</v>
      </c>
      <c r="K2549" s="1" t="s">
        <v>24</v>
      </c>
      <c r="M2549" s="2">
        <v>43031</v>
      </c>
      <c r="N2549" s="1" t="s">
        <v>8</v>
      </c>
      <c r="O2549" s="2">
        <v>44127</v>
      </c>
    </row>
    <row r="2550" spans="1:15" x14ac:dyDescent="0.3">
      <c r="A2550" s="1" t="s">
        <v>10837</v>
      </c>
      <c r="B2550" s="1" t="str">
        <f>"Bl groundworks"</f>
        <v>Bl groundworks</v>
      </c>
      <c r="C2550" s="1" t="s">
        <v>10838</v>
      </c>
      <c r="D2550" s="1" t="s">
        <v>10839</v>
      </c>
      <c r="F2550" s="1" t="s">
        <v>2152</v>
      </c>
      <c r="H2550" s="1" t="s">
        <v>10840</v>
      </c>
      <c r="I2550" s="1" t="s">
        <v>19</v>
      </c>
      <c r="J2550" s="1" t="s">
        <v>6</v>
      </c>
      <c r="K2550" s="1" t="s">
        <v>24</v>
      </c>
      <c r="L2550" s="1">
        <v>10581243</v>
      </c>
      <c r="M2550" s="2">
        <v>43031</v>
      </c>
      <c r="N2550" s="1" t="s">
        <v>8</v>
      </c>
      <c r="O2550" s="2">
        <v>44127</v>
      </c>
    </row>
    <row r="2551" spans="1:15" ht="28.8" x14ac:dyDescent="0.3">
      <c r="A2551" s="1" t="s">
        <v>10841</v>
      </c>
      <c r="B2551" s="1" t="str">
        <f>"Fawkes Solutions Ltd"</f>
        <v>Fawkes Solutions Ltd</v>
      </c>
      <c r="C2551" s="1" t="s">
        <v>10842</v>
      </c>
      <c r="F2551" s="1" t="s">
        <v>123</v>
      </c>
      <c r="H2551" s="1" t="s">
        <v>10843</v>
      </c>
      <c r="I2551" s="1" t="s">
        <v>19</v>
      </c>
      <c r="J2551" s="1" t="s">
        <v>6</v>
      </c>
      <c r="K2551" s="1" t="s">
        <v>1859</v>
      </c>
      <c r="L2551" s="1">
        <v>11027631</v>
      </c>
      <c r="M2551" s="2">
        <v>43031</v>
      </c>
      <c r="N2551" s="1" t="s">
        <v>8</v>
      </c>
      <c r="O2551" s="2">
        <v>44127</v>
      </c>
    </row>
    <row r="2552" spans="1:15" ht="28.8" x14ac:dyDescent="0.3">
      <c r="A2552" s="1" t="s">
        <v>10844</v>
      </c>
      <c r="B2552" s="1" t="str">
        <f>"Dwyfor Environmental Ltd"</f>
        <v>Dwyfor Environmental Ltd</v>
      </c>
      <c r="C2552" s="1" t="s">
        <v>10845</v>
      </c>
      <c r="F2552" s="1" t="s">
        <v>1538</v>
      </c>
      <c r="H2552" s="1" t="s">
        <v>10846</v>
      </c>
      <c r="I2552" s="1" t="s">
        <v>19</v>
      </c>
      <c r="J2552" s="1" t="s">
        <v>6</v>
      </c>
      <c r="K2552" s="1" t="s">
        <v>24</v>
      </c>
      <c r="L2552" s="1">
        <v>9741046</v>
      </c>
      <c r="M2552" s="2">
        <v>43031</v>
      </c>
      <c r="N2552" s="1" t="s">
        <v>8</v>
      </c>
      <c r="O2552" s="2">
        <v>44127</v>
      </c>
    </row>
    <row r="2553" spans="1:15" ht="43.2" x14ac:dyDescent="0.3">
      <c r="A2553" s="1" t="s">
        <v>10847</v>
      </c>
      <c r="B2553" s="1" t="str">
        <f>"JE  BW &amp; E Jones"</f>
        <v>JE  BW &amp; E Jones</v>
      </c>
      <c r="C2553" s="1" t="s">
        <v>10848</v>
      </c>
      <c r="F2553" s="1" t="s">
        <v>2</v>
      </c>
      <c r="H2553" s="1" t="s">
        <v>10849</v>
      </c>
      <c r="I2553" s="1" t="s">
        <v>125</v>
      </c>
      <c r="J2553" s="1" t="s">
        <v>67</v>
      </c>
      <c r="K2553" s="1" t="s">
        <v>24</v>
      </c>
      <c r="M2553" s="2">
        <v>43031</v>
      </c>
      <c r="N2553" s="1" t="s">
        <v>8</v>
      </c>
      <c r="O2553" s="1" t="s">
        <v>68</v>
      </c>
    </row>
    <row r="2554" spans="1:15" ht="28.8" x14ac:dyDescent="0.3">
      <c r="A2554" s="1" t="s">
        <v>23939</v>
      </c>
      <c r="B2554" s="1" t="str">
        <f>"Adam Robinson Rhondda Recovery "</f>
        <v xml:space="preserve">Adam Robinson Rhondda Recovery </v>
      </c>
      <c r="C2554" s="1" t="s">
        <v>9834</v>
      </c>
      <c r="F2554" s="1" t="s">
        <v>457</v>
      </c>
      <c r="H2554" s="1" t="s">
        <v>9835</v>
      </c>
      <c r="I2554" s="1" t="s">
        <v>5</v>
      </c>
      <c r="J2554" s="1" t="s">
        <v>6</v>
      </c>
      <c r="K2554" s="1" t="s">
        <v>24</v>
      </c>
      <c r="M2554" s="2">
        <v>43031</v>
      </c>
      <c r="N2554" s="1" t="s">
        <v>8</v>
      </c>
      <c r="O2554" s="2">
        <v>44127</v>
      </c>
    </row>
    <row r="2555" spans="1:15" ht="43.2" x14ac:dyDescent="0.3">
      <c r="A2555" s="1" t="s">
        <v>23940</v>
      </c>
      <c r="B2555" s="1" t="str">
        <f>"Jeremy Turner"</f>
        <v>Jeremy Turner</v>
      </c>
      <c r="C2555" s="1" t="s">
        <v>23941</v>
      </c>
      <c r="F2555" s="1" t="s">
        <v>5291</v>
      </c>
      <c r="H2555" s="1" t="s">
        <v>23942</v>
      </c>
      <c r="I2555" s="1" t="s">
        <v>5</v>
      </c>
      <c r="J2555" s="1" t="s">
        <v>67</v>
      </c>
      <c r="K2555" s="1" t="s">
        <v>14</v>
      </c>
      <c r="M2555" s="2">
        <v>43031</v>
      </c>
      <c r="N2555" s="1" t="s">
        <v>8</v>
      </c>
      <c r="O2555" s="1" t="s">
        <v>68</v>
      </c>
    </row>
    <row r="2556" spans="1:15" ht="43.2" x14ac:dyDescent="0.3">
      <c r="A2556" s="1" t="s">
        <v>23943</v>
      </c>
      <c r="B2556" s="1" t="str">
        <f>"Mahir Cupi"</f>
        <v>Mahir Cupi</v>
      </c>
      <c r="C2556" s="1" t="s">
        <v>23944</v>
      </c>
      <c r="F2556" s="1" t="s">
        <v>17870</v>
      </c>
      <c r="H2556" s="1" t="s">
        <v>23945</v>
      </c>
      <c r="I2556" s="1" t="s">
        <v>5</v>
      </c>
      <c r="J2556" s="1" t="s">
        <v>67</v>
      </c>
      <c r="K2556" s="1" t="s">
        <v>14</v>
      </c>
      <c r="M2556" s="2">
        <v>43031</v>
      </c>
      <c r="N2556" s="1" t="s">
        <v>8</v>
      </c>
      <c r="O2556" s="1" t="s">
        <v>68</v>
      </c>
    </row>
    <row r="2557" spans="1:15" ht="28.8" x14ac:dyDescent="0.3">
      <c r="A2557" s="1" t="s">
        <v>23143</v>
      </c>
      <c r="B2557" s="1" t="str">
        <f>"Andrew Stephens AES Plant &amp; Sales"</f>
        <v>Andrew Stephens AES Plant &amp; Sales</v>
      </c>
      <c r="C2557" s="1" t="s">
        <v>12852</v>
      </c>
      <c r="F2557" s="1" t="s">
        <v>401</v>
      </c>
      <c r="G2557" s="1" t="s">
        <v>231</v>
      </c>
      <c r="H2557" s="1" t="s">
        <v>12853</v>
      </c>
      <c r="I2557" s="1" t="s">
        <v>5</v>
      </c>
      <c r="J2557" s="1" t="s">
        <v>6</v>
      </c>
      <c r="K2557" s="1" t="s">
        <v>34</v>
      </c>
      <c r="M2557" s="2">
        <v>43030</v>
      </c>
      <c r="N2557" s="1" t="s">
        <v>8</v>
      </c>
      <c r="O2557" s="2">
        <v>44125</v>
      </c>
    </row>
    <row r="2558" spans="1:15" ht="28.8" x14ac:dyDescent="0.3">
      <c r="A2558" s="1" t="s">
        <v>9827</v>
      </c>
      <c r="B2558" s="1" t="str">
        <f>"the really handy company ltd"</f>
        <v>the really handy company ltd</v>
      </c>
      <c r="C2558" s="1" t="s">
        <v>9828</v>
      </c>
      <c r="D2558" s="1" t="s">
        <v>6353</v>
      </c>
      <c r="F2558" s="1" t="s">
        <v>401</v>
      </c>
      <c r="H2558" s="1" t="s">
        <v>9829</v>
      </c>
      <c r="I2558" s="1" t="s">
        <v>19</v>
      </c>
      <c r="J2558" s="1" t="s">
        <v>6</v>
      </c>
      <c r="K2558" s="1" t="s">
        <v>24</v>
      </c>
      <c r="L2558" s="1">
        <v>4035410</v>
      </c>
      <c r="M2558" s="2">
        <v>43029</v>
      </c>
      <c r="N2558" s="1" t="s">
        <v>8</v>
      </c>
      <c r="O2558" s="2">
        <v>44125</v>
      </c>
    </row>
    <row r="2559" spans="1:15" ht="28.8" x14ac:dyDescent="0.3">
      <c r="A2559" s="1" t="s">
        <v>9830</v>
      </c>
      <c r="B2559" s="1" t="str">
        <f>"Morris's Grounds Maintenance Ltd"</f>
        <v>Morris's Grounds Maintenance Ltd</v>
      </c>
      <c r="C2559" s="1" t="s">
        <v>9831</v>
      </c>
      <c r="D2559" s="1" t="s">
        <v>2066</v>
      </c>
      <c r="F2559" s="1" t="s">
        <v>1642</v>
      </c>
      <c r="H2559" s="1" t="s">
        <v>9832</v>
      </c>
      <c r="I2559" s="1" t="s">
        <v>19</v>
      </c>
      <c r="J2559" s="1" t="s">
        <v>6</v>
      </c>
      <c r="K2559" s="1" t="s">
        <v>24</v>
      </c>
      <c r="L2559" s="1">
        <v>6413711</v>
      </c>
      <c r="M2559" s="2">
        <v>43029</v>
      </c>
      <c r="N2559" s="1" t="s">
        <v>8</v>
      </c>
      <c r="O2559" s="2">
        <v>44125</v>
      </c>
    </row>
    <row r="2560" spans="1:15" ht="28.8" x14ac:dyDescent="0.3">
      <c r="A2560" s="1" t="s">
        <v>23137</v>
      </c>
      <c r="B2560" s="1" t="str">
        <f>"Francesco  Camilleri  Francesco Camilleri "</f>
        <v xml:space="preserve">Francesco  Camilleri  Francesco Camilleri </v>
      </c>
      <c r="C2560" s="1" t="s">
        <v>23138</v>
      </c>
      <c r="D2560" s="1" t="s">
        <v>363</v>
      </c>
      <c r="F2560" s="1" t="s">
        <v>364</v>
      </c>
      <c r="H2560" s="1" t="s">
        <v>23139</v>
      </c>
      <c r="I2560" s="1" t="s">
        <v>5</v>
      </c>
      <c r="J2560" s="1" t="s">
        <v>6</v>
      </c>
      <c r="K2560" s="1" t="s">
        <v>24</v>
      </c>
      <c r="M2560" s="2">
        <v>43029</v>
      </c>
      <c r="N2560" s="1" t="s">
        <v>8</v>
      </c>
      <c r="O2560" s="2">
        <v>44125</v>
      </c>
    </row>
    <row r="2561" spans="1:15" ht="28.8" x14ac:dyDescent="0.3">
      <c r="A2561" s="1" t="s">
        <v>23140</v>
      </c>
      <c r="B2561" s="1" t="str">
        <f>"Stephen Mill Stephen mill"</f>
        <v>Stephen Mill Stephen mill</v>
      </c>
      <c r="C2561" s="1" t="s">
        <v>23141</v>
      </c>
      <c r="F2561" s="1" t="s">
        <v>710</v>
      </c>
      <c r="H2561" s="1" t="s">
        <v>23142</v>
      </c>
      <c r="I2561" s="1" t="s">
        <v>5</v>
      </c>
      <c r="J2561" s="1" t="s">
        <v>6</v>
      </c>
      <c r="K2561" s="1" t="s">
        <v>24</v>
      </c>
      <c r="M2561" s="2">
        <v>43029</v>
      </c>
      <c r="N2561" s="1" t="s">
        <v>8</v>
      </c>
      <c r="O2561" s="2">
        <v>44125</v>
      </c>
    </row>
    <row r="2562" spans="1:15" ht="28.8" x14ac:dyDescent="0.3">
      <c r="A2562" s="1" t="s">
        <v>8656</v>
      </c>
      <c r="B2562" s="1" t="str">
        <f>"Pontypool Waste Disposal Ltd"</f>
        <v>Pontypool Waste Disposal Ltd</v>
      </c>
      <c r="C2562" s="1" t="s">
        <v>3506</v>
      </c>
      <c r="F2562" s="1" t="s">
        <v>1058</v>
      </c>
      <c r="H2562" s="1" t="s">
        <v>3341</v>
      </c>
      <c r="I2562" s="1" t="s">
        <v>19</v>
      </c>
      <c r="J2562" s="1" t="s">
        <v>6</v>
      </c>
      <c r="K2562" s="1" t="s">
        <v>34</v>
      </c>
      <c r="L2562" s="1">
        <v>6858405</v>
      </c>
      <c r="M2562" s="2">
        <v>43028</v>
      </c>
      <c r="N2562" s="1" t="s">
        <v>8</v>
      </c>
      <c r="O2562" s="2">
        <v>44124</v>
      </c>
    </row>
    <row r="2563" spans="1:15" ht="28.8" x14ac:dyDescent="0.3">
      <c r="A2563" s="1" t="s">
        <v>9815</v>
      </c>
      <c r="B2563" s="1" t="str">
        <f>"HAROLD R JOHNS LIMITED"</f>
        <v>HAROLD R JOHNS LIMITED</v>
      </c>
      <c r="C2563" s="1" t="s">
        <v>9816</v>
      </c>
      <c r="D2563" s="1" t="s">
        <v>9817</v>
      </c>
      <c r="F2563" s="1" t="s">
        <v>243</v>
      </c>
      <c r="H2563" s="1" t="s">
        <v>9818</v>
      </c>
      <c r="I2563" s="1" t="s">
        <v>19</v>
      </c>
      <c r="J2563" s="1" t="s">
        <v>6</v>
      </c>
      <c r="K2563" s="1" t="s">
        <v>24</v>
      </c>
      <c r="L2563" s="1">
        <v>5319529</v>
      </c>
      <c r="M2563" s="2">
        <v>43028</v>
      </c>
      <c r="N2563" s="1" t="s">
        <v>8</v>
      </c>
      <c r="O2563" s="2">
        <v>44124</v>
      </c>
    </row>
    <row r="2564" spans="1:15" ht="28.8" x14ac:dyDescent="0.3">
      <c r="A2564" s="1" t="s">
        <v>9819</v>
      </c>
      <c r="B2564" s="1" t="str">
        <f>"Ceri hall construction ltd "</f>
        <v xml:space="preserve">Ceri hall construction ltd </v>
      </c>
      <c r="C2564" s="1" t="s">
        <v>9820</v>
      </c>
      <c r="F2564" s="1" t="s">
        <v>64</v>
      </c>
      <c r="H2564" s="1" t="s">
        <v>9821</v>
      </c>
      <c r="I2564" s="1" t="s">
        <v>19</v>
      </c>
      <c r="J2564" s="1" t="s">
        <v>6</v>
      </c>
      <c r="K2564" s="1" t="s">
        <v>34</v>
      </c>
      <c r="L2564" s="1">
        <v>6829200</v>
      </c>
      <c r="M2564" s="2">
        <v>43028</v>
      </c>
      <c r="N2564" s="1" t="s">
        <v>8</v>
      </c>
      <c r="O2564" s="2">
        <v>44124</v>
      </c>
    </row>
    <row r="2565" spans="1:15" ht="28.8" x14ac:dyDescent="0.3">
      <c r="A2565" s="1" t="s">
        <v>9822</v>
      </c>
      <c r="B2565" s="1" t="str">
        <f>"REACTIVE PROPERTY MAINTENANCE (S.WA"</f>
        <v>REACTIVE PROPERTY MAINTENANCE (S.WA</v>
      </c>
      <c r="C2565" s="1" t="s">
        <v>9823</v>
      </c>
      <c r="F2565" s="1" t="s">
        <v>380</v>
      </c>
      <c r="H2565" s="1" t="s">
        <v>9824</v>
      </c>
      <c r="I2565" s="1" t="s">
        <v>19</v>
      </c>
      <c r="J2565" s="1" t="s">
        <v>6</v>
      </c>
      <c r="K2565" s="1" t="s">
        <v>34</v>
      </c>
      <c r="L2565" s="1">
        <v>8987446</v>
      </c>
      <c r="M2565" s="2">
        <v>43028</v>
      </c>
      <c r="N2565" s="1" t="s">
        <v>8</v>
      </c>
      <c r="O2565" s="2">
        <v>44124</v>
      </c>
    </row>
    <row r="2566" spans="1:15" ht="28.8" x14ac:dyDescent="0.3">
      <c r="A2566" s="1" t="s">
        <v>9825</v>
      </c>
      <c r="B2566" s="1" t="str">
        <f>"Big Hedge Co."</f>
        <v>Big Hedge Co.</v>
      </c>
      <c r="C2566" s="1" t="s">
        <v>9826</v>
      </c>
      <c r="D2566" s="1" t="s">
        <v>322</v>
      </c>
      <c r="F2566" s="1" t="s">
        <v>585</v>
      </c>
      <c r="H2566" s="1" t="s">
        <v>8122</v>
      </c>
      <c r="I2566" s="1" t="s">
        <v>19</v>
      </c>
      <c r="J2566" s="1" t="s">
        <v>6</v>
      </c>
      <c r="K2566" s="1" t="s">
        <v>34</v>
      </c>
      <c r="L2566" s="1">
        <v>9183101</v>
      </c>
      <c r="M2566" s="2">
        <v>43028</v>
      </c>
      <c r="N2566" s="1" t="s">
        <v>8</v>
      </c>
      <c r="O2566" s="2">
        <v>44124</v>
      </c>
    </row>
    <row r="2567" spans="1:15" ht="28.8" x14ac:dyDescent="0.3">
      <c r="A2567" s="1" t="s">
        <v>23124</v>
      </c>
      <c r="B2567" s="1" t="str">
        <f>"John Lockett John Lockett"</f>
        <v>John Lockett John Lockett</v>
      </c>
      <c r="C2567" s="1" t="s">
        <v>23125</v>
      </c>
      <c r="F2567" s="1" t="s">
        <v>532</v>
      </c>
      <c r="H2567" s="1" t="s">
        <v>23126</v>
      </c>
      <c r="I2567" s="1" t="s">
        <v>5</v>
      </c>
      <c r="J2567" s="1" t="s">
        <v>6</v>
      </c>
      <c r="K2567" s="1" t="s">
        <v>34</v>
      </c>
      <c r="M2567" s="2">
        <v>43028</v>
      </c>
      <c r="N2567" s="1" t="s">
        <v>8</v>
      </c>
      <c r="O2567" s="2">
        <v>44124</v>
      </c>
    </row>
    <row r="2568" spans="1:15" ht="28.8" x14ac:dyDescent="0.3">
      <c r="A2568" s="1" t="s">
        <v>23127</v>
      </c>
      <c r="B2568" s="1" t="str">
        <f>"Paul Turner Paul Turner"</f>
        <v>Paul Turner Paul Turner</v>
      </c>
      <c r="C2568" s="1" t="s">
        <v>23128</v>
      </c>
      <c r="F2568" s="1" t="s">
        <v>767</v>
      </c>
      <c r="H2568" s="1" t="s">
        <v>23129</v>
      </c>
      <c r="I2568" s="1" t="s">
        <v>5</v>
      </c>
      <c r="J2568" s="1" t="s">
        <v>6</v>
      </c>
      <c r="K2568" s="1" t="s">
        <v>34</v>
      </c>
      <c r="M2568" s="2">
        <v>43028</v>
      </c>
      <c r="N2568" s="1" t="s">
        <v>8</v>
      </c>
      <c r="O2568" s="2">
        <v>44124</v>
      </c>
    </row>
    <row r="2569" spans="1:15" ht="28.8" x14ac:dyDescent="0.3">
      <c r="A2569" s="1" t="s">
        <v>23130</v>
      </c>
      <c r="B2569" s="1" t="str">
        <f>"Andrew Green"</f>
        <v>Andrew Green</v>
      </c>
      <c r="C2569" s="1" t="s">
        <v>23131</v>
      </c>
      <c r="D2569" s="1" t="s">
        <v>10958</v>
      </c>
      <c r="F2569" s="1" t="s">
        <v>487</v>
      </c>
      <c r="H2569" s="1" t="s">
        <v>10959</v>
      </c>
      <c r="I2569" s="1" t="s">
        <v>5</v>
      </c>
      <c r="J2569" s="1" t="s">
        <v>6</v>
      </c>
      <c r="K2569" s="1" t="s">
        <v>24</v>
      </c>
      <c r="M2569" s="2">
        <v>43028</v>
      </c>
      <c r="N2569" s="1" t="s">
        <v>8</v>
      </c>
      <c r="O2569" s="2">
        <v>44124</v>
      </c>
    </row>
    <row r="2570" spans="1:15" ht="28.8" x14ac:dyDescent="0.3">
      <c r="A2570" s="1" t="s">
        <v>23132</v>
      </c>
      <c r="B2570" s="1" t="str">
        <f>"Janet Richards 2nd Time Around"</f>
        <v>Janet Richards 2nd Time Around</v>
      </c>
      <c r="C2570" s="1" t="s">
        <v>23133</v>
      </c>
      <c r="F2570" s="1" t="s">
        <v>123</v>
      </c>
      <c r="H2570" s="1" t="s">
        <v>11622</v>
      </c>
      <c r="I2570" s="1" t="s">
        <v>5</v>
      </c>
      <c r="J2570" s="1" t="s">
        <v>6</v>
      </c>
      <c r="K2570" s="1" t="s">
        <v>34</v>
      </c>
      <c r="M2570" s="2">
        <v>43028</v>
      </c>
      <c r="N2570" s="1" t="s">
        <v>8</v>
      </c>
      <c r="O2570" s="2">
        <v>44124</v>
      </c>
    </row>
    <row r="2571" spans="1:15" ht="28.8" x14ac:dyDescent="0.3">
      <c r="A2571" s="1" t="s">
        <v>23134</v>
      </c>
      <c r="B2571" s="1" t="str">
        <f>"kenneth watkins kenneth watkins"</f>
        <v>kenneth watkins kenneth watkins</v>
      </c>
      <c r="C2571" s="1" t="s">
        <v>23135</v>
      </c>
      <c r="F2571" s="1" t="s">
        <v>179</v>
      </c>
      <c r="H2571" s="1" t="s">
        <v>23136</v>
      </c>
      <c r="I2571" s="1" t="s">
        <v>5</v>
      </c>
      <c r="J2571" s="1" t="s">
        <v>6</v>
      </c>
      <c r="K2571" s="1" t="s">
        <v>34</v>
      </c>
      <c r="M2571" s="2">
        <v>43028</v>
      </c>
      <c r="N2571" s="1" t="s">
        <v>8</v>
      </c>
      <c r="O2571" s="2">
        <v>44124</v>
      </c>
    </row>
    <row r="2572" spans="1:15" ht="28.8" x14ac:dyDescent="0.3">
      <c r="A2572" s="1" t="s">
        <v>8639</v>
      </c>
      <c r="B2572" s="1" t="str">
        <f>"Bear Trading"</f>
        <v>Bear Trading</v>
      </c>
      <c r="C2572" s="1" t="s">
        <v>8640</v>
      </c>
      <c r="F2572" s="1" t="s">
        <v>323</v>
      </c>
      <c r="H2572" s="1" t="s">
        <v>8641</v>
      </c>
      <c r="I2572" s="1" t="s">
        <v>125</v>
      </c>
      <c r="J2572" s="1" t="s">
        <v>6</v>
      </c>
      <c r="K2572" s="1" t="s">
        <v>34</v>
      </c>
      <c r="M2572" s="2">
        <v>43027</v>
      </c>
      <c r="N2572" s="1" t="s">
        <v>8</v>
      </c>
      <c r="O2572" s="2">
        <v>44123</v>
      </c>
    </row>
    <row r="2573" spans="1:15" ht="43.2" x14ac:dyDescent="0.3">
      <c r="A2573" s="1" t="s">
        <v>8642</v>
      </c>
      <c r="B2573" s="1" t="str">
        <f>"G. ADAMS CONSTRUCTION LIMITED"</f>
        <v>G. ADAMS CONSTRUCTION LIMITED</v>
      </c>
      <c r="C2573" s="1" t="s">
        <v>8643</v>
      </c>
      <c r="F2573" s="1" t="s">
        <v>102</v>
      </c>
      <c r="H2573" s="1" t="s">
        <v>8644</v>
      </c>
      <c r="I2573" s="1" t="s">
        <v>19</v>
      </c>
      <c r="J2573" s="1" t="s">
        <v>6</v>
      </c>
      <c r="K2573" s="1" t="s">
        <v>34</v>
      </c>
      <c r="L2573" s="1">
        <v>3655883</v>
      </c>
      <c r="M2573" s="2">
        <v>43027</v>
      </c>
      <c r="N2573" s="1" t="s">
        <v>8</v>
      </c>
      <c r="O2573" s="2">
        <v>44123</v>
      </c>
    </row>
    <row r="2574" spans="1:15" ht="28.8" x14ac:dyDescent="0.3">
      <c r="A2574" s="1" t="s">
        <v>8645</v>
      </c>
      <c r="B2574" s="1" t="str">
        <f>"Lj construction "</f>
        <v xml:space="preserve">Lj construction </v>
      </c>
      <c r="C2574" s="1" t="s">
        <v>8646</v>
      </c>
      <c r="F2574" s="1" t="s">
        <v>64</v>
      </c>
      <c r="H2574" s="1" t="s">
        <v>8647</v>
      </c>
      <c r="I2574" s="1" t="s">
        <v>125</v>
      </c>
      <c r="J2574" s="1" t="s">
        <v>6</v>
      </c>
      <c r="K2574" s="1" t="s">
        <v>34</v>
      </c>
      <c r="M2574" s="2">
        <v>43027</v>
      </c>
      <c r="N2574" s="1" t="s">
        <v>8</v>
      </c>
      <c r="O2574" s="2">
        <v>44123</v>
      </c>
    </row>
    <row r="2575" spans="1:15" ht="28.8" x14ac:dyDescent="0.3">
      <c r="A2575" s="1" t="s">
        <v>8648</v>
      </c>
      <c r="B2575" s="1" t="str">
        <f>"EMC Services (Wales) Ltd"</f>
        <v>EMC Services (Wales) Ltd</v>
      </c>
      <c r="C2575" s="1" t="s">
        <v>8649</v>
      </c>
      <c r="F2575" s="1" t="s">
        <v>56</v>
      </c>
      <c r="H2575" s="1" t="s">
        <v>8650</v>
      </c>
      <c r="I2575" s="1" t="s">
        <v>19</v>
      </c>
      <c r="J2575" s="1" t="s">
        <v>6</v>
      </c>
      <c r="K2575" s="1" t="s">
        <v>34</v>
      </c>
      <c r="L2575" s="1">
        <v>4610732</v>
      </c>
      <c r="M2575" s="2">
        <v>43027</v>
      </c>
      <c r="N2575" s="1" t="s">
        <v>8</v>
      </c>
      <c r="O2575" s="2">
        <v>44123</v>
      </c>
    </row>
    <row r="2576" spans="1:15" ht="28.8" x14ac:dyDescent="0.3">
      <c r="A2576" s="1" t="s">
        <v>8651</v>
      </c>
      <c r="B2576" s="1" t="str">
        <f>"Celtic Home Improvements"</f>
        <v>Celtic Home Improvements</v>
      </c>
      <c r="C2576" s="1" t="s">
        <v>8652</v>
      </c>
      <c r="F2576" s="1" t="s">
        <v>64</v>
      </c>
      <c r="H2576" s="1" t="s">
        <v>8653</v>
      </c>
      <c r="I2576" s="1" t="s">
        <v>125</v>
      </c>
      <c r="J2576" s="1" t="s">
        <v>6</v>
      </c>
      <c r="K2576" s="1" t="s">
        <v>34</v>
      </c>
      <c r="M2576" s="2">
        <v>43027</v>
      </c>
      <c r="N2576" s="1" t="s">
        <v>8</v>
      </c>
      <c r="O2576" s="2">
        <v>44123</v>
      </c>
    </row>
    <row r="2577" spans="1:15" ht="43.2" x14ac:dyDescent="0.3">
      <c r="A2577" s="1" t="s">
        <v>8654</v>
      </c>
      <c r="B2577" s="1" t="str">
        <f>"Distinction Gardens Ltd"</f>
        <v>Distinction Gardens Ltd</v>
      </c>
      <c r="C2577" s="1" t="s">
        <v>8655</v>
      </c>
      <c r="D2577" s="1" t="s">
        <v>2227</v>
      </c>
      <c r="F2577" s="1" t="s">
        <v>156</v>
      </c>
      <c r="H2577" s="1" t="s">
        <v>2228</v>
      </c>
      <c r="I2577" s="1" t="s">
        <v>19</v>
      </c>
      <c r="J2577" s="1" t="s">
        <v>67</v>
      </c>
      <c r="K2577" s="1" t="s">
        <v>14</v>
      </c>
      <c r="M2577" s="2">
        <v>43027</v>
      </c>
      <c r="N2577" s="1" t="s">
        <v>8</v>
      </c>
      <c r="O2577" s="1" t="s">
        <v>68</v>
      </c>
    </row>
    <row r="2578" spans="1:15" ht="43.2" x14ac:dyDescent="0.3">
      <c r="A2578" s="1" t="s">
        <v>22429</v>
      </c>
      <c r="B2578" s="1" t="str">
        <f>"Terry Vellam"</f>
        <v>Terry Vellam</v>
      </c>
      <c r="C2578" s="1" t="s">
        <v>22430</v>
      </c>
      <c r="D2578" s="1" t="s">
        <v>4237</v>
      </c>
      <c r="F2578" s="1" t="s">
        <v>22431</v>
      </c>
      <c r="H2578" s="1" t="s">
        <v>22432</v>
      </c>
      <c r="I2578" s="1" t="s">
        <v>5</v>
      </c>
      <c r="J2578" s="1" t="s">
        <v>67</v>
      </c>
      <c r="K2578" s="1" t="s">
        <v>14</v>
      </c>
      <c r="M2578" s="2">
        <v>43027</v>
      </c>
      <c r="N2578" s="1" t="s">
        <v>8</v>
      </c>
      <c r="O2578" s="1" t="s">
        <v>68</v>
      </c>
    </row>
    <row r="2579" spans="1:15" ht="28.8" x14ac:dyDescent="0.3">
      <c r="A2579" s="1" t="s">
        <v>22433</v>
      </c>
      <c r="B2579" s="1" t="str">
        <f>"Clive James Clive James"</f>
        <v>Clive James Clive James</v>
      </c>
      <c r="C2579" s="1" t="s">
        <v>22434</v>
      </c>
      <c r="F2579" s="1" t="s">
        <v>179</v>
      </c>
      <c r="H2579" s="1" t="s">
        <v>22435</v>
      </c>
      <c r="I2579" s="1" t="s">
        <v>5</v>
      </c>
      <c r="J2579" s="1" t="s">
        <v>6</v>
      </c>
      <c r="K2579" s="1" t="s">
        <v>24</v>
      </c>
      <c r="M2579" s="2">
        <v>43027</v>
      </c>
      <c r="N2579" s="1" t="s">
        <v>8</v>
      </c>
      <c r="O2579" s="2">
        <v>44123</v>
      </c>
    </row>
    <row r="2580" spans="1:15" ht="43.2" x14ac:dyDescent="0.3">
      <c r="A2580" s="1" t="s">
        <v>22436</v>
      </c>
      <c r="B2580" s="1" t="str">
        <f>"Hugh Thomas"</f>
        <v>Hugh Thomas</v>
      </c>
      <c r="C2580" s="1" t="s">
        <v>22437</v>
      </c>
      <c r="F2580" s="1" t="s">
        <v>706</v>
      </c>
      <c r="H2580" s="1" t="s">
        <v>22438</v>
      </c>
      <c r="I2580" s="1" t="s">
        <v>5</v>
      </c>
      <c r="J2580" s="1" t="s">
        <v>67</v>
      </c>
      <c r="K2580" s="1" t="s">
        <v>14</v>
      </c>
      <c r="M2580" s="2">
        <v>43027</v>
      </c>
      <c r="N2580" s="1" t="s">
        <v>8</v>
      </c>
      <c r="O2580" s="1" t="s">
        <v>68</v>
      </c>
    </row>
    <row r="2581" spans="1:15" ht="43.2" x14ac:dyDescent="0.3">
      <c r="A2581" s="1" t="s">
        <v>22439</v>
      </c>
      <c r="B2581" s="1" t="str">
        <f>"Nicholas Williams Williams Plumbing &amp; Heating"</f>
        <v>Nicholas Williams Williams Plumbing &amp; Heating</v>
      </c>
      <c r="C2581" s="1" t="s">
        <v>22440</v>
      </c>
      <c r="F2581" s="1" t="s">
        <v>123</v>
      </c>
      <c r="H2581" s="1" t="s">
        <v>22441</v>
      </c>
      <c r="I2581" s="1" t="s">
        <v>5</v>
      </c>
      <c r="J2581" s="1" t="s">
        <v>67</v>
      </c>
      <c r="K2581" s="1" t="s">
        <v>24</v>
      </c>
      <c r="M2581" s="2">
        <v>43027</v>
      </c>
      <c r="N2581" s="1" t="s">
        <v>8</v>
      </c>
      <c r="O2581" s="1" t="s">
        <v>68</v>
      </c>
    </row>
    <row r="2582" spans="1:15" x14ac:dyDescent="0.3">
      <c r="A2582" s="1" t="s">
        <v>22442</v>
      </c>
      <c r="B2582" s="1" t="str">
        <f>"Mair Jones M Jones"</f>
        <v>Mair Jones M Jones</v>
      </c>
      <c r="C2582" s="1" t="s">
        <v>22443</v>
      </c>
      <c r="D2582" s="1" t="s">
        <v>108</v>
      </c>
      <c r="F2582" s="1" t="s">
        <v>64</v>
      </c>
      <c r="H2582" s="1" t="s">
        <v>22444</v>
      </c>
      <c r="I2582" s="1" t="s">
        <v>5</v>
      </c>
      <c r="J2582" s="1" t="s">
        <v>6</v>
      </c>
      <c r="K2582" s="1" t="s">
        <v>24</v>
      </c>
      <c r="M2582" s="2">
        <v>43027</v>
      </c>
      <c r="N2582" s="1" t="s">
        <v>8</v>
      </c>
      <c r="O2582" s="2">
        <v>44123</v>
      </c>
    </row>
    <row r="2583" spans="1:15" ht="43.2" x14ac:dyDescent="0.3">
      <c r="A2583" s="1" t="s">
        <v>22445</v>
      </c>
      <c r="B2583" s="1" t="str">
        <f>"Ian Haggis"</f>
        <v>Ian Haggis</v>
      </c>
      <c r="C2583" s="1" t="s">
        <v>22446</v>
      </c>
      <c r="F2583" s="1" t="s">
        <v>32</v>
      </c>
      <c r="H2583" s="1" t="s">
        <v>22447</v>
      </c>
      <c r="I2583" s="1" t="s">
        <v>5</v>
      </c>
      <c r="J2583" s="1" t="s">
        <v>67</v>
      </c>
      <c r="K2583" s="1" t="s">
        <v>14</v>
      </c>
      <c r="M2583" s="2">
        <v>43027</v>
      </c>
      <c r="N2583" s="1" t="s">
        <v>8</v>
      </c>
      <c r="O2583" s="1" t="s">
        <v>68</v>
      </c>
    </row>
    <row r="2584" spans="1:15" ht="28.8" x14ac:dyDescent="0.3">
      <c r="A2584" s="1" t="s">
        <v>7454</v>
      </c>
      <c r="B2584" s="1" t="str">
        <f>"MIKES MOTORS LTD"</f>
        <v>MIKES MOTORS LTD</v>
      </c>
      <c r="C2584" s="1" t="s">
        <v>7455</v>
      </c>
      <c r="F2584" s="1" t="s">
        <v>32</v>
      </c>
      <c r="H2584" s="1" t="s">
        <v>2556</v>
      </c>
      <c r="I2584" s="1" t="s">
        <v>19</v>
      </c>
      <c r="J2584" s="1" t="s">
        <v>6</v>
      </c>
      <c r="K2584" s="1" t="s">
        <v>34</v>
      </c>
      <c r="L2584" s="1">
        <v>7508692</v>
      </c>
      <c r="M2584" s="2">
        <v>43026</v>
      </c>
      <c r="N2584" s="1" t="s">
        <v>8</v>
      </c>
      <c r="O2584" s="2">
        <v>44122</v>
      </c>
    </row>
    <row r="2585" spans="1:15" ht="28.8" x14ac:dyDescent="0.3">
      <c r="A2585" s="1" t="s">
        <v>8623</v>
      </c>
      <c r="B2585" s="1" t="str">
        <f>"ORCHID FLOORING LIMITED"</f>
        <v>ORCHID FLOORING LIMITED</v>
      </c>
      <c r="C2585" s="1" t="s">
        <v>8624</v>
      </c>
      <c r="D2585" s="1" t="s">
        <v>8625</v>
      </c>
      <c r="E2585" s="1" t="s">
        <v>8626</v>
      </c>
      <c r="F2585" s="1" t="s">
        <v>323</v>
      </c>
      <c r="H2585" s="1" t="s">
        <v>6490</v>
      </c>
      <c r="I2585" s="1" t="s">
        <v>19</v>
      </c>
      <c r="J2585" s="1" t="s">
        <v>6</v>
      </c>
      <c r="K2585" s="1" t="s">
        <v>24</v>
      </c>
      <c r="L2585" s="1">
        <v>6414563</v>
      </c>
      <c r="M2585" s="2">
        <v>43026</v>
      </c>
      <c r="N2585" s="1" t="s">
        <v>8</v>
      </c>
      <c r="O2585" s="2">
        <v>44122</v>
      </c>
    </row>
    <row r="2586" spans="1:15" ht="28.8" x14ac:dyDescent="0.3">
      <c r="A2586" s="1" t="s">
        <v>8627</v>
      </c>
      <c r="B2586" s="1" t="str">
        <f>"tc transport &amp; plant hire ltd"</f>
        <v>tc transport &amp; plant hire ltd</v>
      </c>
      <c r="C2586" s="1" t="s">
        <v>8628</v>
      </c>
      <c r="D2586" s="1" t="s">
        <v>8629</v>
      </c>
      <c r="F2586" s="1" t="s">
        <v>1351</v>
      </c>
      <c r="H2586" s="1" t="s">
        <v>8630</v>
      </c>
      <c r="I2586" s="1" t="s">
        <v>19</v>
      </c>
      <c r="J2586" s="1" t="s">
        <v>6</v>
      </c>
      <c r="K2586" s="1" t="s">
        <v>34</v>
      </c>
      <c r="L2586" s="1">
        <v>9442070</v>
      </c>
      <c r="M2586" s="2">
        <v>43026</v>
      </c>
      <c r="N2586" s="1" t="s">
        <v>8</v>
      </c>
      <c r="O2586" s="2">
        <v>44122</v>
      </c>
    </row>
    <row r="2587" spans="1:15" ht="28.8" x14ac:dyDescent="0.3">
      <c r="A2587" s="1" t="s">
        <v>8631</v>
      </c>
      <c r="B2587" s="1" t="str">
        <f>"KELRAY LTD"</f>
        <v>KELRAY LTD</v>
      </c>
      <c r="C2587" s="1" t="s">
        <v>8632</v>
      </c>
      <c r="D2587" s="1" t="s">
        <v>738</v>
      </c>
      <c r="F2587" s="1" t="s">
        <v>556</v>
      </c>
      <c r="H2587" s="1" t="s">
        <v>740</v>
      </c>
      <c r="I2587" s="1" t="s">
        <v>19</v>
      </c>
      <c r="J2587" s="1" t="s">
        <v>6</v>
      </c>
      <c r="K2587" s="1" t="s">
        <v>24</v>
      </c>
      <c r="L2587" s="1">
        <v>3623378</v>
      </c>
      <c r="M2587" s="2">
        <v>43026</v>
      </c>
      <c r="N2587" s="1" t="s">
        <v>8</v>
      </c>
      <c r="O2587" s="2">
        <v>44122</v>
      </c>
    </row>
    <row r="2588" spans="1:15" ht="43.2" x14ac:dyDescent="0.3">
      <c r="A2588" s="1" t="s">
        <v>8633</v>
      </c>
      <c r="B2588" s="1" t="str">
        <f>"WCS Environmental and Building Maintenance"</f>
        <v>WCS Environmental and Building Maintenance</v>
      </c>
      <c r="C2588" s="1" t="s">
        <v>8634</v>
      </c>
      <c r="F2588" s="1" t="s">
        <v>2961</v>
      </c>
      <c r="H2588" s="1" t="s">
        <v>8635</v>
      </c>
      <c r="I2588" s="1" t="s">
        <v>125</v>
      </c>
      <c r="J2588" s="1" t="s">
        <v>6</v>
      </c>
      <c r="K2588" s="1" t="s">
        <v>34</v>
      </c>
      <c r="M2588" s="2">
        <v>43026</v>
      </c>
      <c r="N2588" s="1" t="s">
        <v>8</v>
      </c>
      <c r="O2588" s="2">
        <v>44122</v>
      </c>
    </row>
    <row r="2589" spans="1:15" ht="28.8" x14ac:dyDescent="0.3">
      <c r="A2589" s="1" t="s">
        <v>8636</v>
      </c>
      <c r="B2589" s="1" t="str">
        <f>"Smiths (UK) Ltd"</f>
        <v>Smiths (UK) Ltd</v>
      </c>
      <c r="C2589" s="1" t="s">
        <v>8637</v>
      </c>
      <c r="D2589" s="1" t="s">
        <v>2769</v>
      </c>
      <c r="F2589" s="1" t="s">
        <v>123</v>
      </c>
      <c r="H2589" s="1" t="s">
        <v>8638</v>
      </c>
      <c r="I2589" s="1" t="s">
        <v>19</v>
      </c>
      <c r="J2589" s="1" t="s">
        <v>6</v>
      </c>
      <c r="K2589" s="1" t="s">
        <v>34</v>
      </c>
      <c r="L2589" s="1">
        <v>8536913</v>
      </c>
      <c r="M2589" s="2">
        <v>43026</v>
      </c>
      <c r="N2589" s="1" t="s">
        <v>8</v>
      </c>
      <c r="O2589" s="2">
        <v>44122</v>
      </c>
    </row>
    <row r="2590" spans="1:15" ht="43.2" x14ac:dyDescent="0.3">
      <c r="A2590" s="1" t="s">
        <v>21591</v>
      </c>
      <c r="B2590" s="1" t="str">
        <f>"David Corbett DCS (Disposal &amp; Cleaning Services)"</f>
        <v>David Corbett DCS (Disposal &amp; Cleaning Services)</v>
      </c>
      <c r="C2590" s="1" t="s">
        <v>21592</v>
      </c>
      <c r="F2590" s="1" t="s">
        <v>323</v>
      </c>
      <c r="H2590" s="1" t="s">
        <v>21593</v>
      </c>
      <c r="I2590" s="1" t="s">
        <v>5</v>
      </c>
      <c r="J2590" s="1" t="s">
        <v>6</v>
      </c>
      <c r="K2590" s="1" t="s">
        <v>24</v>
      </c>
      <c r="M2590" s="2">
        <v>43026</v>
      </c>
      <c r="N2590" s="1" t="s">
        <v>8</v>
      </c>
      <c r="O2590" s="2">
        <v>44122</v>
      </c>
    </row>
    <row r="2591" spans="1:15" x14ac:dyDescent="0.3">
      <c r="A2591" s="1" t="s">
        <v>21594</v>
      </c>
      <c r="B2591" s="1" t="str">
        <f>"Allan Richards Baines"</f>
        <v>Allan Richards Baines</v>
      </c>
      <c r="C2591" s="1" t="s">
        <v>21595</v>
      </c>
      <c r="F2591" s="1" t="s">
        <v>2686</v>
      </c>
      <c r="H2591" s="1" t="s">
        <v>21596</v>
      </c>
      <c r="I2591" s="1" t="s">
        <v>5</v>
      </c>
      <c r="J2591" s="1" t="s">
        <v>6</v>
      </c>
      <c r="K2591" s="1" t="s">
        <v>24</v>
      </c>
      <c r="M2591" s="2">
        <v>43026</v>
      </c>
      <c r="N2591" s="1" t="s">
        <v>8</v>
      </c>
      <c r="O2591" s="2">
        <v>44122</v>
      </c>
    </row>
    <row r="2592" spans="1:15" ht="28.8" x14ac:dyDescent="0.3">
      <c r="A2592" s="1" t="s">
        <v>21597</v>
      </c>
      <c r="B2592" s="1" t="str">
        <f>"Mohammed Akram Millenium Motors"</f>
        <v>Mohammed Akram Millenium Motors</v>
      </c>
      <c r="C2592" s="1" t="s">
        <v>21598</v>
      </c>
      <c r="F2592" s="1" t="s">
        <v>123</v>
      </c>
      <c r="H2592" s="1" t="s">
        <v>21599</v>
      </c>
      <c r="I2592" s="1" t="s">
        <v>5</v>
      </c>
      <c r="J2592" s="1" t="s">
        <v>6</v>
      </c>
      <c r="K2592" s="1" t="s">
        <v>34</v>
      </c>
      <c r="M2592" s="2">
        <v>43026</v>
      </c>
      <c r="N2592" s="1" t="s">
        <v>8</v>
      </c>
      <c r="O2592" s="2">
        <v>44122</v>
      </c>
    </row>
    <row r="2593" spans="1:15" ht="28.8" x14ac:dyDescent="0.3">
      <c r="A2593" s="1" t="s">
        <v>22420</v>
      </c>
      <c r="B2593" s="1" t="str">
        <f>"Curtis Gregory Curtis Gregory"</f>
        <v>Curtis Gregory Curtis Gregory</v>
      </c>
      <c r="C2593" s="1" t="s">
        <v>22421</v>
      </c>
      <c r="F2593" s="1" t="s">
        <v>1351</v>
      </c>
      <c r="H2593" s="1" t="s">
        <v>22422</v>
      </c>
      <c r="I2593" s="1" t="s">
        <v>5</v>
      </c>
      <c r="J2593" s="1" t="s">
        <v>6</v>
      </c>
      <c r="K2593" s="1" t="s">
        <v>34</v>
      </c>
      <c r="M2593" s="2">
        <v>43026</v>
      </c>
      <c r="N2593" s="1" t="s">
        <v>8</v>
      </c>
      <c r="O2593" s="2">
        <v>44122</v>
      </c>
    </row>
    <row r="2594" spans="1:15" ht="43.2" x14ac:dyDescent="0.3">
      <c r="A2594" s="1" t="s">
        <v>22423</v>
      </c>
      <c r="B2594" s="1" t="str">
        <f>"Sohail Baig Plaza Property Management Services"</f>
        <v>Sohail Baig Plaza Property Management Services</v>
      </c>
      <c r="C2594" s="1" t="s">
        <v>22424</v>
      </c>
      <c r="F2594" s="1" t="s">
        <v>123</v>
      </c>
      <c r="H2594" s="1" t="s">
        <v>22425</v>
      </c>
      <c r="I2594" s="1" t="s">
        <v>5</v>
      </c>
      <c r="J2594" s="1" t="s">
        <v>6</v>
      </c>
      <c r="K2594" s="1" t="s">
        <v>34</v>
      </c>
      <c r="M2594" s="2">
        <v>43026</v>
      </c>
      <c r="N2594" s="1" t="s">
        <v>8</v>
      </c>
      <c r="O2594" s="2">
        <v>44122</v>
      </c>
    </row>
    <row r="2595" spans="1:15" ht="43.2" x14ac:dyDescent="0.3">
      <c r="A2595" s="1" t="s">
        <v>22426</v>
      </c>
      <c r="B2595" s="1" t="str">
        <f>"Dean Olsen"</f>
        <v>Dean Olsen</v>
      </c>
      <c r="C2595" s="1" t="s">
        <v>22427</v>
      </c>
      <c r="D2595" s="1" t="s">
        <v>4308</v>
      </c>
      <c r="F2595" s="1" t="s">
        <v>532</v>
      </c>
      <c r="H2595" s="1" t="s">
        <v>22428</v>
      </c>
      <c r="I2595" s="1" t="s">
        <v>5</v>
      </c>
      <c r="J2595" s="1" t="s">
        <v>67</v>
      </c>
      <c r="K2595" s="1" t="s">
        <v>34</v>
      </c>
      <c r="M2595" s="2">
        <v>43026</v>
      </c>
      <c r="N2595" s="1" t="s">
        <v>8</v>
      </c>
      <c r="O2595" s="1" t="s">
        <v>68</v>
      </c>
    </row>
    <row r="2596" spans="1:15" ht="43.2" x14ac:dyDescent="0.3">
      <c r="A2596" s="1" t="s">
        <v>7439</v>
      </c>
      <c r="B2596" s="1" t="str">
        <f>"JAZ GHARU LTD"</f>
        <v>JAZ GHARU LTD</v>
      </c>
      <c r="C2596" s="1" t="s">
        <v>7440</v>
      </c>
      <c r="F2596" s="1" t="s">
        <v>7441</v>
      </c>
      <c r="H2596" s="1" t="s">
        <v>7442</v>
      </c>
      <c r="I2596" s="1" t="s">
        <v>19</v>
      </c>
      <c r="J2596" s="1" t="s">
        <v>67</v>
      </c>
      <c r="K2596" s="1" t="s">
        <v>14</v>
      </c>
      <c r="M2596" s="2">
        <v>43025</v>
      </c>
      <c r="N2596" s="1" t="s">
        <v>8</v>
      </c>
      <c r="O2596" s="1" t="s">
        <v>68</v>
      </c>
    </row>
    <row r="2597" spans="1:15" ht="43.2" x14ac:dyDescent="0.3">
      <c r="A2597" s="1" t="s">
        <v>7443</v>
      </c>
      <c r="B2597" s="1" t="str">
        <f>"JD EVANS (WATER SERVICES) LTD"</f>
        <v>JD EVANS (WATER SERVICES) LTD</v>
      </c>
      <c r="C2597" s="1" t="s">
        <v>7444</v>
      </c>
      <c r="F2597" s="1" t="s">
        <v>2778</v>
      </c>
      <c r="H2597" s="1" t="s">
        <v>2779</v>
      </c>
      <c r="I2597" s="1" t="s">
        <v>19</v>
      </c>
      <c r="J2597" s="1" t="s">
        <v>67</v>
      </c>
      <c r="K2597" s="1" t="s">
        <v>24</v>
      </c>
      <c r="L2597" s="1">
        <v>6631900</v>
      </c>
      <c r="M2597" s="2">
        <v>43025</v>
      </c>
      <c r="N2597" s="1" t="s">
        <v>8</v>
      </c>
      <c r="O2597" s="1" t="s">
        <v>68</v>
      </c>
    </row>
    <row r="2598" spans="1:15" ht="28.8" x14ac:dyDescent="0.3">
      <c r="A2598" s="1" t="s">
        <v>7445</v>
      </c>
      <c r="B2598" s="1" t="str">
        <f>"B.J. THOMAS &amp; SON LTD"</f>
        <v>B.J. THOMAS &amp; SON LTD</v>
      </c>
      <c r="C2598" s="1" t="s">
        <v>7446</v>
      </c>
      <c r="F2598" s="1" t="s">
        <v>56</v>
      </c>
      <c r="H2598" s="1" t="s">
        <v>7447</v>
      </c>
      <c r="I2598" s="1" t="s">
        <v>19</v>
      </c>
      <c r="J2598" s="1" t="s">
        <v>6</v>
      </c>
      <c r="K2598" s="1" t="s">
        <v>34</v>
      </c>
      <c r="L2598" s="1">
        <v>4560298</v>
      </c>
      <c r="M2598" s="2">
        <v>43025</v>
      </c>
      <c r="N2598" s="1" t="s">
        <v>8</v>
      </c>
      <c r="O2598" s="2">
        <v>44121</v>
      </c>
    </row>
    <row r="2599" spans="1:15" ht="43.2" x14ac:dyDescent="0.3">
      <c r="A2599" s="1" t="s">
        <v>7448</v>
      </c>
      <c r="B2599" s="1" t="str">
        <f>"April Interiors Ltd"</f>
        <v>April Interiors Ltd</v>
      </c>
      <c r="C2599" s="1" t="s">
        <v>7449</v>
      </c>
      <c r="F2599" s="1" t="s">
        <v>123</v>
      </c>
      <c r="H2599" s="1" t="s">
        <v>7450</v>
      </c>
      <c r="I2599" s="1" t="s">
        <v>19</v>
      </c>
      <c r="J2599" s="1" t="s">
        <v>67</v>
      </c>
      <c r="K2599" s="1" t="s">
        <v>14</v>
      </c>
      <c r="M2599" s="2">
        <v>43025</v>
      </c>
      <c r="N2599" s="1" t="s">
        <v>8</v>
      </c>
      <c r="O2599" s="1" t="s">
        <v>68</v>
      </c>
    </row>
    <row r="2600" spans="1:15" ht="43.2" x14ac:dyDescent="0.3">
      <c r="A2600" s="1" t="s">
        <v>7451</v>
      </c>
      <c r="B2600" s="1" t="str">
        <f>"Sonic Alarm Systems"</f>
        <v>Sonic Alarm Systems</v>
      </c>
      <c r="C2600" s="1" t="s">
        <v>7452</v>
      </c>
      <c r="F2600" s="1" t="s">
        <v>930</v>
      </c>
      <c r="H2600" s="1" t="s">
        <v>7453</v>
      </c>
      <c r="I2600" s="1" t="s">
        <v>125</v>
      </c>
      <c r="J2600" s="1" t="s">
        <v>67</v>
      </c>
      <c r="K2600" s="1" t="s">
        <v>14</v>
      </c>
      <c r="M2600" s="2">
        <v>43025</v>
      </c>
      <c r="N2600" s="1" t="s">
        <v>8</v>
      </c>
      <c r="O2600" s="1" t="s">
        <v>68</v>
      </c>
    </row>
    <row r="2601" spans="1:15" ht="43.2" x14ac:dyDescent="0.3">
      <c r="A2601" s="1" t="s">
        <v>12911</v>
      </c>
      <c r="B2601" s="1" t="str">
        <f>"Bro Pedr Medical Group"</f>
        <v>Bro Pedr Medical Group</v>
      </c>
      <c r="C2601" s="1" t="s">
        <v>12912</v>
      </c>
      <c r="F2601" s="1" t="s">
        <v>1385</v>
      </c>
      <c r="H2601" s="1" t="s">
        <v>12913</v>
      </c>
      <c r="I2601" s="1" t="s">
        <v>125</v>
      </c>
      <c r="J2601" s="1" t="s">
        <v>67</v>
      </c>
      <c r="K2601" s="1" t="s">
        <v>14</v>
      </c>
      <c r="M2601" s="2">
        <v>43025</v>
      </c>
      <c r="N2601" s="1" t="s">
        <v>8</v>
      </c>
      <c r="O2601" s="1" t="s">
        <v>68</v>
      </c>
    </row>
    <row r="2602" spans="1:15" ht="28.8" x14ac:dyDescent="0.3">
      <c r="A2602" s="1" t="s">
        <v>12914</v>
      </c>
      <c r="B2602" s="1" t="str">
        <f>"D.T.D. DAMP PROOFER LIMITED"</f>
        <v>D.T.D. DAMP PROOFER LIMITED</v>
      </c>
      <c r="C2602" s="1" t="s">
        <v>12915</v>
      </c>
      <c r="D2602" s="1" t="s">
        <v>1897</v>
      </c>
      <c r="F2602" s="1" t="s">
        <v>317</v>
      </c>
      <c r="H2602" s="1" t="s">
        <v>12916</v>
      </c>
      <c r="I2602" s="1" t="s">
        <v>19</v>
      </c>
      <c r="J2602" s="1" t="s">
        <v>6</v>
      </c>
      <c r="K2602" s="1" t="s">
        <v>24</v>
      </c>
      <c r="L2602" s="1">
        <v>1878054</v>
      </c>
      <c r="M2602" s="2">
        <v>43025</v>
      </c>
      <c r="N2602" s="1" t="s">
        <v>8</v>
      </c>
      <c r="O2602" s="2">
        <v>44121</v>
      </c>
    </row>
    <row r="2603" spans="1:15" ht="43.2" x14ac:dyDescent="0.3">
      <c r="A2603" s="1" t="s">
        <v>12917</v>
      </c>
      <c r="B2603" s="1" t="str">
        <f>"Bro Pedr Medical Group"</f>
        <v>Bro Pedr Medical Group</v>
      </c>
      <c r="C2603" s="1" t="s">
        <v>3468</v>
      </c>
      <c r="F2603" s="1" t="s">
        <v>50</v>
      </c>
      <c r="H2603" s="1" t="s">
        <v>12918</v>
      </c>
      <c r="I2603" s="1" t="s">
        <v>125</v>
      </c>
      <c r="J2603" s="1" t="s">
        <v>67</v>
      </c>
      <c r="K2603" s="1" t="s">
        <v>14</v>
      </c>
      <c r="M2603" s="2">
        <v>43025</v>
      </c>
      <c r="N2603" s="1" t="s">
        <v>8</v>
      </c>
      <c r="O2603" s="1" t="s">
        <v>68</v>
      </c>
    </row>
    <row r="2604" spans="1:15" ht="28.8" x14ac:dyDescent="0.3">
      <c r="A2604" s="1" t="s">
        <v>12919</v>
      </c>
      <c r="B2604" s="1" t="str">
        <f>"Gwili Renewables Ltd"</f>
        <v>Gwili Renewables Ltd</v>
      </c>
      <c r="C2604" s="1" t="s">
        <v>12920</v>
      </c>
      <c r="F2604" s="1" t="s">
        <v>665</v>
      </c>
      <c r="H2604" s="1" t="s">
        <v>1405</v>
      </c>
      <c r="I2604" s="1" t="s">
        <v>19</v>
      </c>
      <c r="J2604" s="1" t="s">
        <v>6</v>
      </c>
      <c r="K2604" s="1" t="s">
        <v>34</v>
      </c>
      <c r="L2604" s="1">
        <v>9644802</v>
      </c>
      <c r="M2604" s="2">
        <v>43025</v>
      </c>
      <c r="N2604" s="1" t="s">
        <v>8</v>
      </c>
      <c r="O2604" s="2">
        <v>44121</v>
      </c>
    </row>
    <row r="2605" spans="1:15" ht="28.8" x14ac:dyDescent="0.3">
      <c r="A2605" s="1" t="s">
        <v>12921</v>
      </c>
      <c r="B2605" s="1" t="str">
        <f>"Western Carbons Ltd"</f>
        <v>Western Carbons Ltd</v>
      </c>
      <c r="C2605" s="1" t="s">
        <v>9617</v>
      </c>
      <c r="D2605" s="1" t="s">
        <v>2041</v>
      </c>
      <c r="F2605" s="1" t="s">
        <v>64</v>
      </c>
      <c r="H2605" s="1" t="s">
        <v>9618</v>
      </c>
      <c r="I2605" s="1" t="s">
        <v>19</v>
      </c>
      <c r="J2605" s="1" t="s">
        <v>6</v>
      </c>
      <c r="K2605" s="1" t="s">
        <v>34</v>
      </c>
      <c r="L2605" s="1">
        <v>3131499</v>
      </c>
      <c r="M2605" s="2">
        <v>43025</v>
      </c>
      <c r="N2605" s="1" t="s">
        <v>8</v>
      </c>
      <c r="O2605" s="2">
        <v>44121</v>
      </c>
    </row>
    <row r="2606" spans="1:15" ht="28.8" x14ac:dyDescent="0.3">
      <c r="A2606" s="1" t="s">
        <v>12922</v>
      </c>
      <c r="B2606" s="1" t="str">
        <f>"GAS TECH (WALES) LIMITED"</f>
        <v>GAS TECH (WALES) LIMITED</v>
      </c>
      <c r="C2606" s="1" t="s">
        <v>12923</v>
      </c>
      <c r="D2606" s="1" t="s">
        <v>12924</v>
      </c>
      <c r="F2606" s="1" t="s">
        <v>12925</v>
      </c>
      <c r="H2606" s="1" t="s">
        <v>12926</v>
      </c>
      <c r="I2606" s="1" t="s">
        <v>19</v>
      </c>
      <c r="J2606" s="1" t="s">
        <v>6</v>
      </c>
      <c r="K2606" s="1" t="s">
        <v>34</v>
      </c>
      <c r="L2606" s="1">
        <v>7789017</v>
      </c>
      <c r="M2606" s="2">
        <v>43025</v>
      </c>
      <c r="N2606" s="1" t="s">
        <v>8</v>
      </c>
      <c r="O2606" s="2">
        <v>44121</v>
      </c>
    </row>
    <row r="2607" spans="1:15" ht="28.8" x14ac:dyDescent="0.3">
      <c r="A2607" s="1" t="s">
        <v>21580</v>
      </c>
      <c r="B2607" s="1" t="str">
        <f>"Alan Green Green Brothers Landscapes"</f>
        <v>Alan Green Green Brothers Landscapes</v>
      </c>
      <c r="C2607" s="1" t="s">
        <v>19251</v>
      </c>
      <c r="F2607" s="1" t="s">
        <v>1556</v>
      </c>
      <c r="H2607" s="1" t="s">
        <v>19252</v>
      </c>
      <c r="I2607" s="1" t="s">
        <v>5</v>
      </c>
      <c r="J2607" s="1" t="s">
        <v>6</v>
      </c>
      <c r="K2607" s="1" t="s">
        <v>24</v>
      </c>
      <c r="M2607" s="2">
        <v>43025</v>
      </c>
      <c r="N2607" s="1" t="s">
        <v>8</v>
      </c>
      <c r="O2607" s="2">
        <v>44121</v>
      </c>
    </row>
    <row r="2608" spans="1:15" ht="43.2" x14ac:dyDescent="0.3">
      <c r="A2608" s="1" t="s">
        <v>21581</v>
      </c>
      <c r="B2608" s="1" t="str">
        <f>"Aaron Bridgen"</f>
        <v>Aaron Bridgen</v>
      </c>
      <c r="C2608" s="1" t="s">
        <v>21582</v>
      </c>
      <c r="F2608" s="1" t="s">
        <v>2459</v>
      </c>
      <c r="H2608" s="1" t="s">
        <v>21583</v>
      </c>
      <c r="I2608" s="1" t="s">
        <v>5</v>
      </c>
      <c r="J2608" s="1" t="s">
        <v>67</v>
      </c>
      <c r="K2608" s="1" t="s">
        <v>14</v>
      </c>
      <c r="M2608" s="2">
        <v>43025</v>
      </c>
      <c r="N2608" s="1" t="s">
        <v>8</v>
      </c>
      <c r="O2608" s="1" t="s">
        <v>68</v>
      </c>
    </row>
    <row r="2609" spans="1:15" ht="43.2" x14ac:dyDescent="0.3">
      <c r="A2609" s="1" t="s">
        <v>21584</v>
      </c>
      <c r="B2609" s="1" t="str">
        <f>"Dorian Hopkins D Hopkins"</f>
        <v>Dorian Hopkins D Hopkins</v>
      </c>
      <c r="C2609" s="1" t="s">
        <v>21585</v>
      </c>
      <c r="D2609" s="1" t="s">
        <v>15705</v>
      </c>
      <c r="F2609" s="1" t="s">
        <v>532</v>
      </c>
      <c r="H2609" s="1" t="s">
        <v>21586</v>
      </c>
      <c r="I2609" s="1" t="s">
        <v>5</v>
      </c>
      <c r="J2609" s="1" t="s">
        <v>67</v>
      </c>
      <c r="K2609" s="1" t="s">
        <v>24</v>
      </c>
      <c r="M2609" s="2">
        <v>43025</v>
      </c>
      <c r="N2609" s="1" t="s">
        <v>8</v>
      </c>
      <c r="O2609" s="1" t="s">
        <v>68</v>
      </c>
    </row>
    <row r="2610" spans="1:15" ht="28.8" x14ac:dyDescent="0.3">
      <c r="A2610" s="1" t="s">
        <v>21587</v>
      </c>
      <c r="B2610" s="1" t="str">
        <f>"Richard  Williams  K &amp; K Recycling"</f>
        <v>Richard  Williams  K &amp; K Recycling</v>
      </c>
      <c r="C2610" s="1" t="s">
        <v>21588</v>
      </c>
      <c r="F2610" s="1" t="s">
        <v>21589</v>
      </c>
      <c r="H2610" s="1" t="s">
        <v>21590</v>
      </c>
      <c r="I2610" s="1" t="s">
        <v>5</v>
      </c>
      <c r="J2610" s="1" t="s">
        <v>6</v>
      </c>
      <c r="K2610" s="1" t="s">
        <v>34</v>
      </c>
      <c r="M2610" s="2">
        <v>43025</v>
      </c>
      <c r="N2610" s="1" t="s">
        <v>8</v>
      </c>
      <c r="O2610" s="2">
        <v>44121</v>
      </c>
    </row>
    <row r="2611" spans="1:15" ht="43.2" x14ac:dyDescent="0.3">
      <c r="A2611" s="1" t="s">
        <v>25619</v>
      </c>
      <c r="B2611" s="1" t="str">
        <f>"Richard Skinner"</f>
        <v>Richard Skinner</v>
      </c>
      <c r="C2611" s="1" t="s">
        <v>25620</v>
      </c>
      <c r="D2611" s="1" t="s">
        <v>25621</v>
      </c>
      <c r="F2611" s="1" t="s">
        <v>556</v>
      </c>
      <c r="H2611" s="1" t="s">
        <v>25622</v>
      </c>
      <c r="I2611" s="1" t="s">
        <v>5</v>
      </c>
      <c r="J2611" s="1" t="s">
        <v>67</v>
      </c>
      <c r="K2611" s="1" t="s">
        <v>14</v>
      </c>
      <c r="M2611" s="2">
        <v>43025</v>
      </c>
      <c r="N2611" s="1" t="s">
        <v>8</v>
      </c>
      <c r="O2611" s="1" t="s">
        <v>68</v>
      </c>
    </row>
    <row r="2612" spans="1:15" ht="43.2" x14ac:dyDescent="0.3">
      <c r="A2612" s="1" t="s">
        <v>11917</v>
      </c>
      <c r="B2612" s="1" t="str">
        <f>"Wrexham Tyres and Garage Services"</f>
        <v>Wrexham Tyres and Garage Services</v>
      </c>
      <c r="C2612" s="1" t="s">
        <v>11918</v>
      </c>
      <c r="D2612" s="1" t="s">
        <v>11919</v>
      </c>
      <c r="F2612" s="1" t="s">
        <v>532</v>
      </c>
      <c r="H2612" s="1" t="s">
        <v>11920</v>
      </c>
      <c r="I2612" s="1" t="s">
        <v>125</v>
      </c>
      <c r="J2612" s="1" t="s">
        <v>67</v>
      </c>
      <c r="K2612" s="1" t="s">
        <v>34</v>
      </c>
      <c r="M2612" s="2">
        <v>43024</v>
      </c>
      <c r="N2612" s="1" t="s">
        <v>8</v>
      </c>
      <c r="O2612" s="1" t="s">
        <v>68</v>
      </c>
    </row>
    <row r="2613" spans="1:15" ht="28.8" x14ac:dyDescent="0.3">
      <c r="A2613" s="1" t="s">
        <v>11921</v>
      </c>
      <c r="B2613" s="1" t="str">
        <f>"W R Peters Ltd"</f>
        <v>W R Peters Ltd</v>
      </c>
      <c r="C2613" s="1" t="s">
        <v>11922</v>
      </c>
      <c r="F2613" s="1" t="s">
        <v>151</v>
      </c>
      <c r="H2613" s="1" t="s">
        <v>11923</v>
      </c>
      <c r="I2613" s="1" t="s">
        <v>19</v>
      </c>
      <c r="J2613" s="1" t="s">
        <v>6</v>
      </c>
      <c r="K2613" s="1" t="s">
        <v>34</v>
      </c>
      <c r="L2613" s="1">
        <v>2128773</v>
      </c>
      <c r="M2613" s="2">
        <v>43024</v>
      </c>
      <c r="N2613" s="1" t="s">
        <v>8</v>
      </c>
      <c r="O2613" s="2">
        <v>44120</v>
      </c>
    </row>
    <row r="2614" spans="1:15" ht="28.8" x14ac:dyDescent="0.3">
      <c r="A2614" s="1" t="s">
        <v>11924</v>
      </c>
      <c r="B2614" s="1" t="str">
        <f>"partmart car dismantlers"</f>
        <v>partmart car dismantlers</v>
      </c>
      <c r="C2614" s="1" t="s">
        <v>5899</v>
      </c>
      <c r="F2614" s="1" t="s">
        <v>364</v>
      </c>
      <c r="H2614" s="1" t="s">
        <v>5900</v>
      </c>
      <c r="I2614" s="1" t="s">
        <v>125</v>
      </c>
      <c r="J2614" s="1" t="s">
        <v>6</v>
      </c>
      <c r="K2614" s="1" t="s">
        <v>34</v>
      </c>
      <c r="M2614" s="2">
        <v>43024</v>
      </c>
      <c r="N2614" s="1" t="s">
        <v>8</v>
      </c>
      <c r="O2614" s="2">
        <v>44120</v>
      </c>
    </row>
    <row r="2615" spans="1:15" ht="43.2" x14ac:dyDescent="0.3">
      <c r="A2615" s="1" t="s">
        <v>11925</v>
      </c>
      <c r="B2615" s="1" t="str">
        <f>"LLYN BUILDING CONTRACTORS LIMITED"</f>
        <v>LLYN BUILDING CONTRACTORS LIMITED</v>
      </c>
      <c r="C2615" s="1" t="s">
        <v>11926</v>
      </c>
      <c r="F2615" s="1" t="s">
        <v>790</v>
      </c>
      <c r="H2615" s="1" t="s">
        <v>11927</v>
      </c>
      <c r="I2615" s="1" t="s">
        <v>19</v>
      </c>
      <c r="J2615" s="1" t="s">
        <v>6</v>
      </c>
      <c r="K2615" s="1" t="s">
        <v>24</v>
      </c>
      <c r="L2615" s="1">
        <v>10763901</v>
      </c>
      <c r="M2615" s="2">
        <v>43024</v>
      </c>
      <c r="N2615" s="1" t="s">
        <v>8</v>
      </c>
      <c r="O2615" s="2">
        <v>44120</v>
      </c>
    </row>
    <row r="2616" spans="1:15" ht="43.2" x14ac:dyDescent="0.3">
      <c r="A2616" s="1" t="s">
        <v>11928</v>
      </c>
      <c r="B2616" s="1" t="str">
        <f>"Ascot Kitchens and Bedrooms"</f>
        <v>Ascot Kitchens and Bedrooms</v>
      </c>
      <c r="C2616" s="1" t="s">
        <v>11929</v>
      </c>
      <c r="F2616" s="1" t="s">
        <v>1351</v>
      </c>
      <c r="H2616" s="1" t="s">
        <v>11930</v>
      </c>
      <c r="I2616" s="1" t="s">
        <v>19</v>
      </c>
      <c r="J2616" s="1" t="s">
        <v>67</v>
      </c>
      <c r="K2616" s="1" t="s">
        <v>14</v>
      </c>
      <c r="M2616" s="2">
        <v>43024</v>
      </c>
      <c r="N2616" s="1" t="s">
        <v>8</v>
      </c>
      <c r="O2616" s="1" t="s">
        <v>68</v>
      </c>
    </row>
    <row r="2617" spans="1:15" ht="28.8" x14ac:dyDescent="0.3">
      <c r="A2617" s="1" t="s">
        <v>11931</v>
      </c>
      <c r="B2617" s="1" t="str">
        <f>"TRUE WASHROOMS LTD"</f>
        <v>TRUE WASHROOMS LTD</v>
      </c>
      <c r="C2617" s="1" t="s">
        <v>11932</v>
      </c>
      <c r="F2617" s="1" t="s">
        <v>1556</v>
      </c>
      <c r="H2617" s="1" t="s">
        <v>11933</v>
      </c>
      <c r="I2617" s="1" t="s">
        <v>19</v>
      </c>
      <c r="J2617" s="1" t="s">
        <v>6</v>
      </c>
      <c r="K2617" s="1" t="s">
        <v>24</v>
      </c>
      <c r="L2617" s="1">
        <v>7378857</v>
      </c>
      <c r="M2617" s="2">
        <v>43024</v>
      </c>
      <c r="N2617" s="1" t="s">
        <v>8</v>
      </c>
      <c r="O2617" s="2">
        <v>44120</v>
      </c>
    </row>
    <row r="2618" spans="1:15" ht="43.2" x14ac:dyDescent="0.3">
      <c r="A2618" s="1" t="s">
        <v>11934</v>
      </c>
      <c r="B2618" s="1" t="str">
        <f>"All Saints Church"</f>
        <v>All Saints Church</v>
      </c>
      <c r="C2618" s="1" t="s">
        <v>11935</v>
      </c>
      <c r="F2618" s="1" t="s">
        <v>11936</v>
      </c>
      <c r="H2618" s="1" t="s">
        <v>11937</v>
      </c>
      <c r="I2618" s="1" t="s">
        <v>1872</v>
      </c>
      <c r="J2618" s="1" t="s">
        <v>67</v>
      </c>
      <c r="K2618" s="1" t="s">
        <v>14</v>
      </c>
      <c r="M2618" s="2">
        <v>43024</v>
      </c>
      <c r="N2618" s="1" t="s">
        <v>8</v>
      </c>
      <c r="O2618" s="1" t="s">
        <v>68</v>
      </c>
    </row>
    <row r="2619" spans="1:15" ht="28.8" x14ac:dyDescent="0.3">
      <c r="A2619" s="1" t="s">
        <v>24862</v>
      </c>
      <c r="B2619" s="1" t="str">
        <f>"Andrew Barrett Jim's Removals"</f>
        <v>Andrew Barrett Jim's Removals</v>
      </c>
      <c r="C2619" s="1" t="s">
        <v>24863</v>
      </c>
      <c r="F2619" s="1" t="s">
        <v>114</v>
      </c>
      <c r="H2619" s="1" t="s">
        <v>116</v>
      </c>
      <c r="I2619" s="1" t="s">
        <v>5</v>
      </c>
      <c r="J2619" s="1" t="s">
        <v>6</v>
      </c>
      <c r="K2619" s="1" t="s">
        <v>24</v>
      </c>
      <c r="M2619" s="2">
        <v>43024</v>
      </c>
      <c r="N2619" s="1" t="s">
        <v>8</v>
      </c>
      <c r="O2619" s="2">
        <v>44120</v>
      </c>
    </row>
    <row r="2620" spans="1:15" ht="28.8" x14ac:dyDescent="0.3">
      <c r="A2620" s="1" t="s">
        <v>24864</v>
      </c>
      <c r="B2620" s="1" t="str">
        <f>"catherine Davies Tyllwyd holiday lets"</f>
        <v>catherine Davies Tyllwyd holiday lets</v>
      </c>
      <c r="C2620" s="1" t="s">
        <v>24865</v>
      </c>
      <c r="F2620" s="1" t="s">
        <v>114</v>
      </c>
      <c r="H2620" s="1" t="s">
        <v>24866</v>
      </c>
      <c r="I2620" s="1" t="s">
        <v>5</v>
      </c>
      <c r="J2620" s="1" t="s">
        <v>6</v>
      </c>
      <c r="K2620" s="1" t="s">
        <v>24</v>
      </c>
      <c r="M2620" s="2">
        <v>43024</v>
      </c>
      <c r="N2620" s="1" t="s">
        <v>8</v>
      </c>
      <c r="O2620" s="2">
        <v>44120</v>
      </c>
    </row>
    <row r="2621" spans="1:15" ht="43.2" x14ac:dyDescent="0.3">
      <c r="A2621" s="1" t="s">
        <v>24867</v>
      </c>
      <c r="B2621" s="1" t="str">
        <f>"VICTOR KESERU ENVIK WASTE RECYCLING SERVICES"</f>
        <v>VICTOR KESERU ENVIK WASTE RECYCLING SERVICES</v>
      </c>
      <c r="C2621" s="1" t="s">
        <v>24868</v>
      </c>
      <c r="F2621" s="1" t="s">
        <v>179</v>
      </c>
      <c r="H2621" s="1" t="s">
        <v>24869</v>
      </c>
      <c r="I2621" s="1" t="s">
        <v>5</v>
      </c>
      <c r="J2621" s="1" t="s">
        <v>6</v>
      </c>
      <c r="K2621" s="1" t="s">
        <v>24</v>
      </c>
      <c r="M2621" s="2">
        <v>43024</v>
      </c>
      <c r="N2621" s="1" t="s">
        <v>8</v>
      </c>
      <c r="O2621" s="2">
        <v>44120</v>
      </c>
    </row>
    <row r="2622" spans="1:15" ht="43.2" x14ac:dyDescent="0.3">
      <c r="A2622" s="1" t="s">
        <v>24870</v>
      </c>
      <c r="B2622" s="1" t="str">
        <f>"Peter Davies  1ST CLASS HOME IMPROVEMENTS"</f>
        <v>Peter Davies  1ST CLASS HOME IMPROVEMENTS</v>
      </c>
      <c r="C2622" s="1" t="s">
        <v>24871</v>
      </c>
      <c r="F2622" s="1" t="s">
        <v>140</v>
      </c>
      <c r="H2622" s="1" t="s">
        <v>24872</v>
      </c>
      <c r="I2622" s="1" t="s">
        <v>5</v>
      </c>
      <c r="J2622" s="1" t="s">
        <v>6</v>
      </c>
      <c r="K2622" s="1" t="s">
        <v>24</v>
      </c>
      <c r="M2622" s="2">
        <v>43024</v>
      </c>
      <c r="N2622" s="1" t="s">
        <v>8</v>
      </c>
      <c r="O2622" s="2">
        <v>44120</v>
      </c>
    </row>
    <row r="2623" spans="1:15" ht="43.2" x14ac:dyDescent="0.3">
      <c r="A2623" s="1" t="s">
        <v>24857</v>
      </c>
      <c r="B2623" s="1" t="str">
        <f>"Christopher Foulkes Morris"</f>
        <v>Christopher Foulkes Morris</v>
      </c>
      <c r="C2623" s="1" t="s">
        <v>24858</v>
      </c>
      <c r="F2623" s="1" t="s">
        <v>1888</v>
      </c>
      <c r="H2623" s="1" t="s">
        <v>24859</v>
      </c>
      <c r="I2623" s="1" t="s">
        <v>5</v>
      </c>
      <c r="J2623" s="1" t="s">
        <v>67</v>
      </c>
      <c r="K2623" s="1" t="s">
        <v>24</v>
      </c>
      <c r="M2623" s="2">
        <v>43023</v>
      </c>
      <c r="N2623" s="1" t="s">
        <v>8</v>
      </c>
      <c r="O2623" s="1" t="s">
        <v>68</v>
      </c>
    </row>
    <row r="2624" spans="1:15" ht="43.2" x14ac:dyDescent="0.3">
      <c r="A2624" s="1" t="s">
        <v>24860</v>
      </c>
      <c r="B2624" s="1" t="str">
        <f>"Jeyaruban Ganeshalingam"</f>
        <v>Jeyaruban Ganeshalingam</v>
      </c>
      <c r="C2624" s="1" t="s">
        <v>24861</v>
      </c>
      <c r="F2624" s="1" t="s">
        <v>3242</v>
      </c>
      <c r="H2624" s="1" t="s">
        <v>10079</v>
      </c>
      <c r="I2624" s="1" t="s">
        <v>5</v>
      </c>
      <c r="J2624" s="1" t="s">
        <v>67</v>
      </c>
      <c r="K2624" s="1" t="s">
        <v>14</v>
      </c>
      <c r="M2624" s="2">
        <v>43023</v>
      </c>
      <c r="N2624" s="1" t="s">
        <v>8</v>
      </c>
      <c r="O2624" s="1" t="s">
        <v>68</v>
      </c>
    </row>
    <row r="2625" spans="1:15" ht="28.8" x14ac:dyDescent="0.3">
      <c r="A2625" s="1" t="s">
        <v>11908</v>
      </c>
      <c r="B2625" s="1" t="str">
        <f>"D&amp;M Building Services Ltd"</f>
        <v>D&amp;M Building Services Ltd</v>
      </c>
      <c r="C2625" s="1" t="s">
        <v>11909</v>
      </c>
      <c r="D2625" s="1" t="s">
        <v>312</v>
      </c>
      <c r="F2625" s="1" t="s">
        <v>179</v>
      </c>
      <c r="H2625" s="1" t="s">
        <v>2957</v>
      </c>
      <c r="I2625" s="1" t="s">
        <v>19</v>
      </c>
      <c r="J2625" s="1" t="s">
        <v>6</v>
      </c>
      <c r="K2625" s="1" t="s">
        <v>34</v>
      </c>
      <c r="L2625" s="1">
        <v>4564368</v>
      </c>
      <c r="M2625" s="2">
        <v>43022</v>
      </c>
      <c r="N2625" s="1" t="s">
        <v>8</v>
      </c>
      <c r="O2625" s="2">
        <v>44118</v>
      </c>
    </row>
    <row r="2626" spans="1:15" ht="43.2" x14ac:dyDescent="0.3">
      <c r="A2626" s="1" t="s">
        <v>11910</v>
      </c>
      <c r="B2626" s="1" t="str">
        <f>"J Trenchman Limited"</f>
        <v>J Trenchman Limited</v>
      </c>
      <c r="C2626" s="1" t="s">
        <v>11911</v>
      </c>
      <c r="F2626" s="1" t="s">
        <v>11912</v>
      </c>
      <c r="H2626" s="1" t="s">
        <v>11913</v>
      </c>
      <c r="I2626" s="1" t="s">
        <v>19</v>
      </c>
      <c r="J2626" s="1" t="s">
        <v>67</v>
      </c>
      <c r="K2626" s="1" t="s">
        <v>14</v>
      </c>
      <c r="M2626" s="2">
        <v>43022</v>
      </c>
      <c r="N2626" s="1" t="s">
        <v>8</v>
      </c>
      <c r="O2626" s="1" t="s">
        <v>68</v>
      </c>
    </row>
    <row r="2627" spans="1:15" ht="28.8" x14ac:dyDescent="0.3">
      <c r="A2627" s="1" t="s">
        <v>11914</v>
      </c>
      <c r="B2627" s="1" t="str">
        <f>"BRAMBLES GARDEN SERVICES LIMITED"</f>
        <v>BRAMBLES GARDEN SERVICES LIMITED</v>
      </c>
      <c r="C2627" s="1" t="s">
        <v>11915</v>
      </c>
      <c r="F2627" s="1" t="s">
        <v>323</v>
      </c>
      <c r="H2627" s="1" t="s">
        <v>11916</v>
      </c>
      <c r="I2627" s="1" t="s">
        <v>19</v>
      </c>
      <c r="J2627" s="1" t="s">
        <v>6</v>
      </c>
      <c r="K2627" s="1" t="s">
        <v>34</v>
      </c>
      <c r="L2627" s="1">
        <v>10499562</v>
      </c>
      <c r="M2627" s="2">
        <v>43022</v>
      </c>
      <c r="N2627" s="1" t="s">
        <v>8</v>
      </c>
      <c r="O2627" s="2">
        <v>44118</v>
      </c>
    </row>
    <row r="2628" spans="1:15" ht="28.8" x14ac:dyDescent="0.3">
      <c r="A2628" s="1" t="s">
        <v>24853</v>
      </c>
      <c r="B2628" s="1" t="str">
        <f>"Carl Beddis Carl Beddis"</f>
        <v>Carl Beddis Carl Beddis</v>
      </c>
      <c r="C2628" s="1" t="s">
        <v>24854</v>
      </c>
      <c r="D2628" s="1" t="s">
        <v>24855</v>
      </c>
      <c r="F2628" s="1" t="s">
        <v>513</v>
      </c>
      <c r="H2628" s="1" t="s">
        <v>24856</v>
      </c>
      <c r="I2628" s="1" t="s">
        <v>5</v>
      </c>
      <c r="J2628" s="1" t="s">
        <v>6</v>
      </c>
      <c r="K2628" s="1" t="s">
        <v>24</v>
      </c>
      <c r="M2628" s="2">
        <v>43022</v>
      </c>
      <c r="N2628" s="1" t="s">
        <v>8</v>
      </c>
      <c r="O2628" s="2">
        <v>44118</v>
      </c>
    </row>
    <row r="2629" spans="1:15" x14ac:dyDescent="0.3">
      <c r="A2629" s="1" t="s">
        <v>10903</v>
      </c>
      <c r="B2629" s="1" t="str">
        <f>"Flintshire Grab Hire Ltd"</f>
        <v>Flintshire Grab Hire Ltd</v>
      </c>
      <c r="C2629" s="1" t="s">
        <v>10904</v>
      </c>
      <c r="F2629" s="1" t="s">
        <v>4645</v>
      </c>
      <c r="H2629" s="1" t="s">
        <v>10905</v>
      </c>
      <c r="I2629" s="1" t="s">
        <v>19</v>
      </c>
      <c r="J2629" s="1" t="s">
        <v>6</v>
      </c>
      <c r="K2629" s="1" t="s">
        <v>24</v>
      </c>
      <c r="L2629" s="1">
        <v>10970694</v>
      </c>
      <c r="M2629" s="2">
        <v>43021</v>
      </c>
      <c r="N2629" s="1" t="s">
        <v>8</v>
      </c>
      <c r="O2629" s="2">
        <v>44117</v>
      </c>
    </row>
    <row r="2630" spans="1:15" ht="43.2" x14ac:dyDescent="0.3">
      <c r="A2630" s="1" t="s">
        <v>10906</v>
      </c>
      <c r="B2630" s="1" t="str">
        <f>"GRAYS WASTE MANAGEMENT LIMITED"</f>
        <v>GRAYS WASTE MANAGEMENT LIMITED</v>
      </c>
      <c r="C2630" s="1" t="s">
        <v>10907</v>
      </c>
      <c r="F2630" s="1" t="s">
        <v>1108</v>
      </c>
      <c r="H2630" s="1" t="s">
        <v>10908</v>
      </c>
      <c r="I2630" s="1" t="s">
        <v>19</v>
      </c>
      <c r="J2630" s="1" t="s">
        <v>6</v>
      </c>
      <c r="K2630" s="1" t="s">
        <v>24</v>
      </c>
      <c r="L2630" s="1">
        <v>6025493</v>
      </c>
      <c r="M2630" s="2">
        <v>43021</v>
      </c>
      <c r="N2630" s="1" t="s">
        <v>8</v>
      </c>
      <c r="O2630" s="2">
        <v>44117</v>
      </c>
    </row>
    <row r="2631" spans="1:15" ht="43.2" x14ac:dyDescent="0.3">
      <c r="A2631" s="1" t="s">
        <v>11904</v>
      </c>
      <c r="B2631" s="1" t="str">
        <f>"pembrokeshire bike shop company "</f>
        <v xml:space="preserve">pembrokeshire bike shop company </v>
      </c>
      <c r="C2631" s="1" t="s">
        <v>11905</v>
      </c>
      <c r="D2631" s="1" t="s">
        <v>11906</v>
      </c>
      <c r="F2631" s="1" t="s">
        <v>9838</v>
      </c>
      <c r="H2631" s="1" t="s">
        <v>11907</v>
      </c>
      <c r="I2631" s="1" t="s">
        <v>19</v>
      </c>
      <c r="J2631" s="1" t="s">
        <v>67</v>
      </c>
      <c r="K2631" s="1" t="s">
        <v>14</v>
      </c>
      <c r="M2631" s="2">
        <v>43021</v>
      </c>
      <c r="N2631" s="1" t="s">
        <v>8</v>
      </c>
      <c r="O2631" s="1" t="s">
        <v>68</v>
      </c>
    </row>
    <row r="2632" spans="1:15" ht="43.2" x14ac:dyDescent="0.3">
      <c r="A2632" s="1" t="s">
        <v>24842</v>
      </c>
      <c r="B2632" s="1" t="str">
        <f>"Jonathan Le Petit"</f>
        <v>Jonathan Le Petit</v>
      </c>
      <c r="C2632" s="1" t="s">
        <v>24843</v>
      </c>
      <c r="F2632" s="1" t="s">
        <v>1063</v>
      </c>
      <c r="H2632" s="1" t="s">
        <v>24844</v>
      </c>
      <c r="I2632" s="1" t="s">
        <v>5</v>
      </c>
      <c r="J2632" s="1" t="s">
        <v>67</v>
      </c>
      <c r="K2632" s="1" t="s">
        <v>14</v>
      </c>
      <c r="M2632" s="2">
        <v>43021</v>
      </c>
      <c r="N2632" s="1" t="s">
        <v>8</v>
      </c>
      <c r="O2632" s="1" t="s">
        <v>68</v>
      </c>
    </row>
    <row r="2633" spans="1:15" ht="43.2" x14ac:dyDescent="0.3">
      <c r="A2633" s="1" t="s">
        <v>24845</v>
      </c>
      <c r="B2633" s="1" t="str">
        <f>"Andrew Wood Woods Motorcycles of Abergele"</f>
        <v>Andrew Wood Woods Motorcycles of Abergele</v>
      </c>
      <c r="C2633" s="1" t="s">
        <v>24846</v>
      </c>
      <c r="F2633" s="1" t="s">
        <v>374</v>
      </c>
      <c r="H2633" s="1" t="s">
        <v>12087</v>
      </c>
      <c r="I2633" s="1" t="s">
        <v>5</v>
      </c>
      <c r="J2633" s="1" t="s">
        <v>6</v>
      </c>
      <c r="K2633" s="1" t="s">
        <v>34</v>
      </c>
      <c r="M2633" s="2">
        <v>43021</v>
      </c>
      <c r="N2633" s="1" t="s">
        <v>8</v>
      </c>
      <c r="O2633" s="2">
        <v>44117</v>
      </c>
    </row>
    <row r="2634" spans="1:15" ht="28.8" x14ac:dyDescent="0.3">
      <c r="A2634" s="1" t="s">
        <v>24847</v>
      </c>
      <c r="B2634" s="1" t="str">
        <f>"Mohammed Abdolaziz Ahmed Builders"</f>
        <v>Mohammed Abdolaziz Ahmed Builders</v>
      </c>
      <c r="C2634" s="1" t="s">
        <v>24848</v>
      </c>
      <c r="F2634" s="1" t="s">
        <v>123</v>
      </c>
      <c r="H2634" s="1" t="s">
        <v>24849</v>
      </c>
      <c r="I2634" s="1" t="s">
        <v>5</v>
      </c>
      <c r="J2634" s="1" t="s">
        <v>6</v>
      </c>
      <c r="K2634" s="1" t="s">
        <v>24</v>
      </c>
      <c r="M2634" s="2">
        <v>43021</v>
      </c>
      <c r="N2634" s="1" t="s">
        <v>8</v>
      </c>
      <c r="O2634" s="2">
        <v>44117</v>
      </c>
    </row>
    <row r="2635" spans="1:15" ht="28.8" x14ac:dyDescent="0.3">
      <c r="A2635" s="1" t="s">
        <v>24850</v>
      </c>
      <c r="B2635" s="1" t="str">
        <f>"Nicholas Ellis Kwik Cleen"</f>
        <v>Nicholas Ellis Kwik Cleen</v>
      </c>
      <c r="C2635" s="1" t="s">
        <v>24851</v>
      </c>
      <c r="F2635" s="1" t="s">
        <v>230</v>
      </c>
      <c r="H2635" s="1" t="s">
        <v>24852</v>
      </c>
      <c r="I2635" s="1" t="s">
        <v>5</v>
      </c>
      <c r="J2635" s="1" t="s">
        <v>6</v>
      </c>
      <c r="K2635" s="1" t="s">
        <v>24</v>
      </c>
      <c r="M2635" s="2">
        <v>43021</v>
      </c>
      <c r="N2635" s="1" t="s">
        <v>8</v>
      </c>
      <c r="O2635" s="2">
        <v>44122</v>
      </c>
    </row>
    <row r="2636" spans="1:15" ht="28.8" x14ac:dyDescent="0.3">
      <c r="A2636" s="1" t="s">
        <v>10900</v>
      </c>
      <c r="B2636" s="1" t="str">
        <f>"Wayne Lewis Gas Services Ltd"</f>
        <v>Wayne Lewis Gas Services Ltd</v>
      </c>
      <c r="C2636" s="1" t="s">
        <v>10901</v>
      </c>
      <c r="F2636" s="1" t="s">
        <v>42</v>
      </c>
      <c r="H2636" s="1" t="s">
        <v>10902</v>
      </c>
      <c r="I2636" s="1" t="s">
        <v>19</v>
      </c>
      <c r="J2636" s="1" t="s">
        <v>6</v>
      </c>
      <c r="K2636" s="1" t="s">
        <v>24</v>
      </c>
      <c r="L2636" s="1">
        <v>4820261</v>
      </c>
      <c r="M2636" s="2">
        <v>43020</v>
      </c>
      <c r="N2636" s="1" t="s">
        <v>8</v>
      </c>
      <c r="O2636" s="2">
        <v>44116</v>
      </c>
    </row>
    <row r="2637" spans="1:15" ht="43.2" x14ac:dyDescent="0.3">
      <c r="A2637" s="1" t="s">
        <v>23998</v>
      </c>
      <c r="B2637" s="1" t="str">
        <f>"Alan  Mee"</f>
        <v>Alan  Mee</v>
      </c>
      <c r="C2637" s="1" t="s">
        <v>23999</v>
      </c>
      <c r="F2637" s="1" t="s">
        <v>556</v>
      </c>
      <c r="H2637" s="1" t="s">
        <v>24000</v>
      </c>
      <c r="I2637" s="1" t="s">
        <v>5</v>
      </c>
      <c r="J2637" s="1" t="s">
        <v>67</v>
      </c>
      <c r="K2637" s="1" t="s">
        <v>14</v>
      </c>
      <c r="M2637" s="2">
        <v>43020</v>
      </c>
      <c r="N2637" s="1" t="s">
        <v>8</v>
      </c>
      <c r="O2637" s="1" t="s">
        <v>68</v>
      </c>
    </row>
    <row r="2638" spans="1:15" ht="28.8" x14ac:dyDescent="0.3">
      <c r="A2638" s="1" t="s">
        <v>24001</v>
      </c>
      <c r="B2638" s="1" t="str">
        <f>"Antony Sacco Antony Sacco"</f>
        <v>Antony Sacco Antony Sacco</v>
      </c>
      <c r="C2638" s="1" t="s">
        <v>24002</v>
      </c>
      <c r="D2638" s="1" t="s">
        <v>24003</v>
      </c>
      <c r="F2638" s="1" t="s">
        <v>1991</v>
      </c>
      <c r="H2638" s="1" t="s">
        <v>24004</v>
      </c>
      <c r="I2638" s="1" t="s">
        <v>5</v>
      </c>
      <c r="J2638" s="1" t="s">
        <v>6</v>
      </c>
      <c r="K2638" s="1" t="s">
        <v>34</v>
      </c>
      <c r="M2638" s="2">
        <v>43020</v>
      </c>
      <c r="N2638" s="1" t="s">
        <v>8</v>
      </c>
      <c r="O2638" s="2">
        <v>44116</v>
      </c>
    </row>
    <row r="2639" spans="1:15" ht="43.2" x14ac:dyDescent="0.3">
      <c r="A2639" s="1" t="s">
        <v>24005</v>
      </c>
      <c r="B2639" s="1" t="str">
        <f>"Karen Hearn"</f>
        <v>Karen Hearn</v>
      </c>
      <c r="C2639" s="1" t="s">
        <v>24006</v>
      </c>
      <c r="F2639" s="1" t="s">
        <v>1776</v>
      </c>
      <c r="H2639" s="1" t="s">
        <v>24007</v>
      </c>
      <c r="I2639" s="1" t="s">
        <v>5</v>
      </c>
      <c r="J2639" s="1" t="s">
        <v>67</v>
      </c>
      <c r="K2639" s="1" t="s">
        <v>14</v>
      </c>
      <c r="M2639" s="2">
        <v>43020</v>
      </c>
      <c r="N2639" s="1" t="s">
        <v>8</v>
      </c>
      <c r="O2639" s="1" t="s">
        <v>68</v>
      </c>
    </row>
    <row r="2640" spans="1:15" ht="43.2" x14ac:dyDescent="0.3">
      <c r="A2640" s="1" t="s">
        <v>24008</v>
      </c>
      <c r="B2640" s="1" t="str">
        <f>"peachy  Frost HGH Home and Garden Handyman"</f>
        <v>peachy  Frost HGH Home and Garden Handyman</v>
      </c>
      <c r="C2640" s="1" t="s">
        <v>24009</v>
      </c>
      <c r="F2640" s="1" t="s">
        <v>3251</v>
      </c>
      <c r="H2640" s="1" t="s">
        <v>24010</v>
      </c>
      <c r="I2640" s="1" t="s">
        <v>5</v>
      </c>
      <c r="J2640" s="1" t="s">
        <v>6</v>
      </c>
      <c r="K2640" s="1" t="s">
        <v>24</v>
      </c>
      <c r="M2640" s="2">
        <v>43020</v>
      </c>
      <c r="N2640" s="1" t="s">
        <v>8</v>
      </c>
      <c r="O2640" s="2">
        <v>44116</v>
      </c>
    </row>
    <row r="2641" spans="1:15" ht="28.8" x14ac:dyDescent="0.3">
      <c r="A2641" s="1" t="s">
        <v>24011</v>
      </c>
      <c r="B2641" s="1" t="str">
        <f>"Gareth Mattan GDM Plumbing"</f>
        <v>Gareth Mattan GDM Plumbing</v>
      </c>
      <c r="C2641" s="1" t="s">
        <v>24012</v>
      </c>
      <c r="D2641" s="1" t="s">
        <v>24013</v>
      </c>
      <c r="F2641" s="1" t="s">
        <v>1058</v>
      </c>
      <c r="H2641" s="1" t="s">
        <v>24014</v>
      </c>
      <c r="I2641" s="1" t="s">
        <v>5</v>
      </c>
      <c r="J2641" s="1" t="s">
        <v>6</v>
      </c>
      <c r="K2641" s="1" t="s">
        <v>24</v>
      </c>
      <c r="M2641" s="2">
        <v>43020</v>
      </c>
      <c r="N2641" s="1" t="s">
        <v>8</v>
      </c>
      <c r="O2641" s="2">
        <v>44116</v>
      </c>
    </row>
    <row r="2642" spans="1:15" ht="43.2" x14ac:dyDescent="0.3">
      <c r="A2642" s="1" t="s">
        <v>24015</v>
      </c>
      <c r="B2642" s="1" t="str">
        <f>"Andrew Berg"</f>
        <v>Andrew Berg</v>
      </c>
      <c r="C2642" s="1" t="s">
        <v>24016</v>
      </c>
      <c r="D2642" s="1" t="s">
        <v>3999</v>
      </c>
      <c r="F2642" s="1" t="s">
        <v>64</v>
      </c>
      <c r="H2642" s="1" t="s">
        <v>24017</v>
      </c>
      <c r="I2642" s="1" t="s">
        <v>5</v>
      </c>
      <c r="J2642" s="1" t="s">
        <v>67</v>
      </c>
      <c r="K2642" s="1" t="s">
        <v>14</v>
      </c>
      <c r="M2642" s="2">
        <v>43020</v>
      </c>
      <c r="N2642" s="1" t="s">
        <v>8</v>
      </c>
      <c r="O2642" s="1" t="s">
        <v>68</v>
      </c>
    </row>
    <row r="2643" spans="1:15" ht="28.8" x14ac:dyDescent="0.3">
      <c r="A2643" s="1" t="s">
        <v>24018</v>
      </c>
      <c r="B2643" s="1" t="str">
        <f>"Stephen  Davies Stephen Davies "</f>
        <v xml:space="preserve">Stephen  Davies Stephen Davies </v>
      </c>
      <c r="C2643" s="1" t="s">
        <v>24019</v>
      </c>
      <c r="F2643" s="1" t="s">
        <v>114</v>
      </c>
      <c r="H2643" s="1" t="s">
        <v>24020</v>
      </c>
      <c r="I2643" s="1" t="s">
        <v>5</v>
      </c>
      <c r="J2643" s="1" t="s">
        <v>6</v>
      </c>
      <c r="K2643" s="1" t="s">
        <v>34</v>
      </c>
      <c r="M2643" s="2">
        <v>43020</v>
      </c>
      <c r="N2643" s="1" t="s">
        <v>8</v>
      </c>
      <c r="O2643" s="2">
        <v>44116</v>
      </c>
    </row>
    <row r="2644" spans="1:15" ht="43.2" x14ac:dyDescent="0.3">
      <c r="A2644" s="1" t="s">
        <v>9878</v>
      </c>
      <c r="B2644" s="1" t="str">
        <f>"Print Partnership Reprographics Ltd"</f>
        <v>Print Partnership Reprographics Ltd</v>
      </c>
      <c r="C2644" s="1" t="s">
        <v>9879</v>
      </c>
      <c r="D2644" s="1" t="s">
        <v>9880</v>
      </c>
      <c r="F2644" s="1" t="s">
        <v>123</v>
      </c>
      <c r="H2644" s="1" t="s">
        <v>9881</v>
      </c>
      <c r="I2644" s="1" t="s">
        <v>19</v>
      </c>
      <c r="J2644" s="1" t="s">
        <v>67</v>
      </c>
      <c r="K2644" s="1" t="s">
        <v>14</v>
      </c>
      <c r="M2644" s="2">
        <v>43019</v>
      </c>
      <c r="N2644" s="1" t="s">
        <v>8</v>
      </c>
      <c r="O2644" s="1" t="s">
        <v>68</v>
      </c>
    </row>
    <row r="2645" spans="1:15" ht="43.2" x14ac:dyDescent="0.3">
      <c r="A2645" s="1" t="s">
        <v>9882</v>
      </c>
      <c r="B2645" s="1" t="str">
        <f>"The Horseshoe Inn"</f>
        <v>The Horseshoe Inn</v>
      </c>
      <c r="C2645" s="1" t="s">
        <v>9883</v>
      </c>
      <c r="F2645" s="1" t="s">
        <v>1058</v>
      </c>
      <c r="H2645" s="1" t="s">
        <v>9884</v>
      </c>
      <c r="I2645" s="1" t="s">
        <v>125</v>
      </c>
      <c r="J2645" s="1" t="s">
        <v>67</v>
      </c>
      <c r="K2645" s="1" t="s">
        <v>14</v>
      </c>
      <c r="M2645" s="2">
        <v>43019</v>
      </c>
      <c r="N2645" s="1" t="s">
        <v>8</v>
      </c>
      <c r="O2645" s="1" t="s">
        <v>68</v>
      </c>
    </row>
    <row r="2646" spans="1:15" ht="28.8" x14ac:dyDescent="0.3">
      <c r="A2646" s="1" t="s">
        <v>9885</v>
      </c>
      <c r="B2646" s="1" t="str">
        <f>"RUNTECH LIMITED"</f>
        <v>RUNTECH LIMITED</v>
      </c>
      <c r="C2646" s="1" t="s">
        <v>9886</v>
      </c>
      <c r="F2646" s="1" t="s">
        <v>1351</v>
      </c>
      <c r="H2646" s="1" t="s">
        <v>7256</v>
      </c>
      <c r="I2646" s="1" t="s">
        <v>19</v>
      </c>
      <c r="J2646" s="1" t="s">
        <v>6</v>
      </c>
      <c r="K2646" s="1" t="s">
        <v>34</v>
      </c>
      <c r="L2646" s="1">
        <v>3199248</v>
      </c>
      <c r="M2646" s="2">
        <v>43019</v>
      </c>
      <c r="N2646" s="1" t="s">
        <v>8</v>
      </c>
      <c r="O2646" s="2">
        <v>44115</v>
      </c>
    </row>
    <row r="2647" spans="1:15" ht="28.8" x14ac:dyDescent="0.3">
      <c r="A2647" s="1" t="s">
        <v>9887</v>
      </c>
      <c r="B2647" s="1" t="str">
        <f>"Deeside Plumbing &amp; Heating Services"</f>
        <v>Deeside Plumbing &amp; Heating Services</v>
      </c>
      <c r="C2647" s="1" t="s">
        <v>9888</v>
      </c>
      <c r="F2647" s="1" t="s">
        <v>532</v>
      </c>
      <c r="H2647" s="1" t="s">
        <v>9889</v>
      </c>
      <c r="I2647" s="1" t="s">
        <v>19</v>
      </c>
      <c r="J2647" s="1" t="s">
        <v>6</v>
      </c>
      <c r="K2647" s="1" t="s">
        <v>34</v>
      </c>
      <c r="L2647" s="1">
        <v>6091240</v>
      </c>
      <c r="M2647" s="2">
        <v>43019</v>
      </c>
      <c r="N2647" s="1" t="s">
        <v>8</v>
      </c>
      <c r="O2647" s="2">
        <v>44115</v>
      </c>
    </row>
    <row r="2648" spans="1:15" ht="28.8" x14ac:dyDescent="0.3">
      <c r="A2648" s="1" t="s">
        <v>9890</v>
      </c>
      <c r="B2648" s="1" t="str">
        <f>"B&amp;W BUILDERS LTD"</f>
        <v>B&amp;W BUILDERS LTD</v>
      </c>
      <c r="C2648" s="1" t="s">
        <v>9891</v>
      </c>
      <c r="F2648" s="1" t="s">
        <v>123</v>
      </c>
      <c r="H2648" s="1" t="s">
        <v>9892</v>
      </c>
      <c r="I2648" s="1" t="s">
        <v>19</v>
      </c>
      <c r="J2648" s="1" t="s">
        <v>6</v>
      </c>
      <c r="K2648" s="1" t="s">
        <v>24</v>
      </c>
      <c r="L2648" s="1">
        <v>9185669</v>
      </c>
      <c r="M2648" s="2">
        <v>43019</v>
      </c>
      <c r="N2648" s="1" t="s">
        <v>8</v>
      </c>
      <c r="O2648" s="2">
        <v>44115</v>
      </c>
    </row>
    <row r="2649" spans="1:15" ht="28.8" x14ac:dyDescent="0.3">
      <c r="A2649" s="1" t="s">
        <v>9893</v>
      </c>
      <c r="B2649" s="1" t="str">
        <f>"NIGEL THOMAS PLANT HIRE LTD"</f>
        <v>NIGEL THOMAS PLANT HIRE LTD</v>
      </c>
      <c r="C2649" s="1" t="s">
        <v>9894</v>
      </c>
      <c r="D2649" s="1" t="s">
        <v>7181</v>
      </c>
      <c r="E2649" s="1" t="s">
        <v>424</v>
      </c>
      <c r="F2649" s="1" t="s">
        <v>64</v>
      </c>
      <c r="H2649" s="1" t="s">
        <v>9895</v>
      </c>
      <c r="I2649" s="1" t="s">
        <v>19</v>
      </c>
      <c r="J2649" s="1" t="s">
        <v>6</v>
      </c>
      <c r="K2649" s="1" t="s">
        <v>24</v>
      </c>
      <c r="L2649" s="1">
        <v>4441318</v>
      </c>
      <c r="M2649" s="2">
        <v>43019</v>
      </c>
      <c r="N2649" s="1" t="s">
        <v>8</v>
      </c>
      <c r="O2649" s="2">
        <v>44115</v>
      </c>
    </row>
    <row r="2650" spans="1:15" ht="28.8" x14ac:dyDescent="0.3">
      <c r="A2650" s="1" t="s">
        <v>9896</v>
      </c>
      <c r="B2650" s="1" t="str">
        <f>"Prime Fuelling Systems Ltd"</f>
        <v>Prime Fuelling Systems Ltd</v>
      </c>
      <c r="C2650" s="1" t="s">
        <v>5785</v>
      </c>
      <c r="D2650" s="1" t="s">
        <v>9897</v>
      </c>
      <c r="F2650" s="1" t="s">
        <v>1051</v>
      </c>
      <c r="H2650" s="1" t="s">
        <v>5787</v>
      </c>
      <c r="I2650" s="1" t="s">
        <v>19</v>
      </c>
      <c r="J2650" s="1" t="s">
        <v>6</v>
      </c>
      <c r="K2650" s="1" t="s">
        <v>24</v>
      </c>
      <c r="L2650" s="1">
        <v>3690374</v>
      </c>
      <c r="M2650" s="2">
        <v>43019</v>
      </c>
      <c r="N2650" s="1" t="s">
        <v>8</v>
      </c>
      <c r="O2650" s="2">
        <v>44115</v>
      </c>
    </row>
    <row r="2651" spans="1:15" ht="28.8" x14ac:dyDescent="0.3">
      <c r="A2651" s="1" t="s">
        <v>9898</v>
      </c>
      <c r="B2651" s="1" t="str">
        <f>"Total Flood Solutions "</f>
        <v xml:space="preserve">Total Flood Solutions </v>
      </c>
      <c r="C2651" s="1" t="s">
        <v>9899</v>
      </c>
      <c r="D2651" s="1" t="s">
        <v>2130</v>
      </c>
      <c r="F2651" s="1" t="s">
        <v>42</v>
      </c>
      <c r="H2651" s="1" t="s">
        <v>2131</v>
      </c>
      <c r="I2651" s="1" t="s">
        <v>19</v>
      </c>
      <c r="J2651" s="1" t="s">
        <v>6</v>
      </c>
      <c r="K2651" s="1" t="s">
        <v>34</v>
      </c>
      <c r="L2651" s="1">
        <v>6175121</v>
      </c>
      <c r="M2651" s="2">
        <v>43019</v>
      </c>
      <c r="N2651" s="1" t="s">
        <v>8</v>
      </c>
      <c r="O2651" s="2">
        <v>44115</v>
      </c>
    </row>
    <row r="2652" spans="1:15" ht="28.8" x14ac:dyDescent="0.3">
      <c r="A2652" s="1" t="s">
        <v>10897</v>
      </c>
      <c r="B2652" s="1" t="str">
        <f>"Sameday4U"</f>
        <v>Sameday4U</v>
      </c>
      <c r="C2652" s="1" t="s">
        <v>10898</v>
      </c>
      <c r="F2652" s="1" t="s">
        <v>179</v>
      </c>
      <c r="H2652" s="1" t="s">
        <v>10899</v>
      </c>
      <c r="I2652" s="1" t="s">
        <v>125</v>
      </c>
      <c r="J2652" s="1" t="s">
        <v>6</v>
      </c>
      <c r="K2652" s="1" t="s">
        <v>34</v>
      </c>
      <c r="M2652" s="2">
        <v>43019</v>
      </c>
      <c r="N2652" s="1" t="s">
        <v>8</v>
      </c>
      <c r="O2652" s="2">
        <v>44115</v>
      </c>
    </row>
    <row r="2653" spans="1:15" ht="43.2" x14ac:dyDescent="0.3">
      <c r="A2653" s="1" t="s">
        <v>23197</v>
      </c>
      <c r="B2653" s="1" t="str">
        <f>"Andrew Washbourne"</f>
        <v>Andrew Washbourne</v>
      </c>
      <c r="C2653" s="1" t="s">
        <v>23198</v>
      </c>
      <c r="F2653" s="1" t="s">
        <v>56</v>
      </c>
      <c r="H2653" s="1" t="s">
        <v>23199</v>
      </c>
      <c r="I2653" s="1" t="s">
        <v>5</v>
      </c>
      <c r="J2653" s="1" t="s">
        <v>67</v>
      </c>
      <c r="K2653" s="1" t="s">
        <v>14</v>
      </c>
      <c r="M2653" s="2">
        <v>43019</v>
      </c>
      <c r="N2653" s="1" t="s">
        <v>8</v>
      </c>
      <c r="O2653" s="1" t="s">
        <v>68</v>
      </c>
    </row>
    <row r="2654" spans="1:15" ht="43.2" x14ac:dyDescent="0.3">
      <c r="A2654" s="1" t="s">
        <v>23200</v>
      </c>
      <c r="B2654" s="1" t="str">
        <f>"radu caruceru radu caruceru"</f>
        <v>radu caruceru radu caruceru</v>
      </c>
      <c r="C2654" s="1" t="s">
        <v>23201</v>
      </c>
      <c r="F2654" s="1" t="s">
        <v>64</v>
      </c>
      <c r="H2654" s="1" t="s">
        <v>23202</v>
      </c>
      <c r="I2654" s="1" t="s">
        <v>5</v>
      </c>
      <c r="J2654" s="1" t="s">
        <v>67</v>
      </c>
      <c r="K2654" s="1" t="s">
        <v>24</v>
      </c>
      <c r="M2654" s="2">
        <v>43019</v>
      </c>
      <c r="N2654" s="1" t="s">
        <v>8</v>
      </c>
      <c r="O2654" s="1" t="s">
        <v>68</v>
      </c>
    </row>
    <row r="2655" spans="1:15" ht="43.2" x14ac:dyDescent="0.3">
      <c r="A2655" s="1" t="s">
        <v>23997</v>
      </c>
      <c r="B2655" s="1" t="str">
        <f>"radu caruceru"</f>
        <v>radu caruceru</v>
      </c>
      <c r="C2655" s="1" t="s">
        <v>23201</v>
      </c>
      <c r="F2655" s="1" t="s">
        <v>64</v>
      </c>
      <c r="H2655" s="1" t="s">
        <v>23202</v>
      </c>
      <c r="I2655" s="1" t="s">
        <v>5</v>
      </c>
      <c r="J2655" s="1" t="s">
        <v>67</v>
      </c>
      <c r="K2655" s="1" t="s">
        <v>14</v>
      </c>
      <c r="M2655" s="2">
        <v>43019</v>
      </c>
      <c r="N2655" s="1" t="s">
        <v>8</v>
      </c>
      <c r="O2655" s="1" t="s">
        <v>68</v>
      </c>
    </row>
    <row r="2656" spans="1:15" ht="43.2" x14ac:dyDescent="0.3">
      <c r="A2656" s="1" t="s">
        <v>8684</v>
      </c>
      <c r="B2656" s="1" t="str">
        <f>"C.J.Gibbons Family Butchers"</f>
        <v>C.J.Gibbons Family Butchers</v>
      </c>
      <c r="C2656" s="1" t="s">
        <v>8685</v>
      </c>
      <c r="F2656" s="1" t="s">
        <v>3337</v>
      </c>
      <c r="H2656" s="1" t="s">
        <v>3338</v>
      </c>
      <c r="I2656" s="1" t="s">
        <v>19</v>
      </c>
      <c r="J2656" s="1" t="s">
        <v>67</v>
      </c>
      <c r="K2656" s="1" t="s">
        <v>14</v>
      </c>
      <c r="M2656" s="2">
        <v>43018</v>
      </c>
      <c r="N2656" s="1" t="s">
        <v>8</v>
      </c>
      <c r="O2656" s="1" t="s">
        <v>68</v>
      </c>
    </row>
    <row r="2657" spans="1:15" x14ac:dyDescent="0.3">
      <c r="A2657" s="1" t="s">
        <v>8686</v>
      </c>
      <c r="B2657" s="1" t="str">
        <f>"D Griffith &amp; L James"</f>
        <v>D Griffith &amp; L James</v>
      </c>
      <c r="C2657" s="1" t="s">
        <v>8687</v>
      </c>
      <c r="F2657" s="1" t="s">
        <v>1321</v>
      </c>
      <c r="H2657" s="1" t="s">
        <v>8688</v>
      </c>
      <c r="I2657" s="1" t="s">
        <v>125</v>
      </c>
      <c r="J2657" s="1" t="s">
        <v>6</v>
      </c>
      <c r="K2657" s="1" t="s">
        <v>24</v>
      </c>
      <c r="M2657" s="2">
        <v>43018</v>
      </c>
      <c r="N2657" s="1" t="s">
        <v>8</v>
      </c>
      <c r="O2657" s="2">
        <v>44114</v>
      </c>
    </row>
    <row r="2658" spans="1:15" ht="28.8" x14ac:dyDescent="0.3">
      <c r="A2658" s="1" t="s">
        <v>8689</v>
      </c>
      <c r="B2658" s="1" t="str">
        <f>"M J Caine &amp; Sons Ltd"</f>
        <v>M J Caine &amp; Sons Ltd</v>
      </c>
      <c r="C2658" s="1" t="s">
        <v>8690</v>
      </c>
      <c r="F2658" s="1" t="s">
        <v>1986</v>
      </c>
      <c r="H2658" s="1" t="s">
        <v>8691</v>
      </c>
      <c r="I2658" s="1" t="s">
        <v>19</v>
      </c>
      <c r="J2658" s="1" t="s">
        <v>6</v>
      </c>
      <c r="K2658" s="1" t="s">
        <v>24</v>
      </c>
      <c r="L2658" s="1">
        <v>6573223</v>
      </c>
      <c r="M2658" s="2">
        <v>43018</v>
      </c>
      <c r="N2658" s="1" t="s">
        <v>8</v>
      </c>
      <c r="O2658" s="2">
        <v>44114</v>
      </c>
    </row>
    <row r="2659" spans="1:15" ht="28.8" x14ac:dyDescent="0.3">
      <c r="A2659" s="1" t="s">
        <v>8692</v>
      </c>
      <c r="B2659" s="1" t="str">
        <f>"Davies European Service Ltd"</f>
        <v>Davies European Service Ltd</v>
      </c>
      <c r="C2659" s="1" t="s">
        <v>8693</v>
      </c>
      <c r="F2659" s="1" t="s">
        <v>556</v>
      </c>
      <c r="H2659" s="1" t="s">
        <v>987</v>
      </c>
      <c r="I2659" s="1" t="s">
        <v>19</v>
      </c>
      <c r="J2659" s="1" t="s">
        <v>6</v>
      </c>
      <c r="K2659" s="1" t="s">
        <v>34</v>
      </c>
      <c r="L2659" s="1">
        <v>4710649</v>
      </c>
      <c r="M2659" s="2">
        <v>43018</v>
      </c>
      <c r="N2659" s="1" t="s">
        <v>8</v>
      </c>
      <c r="O2659" s="2">
        <v>44114</v>
      </c>
    </row>
    <row r="2660" spans="1:15" ht="28.8" x14ac:dyDescent="0.3">
      <c r="A2660" s="1" t="s">
        <v>22473</v>
      </c>
      <c r="B2660" s="1" t="str">
        <f>"Marsden Williams Box Van Removals"</f>
        <v>Marsden Williams Box Van Removals</v>
      </c>
      <c r="C2660" s="1" t="s">
        <v>22474</v>
      </c>
      <c r="F2660" s="1" t="s">
        <v>665</v>
      </c>
      <c r="H2660" s="1" t="s">
        <v>22475</v>
      </c>
      <c r="I2660" s="1" t="s">
        <v>5</v>
      </c>
      <c r="J2660" s="1" t="s">
        <v>6</v>
      </c>
      <c r="K2660" s="1" t="s">
        <v>24</v>
      </c>
      <c r="M2660" s="2">
        <v>43018</v>
      </c>
      <c r="N2660" s="1" t="s">
        <v>8</v>
      </c>
      <c r="O2660" s="2">
        <v>44114</v>
      </c>
    </row>
    <row r="2661" spans="1:15" ht="28.8" x14ac:dyDescent="0.3">
      <c r="A2661" s="1" t="s">
        <v>22476</v>
      </c>
      <c r="B2661" s="1" t="str">
        <f>"Cefyn Games C G Brickwork"</f>
        <v>Cefyn Games C G Brickwork</v>
      </c>
      <c r="C2661" s="1" t="s">
        <v>22477</v>
      </c>
      <c r="F2661" s="1" t="s">
        <v>156</v>
      </c>
      <c r="H2661" s="1" t="s">
        <v>22478</v>
      </c>
      <c r="I2661" s="1" t="s">
        <v>5</v>
      </c>
      <c r="J2661" s="1" t="s">
        <v>6</v>
      </c>
      <c r="K2661" s="1" t="s">
        <v>34</v>
      </c>
      <c r="M2661" s="2">
        <v>43018</v>
      </c>
      <c r="N2661" s="1" t="s">
        <v>8</v>
      </c>
      <c r="O2661" s="2">
        <v>44114</v>
      </c>
    </row>
    <row r="2662" spans="1:15" ht="28.8" x14ac:dyDescent="0.3">
      <c r="A2662" s="1" t="s">
        <v>6508</v>
      </c>
      <c r="B2662" s="1" t="str">
        <f>"LAKESIDE SECURITY LTD"</f>
        <v>LAKESIDE SECURITY LTD</v>
      </c>
      <c r="C2662" s="1" t="s">
        <v>6509</v>
      </c>
      <c r="D2662" s="1" t="s">
        <v>6510</v>
      </c>
      <c r="E2662" s="1" t="s">
        <v>2041</v>
      </c>
      <c r="F2662" s="1" t="s">
        <v>64</v>
      </c>
      <c r="H2662" s="1" t="s">
        <v>6511</v>
      </c>
      <c r="I2662" s="1" t="s">
        <v>19</v>
      </c>
      <c r="J2662" s="1" t="s">
        <v>6</v>
      </c>
      <c r="K2662" s="1" t="s">
        <v>24</v>
      </c>
      <c r="L2662" s="1">
        <v>7670548</v>
      </c>
      <c r="M2662" s="2">
        <v>43017</v>
      </c>
      <c r="N2662" s="1" t="s">
        <v>8</v>
      </c>
      <c r="O2662" s="2">
        <v>44113</v>
      </c>
    </row>
    <row r="2663" spans="1:15" ht="28.8" x14ac:dyDescent="0.3">
      <c r="A2663" s="1" t="s">
        <v>6512</v>
      </c>
      <c r="B2663" s="1" t="str">
        <f>"R MATTHEWS CONSTRUCTION LTD"</f>
        <v>R MATTHEWS CONSTRUCTION LTD</v>
      </c>
      <c r="C2663" s="1" t="s">
        <v>6513</v>
      </c>
      <c r="D2663" s="1" t="s">
        <v>6514</v>
      </c>
      <c r="F2663" s="1" t="s">
        <v>123</v>
      </c>
      <c r="H2663" s="1" t="s">
        <v>6515</v>
      </c>
      <c r="I2663" s="1" t="s">
        <v>19</v>
      </c>
      <c r="J2663" s="1" t="s">
        <v>6</v>
      </c>
      <c r="K2663" s="1" t="s">
        <v>34</v>
      </c>
      <c r="L2663" s="1">
        <v>4722973</v>
      </c>
      <c r="M2663" s="2">
        <v>43017</v>
      </c>
      <c r="N2663" s="1" t="s">
        <v>8</v>
      </c>
      <c r="O2663" s="2">
        <v>44113</v>
      </c>
    </row>
    <row r="2664" spans="1:15" ht="28.8" x14ac:dyDescent="0.3">
      <c r="A2664" s="1" t="s">
        <v>6516</v>
      </c>
      <c r="B2664" s="1" t="str">
        <f>"Control and Service Technology"</f>
        <v>Control and Service Technology</v>
      </c>
      <c r="C2664" s="1" t="s">
        <v>6517</v>
      </c>
      <c r="D2664" s="1" t="s">
        <v>6518</v>
      </c>
      <c r="F2664" s="1" t="s">
        <v>179</v>
      </c>
      <c r="H2664" s="1" t="s">
        <v>6519</v>
      </c>
      <c r="I2664" s="1" t="s">
        <v>19</v>
      </c>
      <c r="J2664" s="1" t="s">
        <v>6</v>
      </c>
      <c r="K2664" s="1" t="s">
        <v>34</v>
      </c>
      <c r="L2664" s="1">
        <v>4707210</v>
      </c>
      <c r="M2664" s="2">
        <v>43017</v>
      </c>
      <c r="N2664" s="1" t="s">
        <v>8</v>
      </c>
      <c r="O2664" s="2">
        <v>44113</v>
      </c>
    </row>
    <row r="2665" spans="1:15" ht="28.8" x14ac:dyDescent="0.3">
      <c r="A2665" s="1" t="s">
        <v>6520</v>
      </c>
      <c r="B2665" s="1" t="str">
        <f>"T &amp; J Wilson"</f>
        <v>T &amp; J Wilson</v>
      </c>
      <c r="C2665" s="1" t="s">
        <v>6521</v>
      </c>
      <c r="D2665" s="1" t="s">
        <v>6522</v>
      </c>
      <c r="F2665" s="1" t="s">
        <v>6523</v>
      </c>
      <c r="H2665" s="1" t="s">
        <v>6524</v>
      </c>
      <c r="I2665" s="1" t="s">
        <v>125</v>
      </c>
      <c r="J2665" s="1" t="s">
        <v>6</v>
      </c>
      <c r="K2665" s="1" t="s">
        <v>24</v>
      </c>
      <c r="M2665" s="2">
        <v>43017</v>
      </c>
      <c r="N2665" s="1" t="s">
        <v>8</v>
      </c>
      <c r="O2665" s="2">
        <v>44113</v>
      </c>
    </row>
    <row r="2666" spans="1:15" ht="43.2" x14ac:dyDescent="0.3">
      <c r="A2666" s="1" t="s">
        <v>6525</v>
      </c>
      <c r="B2666" s="1" t="str">
        <f>"Pembrokeshire Care Share &amp; Give"</f>
        <v>Pembrokeshire Care Share &amp; Give</v>
      </c>
      <c r="C2666" s="1" t="s">
        <v>6526</v>
      </c>
      <c r="F2666" s="1" t="s">
        <v>1776</v>
      </c>
      <c r="H2666" s="1" t="s">
        <v>6527</v>
      </c>
      <c r="I2666" s="1" t="s">
        <v>1872</v>
      </c>
      <c r="J2666" s="1" t="s">
        <v>67</v>
      </c>
      <c r="K2666" s="1" t="s">
        <v>14</v>
      </c>
      <c r="M2666" s="2">
        <v>43017</v>
      </c>
      <c r="N2666" s="1" t="s">
        <v>8</v>
      </c>
      <c r="O2666" s="1" t="s">
        <v>68</v>
      </c>
    </row>
    <row r="2667" spans="1:15" ht="28.8" x14ac:dyDescent="0.3">
      <c r="A2667" s="1" t="s">
        <v>6528</v>
      </c>
      <c r="B2667" s="1" t="str">
        <f>"Nautilus Roofing and Exteriors Ltd"</f>
        <v>Nautilus Roofing and Exteriors Ltd</v>
      </c>
      <c r="C2667" s="1" t="s">
        <v>6529</v>
      </c>
      <c r="F2667" s="1" t="s">
        <v>767</v>
      </c>
      <c r="H2667" s="1" t="s">
        <v>6530</v>
      </c>
      <c r="I2667" s="1" t="s">
        <v>19</v>
      </c>
      <c r="J2667" s="1" t="s">
        <v>6</v>
      </c>
      <c r="K2667" s="1" t="s">
        <v>34</v>
      </c>
      <c r="L2667" s="1">
        <v>8683124</v>
      </c>
      <c r="M2667" s="2">
        <v>43017</v>
      </c>
      <c r="N2667" s="1" t="s">
        <v>8</v>
      </c>
      <c r="O2667" s="2">
        <v>44113</v>
      </c>
    </row>
    <row r="2668" spans="1:15" x14ac:dyDescent="0.3">
      <c r="A2668" s="1" t="s">
        <v>7576</v>
      </c>
      <c r="B2668" s="1" t="str">
        <f>"Martyn Builders "</f>
        <v xml:space="preserve">Martyn Builders </v>
      </c>
      <c r="C2668" s="1" t="s">
        <v>7577</v>
      </c>
      <c r="F2668" s="1" t="s">
        <v>7578</v>
      </c>
      <c r="H2668" s="1" t="s">
        <v>7579</v>
      </c>
      <c r="I2668" s="1" t="s">
        <v>125</v>
      </c>
      <c r="J2668" s="1" t="s">
        <v>6</v>
      </c>
      <c r="K2668" s="1" t="s">
        <v>24</v>
      </c>
      <c r="M2668" s="2">
        <v>43017</v>
      </c>
      <c r="N2668" s="1" t="s">
        <v>8</v>
      </c>
      <c r="O2668" s="2">
        <v>44113</v>
      </c>
    </row>
    <row r="2669" spans="1:15" ht="28.8" x14ac:dyDescent="0.3">
      <c r="A2669" s="1" t="s">
        <v>20868</v>
      </c>
      <c r="B2669" s="1" t="str">
        <f>"David Pike David Pike"</f>
        <v>David Pike David Pike</v>
      </c>
      <c r="C2669" s="1" t="s">
        <v>20869</v>
      </c>
      <c r="F2669" s="1" t="s">
        <v>1776</v>
      </c>
      <c r="H2669" s="1" t="s">
        <v>20870</v>
      </c>
      <c r="I2669" s="1" t="s">
        <v>5</v>
      </c>
      <c r="J2669" s="1" t="s">
        <v>6</v>
      </c>
      <c r="K2669" s="1" t="s">
        <v>24</v>
      </c>
      <c r="M2669" s="2">
        <v>43017</v>
      </c>
      <c r="N2669" s="1" t="s">
        <v>8</v>
      </c>
      <c r="O2669" s="2">
        <v>44113</v>
      </c>
    </row>
    <row r="2670" spans="1:15" ht="43.2" x14ac:dyDescent="0.3">
      <c r="A2670" s="1" t="s">
        <v>20871</v>
      </c>
      <c r="B2670" s="1" t="str">
        <f>"Tracy Hughes"</f>
        <v>Tracy Hughes</v>
      </c>
      <c r="C2670" s="1" t="s">
        <v>20872</v>
      </c>
      <c r="F2670" s="1" t="s">
        <v>1226</v>
      </c>
      <c r="H2670" s="1" t="s">
        <v>20873</v>
      </c>
      <c r="I2670" s="1" t="s">
        <v>5</v>
      </c>
      <c r="J2670" s="1" t="s">
        <v>67</v>
      </c>
      <c r="K2670" s="1" t="s">
        <v>14</v>
      </c>
      <c r="M2670" s="2">
        <v>43017</v>
      </c>
      <c r="N2670" s="1" t="s">
        <v>8</v>
      </c>
      <c r="O2670" s="1" t="s">
        <v>68</v>
      </c>
    </row>
    <row r="2671" spans="1:15" ht="28.8" x14ac:dyDescent="0.3">
      <c r="A2671" s="1" t="s">
        <v>20874</v>
      </c>
      <c r="B2671" s="1" t="str">
        <f>"kyle gatter gatter waste removals "</f>
        <v xml:space="preserve">kyle gatter gatter waste removals </v>
      </c>
      <c r="C2671" s="1" t="s">
        <v>20875</v>
      </c>
      <c r="F2671" s="1" t="s">
        <v>1556</v>
      </c>
      <c r="H2671" s="1" t="s">
        <v>20876</v>
      </c>
      <c r="I2671" s="1" t="s">
        <v>5</v>
      </c>
      <c r="J2671" s="1" t="s">
        <v>6</v>
      </c>
      <c r="K2671" s="1" t="s">
        <v>24</v>
      </c>
      <c r="M2671" s="2">
        <v>43017</v>
      </c>
      <c r="N2671" s="1" t="s">
        <v>8</v>
      </c>
      <c r="O2671" s="2">
        <v>44113</v>
      </c>
    </row>
    <row r="2672" spans="1:15" ht="28.8" x14ac:dyDescent="0.3">
      <c r="A2672" s="1" t="s">
        <v>6505</v>
      </c>
      <c r="B2672" s="1" t="str">
        <f>"On Point Brand Installation LTD"</f>
        <v>On Point Brand Installation LTD</v>
      </c>
      <c r="C2672" s="1" t="s">
        <v>6506</v>
      </c>
      <c r="F2672" s="1" t="s">
        <v>123</v>
      </c>
      <c r="H2672" s="1" t="s">
        <v>6507</v>
      </c>
      <c r="I2672" s="1" t="s">
        <v>19</v>
      </c>
      <c r="J2672" s="1" t="s">
        <v>6</v>
      </c>
      <c r="K2672" s="1" t="s">
        <v>24</v>
      </c>
      <c r="L2672" s="1">
        <v>10924820</v>
      </c>
      <c r="M2672" s="2">
        <v>43016</v>
      </c>
      <c r="N2672" s="1" t="s">
        <v>8</v>
      </c>
      <c r="O2672" s="2">
        <v>44112</v>
      </c>
    </row>
    <row r="2673" spans="1:15" ht="43.2" x14ac:dyDescent="0.3">
      <c r="A2673" s="1" t="s">
        <v>20864</v>
      </c>
      <c r="B2673" s="1" t="str">
        <f>"Emyr Morgan"</f>
        <v>Emyr Morgan</v>
      </c>
      <c r="C2673" s="1" t="s">
        <v>11617</v>
      </c>
      <c r="F2673" s="1" t="s">
        <v>11618</v>
      </c>
      <c r="H2673" s="1" t="s">
        <v>11619</v>
      </c>
      <c r="I2673" s="1" t="s">
        <v>5</v>
      </c>
      <c r="J2673" s="1" t="s">
        <v>67</v>
      </c>
      <c r="K2673" s="1" t="s">
        <v>34</v>
      </c>
      <c r="M2673" s="2">
        <v>43016</v>
      </c>
      <c r="N2673" s="1" t="s">
        <v>8</v>
      </c>
      <c r="O2673" s="1" t="s">
        <v>68</v>
      </c>
    </row>
    <row r="2674" spans="1:15" ht="28.8" x14ac:dyDescent="0.3">
      <c r="A2674" s="1" t="s">
        <v>20865</v>
      </c>
      <c r="B2674" s="1" t="str">
        <f>"paul moore p&amp;m waste"</f>
        <v>paul moore p&amp;m waste</v>
      </c>
      <c r="C2674" s="1" t="s">
        <v>20866</v>
      </c>
      <c r="F2674" s="1" t="s">
        <v>179</v>
      </c>
      <c r="H2674" s="1" t="s">
        <v>20867</v>
      </c>
      <c r="I2674" s="1" t="s">
        <v>5</v>
      </c>
      <c r="J2674" s="1" t="s">
        <v>6</v>
      </c>
      <c r="K2674" s="1" t="s">
        <v>24</v>
      </c>
      <c r="M2674" s="2">
        <v>43016</v>
      </c>
      <c r="N2674" s="1" t="s">
        <v>8</v>
      </c>
      <c r="O2674" s="2">
        <v>44112</v>
      </c>
    </row>
    <row r="2675" spans="1:15" ht="28.8" x14ac:dyDescent="0.3">
      <c r="A2675" s="1" t="s">
        <v>5265</v>
      </c>
      <c r="B2675" s="1" t="str">
        <f>"George k haulage limited"</f>
        <v>George k haulage limited</v>
      </c>
      <c r="C2675" s="1" t="s">
        <v>5266</v>
      </c>
      <c r="F2675" s="1" t="s">
        <v>123</v>
      </c>
      <c r="H2675" s="1" t="s">
        <v>5267</v>
      </c>
      <c r="I2675" s="1" t="s">
        <v>19</v>
      </c>
      <c r="J2675" s="1" t="s">
        <v>6</v>
      </c>
      <c r="K2675" s="1" t="s">
        <v>24</v>
      </c>
      <c r="L2675" s="1">
        <v>10586296</v>
      </c>
      <c r="M2675" s="2">
        <v>43015</v>
      </c>
      <c r="N2675" s="1" t="s">
        <v>8</v>
      </c>
      <c r="O2675" s="2">
        <v>44110</v>
      </c>
    </row>
    <row r="2676" spans="1:15" ht="43.2" x14ac:dyDescent="0.3">
      <c r="A2676" s="1" t="s">
        <v>6502</v>
      </c>
      <c r="B2676" s="1" t="str">
        <f>"BRYN EVANS JOINERY LIMITED"</f>
        <v>BRYN EVANS JOINERY LIMITED</v>
      </c>
      <c r="C2676" s="1" t="s">
        <v>6503</v>
      </c>
      <c r="F2676" s="1" t="s">
        <v>214</v>
      </c>
      <c r="H2676" s="1" t="s">
        <v>6504</v>
      </c>
      <c r="I2676" s="1" t="s">
        <v>19</v>
      </c>
      <c r="J2676" s="1" t="s">
        <v>67</v>
      </c>
      <c r="K2676" s="1" t="s">
        <v>24</v>
      </c>
      <c r="L2676" s="1">
        <v>4929421</v>
      </c>
      <c r="M2676" s="2">
        <v>43015</v>
      </c>
      <c r="N2676" s="1" t="s">
        <v>8</v>
      </c>
      <c r="O2676" s="1" t="s">
        <v>68</v>
      </c>
    </row>
    <row r="2677" spans="1:15" ht="43.2" x14ac:dyDescent="0.3">
      <c r="A2677" s="1" t="s">
        <v>20861</v>
      </c>
      <c r="B2677" s="1" t="str">
        <f>"Russell  Penn R H Penn"</f>
        <v>Russell  Penn R H Penn</v>
      </c>
      <c r="C2677" s="1" t="s">
        <v>20862</v>
      </c>
      <c r="F2677" s="1" t="s">
        <v>6569</v>
      </c>
      <c r="H2677" s="1" t="s">
        <v>20863</v>
      </c>
      <c r="I2677" s="1" t="s">
        <v>5</v>
      </c>
      <c r="J2677" s="1" t="s">
        <v>67</v>
      </c>
      <c r="K2677" s="1" t="s">
        <v>24</v>
      </c>
      <c r="M2677" s="2">
        <v>43015</v>
      </c>
      <c r="N2677" s="1" t="s">
        <v>8</v>
      </c>
      <c r="O2677" s="1" t="s">
        <v>68</v>
      </c>
    </row>
    <row r="2678" spans="1:15" ht="28.8" x14ac:dyDescent="0.3">
      <c r="A2678" s="1" t="s">
        <v>5253</v>
      </c>
      <c r="B2678" s="1" t="str">
        <f>"C.J. BIRD TRANSPORT LIMITED"</f>
        <v>C.J. BIRD TRANSPORT LIMITED</v>
      </c>
      <c r="C2678" s="1" t="s">
        <v>5254</v>
      </c>
      <c r="F2678" s="1" t="s">
        <v>767</v>
      </c>
      <c r="H2678" s="1" t="s">
        <v>5255</v>
      </c>
      <c r="I2678" s="1" t="s">
        <v>19</v>
      </c>
      <c r="J2678" s="1" t="s">
        <v>6</v>
      </c>
      <c r="K2678" s="1" t="s">
        <v>24</v>
      </c>
      <c r="L2678" s="1">
        <v>4110504</v>
      </c>
      <c r="M2678" s="2">
        <v>43014</v>
      </c>
      <c r="N2678" s="1" t="s">
        <v>8</v>
      </c>
      <c r="O2678" s="2">
        <v>44110</v>
      </c>
    </row>
    <row r="2679" spans="1:15" ht="28.8" x14ac:dyDescent="0.3">
      <c r="A2679" s="1" t="s">
        <v>5256</v>
      </c>
      <c r="B2679" s="1" t="str">
        <f>"Fowler Contractors Limited "</f>
        <v xml:space="preserve">Fowler Contractors Limited </v>
      </c>
      <c r="C2679" s="1" t="s">
        <v>5257</v>
      </c>
      <c r="F2679" s="1" t="s">
        <v>123</v>
      </c>
      <c r="H2679" s="1" t="s">
        <v>5258</v>
      </c>
      <c r="I2679" s="1" t="s">
        <v>19</v>
      </c>
      <c r="J2679" s="1" t="s">
        <v>6</v>
      </c>
      <c r="K2679" s="1" t="s">
        <v>34</v>
      </c>
      <c r="L2679" s="1">
        <v>10869013</v>
      </c>
      <c r="M2679" s="2">
        <v>43014</v>
      </c>
      <c r="N2679" s="1" t="s">
        <v>8</v>
      </c>
      <c r="O2679" s="2">
        <v>44110</v>
      </c>
    </row>
    <row r="2680" spans="1:15" ht="43.2" x14ac:dyDescent="0.3">
      <c r="A2680" s="1" t="s">
        <v>5259</v>
      </c>
      <c r="B2680" s="1" t="str">
        <f>"St Julians Medical Centre"</f>
        <v>St Julians Medical Centre</v>
      </c>
      <c r="C2680" s="1" t="s">
        <v>5260</v>
      </c>
      <c r="F2680" s="1" t="s">
        <v>156</v>
      </c>
      <c r="H2680" s="1" t="s">
        <v>5261</v>
      </c>
      <c r="I2680" s="1" t="s">
        <v>125</v>
      </c>
      <c r="J2680" s="1" t="s">
        <v>67</v>
      </c>
      <c r="K2680" s="1" t="s">
        <v>14</v>
      </c>
      <c r="M2680" s="2">
        <v>43014</v>
      </c>
      <c r="N2680" s="1" t="s">
        <v>8</v>
      </c>
      <c r="O2680" s="1" t="s">
        <v>68</v>
      </c>
    </row>
    <row r="2681" spans="1:15" ht="28.8" x14ac:dyDescent="0.3">
      <c r="A2681" s="1" t="s">
        <v>5262</v>
      </c>
      <c r="B2681" s="1" t="str">
        <f>"1st class results"</f>
        <v>1st class results</v>
      </c>
      <c r="C2681" s="1" t="s">
        <v>5263</v>
      </c>
      <c r="F2681" s="1" t="s">
        <v>476</v>
      </c>
      <c r="H2681" s="1" t="s">
        <v>5264</v>
      </c>
      <c r="I2681" s="1" t="s">
        <v>19</v>
      </c>
      <c r="J2681" s="1" t="s">
        <v>6</v>
      </c>
      <c r="K2681" s="1" t="s">
        <v>34</v>
      </c>
      <c r="L2681" s="1">
        <v>9722522</v>
      </c>
      <c r="M2681" s="2">
        <v>43014</v>
      </c>
      <c r="N2681" s="1" t="s">
        <v>8</v>
      </c>
      <c r="O2681" s="2">
        <v>44110</v>
      </c>
    </row>
    <row r="2682" spans="1:15" ht="28.8" x14ac:dyDescent="0.3">
      <c r="A2682" s="1" t="s">
        <v>20068</v>
      </c>
      <c r="B2682" s="1" t="str">
        <f>"David Young D young garden services"</f>
        <v>David Young D young garden services</v>
      </c>
      <c r="C2682" s="1" t="s">
        <v>20069</v>
      </c>
      <c r="F2682" s="1" t="s">
        <v>56</v>
      </c>
      <c r="H2682" s="1" t="s">
        <v>20070</v>
      </c>
      <c r="I2682" s="1" t="s">
        <v>5</v>
      </c>
      <c r="J2682" s="1" t="s">
        <v>6</v>
      </c>
      <c r="K2682" s="1" t="s">
        <v>24</v>
      </c>
      <c r="M2682" s="2">
        <v>43014</v>
      </c>
      <c r="N2682" s="1" t="s">
        <v>8</v>
      </c>
      <c r="O2682" s="2">
        <v>44110</v>
      </c>
    </row>
    <row r="2683" spans="1:15" ht="28.8" x14ac:dyDescent="0.3">
      <c r="A2683" s="1" t="s">
        <v>20071</v>
      </c>
      <c r="B2683" s="1" t="str">
        <f>"Shaun Bishop Shaun Bishop"</f>
        <v>Shaun Bishop Shaun Bishop</v>
      </c>
      <c r="C2683" s="1" t="s">
        <v>20072</v>
      </c>
      <c r="D2683" s="1" t="s">
        <v>155</v>
      </c>
      <c r="F2683" s="1" t="s">
        <v>156</v>
      </c>
      <c r="G2683" s="1" t="s">
        <v>103</v>
      </c>
      <c r="H2683" s="1" t="s">
        <v>20073</v>
      </c>
      <c r="I2683" s="1" t="s">
        <v>5</v>
      </c>
      <c r="J2683" s="1" t="s">
        <v>6</v>
      </c>
      <c r="K2683" s="1" t="s">
        <v>24</v>
      </c>
      <c r="M2683" s="2">
        <v>43014</v>
      </c>
      <c r="N2683" s="1" t="s">
        <v>8</v>
      </c>
      <c r="O2683" s="2">
        <v>44109</v>
      </c>
    </row>
    <row r="2684" spans="1:15" ht="43.2" x14ac:dyDescent="0.3">
      <c r="A2684" s="1" t="s">
        <v>20074</v>
      </c>
      <c r="B2684" s="1" t="str">
        <f>"Sibaskaran Mayelvaganam"</f>
        <v>Sibaskaran Mayelvaganam</v>
      </c>
      <c r="C2684" s="1" t="s">
        <v>20075</v>
      </c>
      <c r="F2684" s="1" t="s">
        <v>20076</v>
      </c>
      <c r="H2684" s="1" t="s">
        <v>20077</v>
      </c>
      <c r="I2684" s="1" t="s">
        <v>5</v>
      </c>
      <c r="J2684" s="1" t="s">
        <v>67</v>
      </c>
      <c r="K2684" s="1" t="s">
        <v>14</v>
      </c>
      <c r="M2684" s="2">
        <v>43014</v>
      </c>
      <c r="N2684" s="1" t="s">
        <v>8</v>
      </c>
      <c r="O2684" s="1" t="s">
        <v>68</v>
      </c>
    </row>
    <row r="2685" spans="1:15" ht="28.8" x14ac:dyDescent="0.3">
      <c r="A2685" s="1" t="s">
        <v>20078</v>
      </c>
      <c r="B2685" s="1" t="str">
        <f>"Daniel  Chadwick  D.A.C Landscaping "</f>
        <v xml:space="preserve">Daniel  Chadwick  D.A.C Landscaping </v>
      </c>
      <c r="C2685" s="1" t="s">
        <v>20079</v>
      </c>
      <c r="F2685" s="1" t="s">
        <v>585</v>
      </c>
      <c r="H2685" s="1" t="s">
        <v>20080</v>
      </c>
      <c r="I2685" s="1" t="s">
        <v>5</v>
      </c>
      <c r="J2685" s="1" t="s">
        <v>6</v>
      </c>
      <c r="K2685" s="1" t="s">
        <v>34</v>
      </c>
      <c r="M2685" s="2">
        <v>43014</v>
      </c>
      <c r="N2685" s="1" t="s">
        <v>8</v>
      </c>
      <c r="O2685" s="2">
        <v>44110</v>
      </c>
    </row>
    <row r="2686" spans="1:15" ht="43.2" x14ac:dyDescent="0.3">
      <c r="A2686" s="1" t="s">
        <v>4183</v>
      </c>
      <c r="B2686" s="1" t="str">
        <f>"WJEC CBAC"</f>
        <v>WJEC CBAC</v>
      </c>
      <c r="C2686" s="1" t="s">
        <v>4184</v>
      </c>
      <c r="F2686" s="1" t="s">
        <v>123</v>
      </c>
      <c r="H2686" s="1" t="s">
        <v>4185</v>
      </c>
      <c r="I2686" s="1" t="s">
        <v>1872</v>
      </c>
      <c r="J2686" s="1" t="s">
        <v>67</v>
      </c>
      <c r="K2686" s="1" t="s">
        <v>14</v>
      </c>
      <c r="M2686" s="2">
        <v>43013</v>
      </c>
      <c r="N2686" s="1" t="s">
        <v>8</v>
      </c>
      <c r="O2686" s="1" t="s">
        <v>68</v>
      </c>
    </row>
    <row r="2687" spans="1:15" ht="43.2" x14ac:dyDescent="0.3">
      <c r="A2687" s="1" t="s">
        <v>4186</v>
      </c>
      <c r="B2687" s="1" t="str">
        <f>"Nationwide Environmental Services L"</f>
        <v>Nationwide Environmental Services L</v>
      </c>
      <c r="C2687" s="1" t="s">
        <v>4187</v>
      </c>
      <c r="F2687" s="1" t="s">
        <v>323</v>
      </c>
      <c r="H2687" s="1" t="s">
        <v>4188</v>
      </c>
      <c r="I2687" s="1" t="s">
        <v>19</v>
      </c>
      <c r="J2687" s="1" t="s">
        <v>6</v>
      </c>
      <c r="K2687" s="1" t="s">
        <v>34</v>
      </c>
      <c r="L2687" s="1">
        <v>7764627</v>
      </c>
      <c r="M2687" s="2">
        <v>43013</v>
      </c>
      <c r="N2687" s="1" t="s">
        <v>8</v>
      </c>
      <c r="O2687" s="2">
        <v>44109</v>
      </c>
    </row>
    <row r="2688" spans="1:15" ht="28.8" x14ac:dyDescent="0.3">
      <c r="A2688" s="1" t="s">
        <v>4189</v>
      </c>
      <c r="B2688" s="1" t="str">
        <f>"P &amp; A FENCING &amp; SHEDS LTD"</f>
        <v>P &amp; A FENCING &amp; SHEDS LTD</v>
      </c>
      <c r="C2688" s="1" t="s">
        <v>4190</v>
      </c>
      <c r="F2688" s="1" t="s">
        <v>720</v>
      </c>
      <c r="H2688" s="1" t="s">
        <v>4191</v>
      </c>
      <c r="I2688" s="1" t="s">
        <v>19</v>
      </c>
      <c r="J2688" s="1" t="s">
        <v>6</v>
      </c>
      <c r="K2688" s="1" t="s">
        <v>34</v>
      </c>
      <c r="L2688" s="1">
        <v>1880477</v>
      </c>
      <c r="M2688" s="2">
        <v>43013</v>
      </c>
      <c r="N2688" s="1" t="s">
        <v>8</v>
      </c>
      <c r="O2688" s="2">
        <v>44109</v>
      </c>
    </row>
    <row r="2689" spans="1:15" x14ac:dyDescent="0.3">
      <c r="A2689" s="1" t="s">
        <v>5250</v>
      </c>
      <c r="B2689" s="1" t="str">
        <f>"Dryslwyn Haulage Ltd"</f>
        <v>Dryslwyn Haulage Ltd</v>
      </c>
      <c r="C2689" s="1" t="s">
        <v>5251</v>
      </c>
      <c r="F2689" s="1" t="s">
        <v>56</v>
      </c>
      <c r="H2689" s="1" t="s">
        <v>5252</v>
      </c>
      <c r="I2689" s="1" t="s">
        <v>19</v>
      </c>
      <c r="J2689" s="1" t="s">
        <v>6</v>
      </c>
      <c r="K2689" s="1" t="s">
        <v>24</v>
      </c>
      <c r="L2689" s="1">
        <v>8262233</v>
      </c>
      <c r="M2689" s="2">
        <v>43013</v>
      </c>
      <c r="N2689" s="1" t="s">
        <v>8</v>
      </c>
      <c r="O2689" s="2">
        <v>44109</v>
      </c>
    </row>
    <row r="2690" spans="1:15" x14ac:dyDescent="0.3">
      <c r="A2690" s="1" t="s">
        <v>19271</v>
      </c>
      <c r="B2690" s="1" t="str">
        <f>"Wayne elwyn Davies"</f>
        <v>Wayne elwyn Davies</v>
      </c>
      <c r="C2690" s="1" t="s">
        <v>19272</v>
      </c>
      <c r="F2690" s="1" t="s">
        <v>32</v>
      </c>
      <c r="H2690" s="1" t="s">
        <v>19273</v>
      </c>
      <c r="I2690" s="1" t="s">
        <v>5</v>
      </c>
      <c r="J2690" s="1" t="s">
        <v>6</v>
      </c>
      <c r="K2690" s="1" t="s">
        <v>24</v>
      </c>
      <c r="M2690" s="2">
        <v>43013</v>
      </c>
      <c r="N2690" s="1" t="s">
        <v>8</v>
      </c>
      <c r="O2690" s="2">
        <v>44109</v>
      </c>
    </row>
    <row r="2691" spans="1:15" ht="28.8" x14ac:dyDescent="0.3">
      <c r="A2691" s="1" t="s">
        <v>20059</v>
      </c>
      <c r="B2691" s="1" t="str">
        <f>"Craig Anthony Sullivan"</f>
        <v>Craig Anthony Sullivan</v>
      </c>
      <c r="C2691" s="1" t="s">
        <v>20060</v>
      </c>
      <c r="F2691" s="1" t="s">
        <v>64</v>
      </c>
      <c r="H2691" s="1" t="s">
        <v>20061</v>
      </c>
      <c r="I2691" s="1" t="s">
        <v>5</v>
      </c>
      <c r="J2691" s="1" t="s">
        <v>6</v>
      </c>
      <c r="K2691" s="1" t="s">
        <v>24</v>
      </c>
      <c r="M2691" s="2">
        <v>43013</v>
      </c>
      <c r="N2691" s="1" t="s">
        <v>8</v>
      </c>
      <c r="O2691" s="2">
        <v>44109</v>
      </c>
    </row>
    <row r="2692" spans="1:15" ht="43.2" x14ac:dyDescent="0.3">
      <c r="A2692" s="1" t="s">
        <v>20062</v>
      </c>
      <c r="B2692" s="1" t="str">
        <f>"John Desmond Cound"</f>
        <v>John Desmond Cound</v>
      </c>
      <c r="C2692" s="1" t="s">
        <v>20063</v>
      </c>
      <c r="F2692" s="1" t="s">
        <v>3465</v>
      </c>
      <c r="H2692" s="1" t="s">
        <v>20064</v>
      </c>
      <c r="I2692" s="1" t="s">
        <v>5</v>
      </c>
      <c r="J2692" s="1" t="s">
        <v>67</v>
      </c>
      <c r="K2692" s="1" t="s">
        <v>14</v>
      </c>
      <c r="M2692" s="2">
        <v>43013</v>
      </c>
      <c r="N2692" s="1" t="s">
        <v>8</v>
      </c>
      <c r="O2692" s="1" t="s">
        <v>68</v>
      </c>
    </row>
    <row r="2693" spans="1:15" ht="28.8" x14ac:dyDescent="0.3">
      <c r="A2693" s="1" t="s">
        <v>20065</v>
      </c>
      <c r="B2693" s="1" t="str">
        <f>"David Jones David Jones &amp; Son"</f>
        <v>David Jones David Jones &amp; Son</v>
      </c>
      <c r="C2693" s="1" t="s">
        <v>20066</v>
      </c>
      <c r="F2693" s="1" t="s">
        <v>151</v>
      </c>
      <c r="H2693" s="1" t="s">
        <v>20067</v>
      </c>
      <c r="I2693" s="1" t="s">
        <v>5</v>
      </c>
      <c r="J2693" s="1" t="s">
        <v>6</v>
      </c>
      <c r="K2693" s="1" t="s">
        <v>34</v>
      </c>
      <c r="M2693" s="2">
        <v>43013</v>
      </c>
      <c r="N2693" s="1" t="s">
        <v>8</v>
      </c>
      <c r="O2693" s="2">
        <v>44109</v>
      </c>
    </row>
    <row r="2694" spans="1:15" ht="43.2" x14ac:dyDescent="0.3">
      <c r="A2694" s="1" t="s">
        <v>4156</v>
      </c>
      <c r="B2694" s="1" t="str">
        <f>"Henderson Bathrooms Limited"</f>
        <v>Henderson Bathrooms Limited</v>
      </c>
      <c r="C2694" s="1" t="s">
        <v>4157</v>
      </c>
      <c r="D2694" s="1" t="s">
        <v>4158</v>
      </c>
      <c r="F2694" s="1" t="s">
        <v>3791</v>
      </c>
      <c r="H2694" s="1" t="s">
        <v>4159</v>
      </c>
      <c r="I2694" s="1" t="s">
        <v>19</v>
      </c>
      <c r="J2694" s="1" t="s">
        <v>67</v>
      </c>
      <c r="K2694" s="1" t="s">
        <v>14</v>
      </c>
      <c r="M2694" s="2">
        <v>43012</v>
      </c>
      <c r="N2694" s="1" t="s">
        <v>8</v>
      </c>
      <c r="O2694" s="1" t="s">
        <v>68</v>
      </c>
    </row>
    <row r="2695" spans="1:15" ht="28.8" x14ac:dyDescent="0.3">
      <c r="A2695" s="1" t="s">
        <v>4160</v>
      </c>
      <c r="B2695" s="1" t="str">
        <f>"FELTFAB FACILITIES LIMITED"</f>
        <v>FELTFAB FACILITIES LIMITED</v>
      </c>
      <c r="C2695" s="1" t="s">
        <v>4161</v>
      </c>
      <c r="D2695" s="1" t="s">
        <v>4162</v>
      </c>
      <c r="F2695" s="1" t="s">
        <v>156</v>
      </c>
      <c r="H2695" s="1" t="s">
        <v>4163</v>
      </c>
      <c r="I2695" s="1" t="s">
        <v>19</v>
      </c>
      <c r="J2695" s="1" t="s">
        <v>6</v>
      </c>
      <c r="K2695" s="1" t="s">
        <v>34</v>
      </c>
      <c r="L2695" s="1">
        <v>5153481</v>
      </c>
      <c r="M2695" s="2">
        <v>43012</v>
      </c>
      <c r="N2695" s="1" t="s">
        <v>8</v>
      </c>
      <c r="O2695" s="2">
        <v>44108</v>
      </c>
    </row>
    <row r="2696" spans="1:15" x14ac:dyDescent="0.3">
      <c r="A2696" s="1" t="s">
        <v>4164</v>
      </c>
      <c r="B2696" s="1" t="str">
        <f>"GLOBAL TILES LIMITED"</f>
        <v>GLOBAL TILES LIMITED</v>
      </c>
      <c r="C2696" s="1" t="s">
        <v>4165</v>
      </c>
      <c r="D2696" s="1" t="s">
        <v>4166</v>
      </c>
      <c r="E2696" s="1" t="s">
        <v>4167</v>
      </c>
      <c r="F2696" s="1" t="s">
        <v>358</v>
      </c>
      <c r="H2696" s="1" t="s">
        <v>4168</v>
      </c>
      <c r="I2696" s="1" t="s">
        <v>19</v>
      </c>
      <c r="J2696" s="1" t="s">
        <v>6</v>
      </c>
      <c r="K2696" s="1" t="s">
        <v>24</v>
      </c>
      <c r="L2696" s="1">
        <v>4397343</v>
      </c>
      <c r="M2696" s="2">
        <v>43012</v>
      </c>
      <c r="N2696" s="1" t="s">
        <v>8</v>
      </c>
      <c r="O2696" s="2">
        <v>44108</v>
      </c>
    </row>
    <row r="2697" spans="1:15" ht="28.8" x14ac:dyDescent="0.3">
      <c r="A2697" s="1" t="s">
        <v>4169</v>
      </c>
      <c r="B2697" s="1" t="str">
        <f>"CARDIFF GALVANIZERS (1969) LTD"</f>
        <v>CARDIFF GALVANIZERS (1969) LTD</v>
      </c>
      <c r="C2697" s="1" t="s">
        <v>4170</v>
      </c>
      <c r="F2697" s="1" t="s">
        <v>123</v>
      </c>
      <c r="H2697" s="1" t="s">
        <v>4171</v>
      </c>
      <c r="I2697" s="1" t="s">
        <v>19</v>
      </c>
      <c r="J2697" s="1" t="s">
        <v>6</v>
      </c>
      <c r="K2697" s="1" t="s">
        <v>24</v>
      </c>
      <c r="L2697" s="1">
        <v>964827</v>
      </c>
      <c r="M2697" s="2">
        <v>43012</v>
      </c>
      <c r="N2697" s="1" t="s">
        <v>8</v>
      </c>
      <c r="O2697" s="2">
        <v>44108</v>
      </c>
    </row>
    <row r="2698" spans="1:15" x14ac:dyDescent="0.3">
      <c r="A2698" s="1" t="s">
        <v>4172</v>
      </c>
      <c r="B2698" s="1" t="str">
        <f>"NHR Joinery"</f>
        <v>NHR Joinery</v>
      </c>
      <c r="C2698" s="1" t="s">
        <v>4173</v>
      </c>
      <c r="F2698" s="1" t="s">
        <v>214</v>
      </c>
      <c r="H2698" s="1" t="s">
        <v>4174</v>
      </c>
      <c r="I2698" s="1" t="s">
        <v>19</v>
      </c>
      <c r="J2698" s="1" t="s">
        <v>6</v>
      </c>
      <c r="K2698" s="1" t="s">
        <v>24</v>
      </c>
      <c r="L2698" s="1">
        <v>7823955</v>
      </c>
      <c r="M2698" s="2">
        <v>43012</v>
      </c>
      <c r="N2698" s="1" t="s">
        <v>8</v>
      </c>
      <c r="O2698" s="2">
        <v>44108</v>
      </c>
    </row>
    <row r="2699" spans="1:15" ht="28.8" x14ac:dyDescent="0.3">
      <c r="A2699" s="1" t="s">
        <v>4175</v>
      </c>
      <c r="B2699" s="1" t="str">
        <f>"Papel Recycling Ltd"</f>
        <v>Papel Recycling Ltd</v>
      </c>
      <c r="C2699" s="1" t="s">
        <v>4176</v>
      </c>
      <c r="D2699" s="1" t="s">
        <v>4177</v>
      </c>
      <c r="F2699" s="1" t="s">
        <v>123</v>
      </c>
      <c r="H2699" s="1" t="s">
        <v>4178</v>
      </c>
      <c r="I2699" s="1" t="s">
        <v>19</v>
      </c>
      <c r="J2699" s="1" t="s">
        <v>6</v>
      </c>
      <c r="K2699" s="1" t="s">
        <v>24</v>
      </c>
      <c r="L2699" s="1">
        <v>10867626</v>
      </c>
      <c r="M2699" s="2">
        <v>43012</v>
      </c>
      <c r="N2699" s="1" t="s">
        <v>8</v>
      </c>
      <c r="O2699" s="2">
        <v>44108</v>
      </c>
    </row>
    <row r="2700" spans="1:15" ht="28.8" x14ac:dyDescent="0.3">
      <c r="A2700" s="1" t="s">
        <v>4179</v>
      </c>
      <c r="B2700" s="1" t="str">
        <f>"PORTSMOUTH STUDENT LETS"</f>
        <v>PORTSMOUTH STUDENT LETS</v>
      </c>
      <c r="C2700" s="1" t="s">
        <v>4180</v>
      </c>
      <c r="F2700" s="1" t="s">
        <v>4181</v>
      </c>
      <c r="H2700" s="1" t="s">
        <v>4182</v>
      </c>
      <c r="I2700" s="1" t="s">
        <v>19</v>
      </c>
      <c r="J2700" s="1" t="s">
        <v>6</v>
      </c>
      <c r="K2700" s="1" t="s">
        <v>24</v>
      </c>
      <c r="L2700" s="1">
        <v>3045822</v>
      </c>
      <c r="M2700" s="2">
        <v>43012</v>
      </c>
      <c r="N2700" s="1" t="s">
        <v>8</v>
      </c>
      <c r="O2700" s="2">
        <v>44108</v>
      </c>
    </row>
    <row r="2701" spans="1:15" ht="28.8" x14ac:dyDescent="0.3">
      <c r="A2701" s="1" t="s">
        <v>19256</v>
      </c>
      <c r="B2701" s="1" t="str">
        <f>"Stephen Bishop Bishop Metals"</f>
        <v>Stephen Bishop Bishop Metals</v>
      </c>
      <c r="C2701" s="1" t="s">
        <v>19257</v>
      </c>
      <c r="F2701" s="1" t="s">
        <v>64</v>
      </c>
      <c r="H2701" s="1" t="s">
        <v>19258</v>
      </c>
      <c r="I2701" s="1" t="s">
        <v>5</v>
      </c>
      <c r="J2701" s="1" t="s">
        <v>6</v>
      </c>
      <c r="K2701" s="1" t="s">
        <v>24</v>
      </c>
      <c r="M2701" s="2">
        <v>43012</v>
      </c>
      <c r="N2701" s="1" t="s">
        <v>8</v>
      </c>
      <c r="O2701" s="2">
        <v>44108</v>
      </c>
    </row>
    <row r="2702" spans="1:15" ht="43.2" x14ac:dyDescent="0.3">
      <c r="A2702" s="1" t="s">
        <v>19259</v>
      </c>
      <c r="B2702" s="1" t="str">
        <f>"Julian Thomas Cowbridge Landscapes and Supplies"</f>
        <v>Julian Thomas Cowbridge Landscapes and Supplies</v>
      </c>
      <c r="C2702" s="1" t="s">
        <v>19260</v>
      </c>
      <c r="F2702" s="1" t="s">
        <v>782</v>
      </c>
      <c r="H2702" s="1" t="s">
        <v>19261</v>
      </c>
      <c r="I2702" s="1" t="s">
        <v>5</v>
      </c>
      <c r="J2702" s="1" t="s">
        <v>6</v>
      </c>
      <c r="K2702" s="1" t="s">
        <v>24</v>
      </c>
      <c r="M2702" s="2">
        <v>43012</v>
      </c>
      <c r="N2702" s="1" t="s">
        <v>8</v>
      </c>
      <c r="O2702" s="2">
        <v>44108</v>
      </c>
    </row>
    <row r="2703" spans="1:15" ht="43.2" x14ac:dyDescent="0.3">
      <c r="A2703" s="1" t="s">
        <v>19262</v>
      </c>
      <c r="B2703" s="1" t="str">
        <f>"Mark Budgen"</f>
        <v>Mark Budgen</v>
      </c>
      <c r="C2703" s="1" t="s">
        <v>19263</v>
      </c>
      <c r="F2703" s="1" t="s">
        <v>476</v>
      </c>
      <c r="H2703" s="1" t="s">
        <v>19264</v>
      </c>
      <c r="I2703" s="1" t="s">
        <v>5</v>
      </c>
      <c r="J2703" s="1" t="s">
        <v>67</v>
      </c>
      <c r="K2703" s="1" t="s">
        <v>14</v>
      </c>
      <c r="M2703" s="2">
        <v>43012</v>
      </c>
      <c r="N2703" s="1" t="s">
        <v>8</v>
      </c>
      <c r="O2703" s="1" t="s">
        <v>68</v>
      </c>
    </row>
    <row r="2704" spans="1:15" ht="43.2" x14ac:dyDescent="0.3">
      <c r="A2704" s="1" t="s">
        <v>19265</v>
      </c>
      <c r="B2704" s="1" t="str">
        <f>"Jonathan Evans"</f>
        <v>Jonathan Evans</v>
      </c>
      <c r="C2704" s="1" t="s">
        <v>19266</v>
      </c>
      <c r="D2704" s="1" t="s">
        <v>424</v>
      </c>
      <c r="F2704" s="1" t="s">
        <v>64</v>
      </c>
      <c r="H2704" s="1" t="s">
        <v>19267</v>
      </c>
      <c r="I2704" s="1" t="s">
        <v>5</v>
      </c>
      <c r="J2704" s="1" t="s">
        <v>67</v>
      </c>
      <c r="K2704" s="1" t="s">
        <v>14</v>
      </c>
      <c r="M2704" s="2">
        <v>43012</v>
      </c>
      <c r="N2704" s="1" t="s">
        <v>8</v>
      </c>
      <c r="O2704" s="1" t="s">
        <v>68</v>
      </c>
    </row>
    <row r="2705" spans="1:15" ht="43.2" x14ac:dyDescent="0.3">
      <c r="A2705" s="1" t="s">
        <v>19268</v>
      </c>
      <c r="B2705" s="1" t="str">
        <f>"GARETH WILLIAMS Gareth Williams Haulage"</f>
        <v>GARETH WILLIAMS Gareth Williams Haulage</v>
      </c>
      <c r="C2705" s="1" t="s">
        <v>19269</v>
      </c>
      <c r="F2705" s="1" t="s">
        <v>720</v>
      </c>
      <c r="H2705" s="1" t="s">
        <v>19270</v>
      </c>
      <c r="I2705" s="1" t="s">
        <v>5</v>
      </c>
      <c r="J2705" s="1" t="s">
        <v>6</v>
      </c>
      <c r="K2705" s="1" t="s">
        <v>34</v>
      </c>
      <c r="M2705" s="2">
        <v>43012</v>
      </c>
      <c r="N2705" s="1" t="s">
        <v>8</v>
      </c>
      <c r="O2705" s="2">
        <v>44108</v>
      </c>
    </row>
    <row r="2706" spans="1:15" ht="28.8" x14ac:dyDescent="0.3">
      <c r="A2706" s="1" t="s">
        <v>17798</v>
      </c>
      <c r="B2706" s="1" t="str">
        <f>"Probuild (Wales) Limited"</f>
        <v>Probuild (Wales) Limited</v>
      </c>
      <c r="C2706" s="1" t="s">
        <v>17799</v>
      </c>
      <c r="F2706" s="1" t="s">
        <v>476</v>
      </c>
      <c r="H2706" s="1" t="s">
        <v>17800</v>
      </c>
      <c r="I2706" s="1" t="s">
        <v>19</v>
      </c>
      <c r="J2706" s="1" t="s">
        <v>6</v>
      </c>
      <c r="K2706" s="1" t="s">
        <v>34</v>
      </c>
      <c r="L2706" s="1">
        <v>8260920</v>
      </c>
      <c r="M2706" s="2">
        <v>43011</v>
      </c>
      <c r="N2706" s="1" t="s">
        <v>8</v>
      </c>
      <c r="O2706" s="2">
        <v>44107</v>
      </c>
    </row>
    <row r="2707" spans="1:15" ht="43.2" x14ac:dyDescent="0.3">
      <c r="A2707" s="1" t="s">
        <v>17801</v>
      </c>
      <c r="B2707" s="1" t="str">
        <f>"Next Energy Solutions"</f>
        <v>Next Energy Solutions</v>
      </c>
      <c r="C2707" s="1" t="s">
        <v>17802</v>
      </c>
      <c r="D2707" s="1" t="s">
        <v>17803</v>
      </c>
      <c r="F2707" s="1" t="s">
        <v>17804</v>
      </c>
      <c r="H2707" s="1" t="s">
        <v>17805</v>
      </c>
      <c r="I2707" s="1" t="s">
        <v>19</v>
      </c>
      <c r="J2707" s="1" t="s">
        <v>67</v>
      </c>
      <c r="K2707" s="1" t="s">
        <v>14</v>
      </c>
      <c r="M2707" s="2">
        <v>43011</v>
      </c>
      <c r="N2707" s="1" t="s">
        <v>8</v>
      </c>
      <c r="O2707" s="1" t="s">
        <v>68</v>
      </c>
    </row>
    <row r="2708" spans="1:15" ht="28.8" x14ac:dyDescent="0.3">
      <c r="A2708" s="1" t="s">
        <v>17806</v>
      </c>
      <c r="B2708" s="1" t="str">
        <f>"Price Fencing &amp; Landscaping"</f>
        <v>Price Fencing &amp; Landscaping</v>
      </c>
      <c r="C2708" s="1" t="s">
        <v>17807</v>
      </c>
      <c r="F2708" s="1" t="s">
        <v>556</v>
      </c>
      <c r="H2708" s="1" t="s">
        <v>17808</v>
      </c>
      <c r="I2708" s="1" t="s">
        <v>19</v>
      </c>
      <c r="J2708" s="1" t="s">
        <v>6</v>
      </c>
      <c r="K2708" s="1" t="s">
        <v>24</v>
      </c>
      <c r="L2708" s="1">
        <v>4528644</v>
      </c>
      <c r="M2708" s="2">
        <v>43011</v>
      </c>
      <c r="N2708" s="1" t="s">
        <v>8</v>
      </c>
      <c r="O2708" s="2">
        <v>44107</v>
      </c>
    </row>
    <row r="2709" spans="1:15" ht="43.2" x14ac:dyDescent="0.3">
      <c r="A2709" s="1" t="s">
        <v>17809</v>
      </c>
      <c r="B2709" s="1" t="str">
        <f>"PLATINUM PRODUCTS"</f>
        <v>PLATINUM PRODUCTS</v>
      </c>
      <c r="C2709" s="1" t="s">
        <v>17810</v>
      </c>
      <c r="F2709" s="1" t="s">
        <v>156</v>
      </c>
      <c r="H2709" s="1" t="s">
        <v>5986</v>
      </c>
      <c r="I2709" s="1" t="s">
        <v>19</v>
      </c>
      <c r="J2709" s="1" t="s">
        <v>67</v>
      </c>
      <c r="K2709" s="1" t="s">
        <v>24</v>
      </c>
      <c r="L2709" s="1">
        <v>6683169</v>
      </c>
      <c r="M2709" s="2">
        <v>43011</v>
      </c>
      <c r="N2709" s="1" t="s">
        <v>8</v>
      </c>
      <c r="O2709" s="1" t="s">
        <v>68</v>
      </c>
    </row>
    <row r="2710" spans="1:15" ht="28.8" x14ac:dyDescent="0.3">
      <c r="A2710" s="1" t="s">
        <v>17811</v>
      </c>
      <c r="B2710" s="1" t="str">
        <f>"L &amp; J ENGINEERING LTD"</f>
        <v>L &amp; J ENGINEERING LTD</v>
      </c>
      <c r="C2710" s="1" t="s">
        <v>17812</v>
      </c>
      <c r="F2710" s="1" t="s">
        <v>17813</v>
      </c>
      <c r="H2710" s="1" t="s">
        <v>1689</v>
      </c>
      <c r="I2710" s="1" t="s">
        <v>19</v>
      </c>
      <c r="J2710" s="1" t="s">
        <v>6</v>
      </c>
      <c r="K2710" s="1" t="s">
        <v>24</v>
      </c>
      <c r="L2710" s="1">
        <v>4402809</v>
      </c>
      <c r="M2710" s="2">
        <v>43011</v>
      </c>
      <c r="N2710" s="1" t="s">
        <v>8</v>
      </c>
      <c r="O2710" s="2">
        <v>44107</v>
      </c>
    </row>
    <row r="2711" spans="1:15" ht="43.2" x14ac:dyDescent="0.3">
      <c r="A2711" s="1" t="s">
        <v>17814</v>
      </c>
      <c r="B2711" s="1" t="str">
        <f>"MSS CONSULTING LIMITED"</f>
        <v>MSS CONSULTING LIMITED</v>
      </c>
      <c r="C2711" s="1" t="s">
        <v>17815</v>
      </c>
      <c r="D2711" s="1" t="s">
        <v>17816</v>
      </c>
      <c r="F2711" s="1" t="s">
        <v>123</v>
      </c>
      <c r="H2711" s="1" t="s">
        <v>5306</v>
      </c>
      <c r="I2711" s="1" t="s">
        <v>19</v>
      </c>
      <c r="J2711" s="1" t="s">
        <v>67</v>
      </c>
      <c r="K2711" s="1" t="s">
        <v>24</v>
      </c>
      <c r="L2711" s="1">
        <v>5554672</v>
      </c>
      <c r="M2711" s="2">
        <v>43011</v>
      </c>
      <c r="N2711" s="1" t="s">
        <v>8</v>
      </c>
      <c r="O2711" s="1" t="s">
        <v>68</v>
      </c>
    </row>
    <row r="2712" spans="1:15" ht="28.8" x14ac:dyDescent="0.3">
      <c r="A2712" s="1" t="s">
        <v>17817</v>
      </c>
      <c r="B2712" s="1" t="str">
        <f>"Ken Smith &amp; Sons Ltd"</f>
        <v>Ken Smith &amp; Sons Ltd</v>
      </c>
      <c r="C2712" s="1" t="s">
        <v>17818</v>
      </c>
      <c r="F2712" s="1" t="s">
        <v>56</v>
      </c>
      <c r="H2712" s="1" t="s">
        <v>17819</v>
      </c>
      <c r="I2712" s="1" t="s">
        <v>19</v>
      </c>
      <c r="J2712" s="1" t="s">
        <v>6</v>
      </c>
      <c r="K2712" s="1" t="s">
        <v>34</v>
      </c>
      <c r="L2712" s="1">
        <v>6398470</v>
      </c>
      <c r="M2712" s="2">
        <v>43011</v>
      </c>
      <c r="N2712" s="1" t="s">
        <v>8</v>
      </c>
      <c r="O2712" s="2">
        <v>44107</v>
      </c>
    </row>
    <row r="2713" spans="1:15" ht="43.2" x14ac:dyDescent="0.3">
      <c r="A2713" s="1" t="s">
        <v>19250</v>
      </c>
      <c r="B2713" s="1" t="str">
        <f>"Alan Green"</f>
        <v>Alan Green</v>
      </c>
      <c r="C2713" s="1" t="s">
        <v>19251</v>
      </c>
      <c r="F2713" s="1" t="s">
        <v>1556</v>
      </c>
      <c r="H2713" s="1" t="s">
        <v>19252</v>
      </c>
      <c r="I2713" s="1" t="s">
        <v>5</v>
      </c>
      <c r="J2713" s="1" t="s">
        <v>67</v>
      </c>
      <c r="K2713" s="1" t="s">
        <v>24</v>
      </c>
      <c r="M2713" s="2">
        <v>43011</v>
      </c>
      <c r="N2713" s="1" t="s">
        <v>8</v>
      </c>
      <c r="O2713" s="1" t="s">
        <v>68</v>
      </c>
    </row>
    <row r="2714" spans="1:15" ht="28.8" x14ac:dyDescent="0.3">
      <c r="A2714" s="1" t="s">
        <v>19253</v>
      </c>
      <c r="B2714" s="1" t="str">
        <f>"Paul Warwood Warwood Construction"</f>
        <v>Paul Warwood Warwood Construction</v>
      </c>
      <c r="C2714" s="1" t="s">
        <v>19254</v>
      </c>
      <c r="D2714" s="1" t="s">
        <v>4609</v>
      </c>
      <c r="F2714" s="1" t="s">
        <v>532</v>
      </c>
      <c r="H2714" s="1" t="s">
        <v>19255</v>
      </c>
      <c r="I2714" s="1" t="s">
        <v>5</v>
      </c>
      <c r="J2714" s="1" t="s">
        <v>6</v>
      </c>
      <c r="K2714" s="1" t="s">
        <v>34</v>
      </c>
      <c r="M2714" s="2">
        <v>43011</v>
      </c>
      <c r="N2714" s="1" t="s">
        <v>8</v>
      </c>
      <c r="O2714" s="2">
        <v>44107</v>
      </c>
    </row>
    <row r="2715" spans="1:15" ht="28.8" x14ac:dyDescent="0.3">
      <c r="A2715" s="1" t="s">
        <v>29530</v>
      </c>
      <c r="B2715" s="1" t="str">
        <f>"Dewi Thomas John Davies"</f>
        <v>Dewi Thomas John Davies</v>
      </c>
      <c r="C2715" s="1" t="s">
        <v>29531</v>
      </c>
      <c r="F2715" s="1" t="s">
        <v>140</v>
      </c>
      <c r="H2715" s="1" t="s">
        <v>29532</v>
      </c>
      <c r="I2715" s="1" t="s">
        <v>5</v>
      </c>
      <c r="J2715" s="1" t="s">
        <v>6</v>
      </c>
      <c r="K2715" s="1" t="s">
        <v>24</v>
      </c>
      <c r="M2715" s="2">
        <v>43011</v>
      </c>
      <c r="N2715" s="1" t="s">
        <v>8</v>
      </c>
      <c r="O2715" s="2">
        <v>44107</v>
      </c>
    </row>
    <row r="2716" spans="1:15" ht="43.2" x14ac:dyDescent="0.3">
      <c r="A2716" s="1" t="s">
        <v>29533</v>
      </c>
      <c r="B2716" s="1" t="str">
        <f>"Lauren O'Connor"</f>
        <v>Lauren O'Connor</v>
      </c>
      <c r="C2716" s="1" t="s">
        <v>29534</v>
      </c>
      <c r="F2716" s="1" t="s">
        <v>1206</v>
      </c>
      <c r="H2716" s="1" t="s">
        <v>29535</v>
      </c>
      <c r="I2716" s="1" t="s">
        <v>5</v>
      </c>
      <c r="J2716" s="1" t="s">
        <v>67</v>
      </c>
      <c r="K2716" s="1" t="s">
        <v>14</v>
      </c>
      <c r="M2716" s="2">
        <v>43011</v>
      </c>
      <c r="N2716" s="1" t="s">
        <v>8</v>
      </c>
      <c r="O2716" s="1" t="s">
        <v>68</v>
      </c>
    </row>
    <row r="2717" spans="1:15" ht="28.8" x14ac:dyDescent="0.3">
      <c r="A2717" s="1" t="s">
        <v>29536</v>
      </c>
      <c r="B2717" s="1" t="str">
        <f>"Terry Taylor"</f>
        <v>Terry Taylor</v>
      </c>
      <c r="C2717" s="1" t="s">
        <v>29537</v>
      </c>
      <c r="F2717" s="1" t="s">
        <v>1351</v>
      </c>
      <c r="H2717" s="1" t="s">
        <v>25706</v>
      </c>
      <c r="I2717" s="1" t="s">
        <v>5</v>
      </c>
      <c r="J2717" s="1" t="s">
        <v>6</v>
      </c>
      <c r="K2717" s="1" t="s">
        <v>34</v>
      </c>
      <c r="M2717" s="2">
        <v>43011</v>
      </c>
      <c r="N2717" s="1" t="s">
        <v>8</v>
      </c>
      <c r="O2717" s="2">
        <v>44107</v>
      </c>
    </row>
    <row r="2718" spans="1:15" ht="28.8" x14ac:dyDescent="0.3">
      <c r="A2718" s="1" t="s">
        <v>29538</v>
      </c>
      <c r="B2718" s="1" t="str">
        <f>"David Lewis Lewis and Son"</f>
        <v>David Lewis Lewis and Son</v>
      </c>
      <c r="C2718" s="1" t="s">
        <v>29539</v>
      </c>
      <c r="F2718" s="1" t="s">
        <v>665</v>
      </c>
      <c r="H2718" s="1" t="s">
        <v>19202</v>
      </c>
      <c r="I2718" s="1" t="s">
        <v>5</v>
      </c>
      <c r="J2718" s="1" t="s">
        <v>6</v>
      </c>
      <c r="K2718" s="1" t="s">
        <v>24</v>
      </c>
      <c r="M2718" s="2">
        <v>43011</v>
      </c>
      <c r="N2718" s="1" t="s">
        <v>8</v>
      </c>
      <c r="O2718" s="2">
        <v>44107</v>
      </c>
    </row>
    <row r="2719" spans="1:15" ht="43.2" x14ac:dyDescent="0.3">
      <c r="A2719" s="1" t="s">
        <v>16760</v>
      </c>
      <c r="B2719" s="1" t="str">
        <f>"Searivers Leisure Sales Ltd"</f>
        <v>Searivers Leisure Sales Ltd</v>
      </c>
      <c r="C2719" s="1" t="s">
        <v>16761</v>
      </c>
      <c r="F2719" s="1" t="s">
        <v>15734</v>
      </c>
      <c r="H2719" s="1" t="s">
        <v>16762</v>
      </c>
      <c r="I2719" s="1" t="s">
        <v>19</v>
      </c>
      <c r="J2719" s="1" t="s">
        <v>67</v>
      </c>
      <c r="K2719" s="1" t="s">
        <v>14</v>
      </c>
      <c r="M2719" s="2">
        <v>43010</v>
      </c>
      <c r="N2719" s="1" t="s">
        <v>8</v>
      </c>
      <c r="O2719" s="1" t="s">
        <v>68</v>
      </c>
    </row>
    <row r="2720" spans="1:15" ht="28.8" x14ac:dyDescent="0.3">
      <c r="A2720" s="1" t="s">
        <v>16763</v>
      </c>
      <c r="B2720" s="1" t="str">
        <f>"S.E.S. RECYCLING LIMITED"</f>
        <v>S.E.S. RECYCLING LIMITED</v>
      </c>
      <c r="C2720" s="1" t="s">
        <v>16764</v>
      </c>
      <c r="D2720" s="1" t="s">
        <v>16765</v>
      </c>
      <c r="F2720" s="1" t="s">
        <v>123</v>
      </c>
      <c r="H2720" s="1" t="s">
        <v>3488</v>
      </c>
      <c r="I2720" s="1" t="s">
        <v>19</v>
      </c>
      <c r="J2720" s="1" t="s">
        <v>6</v>
      </c>
      <c r="K2720" s="1" t="s">
        <v>34</v>
      </c>
      <c r="L2720" s="1">
        <v>4724786</v>
      </c>
      <c r="M2720" s="2">
        <v>43010</v>
      </c>
      <c r="N2720" s="1" t="s">
        <v>8</v>
      </c>
      <c r="O2720" s="2">
        <v>44106</v>
      </c>
    </row>
    <row r="2721" spans="1:15" x14ac:dyDescent="0.3">
      <c r="A2721" s="1" t="s">
        <v>16766</v>
      </c>
      <c r="B2721" s="1" t="str">
        <f>"OIL 4 WALES LTD"</f>
        <v>OIL 4 WALES LTD</v>
      </c>
      <c r="C2721" s="1" t="s">
        <v>16767</v>
      </c>
      <c r="F2721" s="1" t="s">
        <v>56</v>
      </c>
      <c r="H2721" s="1" t="s">
        <v>16768</v>
      </c>
      <c r="I2721" s="1" t="s">
        <v>19</v>
      </c>
      <c r="J2721" s="1" t="s">
        <v>6</v>
      </c>
      <c r="K2721" s="1" t="s">
        <v>24</v>
      </c>
      <c r="L2721" s="1">
        <v>7318706</v>
      </c>
      <c r="M2721" s="2">
        <v>43010</v>
      </c>
      <c r="N2721" s="1" t="s">
        <v>8</v>
      </c>
      <c r="O2721" s="2">
        <v>44106</v>
      </c>
    </row>
    <row r="2722" spans="1:15" ht="28.8" x14ac:dyDescent="0.3">
      <c r="A2722" s="1" t="s">
        <v>17795</v>
      </c>
      <c r="B2722" s="1" t="str">
        <f>"Aqua Brite Cleaning Services"</f>
        <v>Aqua Brite Cleaning Services</v>
      </c>
      <c r="C2722" s="1" t="s">
        <v>17796</v>
      </c>
      <c r="F2722" s="1" t="s">
        <v>32</v>
      </c>
      <c r="H2722" s="1" t="s">
        <v>17797</v>
      </c>
      <c r="I2722" s="1" t="s">
        <v>19</v>
      </c>
      <c r="J2722" s="1" t="s">
        <v>6</v>
      </c>
      <c r="K2722" s="1" t="s">
        <v>24</v>
      </c>
      <c r="L2722" s="1">
        <v>8620820</v>
      </c>
      <c r="M2722" s="2">
        <v>43010</v>
      </c>
      <c r="N2722" s="1" t="s">
        <v>8</v>
      </c>
      <c r="O2722" s="2">
        <v>44106</v>
      </c>
    </row>
    <row r="2723" spans="1:15" ht="43.2" x14ac:dyDescent="0.3">
      <c r="A2723" s="1" t="s">
        <v>28778</v>
      </c>
      <c r="B2723" s="1" t="str">
        <f>"IRSHAD KHAN"</f>
        <v>IRSHAD KHAN</v>
      </c>
      <c r="C2723" s="1" t="s">
        <v>28779</v>
      </c>
      <c r="F2723" s="1" t="s">
        <v>1351</v>
      </c>
      <c r="H2723" s="1" t="s">
        <v>28780</v>
      </c>
      <c r="I2723" s="1" t="s">
        <v>5</v>
      </c>
      <c r="J2723" s="1" t="s">
        <v>67</v>
      </c>
      <c r="K2723" s="1" t="s">
        <v>14</v>
      </c>
      <c r="M2723" s="2">
        <v>43010</v>
      </c>
      <c r="N2723" s="1" t="s">
        <v>8</v>
      </c>
      <c r="O2723" s="1" t="s">
        <v>68</v>
      </c>
    </row>
    <row r="2724" spans="1:15" ht="28.8" x14ac:dyDescent="0.3">
      <c r="A2724" s="1" t="s">
        <v>28781</v>
      </c>
      <c r="B2724" s="1" t="str">
        <f>"Andrew Oliver J A whitegoods"</f>
        <v>Andrew Oliver J A whitegoods</v>
      </c>
      <c r="C2724" s="1" t="s">
        <v>28782</v>
      </c>
      <c r="D2724" s="1" t="s">
        <v>28783</v>
      </c>
      <c r="F2724" s="1" t="s">
        <v>5855</v>
      </c>
      <c r="H2724" s="1" t="s">
        <v>28784</v>
      </c>
      <c r="I2724" s="1" t="s">
        <v>5</v>
      </c>
      <c r="J2724" s="1" t="s">
        <v>6</v>
      </c>
      <c r="K2724" s="1" t="s">
        <v>24</v>
      </c>
      <c r="M2724" s="2">
        <v>43010</v>
      </c>
      <c r="N2724" s="1" t="s">
        <v>8</v>
      </c>
      <c r="O2724" s="2">
        <v>44106</v>
      </c>
    </row>
    <row r="2725" spans="1:15" ht="43.2" x14ac:dyDescent="0.3">
      <c r="A2725" s="1" t="s">
        <v>28772</v>
      </c>
      <c r="B2725" s="1" t="str">
        <f>"Adrian  Lewis "</f>
        <v xml:space="preserve">Adrian  Lewis </v>
      </c>
      <c r="C2725" s="1" t="s">
        <v>28773</v>
      </c>
      <c r="F2725" s="1" t="s">
        <v>1776</v>
      </c>
      <c r="H2725" s="1" t="s">
        <v>28774</v>
      </c>
      <c r="I2725" s="1" t="s">
        <v>5</v>
      </c>
      <c r="J2725" s="1" t="s">
        <v>67</v>
      </c>
      <c r="K2725" s="1" t="s">
        <v>14</v>
      </c>
      <c r="M2725" s="2">
        <v>43009</v>
      </c>
      <c r="N2725" s="1" t="s">
        <v>8</v>
      </c>
      <c r="O2725" s="1" t="s">
        <v>68</v>
      </c>
    </row>
    <row r="2726" spans="1:15" ht="43.2" x14ac:dyDescent="0.3">
      <c r="A2726" s="1" t="s">
        <v>28775</v>
      </c>
      <c r="B2726" s="1" t="str">
        <f>"paul thomas"</f>
        <v>paul thomas</v>
      </c>
      <c r="C2726" s="1" t="s">
        <v>28776</v>
      </c>
      <c r="F2726" s="1" t="s">
        <v>1063</v>
      </c>
      <c r="H2726" s="1" t="s">
        <v>28777</v>
      </c>
      <c r="I2726" s="1" t="s">
        <v>5</v>
      </c>
      <c r="J2726" s="1" t="s">
        <v>67</v>
      </c>
      <c r="K2726" s="1" t="s">
        <v>14</v>
      </c>
      <c r="M2726" s="2">
        <v>43009</v>
      </c>
      <c r="N2726" s="1" t="s">
        <v>8</v>
      </c>
      <c r="O2726" s="1" t="s">
        <v>68</v>
      </c>
    </row>
    <row r="2727" spans="1:15" ht="43.2" x14ac:dyDescent="0.3">
      <c r="A2727" s="1" t="s">
        <v>16754</v>
      </c>
      <c r="B2727" s="1" t="str">
        <f>"K&amp;J Davies Gas Services"</f>
        <v>K&amp;J Davies Gas Services</v>
      </c>
      <c r="C2727" s="1" t="s">
        <v>16755</v>
      </c>
      <c r="F2727" s="1" t="s">
        <v>1986</v>
      </c>
      <c r="H2727" s="1" t="s">
        <v>16756</v>
      </c>
      <c r="I2727" s="1" t="s">
        <v>125</v>
      </c>
      <c r="J2727" s="1" t="s">
        <v>67</v>
      </c>
      <c r="K2727" s="1" t="s">
        <v>24</v>
      </c>
      <c r="M2727" s="2">
        <v>43008</v>
      </c>
      <c r="N2727" s="1" t="s">
        <v>8</v>
      </c>
      <c r="O2727" s="1" t="s">
        <v>68</v>
      </c>
    </row>
    <row r="2728" spans="1:15" ht="28.8" x14ac:dyDescent="0.3">
      <c r="A2728" s="1" t="s">
        <v>16757</v>
      </c>
      <c r="B2728" s="1" t="str">
        <f>"Chris Thomas"</f>
        <v>Chris Thomas</v>
      </c>
      <c r="C2728" s="1" t="s">
        <v>16758</v>
      </c>
      <c r="F2728" s="1" t="s">
        <v>64</v>
      </c>
      <c r="H2728" s="1" t="s">
        <v>16759</v>
      </c>
      <c r="I2728" s="1" t="s">
        <v>125</v>
      </c>
      <c r="J2728" s="1" t="s">
        <v>6</v>
      </c>
      <c r="K2728" s="1" t="s">
        <v>24</v>
      </c>
      <c r="M2728" s="2">
        <v>43008</v>
      </c>
      <c r="N2728" s="1" t="s">
        <v>8</v>
      </c>
      <c r="O2728" s="2">
        <v>44104</v>
      </c>
    </row>
    <row r="2729" spans="1:15" ht="43.2" x14ac:dyDescent="0.3">
      <c r="A2729" s="1" t="s">
        <v>28764</v>
      </c>
      <c r="B2729" s="1" t="str">
        <f>"RHYDIAN  TOLCHER-JAMES RHYDIAN TOLCHER-JAMES"</f>
        <v>RHYDIAN  TOLCHER-JAMES RHYDIAN TOLCHER-JAMES</v>
      </c>
      <c r="C2729" s="1" t="s">
        <v>28765</v>
      </c>
      <c r="F2729" s="1" t="s">
        <v>706</v>
      </c>
      <c r="H2729" s="1" t="s">
        <v>28766</v>
      </c>
      <c r="I2729" s="1" t="s">
        <v>5</v>
      </c>
      <c r="J2729" s="1" t="s">
        <v>6</v>
      </c>
      <c r="K2729" s="1" t="s">
        <v>34</v>
      </c>
      <c r="M2729" s="2">
        <v>43008</v>
      </c>
      <c r="N2729" s="1" t="s">
        <v>8</v>
      </c>
      <c r="O2729" s="2">
        <v>44104</v>
      </c>
    </row>
    <row r="2730" spans="1:15" ht="43.2" x14ac:dyDescent="0.3">
      <c r="A2730" s="1" t="s">
        <v>28767</v>
      </c>
      <c r="B2730" s="1" t="str">
        <f>"Micheal Blake"</f>
        <v>Micheal Blake</v>
      </c>
      <c r="C2730" s="1" t="s">
        <v>24687</v>
      </c>
      <c r="F2730" s="1" t="s">
        <v>1058</v>
      </c>
      <c r="H2730" s="1" t="s">
        <v>24688</v>
      </c>
      <c r="I2730" s="1" t="s">
        <v>5</v>
      </c>
      <c r="J2730" s="1" t="s">
        <v>67</v>
      </c>
      <c r="K2730" s="1" t="s">
        <v>14</v>
      </c>
      <c r="M2730" s="2">
        <v>43008</v>
      </c>
      <c r="N2730" s="1" t="s">
        <v>8</v>
      </c>
      <c r="O2730" s="1" t="s">
        <v>68</v>
      </c>
    </row>
    <row r="2731" spans="1:15" ht="43.2" x14ac:dyDescent="0.3">
      <c r="A2731" s="1" t="s">
        <v>28768</v>
      </c>
      <c r="B2731" s="1" t="str">
        <f>"ben bryant"</f>
        <v>ben bryant</v>
      </c>
      <c r="C2731" s="1" t="s">
        <v>28769</v>
      </c>
      <c r="F2731" s="1" t="s">
        <v>28770</v>
      </c>
      <c r="H2731" s="1" t="s">
        <v>28771</v>
      </c>
      <c r="I2731" s="1" t="s">
        <v>5</v>
      </c>
      <c r="J2731" s="1" t="s">
        <v>67</v>
      </c>
      <c r="K2731" s="1" t="s">
        <v>14</v>
      </c>
      <c r="M2731" s="2">
        <v>43008</v>
      </c>
      <c r="N2731" s="1" t="s">
        <v>8</v>
      </c>
      <c r="O2731" s="1" t="s">
        <v>68</v>
      </c>
    </row>
    <row r="2732" spans="1:15" ht="43.2" x14ac:dyDescent="0.3">
      <c r="A2732" s="1" t="s">
        <v>15778</v>
      </c>
      <c r="B2732" s="1" t="str">
        <f>"Vinyl GB Ltd"</f>
        <v>Vinyl GB Ltd</v>
      </c>
      <c r="C2732" s="1" t="s">
        <v>15779</v>
      </c>
      <c r="D2732" s="1" t="s">
        <v>15780</v>
      </c>
      <c r="F2732" s="1" t="s">
        <v>532</v>
      </c>
      <c r="H2732" s="1" t="s">
        <v>15781</v>
      </c>
      <c r="I2732" s="1" t="s">
        <v>19</v>
      </c>
      <c r="J2732" s="1" t="s">
        <v>6</v>
      </c>
      <c r="K2732" s="1" t="s">
        <v>34</v>
      </c>
      <c r="L2732" s="1">
        <v>5056778</v>
      </c>
      <c r="M2732" s="2">
        <v>43007</v>
      </c>
      <c r="N2732" s="1" t="s">
        <v>8</v>
      </c>
      <c r="O2732" s="2">
        <v>44103</v>
      </c>
    </row>
    <row r="2733" spans="1:15" ht="43.2" x14ac:dyDescent="0.3">
      <c r="A2733" s="1" t="s">
        <v>15782</v>
      </c>
      <c r="B2733" s="1" t="str">
        <f>"TOMORROW'S ENERGY LTD"</f>
        <v>TOMORROW'S ENERGY LTD</v>
      </c>
      <c r="C2733" s="1" t="s">
        <v>15783</v>
      </c>
      <c r="D2733" s="1" t="s">
        <v>3302</v>
      </c>
      <c r="E2733" s="1" t="s">
        <v>523</v>
      </c>
      <c r="F2733" s="1" t="s">
        <v>364</v>
      </c>
      <c r="H2733" s="1" t="s">
        <v>3303</v>
      </c>
      <c r="I2733" s="1" t="s">
        <v>19</v>
      </c>
      <c r="J2733" s="1" t="s">
        <v>67</v>
      </c>
      <c r="K2733" s="1" t="s">
        <v>24</v>
      </c>
      <c r="L2733" s="1">
        <v>5867545</v>
      </c>
      <c r="M2733" s="2">
        <v>43007</v>
      </c>
      <c r="N2733" s="1" t="s">
        <v>8</v>
      </c>
      <c r="O2733" s="1" t="s">
        <v>68</v>
      </c>
    </row>
    <row r="2734" spans="1:15" ht="28.8" x14ac:dyDescent="0.3">
      <c r="A2734" s="1" t="s">
        <v>15784</v>
      </c>
      <c r="B2734" s="1" t="str">
        <f>"CELTIC RECOVERY LIMITED"</f>
        <v>CELTIC RECOVERY LIMITED</v>
      </c>
      <c r="C2734" s="1" t="s">
        <v>15785</v>
      </c>
      <c r="F2734" s="1" t="s">
        <v>123</v>
      </c>
      <c r="H2734" s="1" t="s">
        <v>15786</v>
      </c>
      <c r="I2734" s="1" t="s">
        <v>19</v>
      </c>
      <c r="J2734" s="1" t="s">
        <v>6</v>
      </c>
      <c r="K2734" s="1" t="s">
        <v>34</v>
      </c>
      <c r="L2734" s="1">
        <v>4180005</v>
      </c>
      <c r="M2734" s="2">
        <v>43007</v>
      </c>
      <c r="N2734" s="1" t="s">
        <v>8</v>
      </c>
      <c r="O2734" s="2">
        <v>44103</v>
      </c>
    </row>
    <row r="2735" spans="1:15" ht="43.2" x14ac:dyDescent="0.3">
      <c r="A2735" s="1" t="s">
        <v>15787</v>
      </c>
      <c r="B2735" s="1" t="str">
        <f>"La Montanara"</f>
        <v>La Montanara</v>
      </c>
      <c r="C2735" s="1" t="s">
        <v>15788</v>
      </c>
      <c r="F2735" s="1" t="s">
        <v>532</v>
      </c>
      <c r="H2735" s="1" t="s">
        <v>15789</v>
      </c>
      <c r="I2735" s="1" t="s">
        <v>19</v>
      </c>
      <c r="J2735" s="1" t="s">
        <v>67</v>
      </c>
      <c r="K2735" s="1" t="s">
        <v>14</v>
      </c>
      <c r="M2735" s="2">
        <v>43007</v>
      </c>
      <c r="N2735" s="1" t="s">
        <v>8</v>
      </c>
      <c r="O2735" s="1" t="s">
        <v>68</v>
      </c>
    </row>
    <row r="2736" spans="1:15" ht="28.8" x14ac:dyDescent="0.3">
      <c r="A2736" s="1" t="s">
        <v>27983</v>
      </c>
      <c r="B2736" s="1" t="str">
        <f>"Neil Rollings Neil Rollings"</f>
        <v>Neil Rollings Neil Rollings</v>
      </c>
      <c r="C2736" s="1" t="s">
        <v>27984</v>
      </c>
      <c r="F2736" s="1" t="s">
        <v>401</v>
      </c>
      <c r="H2736" s="1" t="s">
        <v>27985</v>
      </c>
      <c r="I2736" s="1" t="s">
        <v>5</v>
      </c>
      <c r="J2736" s="1" t="s">
        <v>6</v>
      </c>
      <c r="K2736" s="1" t="s">
        <v>24</v>
      </c>
      <c r="M2736" s="2">
        <v>43007</v>
      </c>
      <c r="N2736" s="1" t="s">
        <v>8</v>
      </c>
      <c r="O2736" s="2">
        <v>44103</v>
      </c>
    </row>
    <row r="2737" spans="1:15" ht="28.8" x14ac:dyDescent="0.3">
      <c r="A2737" s="1" t="s">
        <v>27986</v>
      </c>
      <c r="B2737" s="1" t="str">
        <f>"CRAIG MORKOT CRAIG NEIL MORKOT"</f>
        <v>CRAIG MORKOT CRAIG NEIL MORKOT</v>
      </c>
      <c r="C2737" s="1" t="s">
        <v>27987</v>
      </c>
      <c r="F2737" s="1" t="s">
        <v>1093</v>
      </c>
      <c r="H2737" s="1" t="s">
        <v>8754</v>
      </c>
      <c r="I2737" s="1" t="s">
        <v>5</v>
      </c>
      <c r="J2737" s="1" t="s">
        <v>6</v>
      </c>
      <c r="K2737" s="1" t="s">
        <v>24</v>
      </c>
      <c r="M2737" s="2">
        <v>43007</v>
      </c>
      <c r="N2737" s="1" t="s">
        <v>8</v>
      </c>
      <c r="O2737" s="2">
        <v>44103</v>
      </c>
    </row>
    <row r="2738" spans="1:15" ht="28.8" x14ac:dyDescent="0.3">
      <c r="A2738" s="1" t="s">
        <v>27988</v>
      </c>
      <c r="B2738" s="1" t="str">
        <f>"Colin Evans Towy Waste"</f>
        <v>Colin Evans Towy Waste</v>
      </c>
      <c r="C2738" s="1" t="s">
        <v>27989</v>
      </c>
      <c r="F2738" s="1" t="s">
        <v>1638</v>
      </c>
      <c r="H2738" s="1" t="s">
        <v>27990</v>
      </c>
      <c r="I2738" s="1" t="s">
        <v>5</v>
      </c>
      <c r="J2738" s="1" t="s">
        <v>6</v>
      </c>
      <c r="K2738" s="1" t="s">
        <v>24</v>
      </c>
      <c r="M2738" s="2">
        <v>43007</v>
      </c>
      <c r="N2738" s="1" t="s">
        <v>8</v>
      </c>
      <c r="O2738" s="2">
        <v>44103</v>
      </c>
    </row>
    <row r="2739" spans="1:15" ht="43.2" x14ac:dyDescent="0.3">
      <c r="A2739" s="1" t="s">
        <v>27991</v>
      </c>
      <c r="B2739" s="1" t="str">
        <f>"John North"</f>
        <v>John North</v>
      </c>
      <c r="C2739" s="1" t="s">
        <v>27992</v>
      </c>
      <c r="F2739" s="1" t="s">
        <v>42</v>
      </c>
      <c r="H2739" s="1" t="s">
        <v>27993</v>
      </c>
      <c r="I2739" s="1" t="s">
        <v>5</v>
      </c>
      <c r="J2739" s="1" t="s">
        <v>67</v>
      </c>
      <c r="K2739" s="1" t="s">
        <v>14</v>
      </c>
      <c r="M2739" s="2">
        <v>43007</v>
      </c>
      <c r="N2739" s="1" t="s">
        <v>8</v>
      </c>
      <c r="O2739" s="1" t="s">
        <v>68</v>
      </c>
    </row>
    <row r="2740" spans="1:15" ht="28.8" x14ac:dyDescent="0.3">
      <c r="A2740" s="1" t="s">
        <v>15755</v>
      </c>
      <c r="B2740" s="1" t="str">
        <f>"Busy Bees Rubbish Removals Ltd"</f>
        <v>Busy Bees Rubbish Removals Ltd</v>
      </c>
      <c r="C2740" s="1" t="s">
        <v>15756</v>
      </c>
      <c r="D2740" s="1" t="s">
        <v>4273</v>
      </c>
      <c r="E2740" s="1" t="s">
        <v>3176</v>
      </c>
      <c r="F2740" s="1" t="s">
        <v>1093</v>
      </c>
      <c r="H2740" s="1" t="s">
        <v>4274</v>
      </c>
      <c r="I2740" s="1" t="s">
        <v>19</v>
      </c>
      <c r="J2740" s="1" t="s">
        <v>6</v>
      </c>
      <c r="K2740" s="1" t="s">
        <v>34</v>
      </c>
      <c r="L2740" s="1">
        <v>7979491</v>
      </c>
      <c r="M2740" s="2">
        <v>43006</v>
      </c>
      <c r="N2740" s="1" t="s">
        <v>8</v>
      </c>
      <c r="O2740" s="2">
        <v>44102</v>
      </c>
    </row>
    <row r="2741" spans="1:15" ht="28.8" x14ac:dyDescent="0.3">
      <c r="A2741" s="1" t="s">
        <v>15757</v>
      </c>
      <c r="B2741" s="1" t="str">
        <f>"Paul Edwards Ltd"</f>
        <v>Paul Edwards Ltd</v>
      </c>
      <c r="C2741" s="1" t="s">
        <v>15758</v>
      </c>
      <c r="F2741" s="1" t="s">
        <v>1991</v>
      </c>
      <c r="H2741" s="1" t="s">
        <v>15759</v>
      </c>
      <c r="I2741" s="1" t="s">
        <v>19</v>
      </c>
      <c r="J2741" s="1" t="s">
        <v>6</v>
      </c>
      <c r="K2741" s="1" t="s">
        <v>34</v>
      </c>
      <c r="L2741" s="1">
        <v>4542268</v>
      </c>
      <c r="M2741" s="2">
        <v>43006</v>
      </c>
      <c r="N2741" s="1" t="s">
        <v>8</v>
      </c>
      <c r="O2741" s="2">
        <v>44102</v>
      </c>
    </row>
    <row r="2742" spans="1:15" ht="28.8" x14ac:dyDescent="0.3">
      <c r="A2742" s="1" t="s">
        <v>15760</v>
      </c>
      <c r="B2742" s="1" t="str">
        <f>"PETER DAVIES AGRICON LIMITED"</f>
        <v>PETER DAVIES AGRICON LIMITED</v>
      </c>
      <c r="C2742" s="1" t="s">
        <v>15761</v>
      </c>
      <c r="F2742" s="1" t="s">
        <v>64</v>
      </c>
      <c r="H2742" s="1" t="s">
        <v>15762</v>
      </c>
      <c r="I2742" s="1" t="s">
        <v>19</v>
      </c>
      <c r="J2742" s="1" t="s">
        <v>6</v>
      </c>
      <c r="K2742" s="1" t="s">
        <v>24</v>
      </c>
      <c r="L2742" s="1">
        <v>5757342</v>
      </c>
      <c r="M2742" s="2">
        <v>43006</v>
      </c>
      <c r="N2742" s="1" t="s">
        <v>8</v>
      </c>
      <c r="O2742" s="2">
        <v>44102</v>
      </c>
    </row>
    <row r="2743" spans="1:15" ht="28.8" x14ac:dyDescent="0.3">
      <c r="A2743" s="1" t="s">
        <v>15763</v>
      </c>
      <c r="B2743" s="1" t="str">
        <f>"Andrew Evans Painting Contractor "</f>
        <v xml:space="preserve">Andrew Evans Painting Contractor </v>
      </c>
      <c r="C2743" s="1" t="s">
        <v>15764</v>
      </c>
      <c r="F2743" s="1" t="s">
        <v>64</v>
      </c>
      <c r="H2743" s="1" t="s">
        <v>15765</v>
      </c>
      <c r="I2743" s="1" t="s">
        <v>19</v>
      </c>
      <c r="J2743" s="1" t="s">
        <v>6</v>
      </c>
      <c r="K2743" s="1" t="s">
        <v>34</v>
      </c>
      <c r="L2743" s="1">
        <v>3857475</v>
      </c>
      <c r="M2743" s="2">
        <v>43006</v>
      </c>
      <c r="N2743" s="1" t="s">
        <v>8</v>
      </c>
      <c r="O2743" s="2">
        <v>44102</v>
      </c>
    </row>
    <row r="2744" spans="1:15" ht="28.8" x14ac:dyDescent="0.3">
      <c r="A2744" s="1" t="s">
        <v>15766</v>
      </c>
      <c r="B2744" s="1" t="str">
        <f>"Colin Ewart Painting &amp; Decorating Ltd."</f>
        <v>Colin Ewart Painting &amp; Decorating Ltd.</v>
      </c>
      <c r="C2744" s="1" t="s">
        <v>15767</v>
      </c>
      <c r="F2744" s="1" t="s">
        <v>11618</v>
      </c>
      <c r="H2744" s="1" t="s">
        <v>15768</v>
      </c>
      <c r="I2744" s="1" t="s">
        <v>19</v>
      </c>
      <c r="J2744" s="1" t="s">
        <v>6</v>
      </c>
      <c r="K2744" s="1" t="s">
        <v>34</v>
      </c>
      <c r="L2744" s="1">
        <v>5066887</v>
      </c>
      <c r="M2744" s="2">
        <v>43006</v>
      </c>
      <c r="N2744" s="1" t="s">
        <v>8</v>
      </c>
      <c r="O2744" s="2">
        <v>44102</v>
      </c>
    </row>
    <row r="2745" spans="1:15" ht="28.8" x14ac:dyDescent="0.3">
      <c r="A2745" s="1" t="s">
        <v>15769</v>
      </c>
      <c r="B2745" s="1" t="str">
        <f>"Mid Wales Removals"</f>
        <v>Mid Wales Removals</v>
      </c>
      <c r="C2745" s="1" t="s">
        <v>15770</v>
      </c>
      <c r="F2745" s="1" t="s">
        <v>1818</v>
      </c>
      <c r="H2745" s="1" t="s">
        <v>15771</v>
      </c>
      <c r="I2745" s="1" t="s">
        <v>125</v>
      </c>
      <c r="J2745" s="1" t="s">
        <v>6</v>
      </c>
      <c r="K2745" s="1" t="s">
        <v>34</v>
      </c>
      <c r="M2745" s="2">
        <v>43006</v>
      </c>
      <c r="N2745" s="1" t="s">
        <v>8</v>
      </c>
      <c r="O2745" s="2">
        <v>44102</v>
      </c>
    </row>
    <row r="2746" spans="1:15" ht="43.2" x14ac:dyDescent="0.3">
      <c r="A2746" s="1" t="s">
        <v>15772</v>
      </c>
      <c r="B2746" s="1" t="str">
        <f>"HKB"</f>
        <v>HKB</v>
      </c>
      <c r="C2746" s="1" t="s">
        <v>15773</v>
      </c>
      <c r="F2746" s="1" t="s">
        <v>64</v>
      </c>
      <c r="H2746" s="1" t="s">
        <v>15774</v>
      </c>
      <c r="I2746" s="1" t="s">
        <v>188</v>
      </c>
      <c r="J2746" s="1" t="s">
        <v>67</v>
      </c>
      <c r="K2746" s="1" t="s">
        <v>24</v>
      </c>
      <c r="M2746" s="2">
        <v>43006</v>
      </c>
      <c r="N2746" s="1" t="s">
        <v>8</v>
      </c>
      <c r="O2746" s="1" t="s">
        <v>68</v>
      </c>
    </row>
    <row r="2747" spans="1:15" ht="28.8" x14ac:dyDescent="0.3">
      <c r="A2747" s="1" t="s">
        <v>15775</v>
      </c>
      <c r="B2747" s="1" t="str">
        <f>"Warm And Cosy Heating Services Ltd."</f>
        <v>Warm And Cosy Heating Services Ltd.</v>
      </c>
      <c r="C2747" s="1" t="s">
        <v>15776</v>
      </c>
      <c r="F2747" s="1" t="s">
        <v>56</v>
      </c>
      <c r="H2747" s="1" t="s">
        <v>15777</v>
      </c>
      <c r="I2747" s="1" t="s">
        <v>19</v>
      </c>
      <c r="J2747" s="1" t="s">
        <v>6</v>
      </c>
      <c r="K2747" s="1" t="s">
        <v>24</v>
      </c>
      <c r="L2747" s="1">
        <v>10356135</v>
      </c>
      <c r="M2747" s="2">
        <v>43006</v>
      </c>
      <c r="N2747" s="1" t="s">
        <v>8</v>
      </c>
      <c r="O2747" s="2">
        <v>44102</v>
      </c>
    </row>
    <row r="2748" spans="1:15" ht="28.8" x14ac:dyDescent="0.3">
      <c r="A2748" s="1" t="s">
        <v>27974</v>
      </c>
      <c r="B2748" s="1" t="str">
        <f>"Mark Bailey Mark Bailey building "</f>
        <v xml:space="preserve">Mark Bailey Mark Bailey building </v>
      </c>
      <c r="C2748" s="1" t="s">
        <v>27975</v>
      </c>
      <c r="D2748" s="1" t="s">
        <v>27976</v>
      </c>
      <c r="F2748" s="1" t="s">
        <v>15262</v>
      </c>
      <c r="H2748" s="1" t="s">
        <v>27977</v>
      </c>
      <c r="I2748" s="1" t="s">
        <v>5</v>
      </c>
      <c r="J2748" s="1" t="s">
        <v>6</v>
      </c>
      <c r="K2748" s="1" t="s">
        <v>24</v>
      </c>
      <c r="M2748" s="2">
        <v>43006</v>
      </c>
      <c r="N2748" s="1" t="s">
        <v>8</v>
      </c>
      <c r="O2748" s="2">
        <v>44102</v>
      </c>
    </row>
    <row r="2749" spans="1:15" ht="43.2" x14ac:dyDescent="0.3">
      <c r="A2749" s="1" t="s">
        <v>27978</v>
      </c>
      <c r="B2749" s="1" t="str">
        <f>"Stephanie Partridge"</f>
        <v>Stephanie Partridge</v>
      </c>
      <c r="C2749" s="1" t="s">
        <v>27979</v>
      </c>
      <c r="F2749" s="1" t="s">
        <v>7844</v>
      </c>
      <c r="H2749" s="1" t="s">
        <v>27980</v>
      </c>
      <c r="I2749" s="1" t="s">
        <v>5</v>
      </c>
      <c r="J2749" s="1" t="s">
        <v>67</v>
      </c>
      <c r="K2749" s="1" t="s">
        <v>14</v>
      </c>
      <c r="M2749" s="2">
        <v>43006</v>
      </c>
      <c r="N2749" s="1" t="s">
        <v>8</v>
      </c>
      <c r="O2749" s="1" t="s">
        <v>68</v>
      </c>
    </row>
    <row r="2750" spans="1:15" ht="28.8" x14ac:dyDescent="0.3">
      <c r="A2750" s="1" t="s">
        <v>27981</v>
      </c>
      <c r="B2750" s="1" t="str">
        <f>"delmi mainwaring d mainwaring"</f>
        <v>delmi mainwaring d mainwaring</v>
      </c>
      <c r="C2750" s="1" t="s">
        <v>27982</v>
      </c>
      <c r="F2750" s="1" t="s">
        <v>64</v>
      </c>
      <c r="H2750" s="1" t="s">
        <v>13834</v>
      </c>
      <c r="I2750" s="1" t="s">
        <v>5</v>
      </c>
      <c r="J2750" s="1" t="s">
        <v>6</v>
      </c>
      <c r="K2750" s="1" t="s">
        <v>34</v>
      </c>
      <c r="M2750" s="2">
        <v>43006</v>
      </c>
      <c r="N2750" s="1" t="s">
        <v>8</v>
      </c>
      <c r="O2750" s="2">
        <v>44102</v>
      </c>
    </row>
    <row r="2751" spans="1:15" x14ac:dyDescent="0.3">
      <c r="A2751" s="1" t="s">
        <v>14836</v>
      </c>
      <c r="B2751" s="1" t="str">
        <f>"Core Services Ltd"</f>
        <v>Core Services Ltd</v>
      </c>
      <c r="C2751" s="1" t="s">
        <v>14837</v>
      </c>
      <c r="F2751" s="1" t="s">
        <v>706</v>
      </c>
      <c r="H2751" s="1" t="s">
        <v>14838</v>
      </c>
      <c r="I2751" s="1" t="s">
        <v>19</v>
      </c>
      <c r="J2751" s="1" t="s">
        <v>6</v>
      </c>
      <c r="K2751" s="1" t="s">
        <v>24</v>
      </c>
      <c r="L2751" s="1">
        <v>10687384</v>
      </c>
      <c r="M2751" s="2">
        <v>43005</v>
      </c>
      <c r="N2751" s="1" t="s">
        <v>8</v>
      </c>
      <c r="O2751" s="2">
        <v>44101</v>
      </c>
    </row>
    <row r="2752" spans="1:15" ht="43.2" x14ac:dyDescent="0.3">
      <c r="A2752" s="1" t="s">
        <v>14839</v>
      </c>
      <c r="B2752" s="1" t="str">
        <f>"PUMA FLOORS LTD"</f>
        <v>PUMA FLOORS LTD</v>
      </c>
      <c r="C2752" s="1" t="s">
        <v>14840</v>
      </c>
      <c r="D2752" s="1" t="s">
        <v>3853</v>
      </c>
      <c r="F2752" s="1" t="s">
        <v>123</v>
      </c>
      <c r="H2752" s="1" t="s">
        <v>3854</v>
      </c>
      <c r="I2752" s="1" t="s">
        <v>19</v>
      </c>
      <c r="J2752" s="1" t="s">
        <v>67</v>
      </c>
      <c r="K2752" s="1" t="s">
        <v>24</v>
      </c>
      <c r="L2752" s="1">
        <v>4306328</v>
      </c>
      <c r="M2752" s="2">
        <v>43005</v>
      </c>
      <c r="N2752" s="1" t="s">
        <v>8</v>
      </c>
      <c r="O2752" s="1" t="s">
        <v>68</v>
      </c>
    </row>
    <row r="2753" spans="1:15" ht="43.2" x14ac:dyDescent="0.3">
      <c r="A2753" s="1" t="s">
        <v>14841</v>
      </c>
      <c r="B2753" s="1" t="str">
        <f>"Speed Welshpool"</f>
        <v>Speed Welshpool</v>
      </c>
      <c r="C2753" s="1" t="s">
        <v>13473</v>
      </c>
      <c r="D2753" s="1" t="s">
        <v>12062</v>
      </c>
      <c r="F2753" s="1" t="s">
        <v>2459</v>
      </c>
      <c r="H2753" s="1" t="s">
        <v>13475</v>
      </c>
      <c r="I2753" s="1" t="s">
        <v>19</v>
      </c>
      <c r="J2753" s="1" t="s">
        <v>67</v>
      </c>
      <c r="K2753" s="1" t="s">
        <v>14</v>
      </c>
      <c r="M2753" s="2">
        <v>43005</v>
      </c>
      <c r="N2753" s="1" t="s">
        <v>8</v>
      </c>
      <c r="O2753" s="1" t="s">
        <v>68</v>
      </c>
    </row>
    <row r="2754" spans="1:15" ht="28.8" x14ac:dyDescent="0.3">
      <c r="A2754" s="1" t="s">
        <v>14842</v>
      </c>
      <c r="B2754" s="1" t="str">
        <f>"Drainforce Ltd"</f>
        <v>Drainforce Ltd</v>
      </c>
      <c r="C2754" s="1" t="s">
        <v>5760</v>
      </c>
      <c r="D2754" s="1" t="s">
        <v>14843</v>
      </c>
      <c r="F2754" s="1" t="s">
        <v>179</v>
      </c>
      <c r="H2754" s="1" t="s">
        <v>5762</v>
      </c>
      <c r="I2754" s="1" t="s">
        <v>19</v>
      </c>
      <c r="J2754" s="1" t="s">
        <v>6</v>
      </c>
      <c r="K2754" s="1" t="s">
        <v>24</v>
      </c>
      <c r="L2754" s="1">
        <v>6885525</v>
      </c>
      <c r="M2754" s="2">
        <v>43005</v>
      </c>
      <c r="N2754" s="1" t="s">
        <v>8</v>
      </c>
      <c r="O2754" s="2">
        <v>44101</v>
      </c>
    </row>
    <row r="2755" spans="1:15" ht="28.8" x14ac:dyDescent="0.3">
      <c r="A2755" s="1" t="s">
        <v>14844</v>
      </c>
      <c r="B2755" s="1" t="str">
        <f>"Evan Jones &amp; Son"</f>
        <v>Evan Jones &amp; Son</v>
      </c>
      <c r="C2755" s="1" t="s">
        <v>14845</v>
      </c>
      <c r="F2755" s="1" t="s">
        <v>790</v>
      </c>
      <c r="H2755" s="1" t="s">
        <v>14846</v>
      </c>
      <c r="I2755" s="1" t="s">
        <v>125</v>
      </c>
      <c r="J2755" s="1" t="s">
        <v>6</v>
      </c>
      <c r="K2755" s="1" t="s">
        <v>34</v>
      </c>
      <c r="M2755" s="2">
        <v>43005</v>
      </c>
      <c r="N2755" s="1" t="s">
        <v>8</v>
      </c>
      <c r="O2755" s="2">
        <v>44101</v>
      </c>
    </row>
    <row r="2756" spans="1:15" ht="28.8" x14ac:dyDescent="0.3">
      <c r="A2756" s="1" t="s">
        <v>27142</v>
      </c>
      <c r="B2756" s="1" t="str">
        <f>"Adrian Howells Gwent Computer Recycling"</f>
        <v>Adrian Howells Gwent Computer Recycling</v>
      </c>
      <c r="C2756" s="1" t="s">
        <v>27143</v>
      </c>
      <c r="F2756" s="1" t="s">
        <v>641</v>
      </c>
      <c r="H2756" s="1" t="s">
        <v>27144</v>
      </c>
      <c r="I2756" s="1" t="s">
        <v>5</v>
      </c>
      <c r="J2756" s="1" t="s">
        <v>6</v>
      </c>
      <c r="K2756" s="1" t="s">
        <v>34</v>
      </c>
      <c r="M2756" s="2">
        <v>43005</v>
      </c>
      <c r="N2756" s="1" t="s">
        <v>8</v>
      </c>
      <c r="O2756" s="2">
        <v>44101</v>
      </c>
    </row>
    <row r="2757" spans="1:15" ht="28.8" x14ac:dyDescent="0.3">
      <c r="A2757" s="1" t="s">
        <v>27145</v>
      </c>
      <c r="B2757" s="1" t="str">
        <f>"Kim Owen Kim Owen services"</f>
        <v>Kim Owen Kim Owen services</v>
      </c>
      <c r="C2757" s="1" t="s">
        <v>27146</v>
      </c>
      <c r="D2757" s="1" t="s">
        <v>27147</v>
      </c>
      <c r="F2757" s="1" t="s">
        <v>1776</v>
      </c>
      <c r="H2757" s="1" t="s">
        <v>27148</v>
      </c>
      <c r="I2757" s="1" t="s">
        <v>5</v>
      </c>
      <c r="J2757" s="1" t="s">
        <v>6</v>
      </c>
      <c r="K2757" s="1" t="s">
        <v>34</v>
      </c>
      <c r="M2757" s="2">
        <v>43005</v>
      </c>
      <c r="N2757" s="1" t="s">
        <v>8</v>
      </c>
      <c r="O2757" s="2">
        <v>44101</v>
      </c>
    </row>
    <row r="2758" spans="1:15" ht="28.8" x14ac:dyDescent="0.3">
      <c r="A2758" s="1" t="s">
        <v>27149</v>
      </c>
      <c r="B2758" s="1" t="str">
        <f>"David Allen David Michael Allen"</f>
        <v>David Allen David Michael Allen</v>
      </c>
      <c r="C2758" s="1" t="s">
        <v>27150</v>
      </c>
      <c r="D2758" s="1" t="s">
        <v>27151</v>
      </c>
      <c r="F2758" s="1" t="s">
        <v>476</v>
      </c>
      <c r="H2758" s="1" t="s">
        <v>27152</v>
      </c>
      <c r="I2758" s="1" t="s">
        <v>5</v>
      </c>
      <c r="J2758" s="1" t="s">
        <v>6</v>
      </c>
      <c r="K2758" s="1" t="s">
        <v>24</v>
      </c>
      <c r="M2758" s="2">
        <v>43005</v>
      </c>
      <c r="N2758" s="1" t="s">
        <v>8</v>
      </c>
      <c r="O2758" s="2">
        <v>44101</v>
      </c>
    </row>
    <row r="2759" spans="1:15" ht="28.8" x14ac:dyDescent="0.3">
      <c r="A2759" s="1" t="s">
        <v>27153</v>
      </c>
      <c r="B2759" s="1" t="str">
        <f>"Andrew Stephen Edwards"</f>
        <v>Andrew Stephen Edwards</v>
      </c>
      <c r="C2759" s="1" t="s">
        <v>27154</v>
      </c>
      <c r="F2759" s="1" t="s">
        <v>179</v>
      </c>
      <c r="H2759" s="1" t="s">
        <v>27155</v>
      </c>
      <c r="I2759" s="1" t="s">
        <v>5</v>
      </c>
      <c r="J2759" s="1" t="s">
        <v>6</v>
      </c>
      <c r="K2759" s="1" t="s">
        <v>24</v>
      </c>
      <c r="M2759" s="2">
        <v>43005</v>
      </c>
      <c r="N2759" s="1" t="s">
        <v>8</v>
      </c>
      <c r="O2759" s="2">
        <v>44101</v>
      </c>
    </row>
    <row r="2760" spans="1:15" ht="28.8" x14ac:dyDescent="0.3">
      <c r="A2760" s="1" t="s">
        <v>27156</v>
      </c>
      <c r="B2760" s="1" t="str">
        <f>"LEE RAINFORD Coastal Cars"</f>
        <v>LEE RAINFORD Coastal Cars</v>
      </c>
      <c r="C2760" s="1" t="s">
        <v>27157</v>
      </c>
      <c r="F2760" s="1" t="s">
        <v>19280</v>
      </c>
      <c r="H2760" s="1" t="s">
        <v>27158</v>
      </c>
      <c r="I2760" s="1" t="s">
        <v>5</v>
      </c>
      <c r="J2760" s="1" t="s">
        <v>6</v>
      </c>
      <c r="K2760" s="1" t="s">
        <v>34</v>
      </c>
      <c r="M2760" s="2">
        <v>43005</v>
      </c>
      <c r="N2760" s="1" t="s">
        <v>8</v>
      </c>
      <c r="O2760" s="2">
        <v>44101</v>
      </c>
    </row>
    <row r="2761" spans="1:15" ht="28.8" x14ac:dyDescent="0.3">
      <c r="A2761" s="1" t="s">
        <v>27159</v>
      </c>
      <c r="B2761" s="1" t="str">
        <f>"leighton hughes leighton hughes"</f>
        <v>leighton hughes leighton hughes</v>
      </c>
      <c r="C2761" s="1" t="s">
        <v>27160</v>
      </c>
      <c r="F2761" s="1" t="s">
        <v>64</v>
      </c>
      <c r="H2761" s="1" t="s">
        <v>27161</v>
      </c>
      <c r="I2761" s="1" t="s">
        <v>5</v>
      </c>
      <c r="J2761" s="1" t="s">
        <v>6</v>
      </c>
      <c r="K2761" s="1" t="s">
        <v>34</v>
      </c>
      <c r="M2761" s="2">
        <v>43005</v>
      </c>
      <c r="N2761" s="1" t="s">
        <v>8</v>
      </c>
      <c r="O2761" s="2">
        <v>44101</v>
      </c>
    </row>
    <row r="2762" spans="1:15" x14ac:dyDescent="0.3">
      <c r="A2762" s="1" t="s">
        <v>13959</v>
      </c>
      <c r="B2762" s="1" t="str">
        <f>"jmd  flooring ltd"</f>
        <v>jmd  flooring ltd</v>
      </c>
      <c r="C2762" s="1" t="s">
        <v>13960</v>
      </c>
      <c r="D2762" s="1" t="s">
        <v>13961</v>
      </c>
      <c r="F2762" s="1" t="s">
        <v>354</v>
      </c>
      <c r="H2762" s="1" t="s">
        <v>13962</v>
      </c>
      <c r="I2762" s="1" t="s">
        <v>19</v>
      </c>
      <c r="J2762" s="1" t="s">
        <v>6</v>
      </c>
      <c r="K2762" s="1" t="s">
        <v>24</v>
      </c>
      <c r="L2762" s="1">
        <v>9986323</v>
      </c>
      <c r="M2762" s="2">
        <v>43004</v>
      </c>
      <c r="N2762" s="1" t="s">
        <v>8</v>
      </c>
      <c r="O2762" s="2">
        <v>44100</v>
      </c>
    </row>
    <row r="2763" spans="1:15" ht="28.8" x14ac:dyDescent="0.3">
      <c r="A2763" s="1" t="s">
        <v>13963</v>
      </c>
      <c r="B2763" s="1" t="str">
        <f>"MAQUELINE BUILDERS LIMITED"</f>
        <v>MAQUELINE BUILDERS LIMITED</v>
      </c>
      <c r="C2763" s="1" t="s">
        <v>13964</v>
      </c>
      <c r="F2763" s="1" t="s">
        <v>123</v>
      </c>
      <c r="H2763" s="1" t="s">
        <v>13965</v>
      </c>
      <c r="I2763" s="1" t="s">
        <v>19</v>
      </c>
      <c r="J2763" s="1" t="s">
        <v>6</v>
      </c>
      <c r="K2763" s="1" t="s">
        <v>24</v>
      </c>
      <c r="L2763" s="1">
        <v>6979424</v>
      </c>
      <c r="M2763" s="2">
        <v>43004</v>
      </c>
      <c r="N2763" s="1" t="s">
        <v>8</v>
      </c>
      <c r="O2763" s="2">
        <v>44100</v>
      </c>
    </row>
    <row r="2764" spans="1:15" ht="43.2" x14ac:dyDescent="0.3">
      <c r="A2764" s="1" t="s">
        <v>13966</v>
      </c>
      <c r="B2764" s="1" t="str">
        <f>"Taffs Well Medical Centre"</f>
        <v>Taffs Well Medical Centre</v>
      </c>
      <c r="C2764" s="1" t="s">
        <v>8012</v>
      </c>
      <c r="F2764" s="1" t="s">
        <v>123</v>
      </c>
      <c r="H2764" s="1" t="s">
        <v>8013</v>
      </c>
      <c r="I2764" s="1" t="s">
        <v>125</v>
      </c>
      <c r="J2764" s="1" t="s">
        <v>67</v>
      </c>
      <c r="K2764" s="1" t="s">
        <v>14</v>
      </c>
      <c r="M2764" s="2">
        <v>43004</v>
      </c>
      <c r="N2764" s="1" t="s">
        <v>8</v>
      </c>
      <c r="O2764" s="1" t="s">
        <v>68</v>
      </c>
    </row>
    <row r="2765" spans="1:15" ht="28.8" x14ac:dyDescent="0.3">
      <c r="A2765" s="1" t="s">
        <v>13967</v>
      </c>
      <c r="B2765" s="1" t="str">
        <f>"HENRY MORRIS (1958) LTD"</f>
        <v>HENRY MORRIS (1958) LTD</v>
      </c>
      <c r="C2765" s="1" t="s">
        <v>13968</v>
      </c>
      <c r="F2765" s="1" t="s">
        <v>156</v>
      </c>
      <c r="H2765" s="1" t="s">
        <v>1568</v>
      </c>
      <c r="I2765" s="1" t="s">
        <v>19</v>
      </c>
      <c r="J2765" s="1" t="s">
        <v>6</v>
      </c>
      <c r="K2765" s="1" t="s">
        <v>24</v>
      </c>
      <c r="L2765" s="1">
        <v>617841</v>
      </c>
      <c r="M2765" s="2">
        <v>43004</v>
      </c>
      <c r="N2765" s="1" t="s">
        <v>8</v>
      </c>
      <c r="O2765" s="2">
        <v>44100</v>
      </c>
    </row>
    <row r="2766" spans="1:15" ht="28.8" x14ac:dyDescent="0.3">
      <c r="A2766" s="1" t="s">
        <v>14832</v>
      </c>
      <c r="B2766" s="1" t="str">
        <f>"Clwyd Alyn Housing Association"</f>
        <v>Clwyd Alyn Housing Association</v>
      </c>
      <c r="C2766" s="1" t="s">
        <v>11903</v>
      </c>
      <c r="D2766" s="1" t="s">
        <v>896</v>
      </c>
      <c r="F2766" s="1" t="s">
        <v>897</v>
      </c>
      <c r="H2766" s="1" t="s">
        <v>4864</v>
      </c>
      <c r="I2766" s="1" t="s">
        <v>19</v>
      </c>
      <c r="J2766" s="1" t="s">
        <v>6</v>
      </c>
      <c r="K2766" s="1" t="s">
        <v>34</v>
      </c>
      <c r="L2766" s="1">
        <v>1115507</v>
      </c>
      <c r="M2766" s="2">
        <v>43004</v>
      </c>
      <c r="N2766" s="1" t="s">
        <v>8</v>
      </c>
      <c r="O2766" s="2">
        <v>44100</v>
      </c>
    </row>
    <row r="2767" spans="1:15" ht="43.2" x14ac:dyDescent="0.3">
      <c r="A2767" s="1" t="s">
        <v>14833</v>
      </c>
      <c r="B2767" s="1" t="str">
        <f>"Allt Goch Medical Centre"</f>
        <v>Allt Goch Medical Centre</v>
      </c>
      <c r="C2767" s="1" t="s">
        <v>14834</v>
      </c>
      <c r="F2767" s="1" t="s">
        <v>2686</v>
      </c>
      <c r="H2767" s="1" t="s">
        <v>14835</v>
      </c>
      <c r="I2767" s="1" t="s">
        <v>125</v>
      </c>
      <c r="J2767" s="1" t="s">
        <v>67</v>
      </c>
      <c r="K2767" s="1" t="s">
        <v>14</v>
      </c>
      <c r="M2767" s="2">
        <v>43004</v>
      </c>
      <c r="N2767" s="1" t="s">
        <v>8</v>
      </c>
      <c r="O2767" s="1" t="s">
        <v>68</v>
      </c>
    </row>
    <row r="2768" spans="1:15" ht="28.8" x14ac:dyDescent="0.3">
      <c r="A2768" s="1" t="s">
        <v>26413</v>
      </c>
      <c r="B2768" s="1" t="str">
        <f>"GARY TAVENER TAVS SCRAP METALS"</f>
        <v>GARY TAVENER TAVS SCRAP METALS</v>
      </c>
      <c r="C2768" s="1" t="s">
        <v>26414</v>
      </c>
      <c r="F2768" s="1" t="s">
        <v>1093</v>
      </c>
      <c r="H2768" s="1" t="s">
        <v>26415</v>
      </c>
      <c r="I2768" s="1" t="s">
        <v>5</v>
      </c>
      <c r="J2768" s="1" t="s">
        <v>6</v>
      </c>
      <c r="K2768" s="1" t="s">
        <v>34</v>
      </c>
      <c r="M2768" s="2">
        <v>43004</v>
      </c>
      <c r="N2768" s="1" t="s">
        <v>8</v>
      </c>
      <c r="O2768" s="2">
        <v>44100</v>
      </c>
    </row>
    <row r="2769" spans="1:15" ht="28.8" x14ac:dyDescent="0.3">
      <c r="A2769" s="1" t="s">
        <v>26416</v>
      </c>
      <c r="B2769" s="1" t="str">
        <f>"Patrick Thomas Patrick Thomas"</f>
        <v>Patrick Thomas Patrick Thomas</v>
      </c>
      <c r="C2769" s="1" t="s">
        <v>26417</v>
      </c>
      <c r="F2769" s="1" t="s">
        <v>64</v>
      </c>
      <c r="H2769" s="1" t="s">
        <v>26418</v>
      </c>
      <c r="I2769" s="1" t="s">
        <v>5</v>
      </c>
      <c r="J2769" s="1" t="s">
        <v>6</v>
      </c>
      <c r="K2769" s="1" t="s">
        <v>34</v>
      </c>
      <c r="M2769" s="2">
        <v>43004</v>
      </c>
      <c r="N2769" s="1" t="s">
        <v>8</v>
      </c>
      <c r="O2769" s="2">
        <v>44100</v>
      </c>
    </row>
    <row r="2770" spans="1:15" ht="28.8" x14ac:dyDescent="0.3">
      <c r="A2770" s="1" t="s">
        <v>27132</v>
      </c>
      <c r="B2770" s="1" t="str">
        <f>"William Pettiford Slate Trader"</f>
        <v>William Pettiford Slate Trader</v>
      </c>
      <c r="C2770" s="1" t="s">
        <v>27133</v>
      </c>
      <c r="D2770" s="1" t="s">
        <v>27134</v>
      </c>
      <c r="F2770" s="1" t="s">
        <v>42</v>
      </c>
      <c r="H2770" s="1" t="s">
        <v>27135</v>
      </c>
      <c r="I2770" s="1" t="s">
        <v>5</v>
      </c>
      <c r="J2770" s="1" t="s">
        <v>6</v>
      </c>
      <c r="K2770" s="1" t="s">
        <v>24</v>
      </c>
      <c r="M2770" s="2">
        <v>43004</v>
      </c>
      <c r="N2770" s="1" t="s">
        <v>8</v>
      </c>
      <c r="O2770" s="2">
        <v>44100</v>
      </c>
    </row>
    <row r="2771" spans="1:15" ht="28.8" x14ac:dyDescent="0.3">
      <c r="A2771" s="1" t="s">
        <v>27136</v>
      </c>
      <c r="B2771" s="1" t="str">
        <f>"Thomas Rees JG Rees &amp; Sons"</f>
        <v>Thomas Rees JG Rees &amp; Sons</v>
      </c>
      <c r="C2771" s="1" t="s">
        <v>27137</v>
      </c>
      <c r="D2771" s="1" t="s">
        <v>42</v>
      </c>
      <c r="F2771" s="1" t="s">
        <v>666</v>
      </c>
      <c r="H2771" s="1" t="s">
        <v>27138</v>
      </c>
      <c r="I2771" s="1" t="s">
        <v>5</v>
      </c>
      <c r="J2771" s="1" t="s">
        <v>6</v>
      </c>
      <c r="K2771" s="1" t="s">
        <v>24</v>
      </c>
      <c r="M2771" s="2">
        <v>43004</v>
      </c>
      <c r="N2771" s="1" t="s">
        <v>8</v>
      </c>
      <c r="O2771" s="2">
        <v>44100</v>
      </c>
    </row>
    <row r="2772" spans="1:15" ht="28.8" x14ac:dyDescent="0.3">
      <c r="A2772" s="1" t="s">
        <v>27139</v>
      </c>
      <c r="B2772" s="1" t="str">
        <f>"Gareth Rose Gareth rose"</f>
        <v>Gareth Rose Gareth rose</v>
      </c>
      <c r="C2772" s="1" t="s">
        <v>27140</v>
      </c>
      <c r="F2772" s="1" t="s">
        <v>1341</v>
      </c>
      <c r="H2772" s="1" t="s">
        <v>27141</v>
      </c>
      <c r="I2772" s="1" t="s">
        <v>5</v>
      </c>
      <c r="J2772" s="1" t="s">
        <v>6</v>
      </c>
      <c r="K2772" s="1" t="s">
        <v>24</v>
      </c>
      <c r="M2772" s="2">
        <v>43004</v>
      </c>
      <c r="N2772" s="1" t="s">
        <v>8</v>
      </c>
      <c r="O2772" s="2">
        <v>44100</v>
      </c>
    </row>
    <row r="2773" spans="1:15" ht="28.8" x14ac:dyDescent="0.3">
      <c r="A2773" s="1" t="s">
        <v>12905</v>
      </c>
      <c r="B2773" s="1" t="str">
        <f>"Wynne Jones Property Maintenance"</f>
        <v>Wynne Jones Property Maintenance</v>
      </c>
      <c r="C2773" s="1" t="s">
        <v>12906</v>
      </c>
      <c r="D2773" s="1" t="s">
        <v>942</v>
      </c>
      <c r="F2773" s="1" t="s">
        <v>665</v>
      </c>
      <c r="H2773" s="1" t="s">
        <v>943</v>
      </c>
      <c r="I2773" s="1" t="s">
        <v>19</v>
      </c>
      <c r="J2773" s="1" t="s">
        <v>6</v>
      </c>
      <c r="K2773" s="1" t="s">
        <v>24</v>
      </c>
      <c r="L2773" s="1">
        <v>4288120</v>
      </c>
      <c r="M2773" s="2">
        <v>43003</v>
      </c>
      <c r="N2773" s="1" t="s">
        <v>8</v>
      </c>
      <c r="O2773" s="2">
        <v>44099</v>
      </c>
    </row>
    <row r="2774" spans="1:15" ht="28.8" x14ac:dyDescent="0.3">
      <c r="A2774" s="1" t="s">
        <v>12907</v>
      </c>
      <c r="B2774" s="1" t="str">
        <f>"Leather Sofa Company Ltd"</f>
        <v>Leather Sofa Company Ltd</v>
      </c>
      <c r="C2774" s="1" t="s">
        <v>9857</v>
      </c>
      <c r="F2774" s="1" t="s">
        <v>64</v>
      </c>
      <c r="H2774" s="1" t="s">
        <v>9858</v>
      </c>
      <c r="I2774" s="1" t="s">
        <v>19</v>
      </c>
      <c r="J2774" s="1" t="s">
        <v>6</v>
      </c>
      <c r="K2774" s="1" t="s">
        <v>24</v>
      </c>
      <c r="L2774" s="1">
        <v>4823687</v>
      </c>
      <c r="M2774" s="2">
        <v>43003</v>
      </c>
      <c r="N2774" s="1" t="s">
        <v>8</v>
      </c>
      <c r="O2774" s="2">
        <v>44099</v>
      </c>
    </row>
    <row r="2775" spans="1:15" ht="43.2" x14ac:dyDescent="0.3">
      <c r="A2775" s="1" t="s">
        <v>12908</v>
      </c>
      <c r="B2775" s="1" t="str">
        <f>"Caerphilly Food &amp; wine"</f>
        <v>Caerphilly Food &amp; wine</v>
      </c>
      <c r="C2775" s="1" t="s">
        <v>12909</v>
      </c>
      <c r="F2775" s="1" t="s">
        <v>123</v>
      </c>
      <c r="H2775" s="1" t="s">
        <v>12910</v>
      </c>
      <c r="I2775" s="1" t="s">
        <v>19</v>
      </c>
      <c r="J2775" s="1" t="s">
        <v>67</v>
      </c>
      <c r="K2775" s="1" t="s">
        <v>14</v>
      </c>
      <c r="M2775" s="2">
        <v>43003</v>
      </c>
      <c r="N2775" s="1" t="s">
        <v>8</v>
      </c>
      <c r="O2775" s="1" t="s">
        <v>68</v>
      </c>
    </row>
    <row r="2776" spans="1:15" ht="28.8" x14ac:dyDescent="0.3">
      <c r="A2776" s="1" t="s">
        <v>13957</v>
      </c>
      <c r="B2776" s="1" t="str">
        <f>"PETER STEPHENS ROAD HAULAGE LIMITED"</f>
        <v>PETER STEPHENS ROAD HAULAGE LIMITED</v>
      </c>
      <c r="C2776" s="1" t="s">
        <v>13958</v>
      </c>
      <c r="F2776" s="1" t="s">
        <v>243</v>
      </c>
      <c r="H2776" s="1" t="s">
        <v>4402</v>
      </c>
      <c r="I2776" s="1" t="s">
        <v>19</v>
      </c>
      <c r="J2776" s="1" t="s">
        <v>6</v>
      </c>
      <c r="K2776" s="1" t="s">
        <v>24</v>
      </c>
      <c r="L2776" s="1">
        <v>2503142</v>
      </c>
      <c r="M2776" s="2">
        <v>43003</v>
      </c>
      <c r="N2776" s="1" t="s">
        <v>8</v>
      </c>
      <c r="O2776" s="2">
        <v>44099</v>
      </c>
    </row>
    <row r="2777" spans="1:15" ht="28.8" x14ac:dyDescent="0.3">
      <c r="A2777" s="1" t="s">
        <v>25612</v>
      </c>
      <c r="B2777" s="1" t="str">
        <f>"Lee Gaunt My metals"</f>
        <v>Lee Gaunt My metals</v>
      </c>
      <c r="C2777" s="1" t="s">
        <v>25613</v>
      </c>
      <c r="F2777" s="1" t="s">
        <v>25614</v>
      </c>
      <c r="H2777" s="1" t="s">
        <v>25615</v>
      </c>
      <c r="I2777" s="1" t="s">
        <v>5</v>
      </c>
      <c r="J2777" s="1" t="s">
        <v>6</v>
      </c>
      <c r="K2777" s="1" t="s">
        <v>34</v>
      </c>
      <c r="M2777" s="2">
        <v>43003</v>
      </c>
      <c r="N2777" s="1" t="s">
        <v>8</v>
      </c>
      <c r="O2777" s="2">
        <v>44099</v>
      </c>
    </row>
    <row r="2778" spans="1:15" ht="43.2" x14ac:dyDescent="0.3">
      <c r="A2778" s="1" t="s">
        <v>25616</v>
      </c>
      <c r="B2778" s="1" t="str">
        <f>"Gethin  Trubey "</f>
        <v xml:space="preserve">Gethin  Trubey </v>
      </c>
      <c r="C2778" s="1" t="s">
        <v>25617</v>
      </c>
      <c r="F2778" s="1" t="s">
        <v>156</v>
      </c>
      <c r="H2778" s="1" t="s">
        <v>25618</v>
      </c>
      <c r="I2778" s="1" t="s">
        <v>5</v>
      </c>
      <c r="J2778" s="1" t="s">
        <v>67</v>
      </c>
      <c r="K2778" s="1" t="s">
        <v>14</v>
      </c>
      <c r="M2778" s="2">
        <v>43003</v>
      </c>
      <c r="N2778" s="1" t="s">
        <v>8</v>
      </c>
      <c r="O2778" s="1" t="s">
        <v>68</v>
      </c>
    </row>
    <row r="2779" spans="1:15" ht="28.8" x14ac:dyDescent="0.3">
      <c r="A2779" s="1" t="s">
        <v>26402</v>
      </c>
      <c r="B2779" s="1" t="str">
        <f>"David Frost David Frost"</f>
        <v>David Frost David Frost</v>
      </c>
      <c r="C2779" s="1" t="s">
        <v>26403</v>
      </c>
      <c r="F2779" s="1" t="s">
        <v>513</v>
      </c>
      <c r="H2779" s="1" t="s">
        <v>26404</v>
      </c>
      <c r="I2779" s="1" t="s">
        <v>5</v>
      </c>
      <c r="J2779" s="1" t="s">
        <v>6</v>
      </c>
      <c r="K2779" s="1" t="s">
        <v>24</v>
      </c>
      <c r="M2779" s="2">
        <v>43003</v>
      </c>
      <c r="N2779" s="1" t="s">
        <v>8</v>
      </c>
      <c r="O2779" s="2">
        <v>44099</v>
      </c>
    </row>
    <row r="2780" spans="1:15" ht="43.2" x14ac:dyDescent="0.3">
      <c r="A2780" s="1" t="s">
        <v>26405</v>
      </c>
      <c r="B2780" s="1" t="str">
        <f>"Hywel  Jopling"</f>
        <v>Hywel  Jopling</v>
      </c>
      <c r="C2780" s="1" t="s">
        <v>26406</v>
      </c>
      <c r="D2780" s="1" t="s">
        <v>21989</v>
      </c>
      <c r="E2780" s="1" t="s">
        <v>6825</v>
      </c>
      <c r="F2780" s="1" t="s">
        <v>64</v>
      </c>
      <c r="H2780" s="1" t="s">
        <v>7793</v>
      </c>
      <c r="I2780" s="1" t="s">
        <v>5</v>
      </c>
      <c r="J2780" s="1" t="s">
        <v>67</v>
      </c>
      <c r="K2780" s="1" t="s">
        <v>14</v>
      </c>
      <c r="M2780" s="2">
        <v>43003</v>
      </c>
      <c r="N2780" s="1" t="s">
        <v>8</v>
      </c>
      <c r="O2780" s="1" t="s">
        <v>68</v>
      </c>
    </row>
    <row r="2781" spans="1:15" ht="28.8" x14ac:dyDescent="0.3">
      <c r="A2781" s="1" t="s">
        <v>26407</v>
      </c>
      <c r="B2781" s="1" t="str">
        <f>"GEOFFREY WILLIAMS G Williams"</f>
        <v>GEOFFREY WILLIAMS G Williams</v>
      </c>
      <c r="C2781" s="1" t="s">
        <v>26408</v>
      </c>
      <c r="F2781" s="1" t="s">
        <v>2961</v>
      </c>
      <c r="H2781" s="1" t="s">
        <v>26409</v>
      </c>
      <c r="I2781" s="1" t="s">
        <v>5</v>
      </c>
      <c r="J2781" s="1" t="s">
        <v>6</v>
      </c>
      <c r="K2781" s="1" t="s">
        <v>24</v>
      </c>
      <c r="M2781" s="2">
        <v>43003</v>
      </c>
      <c r="N2781" s="1" t="s">
        <v>8</v>
      </c>
      <c r="O2781" s="2">
        <v>44099</v>
      </c>
    </row>
    <row r="2782" spans="1:15" ht="28.8" x14ac:dyDescent="0.3">
      <c r="A2782" s="1" t="s">
        <v>26410</v>
      </c>
      <c r="B2782" s="1" t="str">
        <f>"Taran Beynon Taran Beynon"</f>
        <v>Taran Beynon Taran Beynon</v>
      </c>
      <c r="C2782" s="1" t="s">
        <v>26411</v>
      </c>
      <c r="F2782" s="1" t="s">
        <v>2342</v>
      </c>
      <c r="H2782" s="1" t="s">
        <v>26412</v>
      </c>
      <c r="I2782" s="1" t="s">
        <v>5</v>
      </c>
      <c r="J2782" s="1" t="s">
        <v>6</v>
      </c>
      <c r="K2782" s="1" t="s">
        <v>34</v>
      </c>
      <c r="M2782" s="2">
        <v>43003</v>
      </c>
      <c r="N2782" s="1" t="s">
        <v>8</v>
      </c>
      <c r="O2782" s="2">
        <v>44099</v>
      </c>
    </row>
    <row r="2783" spans="1:15" ht="28.8" x14ac:dyDescent="0.3">
      <c r="A2783" s="1" t="s">
        <v>12901</v>
      </c>
      <c r="B2783" s="1" t="str">
        <f>"West Wales Restoration Ltd"</f>
        <v>West Wales Restoration Ltd</v>
      </c>
      <c r="C2783" s="1" t="s">
        <v>12902</v>
      </c>
      <c r="D2783" s="1" t="s">
        <v>12903</v>
      </c>
      <c r="F2783" s="1" t="s">
        <v>1818</v>
      </c>
      <c r="H2783" s="1" t="s">
        <v>12904</v>
      </c>
      <c r="I2783" s="1" t="s">
        <v>19</v>
      </c>
      <c r="J2783" s="1" t="s">
        <v>6</v>
      </c>
      <c r="K2783" s="1" t="s">
        <v>24</v>
      </c>
      <c r="L2783" s="1">
        <v>6375565</v>
      </c>
      <c r="M2783" s="2">
        <v>43002</v>
      </c>
      <c r="N2783" s="1" t="s">
        <v>8</v>
      </c>
      <c r="O2783" s="2">
        <v>44098</v>
      </c>
    </row>
    <row r="2784" spans="1:15" ht="28.8" x14ac:dyDescent="0.3">
      <c r="A2784" s="1" t="s">
        <v>25610</v>
      </c>
      <c r="B2784" s="1" t="str">
        <f>"Derek Paul Now and Then"</f>
        <v>Derek Paul Now and Then</v>
      </c>
      <c r="C2784" s="1" t="s">
        <v>25611</v>
      </c>
      <c r="F2784" s="1" t="s">
        <v>123</v>
      </c>
      <c r="H2784" s="1" t="s">
        <v>22312</v>
      </c>
      <c r="I2784" s="1" t="s">
        <v>5</v>
      </c>
      <c r="J2784" s="1" t="s">
        <v>6</v>
      </c>
      <c r="K2784" s="1" t="s">
        <v>24</v>
      </c>
      <c r="M2784" s="2">
        <v>43002</v>
      </c>
      <c r="N2784" s="1" t="s">
        <v>8</v>
      </c>
      <c r="O2784" s="2">
        <v>44098</v>
      </c>
    </row>
    <row r="2785" spans="1:15" ht="28.8" x14ac:dyDescent="0.3">
      <c r="A2785" s="1" t="s">
        <v>25607</v>
      </c>
      <c r="B2785" s="1" t="str">
        <f>"Stephen  harris Castle Skip Hire"</f>
        <v>Stephen  harris Castle Skip Hire</v>
      </c>
      <c r="C2785" s="1" t="s">
        <v>25608</v>
      </c>
      <c r="F2785" s="1" t="s">
        <v>1093</v>
      </c>
      <c r="H2785" s="1" t="s">
        <v>25609</v>
      </c>
      <c r="I2785" s="1" t="s">
        <v>5</v>
      </c>
      <c r="J2785" s="1" t="s">
        <v>6</v>
      </c>
      <c r="K2785" s="1" t="s">
        <v>24</v>
      </c>
      <c r="M2785" s="2">
        <v>43001</v>
      </c>
      <c r="N2785" s="1" t="s">
        <v>8</v>
      </c>
      <c r="O2785" s="2">
        <v>44097</v>
      </c>
    </row>
    <row r="2786" spans="1:15" ht="28.8" x14ac:dyDescent="0.3">
      <c r="A2786" s="1" t="s">
        <v>11902</v>
      </c>
      <c r="B2786" s="1" t="str">
        <f>"Pennaf Ltd"</f>
        <v>Pennaf Ltd</v>
      </c>
      <c r="C2786" s="1" t="s">
        <v>11903</v>
      </c>
      <c r="D2786" s="1" t="s">
        <v>896</v>
      </c>
      <c r="F2786" s="1" t="s">
        <v>897</v>
      </c>
      <c r="H2786" s="1" t="s">
        <v>4864</v>
      </c>
      <c r="I2786" s="1" t="s">
        <v>19</v>
      </c>
      <c r="J2786" s="1" t="s">
        <v>6</v>
      </c>
      <c r="K2786" s="1" t="s">
        <v>34</v>
      </c>
      <c r="L2786" s="1">
        <v>4644360</v>
      </c>
      <c r="M2786" s="2">
        <v>43000</v>
      </c>
      <c r="N2786" s="1" t="s">
        <v>8</v>
      </c>
      <c r="O2786" s="2">
        <v>44096</v>
      </c>
    </row>
    <row r="2787" spans="1:15" ht="43.2" x14ac:dyDescent="0.3">
      <c r="A2787" s="1" t="s">
        <v>12888</v>
      </c>
      <c r="B2787" s="1" t="str">
        <f>"ITEC Training Solutions LTD"</f>
        <v>ITEC Training Solutions LTD</v>
      </c>
      <c r="C2787" s="1" t="s">
        <v>12889</v>
      </c>
      <c r="F2787" s="1" t="s">
        <v>123</v>
      </c>
      <c r="H2787" s="1" t="s">
        <v>12890</v>
      </c>
      <c r="I2787" s="1" t="s">
        <v>19</v>
      </c>
      <c r="J2787" s="1" t="s">
        <v>67</v>
      </c>
      <c r="K2787" s="1" t="s">
        <v>14</v>
      </c>
      <c r="M2787" s="2">
        <v>43000</v>
      </c>
      <c r="N2787" s="1" t="s">
        <v>8</v>
      </c>
      <c r="O2787" s="1" t="s">
        <v>68</v>
      </c>
    </row>
    <row r="2788" spans="1:15" ht="28.8" x14ac:dyDescent="0.3">
      <c r="A2788" s="1" t="s">
        <v>12891</v>
      </c>
      <c r="B2788" s="1" t="str">
        <f>"DEE VALLEY TYRES LIMITED"</f>
        <v>DEE VALLEY TYRES LIMITED</v>
      </c>
      <c r="C2788" s="1" t="s">
        <v>12892</v>
      </c>
      <c r="D2788" s="1" t="s">
        <v>12893</v>
      </c>
      <c r="F2788" s="1" t="s">
        <v>532</v>
      </c>
      <c r="H2788" s="1" t="s">
        <v>12894</v>
      </c>
      <c r="I2788" s="1" t="s">
        <v>19</v>
      </c>
      <c r="J2788" s="1" t="s">
        <v>6</v>
      </c>
      <c r="K2788" s="1" t="s">
        <v>24</v>
      </c>
      <c r="L2788" s="1">
        <v>5972464</v>
      </c>
      <c r="M2788" s="2">
        <v>43000</v>
      </c>
      <c r="N2788" s="1" t="s">
        <v>8</v>
      </c>
      <c r="O2788" s="2">
        <v>44096</v>
      </c>
    </row>
    <row r="2789" spans="1:15" ht="28.8" x14ac:dyDescent="0.3">
      <c r="A2789" s="1" t="s">
        <v>12895</v>
      </c>
      <c r="B2789" s="1" t="str">
        <f>"SPMS (WALES) LIMITED"</f>
        <v>SPMS (WALES) LIMITED</v>
      </c>
      <c r="C2789" s="1" t="s">
        <v>12896</v>
      </c>
      <c r="F2789" s="1" t="s">
        <v>179</v>
      </c>
      <c r="H2789" s="1" t="s">
        <v>12897</v>
      </c>
      <c r="I2789" s="1" t="s">
        <v>19</v>
      </c>
      <c r="J2789" s="1" t="s">
        <v>6</v>
      </c>
      <c r="K2789" s="1" t="s">
        <v>24</v>
      </c>
      <c r="L2789" s="1">
        <v>6386568</v>
      </c>
      <c r="M2789" s="2">
        <v>43000</v>
      </c>
      <c r="N2789" s="1" t="s">
        <v>8</v>
      </c>
      <c r="O2789" s="2">
        <v>44096</v>
      </c>
    </row>
    <row r="2790" spans="1:15" ht="43.2" x14ac:dyDescent="0.3">
      <c r="A2790" s="1" t="s">
        <v>12898</v>
      </c>
      <c r="B2790" s="1" t="str">
        <f>"Evans  Bryn Morfydd"</f>
        <v>Evans  Bryn Morfydd</v>
      </c>
      <c r="C2790" s="1" t="s">
        <v>12899</v>
      </c>
      <c r="F2790" s="1" t="s">
        <v>7543</v>
      </c>
      <c r="H2790" s="1" t="s">
        <v>12900</v>
      </c>
      <c r="I2790" s="1" t="s">
        <v>125</v>
      </c>
      <c r="J2790" s="1" t="s">
        <v>67</v>
      </c>
      <c r="K2790" s="1" t="s">
        <v>14</v>
      </c>
      <c r="M2790" s="2">
        <v>43000</v>
      </c>
      <c r="N2790" s="1" t="s">
        <v>8</v>
      </c>
      <c r="O2790" s="1" t="s">
        <v>68</v>
      </c>
    </row>
    <row r="2791" spans="1:15" ht="43.2" x14ac:dyDescent="0.3">
      <c r="A2791" s="1" t="s">
        <v>25597</v>
      </c>
      <c r="B2791" s="1" t="str">
        <f>"Paul  Price"</f>
        <v>Paul  Price</v>
      </c>
      <c r="C2791" s="1" t="s">
        <v>25598</v>
      </c>
      <c r="F2791" s="1" t="s">
        <v>556</v>
      </c>
      <c r="H2791" s="1" t="s">
        <v>25599</v>
      </c>
      <c r="I2791" s="1" t="s">
        <v>5</v>
      </c>
      <c r="J2791" s="1" t="s">
        <v>67</v>
      </c>
      <c r="K2791" s="1" t="s">
        <v>14</v>
      </c>
      <c r="M2791" s="2">
        <v>43000</v>
      </c>
      <c r="N2791" s="1" t="s">
        <v>8</v>
      </c>
      <c r="O2791" s="1" t="s">
        <v>68</v>
      </c>
    </row>
    <row r="2792" spans="1:15" ht="28.8" x14ac:dyDescent="0.3">
      <c r="A2792" s="1" t="s">
        <v>25600</v>
      </c>
      <c r="B2792" s="1" t="str">
        <f>"Gareth Davies Gareth davies contracting "</f>
        <v xml:space="preserve">Gareth Davies Gareth davies contracting </v>
      </c>
      <c r="C2792" s="1" t="s">
        <v>25601</v>
      </c>
      <c r="D2792" s="1" t="s">
        <v>11629</v>
      </c>
      <c r="F2792" s="1" t="s">
        <v>1341</v>
      </c>
      <c r="H2792" s="1" t="s">
        <v>25602</v>
      </c>
      <c r="I2792" s="1" t="s">
        <v>5</v>
      </c>
      <c r="J2792" s="1" t="s">
        <v>6</v>
      </c>
      <c r="K2792" s="1" t="s">
        <v>24</v>
      </c>
      <c r="M2792" s="2">
        <v>43000</v>
      </c>
      <c r="N2792" s="1" t="s">
        <v>8</v>
      </c>
      <c r="O2792" s="2">
        <v>44096</v>
      </c>
    </row>
    <row r="2793" spans="1:15" ht="43.2" x14ac:dyDescent="0.3">
      <c r="A2793" s="1" t="s">
        <v>25603</v>
      </c>
      <c r="B2793" s="1" t="str">
        <f>"James  Edge"</f>
        <v>James  Edge</v>
      </c>
      <c r="C2793" s="1" t="s">
        <v>25604</v>
      </c>
      <c r="D2793" s="1" t="s">
        <v>25605</v>
      </c>
      <c r="F2793" s="1" t="s">
        <v>3655</v>
      </c>
      <c r="H2793" s="1" t="s">
        <v>25606</v>
      </c>
      <c r="I2793" s="1" t="s">
        <v>5</v>
      </c>
      <c r="J2793" s="1" t="s">
        <v>67</v>
      </c>
      <c r="K2793" s="1" t="s">
        <v>14</v>
      </c>
      <c r="M2793" s="2">
        <v>43000</v>
      </c>
      <c r="N2793" s="1" t="s">
        <v>8</v>
      </c>
      <c r="O2793" s="1" t="s">
        <v>68</v>
      </c>
    </row>
    <row r="2794" spans="1:15" ht="28.8" x14ac:dyDescent="0.3">
      <c r="A2794" s="1" t="s">
        <v>10888</v>
      </c>
      <c r="B2794" s="1" t="str">
        <f>"Eye 4 Design Construction Ltd "</f>
        <v xml:space="preserve">Eye 4 Design Construction Ltd </v>
      </c>
      <c r="C2794" s="1" t="s">
        <v>10889</v>
      </c>
      <c r="F2794" s="1" t="s">
        <v>706</v>
      </c>
      <c r="H2794" s="1" t="s">
        <v>10890</v>
      </c>
      <c r="I2794" s="1" t="s">
        <v>19</v>
      </c>
      <c r="J2794" s="1" t="s">
        <v>6</v>
      </c>
      <c r="K2794" s="1" t="s">
        <v>34</v>
      </c>
      <c r="L2794" s="1">
        <v>10474043</v>
      </c>
      <c r="M2794" s="2">
        <v>42999</v>
      </c>
      <c r="N2794" s="1" t="s">
        <v>8</v>
      </c>
      <c r="O2794" s="2">
        <v>44095</v>
      </c>
    </row>
    <row r="2795" spans="1:15" ht="28.8" x14ac:dyDescent="0.3">
      <c r="A2795" s="1" t="s">
        <v>10891</v>
      </c>
      <c r="B2795" s="1" t="str">
        <f>"Nigel Sullivan Groundworks &amp; Plant "</f>
        <v xml:space="preserve">Nigel Sullivan Groundworks &amp; Plant </v>
      </c>
      <c r="C2795" s="1" t="s">
        <v>10892</v>
      </c>
      <c r="D2795" s="1" t="s">
        <v>3465</v>
      </c>
      <c r="F2795" s="1" t="s">
        <v>641</v>
      </c>
      <c r="H2795" s="1" t="s">
        <v>10893</v>
      </c>
      <c r="I2795" s="1" t="s">
        <v>19</v>
      </c>
      <c r="J2795" s="1" t="s">
        <v>6</v>
      </c>
      <c r="K2795" s="1" t="s">
        <v>34</v>
      </c>
      <c r="L2795" s="1">
        <v>7881013</v>
      </c>
      <c r="M2795" s="2">
        <v>42999</v>
      </c>
      <c r="N2795" s="1" t="s">
        <v>8</v>
      </c>
      <c r="O2795" s="2">
        <v>44095</v>
      </c>
    </row>
    <row r="2796" spans="1:15" ht="43.2" x14ac:dyDescent="0.3">
      <c r="A2796" s="1" t="s">
        <v>10894</v>
      </c>
      <c r="B2796" s="1" t="str">
        <f>"Rooms and Views"</f>
        <v>Rooms and Views</v>
      </c>
      <c r="C2796" s="1" t="s">
        <v>10895</v>
      </c>
      <c r="F2796" s="1" t="s">
        <v>102</v>
      </c>
      <c r="H2796" s="1" t="s">
        <v>10896</v>
      </c>
      <c r="I2796" s="1" t="s">
        <v>19</v>
      </c>
      <c r="J2796" s="1" t="s">
        <v>67</v>
      </c>
      <c r="K2796" s="1" t="s">
        <v>14</v>
      </c>
      <c r="M2796" s="2">
        <v>42999</v>
      </c>
      <c r="N2796" s="1" t="s">
        <v>8</v>
      </c>
      <c r="O2796" s="1" t="s">
        <v>68</v>
      </c>
    </row>
    <row r="2797" spans="1:15" ht="28.8" x14ac:dyDescent="0.3">
      <c r="A2797" s="1" t="s">
        <v>11895</v>
      </c>
      <c r="B2797" s="1" t="str">
        <f>"Fry Fresh Edible Oils Ltd"</f>
        <v>Fry Fresh Edible Oils Ltd</v>
      </c>
      <c r="C2797" s="1" t="s">
        <v>11896</v>
      </c>
      <c r="D2797" s="1" t="s">
        <v>1875</v>
      </c>
      <c r="F2797" s="1" t="s">
        <v>532</v>
      </c>
      <c r="H2797" s="1" t="s">
        <v>7646</v>
      </c>
      <c r="I2797" s="1" t="s">
        <v>19</v>
      </c>
      <c r="J2797" s="1" t="s">
        <v>6</v>
      </c>
      <c r="K2797" s="1" t="s">
        <v>34</v>
      </c>
      <c r="L2797" s="1">
        <v>7413016</v>
      </c>
      <c r="M2797" s="2">
        <v>42999</v>
      </c>
      <c r="N2797" s="1" t="s">
        <v>8</v>
      </c>
      <c r="O2797" s="2">
        <v>44095</v>
      </c>
    </row>
    <row r="2798" spans="1:15" ht="43.2" x14ac:dyDescent="0.3">
      <c r="A2798" s="1" t="s">
        <v>11897</v>
      </c>
      <c r="B2798" s="1" t="str">
        <f>"Summit Foods Ltd"</f>
        <v>Summit Foods Ltd</v>
      </c>
      <c r="C2798" s="1" t="s">
        <v>11898</v>
      </c>
      <c r="D2798" s="1" t="s">
        <v>11899</v>
      </c>
      <c r="F2798" s="1" t="s">
        <v>11900</v>
      </c>
      <c r="H2798" s="1" t="s">
        <v>11901</v>
      </c>
      <c r="I2798" s="1" t="s">
        <v>19</v>
      </c>
      <c r="J2798" s="1" t="s">
        <v>67</v>
      </c>
      <c r="K2798" s="1" t="s">
        <v>14</v>
      </c>
      <c r="M2798" s="2">
        <v>42999</v>
      </c>
      <c r="N2798" s="1" t="s">
        <v>8</v>
      </c>
      <c r="O2798" s="1" t="s">
        <v>68</v>
      </c>
    </row>
    <row r="2799" spans="1:15" ht="43.2" x14ac:dyDescent="0.3">
      <c r="A2799" s="1" t="s">
        <v>24836</v>
      </c>
      <c r="B2799" s="1" t="str">
        <f>"Clifford Roberts"</f>
        <v>Clifford Roberts</v>
      </c>
      <c r="C2799" s="1" t="s">
        <v>24837</v>
      </c>
      <c r="F2799" s="1" t="s">
        <v>374</v>
      </c>
      <c r="H2799" s="1" t="s">
        <v>24838</v>
      </c>
      <c r="I2799" s="1" t="s">
        <v>5</v>
      </c>
      <c r="J2799" s="1" t="s">
        <v>67</v>
      </c>
      <c r="K2799" s="1" t="s">
        <v>24</v>
      </c>
      <c r="M2799" s="2">
        <v>42999</v>
      </c>
      <c r="N2799" s="1" t="s">
        <v>8</v>
      </c>
      <c r="O2799" s="1" t="s">
        <v>68</v>
      </c>
    </row>
    <row r="2800" spans="1:15" ht="43.2" x14ac:dyDescent="0.3">
      <c r="A2800" s="1" t="s">
        <v>24839</v>
      </c>
      <c r="B2800" s="1" t="str">
        <f>"Carla  Dixon"</f>
        <v>Carla  Dixon</v>
      </c>
      <c r="C2800" s="1" t="s">
        <v>24840</v>
      </c>
      <c r="F2800" s="1" t="s">
        <v>476</v>
      </c>
      <c r="H2800" s="1" t="s">
        <v>24841</v>
      </c>
      <c r="I2800" s="1" t="s">
        <v>5</v>
      </c>
      <c r="J2800" s="1" t="s">
        <v>67</v>
      </c>
      <c r="K2800" s="1" t="s">
        <v>14</v>
      </c>
      <c r="M2800" s="2">
        <v>42999</v>
      </c>
      <c r="N2800" s="1" t="s">
        <v>8</v>
      </c>
      <c r="O2800" s="1" t="s">
        <v>68</v>
      </c>
    </row>
    <row r="2801" spans="1:15" ht="43.2" x14ac:dyDescent="0.3">
      <c r="A2801" s="1" t="s">
        <v>10876</v>
      </c>
      <c r="B2801" s="1" t="str">
        <f>"Beechwood Refrigeration and Air Conditioning Ltd"</f>
        <v>Beechwood Refrigeration and Air Conditioning Ltd</v>
      </c>
      <c r="C2801" s="1" t="s">
        <v>10877</v>
      </c>
      <c r="F2801" s="1" t="s">
        <v>156</v>
      </c>
      <c r="H2801" s="1" t="s">
        <v>10878</v>
      </c>
      <c r="I2801" s="1" t="s">
        <v>19</v>
      </c>
      <c r="J2801" s="1" t="s">
        <v>67</v>
      </c>
      <c r="K2801" s="1" t="s">
        <v>24</v>
      </c>
      <c r="L2801" s="1">
        <v>5724868</v>
      </c>
      <c r="M2801" s="2">
        <v>42998</v>
      </c>
      <c r="N2801" s="1" t="s">
        <v>8</v>
      </c>
      <c r="O2801" s="1" t="s">
        <v>68</v>
      </c>
    </row>
    <row r="2802" spans="1:15" x14ac:dyDescent="0.3">
      <c r="A2802" s="1" t="s">
        <v>10879</v>
      </c>
      <c r="B2802" s="1" t="str">
        <f>"ELECTRIC HEAT LTD"</f>
        <v>ELECTRIC HEAT LTD</v>
      </c>
      <c r="C2802" s="1" t="s">
        <v>10880</v>
      </c>
      <c r="F2802" s="1" t="s">
        <v>42</v>
      </c>
      <c r="H2802" s="1" t="s">
        <v>10881</v>
      </c>
      <c r="I2802" s="1" t="s">
        <v>19</v>
      </c>
      <c r="J2802" s="1" t="s">
        <v>6</v>
      </c>
      <c r="K2802" s="1" t="s">
        <v>24</v>
      </c>
      <c r="L2802" s="1">
        <v>10675474</v>
      </c>
      <c r="M2802" s="2">
        <v>42998</v>
      </c>
      <c r="N2802" s="1" t="s">
        <v>8</v>
      </c>
      <c r="O2802" s="2">
        <v>44094</v>
      </c>
    </row>
    <row r="2803" spans="1:15" ht="43.2" x14ac:dyDescent="0.3">
      <c r="A2803" s="1" t="s">
        <v>10882</v>
      </c>
      <c r="B2803" s="1" t="str">
        <f>"Fergusons Window Systems LTD"</f>
        <v>Fergusons Window Systems LTD</v>
      </c>
      <c r="C2803" s="1" t="s">
        <v>10883</v>
      </c>
      <c r="F2803" s="1" t="s">
        <v>32</v>
      </c>
      <c r="H2803" s="1" t="s">
        <v>10884</v>
      </c>
      <c r="I2803" s="1" t="s">
        <v>19</v>
      </c>
      <c r="J2803" s="1" t="s">
        <v>67</v>
      </c>
      <c r="K2803" s="1" t="s">
        <v>24</v>
      </c>
      <c r="L2803" s="1">
        <v>8854358</v>
      </c>
      <c r="M2803" s="2">
        <v>42998</v>
      </c>
      <c r="N2803" s="1" t="s">
        <v>8</v>
      </c>
      <c r="O2803" s="1" t="s">
        <v>68</v>
      </c>
    </row>
    <row r="2804" spans="1:15" ht="28.8" x14ac:dyDescent="0.3">
      <c r="A2804" s="1" t="s">
        <v>10885</v>
      </c>
      <c r="B2804" s="1" t="str">
        <f>"Chris Howell Timber and Landscapes"</f>
        <v>Chris Howell Timber and Landscapes</v>
      </c>
      <c r="C2804" s="1" t="s">
        <v>10886</v>
      </c>
      <c r="F2804" s="1" t="s">
        <v>1093</v>
      </c>
      <c r="H2804" s="1" t="s">
        <v>10887</v>
      </c>
      <c r="I2804" s="1" t="s">
        <v>19</v>
      </c>
      <c r="J2804" s="1" t="s">
        <v>6</v>
      </c>
      <c r="K2804" s="1" t="s">
        <v>34</v>
      </c>
      <c r="L2804" s="1">
        <v>5659122</v>
      </c>
      <c r="M2804" s="2">
        <v>42998</v>
      </c>
      <c r="N2804" s="1" t="s">
        <v>8</v>
      </c>
      <c r="O2804" s="2">
        <v>44094</v>
      </c>
    </row>
    <row r="2805" spans="1:15" ht="43.2" x14ac:dyDescent="0.3">
      <c r="A2805" s="1" t="s">
        <v>23983</v>
      </c>
      <c r="B2805" s="1" t="str">
        <f>"Neil Arnold"</f>
        <v>Neil Arnold</v>
      </c>
      <c r="C2805" s="1" t="s">
        <v>23984</v>
      </c>
      <c r="D2805" s="1" t="s">
        <v>23985</v>
      </c>
      <c r="F2805" s="1" t="s">
        <v>23986</v>
      </c>
      <c r="H2805" s="1" t="s">
        <v>23987</v>
      </c>
      <c r="I2805" s="1" t="s">
        <v>5</v>
      </c>
      <c r="J2805" s="1" t="s">
        <v>67</v>
      </c>
      <c r="K2805" s="1" t="s">
        <v>24</v>
      </c>
      <c r="M2805" s="2">
        <v>42998</v>
      </c>
      <c r="N2805" s="1" t="s">
        <v>8</v>
      </c>
      <c r="O2805" s="1" t="s">
        <v>68</v>
      </c>
    </row>
    <row r="2806" spans="1:15" ht="43.2" x14ac:dyDescent="0.3">
      <c r="A2806" s="1" t="s">
        <v>23988</v>
      </c>
      <c r="B2806" s="1" t="str">
        <f>"William  Wareham  priory Building Solutions "</f>
        <v xml:space="preserve">William  Wareham  priory Building Solutions </v>
      </c>
      <c r="C2806" s="1" t="s">
        <v>23989</v>
      </c>
      <c r="F2806" s="1" t="s">
        <v>179</v>
      </c>
      <c r="H2806" s="1" t="s">
        <v>23990</v>
      </c>
      <c r="I2806" s="1" t="s">
        <v>5</v>
      </c>
      <c r="J2806" s="1" t="s">
        <v>6</v>
      </c>
      <c r="K2806" s="1" t="s">
        <v>24</v>
      </c>
      <c r="M2806" s="2">
        <v>42998</v>
      </c>
      <c r="N2806" s="1" t="s">
        <v>8</v>
      </c>
      <c r="O2806" s="2">
        <v>44094</v>
      </c>
    </row>
    <row r="2807" spans="1:15" ht="28.8" x14ac:dyDescent="0.3">
      <c r="A2807" s="1" t="s">
        <v>23991</v>
      </c>
      <c r="B2807" s="1" t="str">
        <f>"Tim Adams Tim Adams"</f>
        <v>Tim Adams Tim Adams</v>
      </c>
      <c r="C2807" s="1" t="s">
        <v>23992</v>
      </c>
      <c r="D2807" s="1" t="s">
        <v>7242</v>
      </c>
      <c r="F2807" s="1" t="s">
        <v>156</v>
      </c>
      <c r="H2807" s="1" t="s">
        <v>23993</v>
      </c>
      <c r="I2807" s="1" t="s">
        <v>5</v>
      </c>
      <c r="J2807" s="1" t="s">
        <v>6</v>
      </c>
      <c r="K2807" s="1" t="s">
        <v>24</v>
      </c>
      <c r="M2807" s="2">
        <v>42998</v>
      </c>
      <c r="N2807" s="1" t="s">
        <v>8</v>
      </c>
      <c r="O2807" s="2">
        <v>44094</v>
      </c>
    </row>
    <row r="2808" spans="1:15" ht="28.8" x14ac:dyDescent="0.3">
      <c r="A2808" s="1" t="s">
        <v>23994</v>
      </c>
      <c r="B2808" s="1" t="str">
        <f>"Paul Ellis Call Paul Rubbish Removals"</f>
        <v>Paul Ellis Call Paul Rubbish Removals</v>
      </c>
      <c r="C2808" s="1" t="s">
        <v>23995</v>
      </c>
      <c r="F2808" s="1" t="s">
        <v>156</v>
      </c>
      <c r="H2808" s="1" t="s">
        <v>23996</v>
      </c>
      <c r="I2808" s="1" t="s">
        <v>5</v>
      </c>
      <c r="J2808" s="1" t="s">
        <v>6</v>
      </c>
      <c r="K2808" s="1" t="s">
        <v>24</v>
      </c>
      <c r="M2808" s="2">
        <v>42998</v>
      </c>
      <c r="N2808" s="1" t="s">
        <v>8</v>
      </c>
      <c r="O2808" s="2">
        <v>44094</v>
      </c>
    </row>
    <row r="2809" spans="1:15" ht="28.8" x14ac:dyDescent="0.3">
      <c r="A2809" s="1" t="s">
        <v>9849</v>
      </c>
      <c r="B2809" s="1" t="str">
        <f>"Thomas Plant Hire Ltd"</f>
        <v>Thomas Plant Hire Ltd</v>
      </c>
      <c r="C2809" s="1" t="s">
        <v>9850</v>
      </c>
      <c r="D2809" s="1" t="s">
        <v>9851</v>
      </c>
      <c r="F2809" s="1" t="s">
        <v>4645</v>
      </c>
      <c r="H2809" s="1" t="s">
        <v>9852</v>
      </c>
      <c r="I2809" s="1" t="s">
        <v>19</v>
      </c>
      <c r="J2809" s="1" t="s">
        <v>6</v>
      </c>
      <c r="K2809" s="1" t="s">
        <v>34</v>
      </c>
      <c r="L2809" s="1">
        <v>7654907</v>
      </c>
      <c r="M2809" s="2">
        <v>42997</v>
      </c>
      <c r="N2809" s="1" t="s">
        <v>8</v>
      </c>
      <c r="O2809" s="2">
        <v>44093</v>
      </c>
    </row>
    <row r="2810" spans="1:15" ht="28.8" x14ac:dyDescent="0.3">
      <c r="A2810" s="1" t="s">
        <v>9853</v>
      </c>
      <c r="B2810" s="1" t="str">
        <f>"DI JONES HEATING ENGINEERS LIMITED"</f>
        <v>DI JONES HEATING ENGINEERS LIMITED</v>
      </c>
      <c r="C2810" s="1" t="s">
        <v>9854</v>
      </c>
      <c r="F2810" s="1" t="s">
        <v>72</v>
      </c>
      <c r="H2810" s="1" t="s">
        <v>9855</v>
      </c>
      <c r="I2810" s="1" t="s">
        <v>19</v>
      </c>
      <c r="J2810" s="1" t="s">
        <v>6</v>
      </c>
      <c r="K2810" s="1" t="s">
        <v>34</v>
      </c>
      <c r="L2810" s="1">
        <v>8647644</v>
      </c>
      <c r="M2810" s="2">
        <v>42997</v>
      </c>
      <c r="N2810" s="1" t="s">
        <v>8</v>
      </c>
      <c r="O2810" s="2">
        <v>44093</v>
      </c>
    </row>
    <row r="2811" spans="1:15" ht="28.8" x14ac:dyDescent="0.3">
      <c r="A2811" s="1" t="s">
        <v>9856</v>
      </c>
      <c r="B2811" s="1" t="str">
        <f>"A J T RECYCLING LIMITED"</f>
        <v>A J T RECYCLING LIMITED</v>
      </c>
      <c r="C2811" s="1" t="s">
        <v>9857</v>
      </c>
      <c r="F2811" s="1" t="s">
        <v>64</v>
      </c>
      <c r="H2811" s="1" t="s">
        <v>9858</v>
      </c>
      <c r="I2811" s="1" t="s">
        <v>19</v>
      </c>
      <c r="J2811" s="1" t="s">
        <v>6</v>
      </c>
      <c r="K2811" s="1" t="s">
        <v>34</v>
      </c>
      <c r="L2811" s="1">
        <v>7180962</v>
      </c>
      <c r="M2811" s="2">
        <v>42997</v>
      </c>
      <c r="N2811" s="1" t="s">
        <v>8</v>
      </c>
      <c r="O2811" s="2">
        <v>44093</v>
      </c>
    </row>
    <row r="2812" spans="1:15" ht="28.8" x14ac:dyDescent="0.3">
      <c r="A2812" s="1" t="s">
        <v>9859</v>
      </c>
      <c r="B2812" s="1" t="str">
        <f>"bollore ltd"</f>
        <v>bollore ltd</v>
      </c>
      <c r="C2812" s="1" t="s">
        <v>9860</v>
      </c>
      <c r="D2812" s="1" t="s">
        <v>3029</v>
      </c>
      <c r="F2812" s="1" t="s">
        <v>277</v>
      </c>
      <c r="H2812" s="1" t="s">
        <v>3030</v>
      </c>
      <c r="I2812" s="1" t="s">
        <v>19</v>
      </c>
      <c r="J2812" s="1" t="s">
        <v>6</v>
      </c>
      <c r="K2812" s="1" t="s">
        <v>1859</v>
      </c>
      <c r="L2812" s="1">
        <v>232744</v>
      </c>
      <c r="M2812" s="2">
        <v>42997</v>
      </c>
      <c r="N2812" s="1" t="s">
        <v>8</v>
      </c>
      <c r="O2812" s="2">
        <v>44093</v>
      </c>
    </row>
    <row r="2813" spans="1:15" ht="28.8" x14ac:dyDescent="0.3">
      <c r="A2813" s="1" t="s">
        <v>9861</v>
      </c>
      <c r="B2813" s="1" t="str">
        <f>"Photronics UK Ltd"</f>
        <v>Photronics UK Ltd</v>
      </c>
      <c r="C2813" s="1" t="s">
        <v>9862</v>
      </c>
      <c r="F2813" s="1" t="s">
        <v>179</v>
      </c>
      <c r="H2813" s="1" t="s">
        <v>9863</v>
      </c>
      <c r="I2813" s="1" t="s">
        <v>19</v>
      </c>
      <c r="J2813" s="1" t="s">
        <v>6</v>
      </c>
      <c r="K2813" s="1" t="s">
        <v>34</v>
      </c>
      <c r="L2813" s="1">
        <v>3121018</v>
      </c>
      <c r="M2813" s="2">
        <v>42997</v>
      </c>
      <c r="N2813" s="1" t="s">
        <v>8</v>
      </c>
      <c r="O2813" s="2">
        <v>44093</v>
      </c>
    </row>
    <row r="2814" spans="1:15" x14ac:dyDescent="0.3">
      <c r="A2814" s="1" t="s">
        <v>9864</v>
      </c>
      <c r="B2814" s="1" t="str">
        <f>"AE Roberts"</f>
        <v>AE Roberts</v>
      </c>
      <c r="C2814" s="1" t="s">
        <v>9865</v>
      </c>
      <c r="D2814" s="1" t="s">
        <v>9866</v>
      </c>
      <c r="F2814" s="1" t="s">
        <v>532</v>
      </c>
      <c r="H2814" s="1" t="s">
        <v>9867</v>
      </c>
      <c r="I2814" s="1" t="s">
        <v>125</v>
      </c>
      <c r="J2814" s="1" t="s">
        <v>6</v>
      </c>
      <c r="K2814" s="1" t="s">
        <v>24</v>
      </c>
      <c r="M2814" s="2">
        <v>42997</v>
      </c>
      <c r="N2814" s="1" t="s">
        <v>8</v>
      </c>
      <c r="O2814" s="2">
        <v>44093</v>
      </c>
    </row>
    <row r="2815" spans="1:15" ht="28.8" x14ac:dyDescent="0.3">
      <c r="A2815" s="1" t="s">
        <v>9868</v>
      </c>
      <c r="B2815" s="1" t="str">
        <f>"SPILL RESPONSE WALES LIMITED"</f>
        <v>SPILL RESPONSE WALES LIMITED</v>
      </c>
      <c r="C2815" s="1" t="s">
        <v>9869</v>
      </c>
      <c r="F2815" s="1" t="s">
        <v>1638</v>
      </c>
      <c r="H2815" s="1" t="s">
        <v>9870</v>
      </c>
      <c r="I2815" s="1" t="s">
        <v>19</v>
      </c>
      <c r="J2815" s="1" t="s">
        <v>6</v>
      </c>
      <c r="K2815" s="1" t="s">
        <v>34</v>
      </c>
      <c r="L2815" s="1">
        <v>6854314</v>
      </c>
      <c r="M2815" s="2">
        <v>42997</v>
      </c>
      <c r="N2815" s="1" t="s">
        <v>8</v>
      </c>
      <c r="O2815" s="2">
        <v>44093</v>
      </c>
    </row>
    <row r="2816" spans="1:15" ht="43.2" x14ac:dyDescent="0.3">
      <c r="A2816" s="1" t="s">
        <v>9871</v>
      </c>
      <c r="B2816" s="1" t="str">
        <f>"MRS Training &amp; Rescue"</f>
        <v>MRS Training &amp; Rescue</v>
      </c>
      <c r="C2816" s="1" t="s">
        <v>9872</v>
      </c>
      <c r="F2816" s="1" t="s">
        <v>457</v>
      </c>
      <c r="H2816" s="1" t="s">
        <v>9873</v>
      </c>
      <c r="I2816" s="1" t="s">
        <v>19</v>
      </c>
      <c r="J2816" s="1" t="s">
        <v>67</v>
      </c>
      <c r="K2816" s="1" t="s">
        <v>14</v>
      </c>
      <c r="M2816" s="2">
        <v>42997</v>
      </c>
      <c r="N2816" s="1" t="s">
        <v>8</v>
      </c>
      <c r="O2816" s="1" t="s">
        <v>68</v>
      </c>
    </row>
    <row r="2817" spans="1:15" ht="28.8" x14ac:dyDescent="0.3">
      <c r="A2817" s="1" t="s">
        <v>9874</v>
      </c>
      <c r="B2817" s="1" t="str">
        <f>"Vyrnwy Caravans Limited"</f>
        <v>Vyrnwy Caravans Limited</v>
      </c>
      <c r="C2817" s="1" t="s">
        <v>3468</v>
      </c>
      <c r="F2817" s="1" t="s">
        <v>5506</v>
      </c>
      <c r="H2817" s="1" t="s">
        <v>9010</v>
      </c>
      <c r="I2817" s="1" t="s">
        <v>19</v>
      </c>
      <c r="J2817" s="1" t="s">
        <v>6</v>
      </c>
      <c r="K2817" s="1" t="s">
        <v>24</v>
      </c>
      <c r="L2817" s="1">
        <v>1449980</v>
      </c>
      <c r="M2817" s="2">
        <v>42997</v>
      </c>
      <c r="N2817" s="1" t="s">
        <v>8</v>
      </c>
      <c r="O2817" s="2">
        <v>44093</v>
      </c>
    </row>
    <row r="2818" spans="1:15" ht="43.2" x14ac:dyDescent="0.3">
      <c r="A2818" s="1" t="s">
        <v>9875</v>
      </c>
      <c r="B2818" s="1" t="str">
        <f>"iDropped It Ltd"</f>
        <v>iDropped It Ltd</v>
      </c>
      <c r="C2818" s="1" t="s">
        <v>9876</v>
      </c>
      <c r="F2818" s="1" t="s">
        <v>179</v>
      </c>
      <c r="H2818" s="1" t="s">
        <v>9877</v>
      </c>
      <c r="I2818" s="1" t="s">
        <v>19</v>
      </c>
      <c r="J2818" s="1" t="s">
        <v>67</v>
      </c>
      <c r="K2818" s="1" t="s">
        <v>14</v>
      </c>
      <c r="M2818" s="2">
        <v>42997</v>
      </c>
      <c r="N2818" s="1" t="s">
        <v>8</v>
      </c>
      <c r="O2818" s="1" t="s">
        <v>68</v>
      </c>
    </row>
    <row r="2819" spans="1:15" ht="43.2" x14ac:dyDescent="0.3">
      <c r="A2819" s="1" t="s">
        <v>10872</v>
      </c>
      <c r="B2819" s="1" t="str">
        <f>"Base Aircraft Interiors Limited"</f>
        <v>Base Aircraft Interiors Limited</v>
      </c>
      <c r="C2819" s="1" t="s">
        <v>10873</v>
      </c>
      <c r="F2819" s="1" t="s">
        <v>10874</v>
      </c>
      <c r="H2819" s="1" t="s">
        <v>10875</v>
      </c>
      <c r="I2819" s="1" t="s">
        <v>19</v>
      </c>
      <c r="J2819" s="1" t="s">
        <v>67</v>
      </c>
      <c r="K2819" s="1" t="s">
        <v>14</v>
      </c>
      <c r="M2819" s="2">
        <v>42997</v>
      </c>
      <c r="N2819" s="1" t="s">
        <v>8</v>
      </c>
      <c r="O2819" s="1" t="s">
        <v>68</v>
      </c>
    </row>
    <row r="2820" spans="1:15" ht="43.2" x14ac:dyDescent="0.3">
      <c r="A2820" s="1" t="s">
        <v>23177</v>
      </c>
      <c r="B2820" s="1" t="str">
        <f>"Diana Hoare"</f>
        <v>Diana Hoare</v>
      </c>
      <c r="C2820" s="1" t="s">
        <v>23178</v>
      </c>
      <c r="D2820" s="1" t="s">
        <v>19404</v>
      </c>
      <c r="F2820" s="1" t="s">
        <v>1776</v>
      </c>
      <c r="H2820" s="1" t="s">
        <v>17296</v>
      </c>
      <c r="I2820" s="1" t="s">
        <v>5</v>
      </c>
      <c r="J2820" s="1" t="s">
        <v>67</v>
      </c>
      <c r="K2820" s="1" t="s">
        <v>14</v>
      </c>
      <c r="M2820" s="2">
        <v>42997</v>
      </c>
      <c r="N2820" s="1" t="s">
        <v>8</v>
      </c>
      <c r="O2820" s="1" t="s">
        <v>68</v>
      </c>
    </row>
    <row r="2821" spans="1:15" ht="28.8" x14ac:dyDescent="0.3">
      <c r="A2821" s="1" t="s">
        <v>23179</v>
      </c>
      <c r="B2821" s="1" t="str">
        <f>"Alun James Cutting edge mechanics "</f>
        <v xml:space="preserve">Alun James Cutting edge mechanics </v>
      </c>
      <c r="C2821" s="1" t="s">
        <v>23180</v>
      </c>
      <c r="F2821" s="1" t="s">
        <v>354</v>
      </c>
      <c r="H2821" s="1" t="s">
        <v>23181</v>
      </c>
      <c r="I2821" s="1" t="s">
        <v>5</v>
      </c>
      <c r="J2821" s="1" t="s">
        <v>6</v>
      </c>
      <c r="K2821" s="1" t="s">
        <v>24</v>
      </c>
      <c r="M2821" s="2">
        <v>42997</v>
      </c>
      <c r="N2821" s="1" t="s">
        <v>8</v>
      </c>
      <c r="O2821" s="2">
        <v>44093</v>
      </c>
    </row>
    <row r="2822" spans="1:15" x14ac:dyDescent="0.3">
      <c r="A2822" s="1" t="s">
        <v>23182</v>
      </c>
      <c r="B2822" s="1" t="str">
        <f>"KIETH MCQUIE"</f>
        <v>KIETH MCQUIE</v>
      </c>
      <c r="C2822" s="1" t="s">
        <v>23183</v>
      </c>
      <c r="F2822" s="1" t="s">
        <v>23054</v>
      </c>
      <c r="H2822" s="1" t="s">
        <v>23184</v>
      </c>
      <c r="I2822" s="1" t="s">
        <v>5</v>
      </c>
      <c r="J2822" s="1" t="s">
        <v>6</v>
      </c>
      <c r="K2822" s="1" t="s">
        <v>24</v>
      </c>
      <c r="M2822" s="2">
        <v>42997</v>
      </c>
      <c r="N2822" s="1" t="s">
        <v>8</v>
      </c>
      <c r="O2822" s="2">
        <v>44093</v>
      </c>
    </row>
    <row r="2823" spans="1:15" ht="43.2" x14ac:dyDescent="0.3">
      <c r="A2823" s="1" t="s">
        <v>23185</v>
      </c>
      <c r="B2823" s="1" t="str">
        <f>"Barbara Gaze"</f>
        <v>Barbara Gaze</v>
      </c>
      <c r="C2823" s="1" t="s">
        <v>23186</v>
      </c>
      <c r="F2823" s="1" t="s">
        <v>839</v>
      </c>
      <c r="H2823" s="1" t="s">
        <v>23187</v>
      </c>
      <c r="I2823" s="1" t="s">
        <v>5</v>
      </c>
      <c r="J2823" s="1" t="s">
        <v>67</v>
      </c>
      <c r="K2823" s="1" t="s">
        <v>14</v>
      </c>
      <c r="M2823" s="2">
        <v>42997</v>
      </c>
      <c r="N2823" s="1" t="s">
        <v>8</v>
      </c>
      <c r="O2823" s="1" t="s">
        <v>68</v>
      </c>
    </row>
    <row r="2824" spans="1:15" ht="28.8" x14ac:dyDescent="0.3">
      <c r="A2824" s="1" t="s">
        <v>23188</v>
      </c>
      <c r="B2824" s="1" t="str">
        <f>"Jason Frayling Elite Property Services"</f>
        <v>Jason Frayling Elite Property Services</v>
      </c>
      <c r="C2824" s="1" t="s">
        <v>23189</v>
      </c>
      <c r="F2824" s="1" t="s">
        <v>123</v>
      </c>
      <c r="H2824" s="1" t="s">
        <v>23190</v>
      </c>
      <c r="I2824" s="1" t="s">
        <v>5</v>
      </c>
      <c r="J2824" s="1" t="s">
        <v>6</v>
      </c>
      <c r="K2824" s="1" t="s">
        <v>24</v>
      </c>
      <c r="M2824" s="2">
        <v>42997</v>
      </c>
      <c r="N2824" s="1" t="s">
        <v>8</v>
      </c>
      <c r="O2824" s="2">
        <v>44093</v>
      </c>
    </row>
    <row r="2825" spans="1:15" ht="28.8" x14ac:dyDescent="0.3">
      <c r="A2825" s="1" t="s">
        <v>23191</v>
      </c>
      <c r="B2825" s="1" t="str">
        <f>"Nigel Thomas Nigel Thomas"</f>
        <v>Nigel Thomas Nigel Thomas</v>
      </c>
      <c r="C2825" s="1" t="s">
        <v>23192</v>
      </c>
      <c r="F2825" s="1" t="s">
        <v>42</v>
      </c>
      <c r="H2825" s="1" t="s">
        <v>22206</v>
      </c>
      <c r="I2825" s="1" t="s">
        <v>5</v>
      </c>
      <c r="J2825" s="1" t="s">
        <v>6</v>
      </c>
      <c r="K2825" s="1" t="s">
        <v>34</v>
      </c>
      <c r="M2825" s="2">
        <v>42997</v>
      </c>
      <c r="N2825" s="1" t="s">
        <v>8</v>
      </c>
      <c r="O2825" s="2">
        <v>44093</v>
      </c>
    </row>
    <row r="2826" spans="1:15" ht="43.2" x14ac:dyDescent="0.3">
      <c r="A2826" s="1" t="s">
        <v>23193</v>
      </c>
      <c r="B2826" s="1" t="str">
        <f>"richard freeman"</f>
        <v>richard freeman</v>
      </c>
      <c r="C2826" s="1" t="s">
        <v>23194</v>
      </c>
      <c r="D2826" s="1" t="s">
        <v>23195</v>
      </c>
      <c r="E2826" s="1" t="s">
        <v>21772</v>
      </c>
      <c r="F2826" s="1" t="s">
        <v>1058</v>
      </c>
      <c r="H2826" s="1" t="s">
        <v>23196</v>
      </c>
      <c r="I2826" s="1" t="s">
        <v>5</v>
      </c>
      <c r="J2826" s="1" t="s">
        <v>67</v>
      </c>
      <c r="K2826" s="1" t="s">
        <v>14</v>
      </c>
      <c r="M2826" s="2">
        <v>42997</v>
      </c>
      <c r="N2826" s="1" t="s">
        <v>8</v>
      </c>
      <c r="O2826" s="1" t="s">
        <v>68</v>
      </c>
    </row>
    <row r="2827" spans="1:15" ht="43.2" x14ac:dyDescent="0.3">
      <c r="A2827" s="1" t="s">
        <v>23980</v>
      </c>
      <c r="B2827" s="1" t="str">
        <f>"Matt Mchale"</f>
        <v>Matt Mchale</v>
      </c>
      <c r="C2827" s="1" t="s">
        <v>23981</v>
      </c>
      <c r="F2827" s="1" t="s">
        <v>532</v>
      </c>
      <c r="H2827" s="1" t="s">
        <v>23982</v>
      </c>
      <c r="I2827" s="1" t="s">
        <v>5</v>
      </c>
      <c r="J2827" s="1" t="s">
        <v>67</v>
      </c>
      <c r="K2827" s="1" t="s">
        <v>14</v>
      </c>
      <c r="M2827" s="2">
        <v>42997</v>
      </c>
      <c r="N2827" s="1" t="s">
        <v>8</v>
      </c>
      <c r="O2827" s="1" t="s">
        <v>68</v>
      </c>
    </row>
    <row r="2828" spans="1:15" ht="43.2" x14ac:dyDescent="0.3">
      <c r="A2828" s="1" t="s">
        <v>7561</v>
      </c>
      <c r="B2828" s="1" t="str">
        <f>"PERSONAL WASHROOM SOLUTIONS LTD"</f>
        <v>PERSONAL WASHROOM SOLUTIONS LTD</v>
      </c>
      <c r="C2828" s="1" t="s">
        <v>7562</v>
      </c>
      <c r="F2828" s="1" t="s">
        <v>4867</v>
      </c>
      <c r="H2828" s="1" t="s">
        <v>7563</v>
      </c>
      <c r="I2828" s="1" t="s">
        <v>19</v>
      </c>
      <c r="J2828" s="1" t="s">
        <v>6</v>
      </c>
      <c r="K2828" s="1" t="s">
        <v>24</v>
      </c>
      <c r="L2828" s="1">
        <v>6592454</v>
      </c>
      <c r="M2828" s="2">
        <v>42996</v>
      </c>
      <c r="N2828" s="1" t="s">
        <v>8</v>
      </c>
      <c r="O2828" s="2">
        <v>44092</v>
      </c>
    </row>
    <row r="2829" spans="1:15" ht="28.8" x14ac:dyDescent="0.3">
      <c r="A2829" s="1" t="s">
        <v>7564</v>
      </c>
      <c r="B2829" s="1" t="str">
        <f>"L.H. EVANS LTD"</f>
        <v>L.H. EVANS LTD</v>
      </c>
      <c r="C2829" s="1" t="s">
        <v>7565</v>
      </c>
      <c r="F2829" s="1" t="s">
        <v>123</v>
      </c>
      <c r="H2829" s="1" t="s">
        <v>7566</v>
      </c>
      <c r="I2829" s="1" t="s">
        <v>19</v>
      </c>
      <c r="J2829" s="1" t="s">
        <v>6</v>
      </c>
      <c r="K2829" s="1" t="s">
        <v>34</v>
      </c>
      <c r="L2829" s="1">
        <v>1242420</v>
      </c>
      <c r="M2829" s="2">
        <v>42996</v>
      </c>
      <c r="N2829" s="1" t="s">
        <v>8</v>
      </c>
      <c r="O2829" s="2">
        <v>44092</v>
      </c>
    </row>
    <row r="2830" spans="1:15" ht="28.8" x14ac:dyDescent="0.3">
      <c r="A2830" s="1" t="s">
        <v>7567</v>
      </c>
      <c r="B2830" s="1" t="str">
        <f>"Evans &amp; Sons Fixing Services Ltd"</f>
        <v>Evans &amp; Sons Fixing Services Ltd</v>
      </c>
      <c r="C2830" s="1" t="s">
        <v>7568</v>
      </c>
      <c r="F2830" s="1" t="s">
        <v>32</v>
      </c>
      <c r="H2830" s="1" t="s">
        <v>7569</v>
      </c>
      <c r="I2830" s="1" t="s">
        <v>19</v>
      </c>
      <c r="J2830" s="1" t="s">
        <v>6</v>
      </c>
      <c r="K2830" s="1" t="s">
        <v>34</v>
      </c>
      <c r="L2830" s="1">
        <v>10517484</v>
      </c>
      <c r="M2830" s="2">
        <v>42996</v>
      </c>
      <c r="N2830" s="1" t="s">
        <v>8</v>
      </c>
      <c r="O2830" s="2">
        <v>44092</v>
      </c>
    </row>
    <row r="2831" spans="1:15" ht="28.8" x14ac:dyDescent="0.3">
      <c r="A2831" s="1" t="s">
        <v>7570</v>
      </c>
      <c r="B2831" s="1" t="str">
        <f>"Air Conditioning Systems Wales Ltd"</f>
        <v>Air Conditioning Systems Wales Ltd</v>
      </c>
      <c r="C2831" s="1" t="s">
        <v>7571</v>
      </c>
      <c r="D2831" s="1" t="s">
        <v>5091</v>
      </c>
      <c r="E2831" s="1" t="s">
        <v>1839</v>
      </c>
      <c r="F2831" s="1" t="s">
        <v>1093</v>
      </c>
      <c r="H2831" s="1" t="s">
        <v>7572</v>
      </c>
      <c r="I2831" s="1" t="s">
        <v>19</v>
      </c>
      <c r="J2831" s="1" t="s">
        <v>6</v>
      </c>
      <c r="K2831" s="1" t="s">
        <v>24</v>
      </c>
      <c r="L2831" s="1">
        <v>5502827</v>
      </c>
      <c r="M2831" s="2">
        <v>42996</v>
      </c>
      <c r="N2831" s="1" t="s">
        <v>8</v>
      </c>
      <c r="O2831" s="2">
        <v>44092</v>
      </c>
    </row>
    <row r="2832" spans="1:15" x14ac:dyDescent="0.3">
      <c r="A2832" s="1" t="s">
        <v>7573</v>
      </c>
      <c r="B2832" s="1" t="str">
        <f>"CHIMNEYLINE LTD"</f>
        <v>CHIMNEYLINE LTD</v>
      </c>
      <c r="C2832" s="1" t="s">
        <v>7574</v>
      </c>
      <c r="F2832" s="1" t="s">
        <v>710</v>
      </c>
      <c r="H2832" s="1" t="s">
        <v>7575</v>
      </c>
      <c r="I2832" s="1" t="s">
        <v>19</v>
      </c>
      <c r="J2832" s="1" t="s">
        <v>6</v>
      </c>
      <c r="K2832" s="1" t="s">
        <v>24</v>
      </c>
      <c r="L2832" s="1">
        <v>4967772</v>
      </c>
      <c r="M2832" s="2">
        <v>42996</v>
      </c>
      <c r="N2832" s="1" t="s">
        <v>8</v>
      </c>
      <c r="O2832" s="2">
        <v>44092</v>
      </c>
    </row>
    <row r="2833" spans="1:15" ht="28.8" x14ac:dyDescent="0.3">
      <c r="A2833" s="1" t="s">
        <v>8673</v>
      </c>
      <c r="B2833" s="1" t="str">
        <f>"C DAVIES NON FERROUS METALS LTD"</f>
        <v>C DAVIES NON FERROUS METALS LTD</v>
      </c>
      <c r="C2833" s="1" t="s">
        <v>8674</v>
      </c>
      <c r="D2833" s="1" t="s">
        <v>119</v>
      </c>
      <c r="F2833" s="1" t="s">
        <v>6084</v>
      </c>
      <c r="H2833" s="1" t="s">
        <v>3059</v>
      </c>
      <c r="I2833" s="1" t="s">
        <v>19</v>
      </c>
      <c r="J2833" s="1" t="s">
        <v>6</v>
      </c>
      <c r="K2833" s="1" t="s">
        <v>24</v>
      </c>
      <c r="L2833" s="1">
        <v>5452753</v>
      </c>
      <c r="M2833" s="2">
        <v>42996</v>
      </c>
      <c r="N2833" s="1" t="s">
        <v>8</v>
      </c>
      <c r="O2833" s="2">
        <v>44092</v>
      </c>
    </row>
    <row r="2834" spans="1:15" ht="28.8" x14ac:dyDescent="0.3">
      <c r="A2834" s="1" t="s">
        <v>8675</v>
      </c>
      <c r="B2834" s="1" t="str">
        <f>"Katie Lorey"</f>
        <v>Katie Lorey</v>
      </c>
      <c r="C2834" s="1" t="s">
        <v>8676</v>
      </c>
      <c r="F2834" s="1" t="s">
        <v>32</v>
      </c>
      <c r="H2834" s="1" t="s">
        <v>8677</v>
      </c>
      <c r="I2834" s="1" t="s">
        <v>5</v>
      </c>
      <c r="J2834" s="1" t="s">
        <v>6</v>
      </c>
      <c r="K2834" s="1" t="s">
        <v>34</v>
      </c>
      <c r="M2834" s="2">
        <v>42996</v>
      </c>
      <c r="N2834" s="1" t="s">
        <v>8</v>
      </c>
      <c r="O2834" s="2">
        <v>44091</v>
      </c>
    </row>
    <row r="2835" spans="1:15" ht="43.2" x14ac:dyDescent="0.3">
      <c r="A2835" s="1" t="s">
        <v>8678</v>
      </c>
      <c r="B2835" s="1" t="str">
        <f>"j birch"</f>
        <v>j birch</v>
      </c>
      <c r="C2835" s="1" t="s">
        <v>8679</v>
      </c>
      <c r="F2835" s="1" t="s">
        <v>37</v>
      </c>
      <c r="H2835" s="1" t="s">
        <v>8220</v>
      </c>
      <c r="I2835" s="1" t="s">
        <v>188</v>
      </c>
      <c r="J2835" s="1" t="s">
        <v>67</v>
      </c>
      <c r="K2835" s="1" t="s">
        <v>14</v>
      </c>
      <c r="M2835" s="2">
        <v>42996</v>
      </c>
      <c r="N2835" s="1" t="s">
        <v>8</v>
      </c>
      <c r="O2835" s="1" t="s">
        <v>68</v>
      </c>
    </row>
    <row r="2836" spans="1:15" ht="28.8" x14ac:dyDescent="0.3">
      <c r="A2836" s="1" t="s">
        <v>8680</v>
      </c>
      <c r="B2836" s="1" t="str">
        <f>"Gryson Air Conditioning Equip Ltd"</f>
        <v>Gryson Air Conditioning Equip Ltd</v>
      </c>
      <c r="C2836" s="1" t="s">
        <v>4853</v>
      </c>
      <c r="F2836" s="1" t="s">
        <v>1341</v>
      </c>
      <c r="H2836" s="1" t="s">
        <v>4854</v>
      </c>
      <c r="I2836" s="1" t="s">
        <v>19</v>
      </c>
      <c r="J2836" s="1" t="s">
        <v>6</v>
      </c>
      <c r="K2836" s="1" t="s">
        <v>34</v>
      </c>
      <c r="L2836" s="1">
        <v>4033228</v>
      </c>
      <c r="M2836" s="2">
        <v>42996</v>
      </c>
      <c r="N2836" s="1" t="s">
        <v>8</v>
      </c>
      <c r="O2836" s="2">
        <v>44092</v>
      </c>
    </row>
    <row r="2837" spans="1:15" ht="43.2" x14ac:dyDescent="0.3">
      <c r="A2837" s="1" t="s">
        <v>8681</v>
      </c>
      <c r="B2837" s="1" t="str">
        <f>"Sonny wright"</f>
        <v>Sonny wright</v>
      </c>
      <c r="C2837" s="1" t="s">
        <v>8682</v>
      </c>
      <c r="F2837" s="1" t="s">
        <v>42</v>
      </c>
      <c r="H2837" s="1" t="s">
        <v>8683</v>
      </c>
      <c r="I2837" s="1" t="s">
        <v>188</v>
      </c>
      <c r="J2837" s="1" t="s">
        <v>67</v>
      </c>
      <c r="K2837" s="1" t="s">
        <v>14</v>
      </c>
      <c r="M2837" s="2">
        <v>42996</v>
      </c>
      <c r="N2837" s="1" t="s">
        <v>8</v>
      </c>
      <c r="O2837" s="1" t="s">
        <v>68</v>
      </c>
    </row>
    <row r="2838" spans="1:15" ht="43.2" x14ac:dyDescent="0.3">
      <c r="A2838" s="1" t="s">
        <v>21626</v>
      </c>
      <c r="B2838" s="1" t="str">
        <f>"Mark Burton"</f>
        <v>Mark Burton</v>
      </c>
      <c r="C2838" s="1" t="s">
        <v>21627</v>
      </c>
      <c r="F2838" s="1" t="s">
        <v>1206</v>
      </c>
      <c r="H2838" s="1" t="s">
        <v>21628</v>
      </c>
      <c r="I2838" s="1" t="s">
        <v>5</v>
      </c>
      <c r="J2838" s="1" t="s">
        <v>67</v>
      </c>
      <c r="K2838" s="1" t="s">
        <v>14</v>
      </c>
      <c r="M2838" s="2">
        <v>42996</v>
      </c>
      <c r="N2838" s="1" t="s">
        <v>8</v>
      </c>
      <c r="O2838" s="1" t="s">
        <v>68</v>
      </c>
    </row>
    <row r="2839" spans="1:15" ht="28.8" x14ac:dyDescent="0.3">
      <c r="A2839" s="1" t="s">
        <v>21629</v>
      </c>
      <c r="B2839" s="1" t="str">
        <f>"Thomas Davies Hightop Roofing"</f>
        <v>Thomas Davies Hightop Roofing</v>
      </c>
      <c r="C2839" s="1" t="s">
        <v>21630</v>
      </c>
      <c r="F2839" s="1" t="s">
        <v>64</v>
      </c>
      <c r="H2839" s="1" t="s">
        <v>21631</v>
      </c>
      <c r="I2839" s="1" t="s">
        <v>5</v>
      </c>
      <c r="J2839" s="1" t="s">
        <v>6</v>
      </c>
      <c r="K2839" s="1" t="s">
        <v>34</v>
      </c>
      <c r="M2839" s="2">
        <v>42996</v>
      </c>
      <c r="N2839" s="1" t="s">
        <v>8</v>
      </c>
      <c r="O2839" s="2">
        <v>44092</v>
      </c>
    </row>
    <row r="2840" spans="1:15" ht="28.8" x14ac:dyDescent="0.3">
      <c r="A2840" s="1" t="s">
        <v>22465</v>
      </c>
      <c r="B2840" s="1" t="str">
        <f>"Mark French Yes Cleaning Specialists UK"</f>
        <v>Mark French Yes Cleaning Specialists UK</v>
      </c>
      <c r="C2840" s="1" t="s">
        <v>22466</v>
      </c>
      <c r="D2840" s="1" t="s">
        <v>20648</v>
      </c>
      <c r="F2840" s="1" t="s">
        <v>123</v>
      </c>
      <c r="G2840" s="1" t="s">
        <v>156</v>
      </c>
      <c r="H2840" s="1" t="s">
        <v>20649</v>
      </c>
      <c r="I2840" s="1" t="s">
        <v>5</v>
      </c>
      <c r="J2840" s="1" t="s">
        <v>6</v>
      </c>
      <c r="K2840" s="1" t="s">
        <v>34</v>
      </c>
      <c r="M2840" s="2">
        <v>42996</v>
      </c>
      <c r="N2840" s="1" t="s">
        <v>8</v>
      </c>
      <c r="O2840" s="2">
        <v>44091</v>
      </c>
    </row>
    <row r="2841" spans="1:15" ht="28.8" x14ac:dyDescent="0.3">
      <c r="A2841" s="1" t="s">
        <v>22467</v>
      </c>
      <c r="B2841" s="1" t="str">
        <f>"daniel smith dls services"</f>
        <v>daniel smith dls services</v>
      </c>
      <c r="C2841" s="1" t="s">
        <v>22468</v>
      </c>
      <c r="F2841" s="1" t="s">
        <v>123</v>
      </c>
      <c r="H2841" s="1" t="s">
        <v>22469</v>
      </c>
      <c r="I2841" s="1" t="s">
        <v>5</v>
      </c>
      <c r="J2841" s="1" t="s">
        <v>6</v>
      </c>
      <c r="K2841" s="1" t="s">
        <v>34</v>
      </c>
      <c r="M2841" s="2">
        <v>42996</v>
      </c>
      <c r="N2841" s="1" t="s">
        <v>8</v>
      </c>
      <c r="O2841" s="2">
        <v>44092</v>
      </c>
    </row>
    <row r="2842" spans="1:15" ht="28.8" x14ac:dyDescent="0.3">
      <c r="A2842" s="1" t="s">
        <v>22470</v>
      </c>
      <c r="B2842" s="1" t="str">
        <f>"Martin Dymmock MC Dymmock"</f>
        <v>Martin Dymmock MC Dymmock</v>
      </c>
      <c r="C2842" s="1" t="s">
        <v>22471</v>
      </c>
      <c r="F2842" s="1" t="s">
        <v>277</v>
      </c>
      <c r="H2842" s="1" t="s">
        <v>22472</v>
      </c>
      <c r="I2842" s="1" t="s">
        <v>5</v>
      </c>
      <c r="J2842" s="1" t="s">
        <v>6</v>
      </c>
      <c r="K2842" s="1" t="s">
        <v>24</v>
      </c>
      <c r="M2842" s="2">
        <v>42996</v>
      </c>
      <c r="N2842" s="1" t="s">
        <v>8</v>
      </c>
      <c r="O2842" s="2">
        <v>44092</v>
      </c>
    </row>
    <row r="2843" spans="1:15" ht="43.2" x14ac:dyDescent="0.3">
      <c r="A2843" s="1" t="s">
        <v>23173</v>
      </c>
      <c r="B2843" s="1" t="str">
        <f>"Paul Young"</f>
        <v>Paul Young</v>
      </c>
      <c r="C2843" s="1" t="s">
        <v>23174</v>
      </c>
      <c r="F2843" s="1" t="s">
        <v>23175</v>
      </c>
      <c r="H2843" s="1" t="s">
        <v>23176</v>
      </c>
      <c r="I2843" s="1" t="s">
        <v>5</v>
      </c>
      <c r="J2843" s="1" t="s">
        <v>67</v>
      </c>
      <c r="K2843" s="1" t="s">
        <v>14</v>
      </c>
      <c r="M2843" s="2">
        <v>42996</v>
      </c>
      <c r="N2843" s="1" t="s">
        <v>8</v>
      </c>
      <c r="O2843" s="1" t="s">
        <v>68</v>
      </c>
    </row>
    <row r="2844" spans="1:15" ht="28.8" x14ac:dyDescent="0.3">
      <c r="A2844" s="1" t="s">
        <v>7545</v>
      </c>
      <c r="B2844" s="1" t="str">
        <f>"GO WITH THE FLO REMOVALS "</f>
        <v xml:space="preserve">GO WITH THE FLO REMOVALS </v>
      </c>
      <c r="C2844" s="1" t="s">
        <v>7546</v>
      </c>
      <c r="F2844" s="1" t="s">
        <v>123</v>
      </c>
      <c r="H2844" s="1" t="s">
        <v>7547</v>
      </c>
      <c r="I2844" s="1" t="s">
        <v>19</v>
      </c>
      <c r="J2844" s="1" t="s">
        <v>6</v>
      </c>
      <c r="K2844" s="1" t="s">
        <v>24</v>
      </c>
      <c r="L2844" s="1">
        <v>10652782</v>
      </c>
      <c r="M2844" s="2">
        <v>42995</v>
      </c>
      <c r="N2844" s="1" t="s">
        <v>8</v>
      </c>
      <c r="O2844" s="2">
        <v>44091</v>
      </c>
    </row>
    <row r="2845" spans="1:15" ht="28.8" x14ac:dyDescent="0.3">
      <c r="A2845" s="1" t="s">
        <v>7548</v>
      </c>
      <c r="B2845" s="1" t="str">
        <f>"Delaw General Builders"</f>
        <v>Delaw General Builders</v>
      </c>
      <c r="C2845" s="1" t="s">
        <v>7549</v>
      </c>
      <c r="F2845" s="1" t="s">
        <v>156</v>
      </c>
      <c r="H2845" s="1" t="s">
        <v>7550</v>
      </c>
      <c r="I2845" s="1" t="s">
        <v>19</v>
      </c>
      <c r="J2845" s="1" t="s">
        <v>6</v>
      </c>
      <c r="K2845" s="1" t="s">
        <v>34</v>
      </c>
      <c r="L2845" s="1">
        <v>7231893</v>
      </c>
      <c r="M2845" s="2">
        <v>42995</v>
      </c>
      <c r="N2845" s="1" t="s">
        <v>8</v>
      </c>
      <c r="O2845" s="2">
        <v>44091</v>
      </c>
    </row>
    <row r="2846" spans="1:15" ht="28.8" x14ac:dyDescent="0.3">
      <c r="A2846" s="1" t="s">
        <v>7551</v>
      </c>
      <c r="B2846" s="1" t="str">
        <f>"360 Timber Services Limited"</f>
        <v>360 Timber Services Limited</v>
      </c>
      <c r="C2846" s="1" t="s">
        <v>7552</v>
      </c>
      <c r="F2846" s="1" t="s">
        <v>897</v>
      </c>
      <c r="H2846" s="1" t="s">
        <v>7553</v>
      </c>
      <c r="I2846" s="1" t="s">
        <v>19</v>
      </c>
      <c r="J2846" s="1" t="s">
        <v>6</v>
      </c>
      <c r="K2846" s="1" t="s">
        <v>34</v>
      </c>
      <c r="L2846" s="1">
        <v>10345494</v>
      </c>
      <c r="M2846" s="2">
        <v>42995</v>
      </c>
      <c r="N2846" s="1" t="s">
        <v>8</v>
      </c>
      <c r="O2846" s="2">
        <v>44091</v>
      </c>
    </row>
    <row r="2847" spans="1:15" ht="43.2" x14ac:dyDescent="0.3">
      <c r="A2847" s="1" t="s">
        <v>7554</v>
      </c>
      <c r="B2847" s="1" t="str">
        <f>"Ultimate Tinting South Wales "</f>
        <v xml:space="preserve">Ultimate Tinting South Wales </v>
      </c>
      <c r="C2847" s="1" t="s">
        <v>7555</v>
      </c>
      <c r="F2847" s="1" t="s">
        <v>1058</v>
      </c>
      <c r="H2847" s="1" t="s">
        <v>7556</v>
      </c>
      <c r="I2847" s="1" t="s">
        <v>125</v>
      </c>
      <c r="J2847" s="1" t="s">
        <v>67</v>
      </c>
      <c r="K2847" s="1" t="s">
        <v>14</v>
      </c>
      <c r="M2847" s="2">
        <v>42995</v>
      </c>
      <c r="N2847" s="1" t="s">
        <v>8</v>
      </c>
      <c r="O2847" s="1" t="s">
        <v>68</v>
      </c>
    </row>
    <row r="2848" spans="1:15" ht="43.2" x14ac:dyDescent="0.3">
      <c r="A2848" s="1" t="s">
        <v>7557</v>
      </c>
      <c r="B2848" s="1" t="str">
        <f>"Rh autos limited "</f>
        <v xml:space="preserve">Rh autos limited </v>
      </c>
      <c r="C2848" s="1" t="s">
        <v>7558</v>
      </c>
      <c r="F2848" s="1" t="s">
        <v>7559</v>
      </c>
      <c r="H2848" s="1" t="s">
        <v>7560</v>
      </c>
      <c r="I2848" s="1" t="s">
        <v>19</v>
      </c>
      <c r="J2848" s="1" t="s">
        <v>67</v>
      </c>
      <c r="K2848" s="1" t="s">
        <v>14</v>
      </c>
      <c r="M2848" s="2">
        <v>42995</v>
      </c>
      <c r="N2848" s="1" t="s">
        <v>8</v>
      </c>
      <c r="O2848" s="1" t="s">
        <v>68</v>
      </c>
    </row>
    <row r="2849" spans="1:15" ht="43.2" x14ac:dyDescent="0.3">
      <c r="A2849" s="1" t="s">
        <v>21624</v>
      </c>
      <c r="B2849" s="1" t="str">
        <f>"ryan mcginty groundman"</f>
        <v>ryan mcginty groundman</v>
      </c>
      <c r="C2849" s="1" t="s">
        <v>21625</v>
      </c>
      <c r="D2849" s="1" t="s">
        <v>3161</v>
      </c>
      <c r="F2849" s="1" t="s">
        <v>56</v>
      </c>
      <c r="H2849" s="1" t="s">
        <v>11121</v>
      </c>
      <c r="I2849" s="1" t="s">
        <v>5</v>
      </c>
      <c r="J2849" s="1" t="s">
        <v>67</v>
      </c>
      <c r="K2849" s="1" t="s">
        <v>24</v>
      </c>
      <c r="M2849" s="2">
        <v>42995</v>
      </c>
      <c r="N2849" s="1" t="s">
        <v>8</v>
      </c>
      <c r="O2849" s="1" t="s">
        <v>68</v>
      </c>
    </row>
    <row r="2850" spans="1:15" ht="28.8" x14ac:dyDescent="0.3">
      <c r="A2850" s="1" t="s">
        <v>7541</v>
      </c>
      <c r="B2850" s="1" t="str">
        <f>"DYLAN EVANS ADEILADWR CYF"</f>
        <v>DYLAN EVANS ADEILADWR CYF</v>
      </c>
      <c r="C2850" s="1" t="s">
        <v>7542</v>
      </c>
      <c r="F2850" s="1" t="s">
        <v>7543</v>
      </c>
      <c r="H2850" s="1" t="s">
        <v>7544</v>
      </c>
      <c r="I2850" s="1" t="s">
        <v>19</v>
      </c>
      <c r="J2850" s="1" t="s">
        <v>6</v>
      </c>
      <c r="K2850" s="1" t="s">
        <v>34</v>
      </c>
      <c r="L2850" s="1">
        <v>7505314</v>
      </c>
      <c r="M2850" s="2">
        <v>42994</v>
      </c>
      <c r="N2850" s="1" t="s">
        <v>8</v>
      </c>
      <c r="O2850" s="2">
        <v>44090</v>
      </c>
    </row>
    <row r="2851" spans="1:15" ht="43.2" x14ac:dyDescent="0.3">
      <c r="A2851" s="1" t="s">
        <v>21621</v>
      </c>
      <c r="B2851" s="1" t="str">
        <f>"Philip White"</f>
        <v>Philip White</v>
      </c>
      <c r="C2851" s="1" t="s">
        <v>21622</v>
      </c>
      <c r="F2851" s="1" t="s">
        <v>930</v>
      </c>
      <c r="H2851" s="1" t="s">
        <v>21623</v>
      </c>
      <c r="I2851" s="1" t="s">
        <v>5</v>
      </c>
      <c r="J2851" s="1" t="s">
        <v>67</v>
      </c>
      <c r="K2851" s="1" t="s">
        <v>14</v>
      </c>
      <c r="M2851" s="2">
        <v>42994</v>
      </c>
      <c r="N2851" s="1" t="s">
        <v>8</v>
      </c>
      <c r="O2851" s="1" t="s">
        <v>68</v>
      </c>
    </row>
    <row r="2852" spans="1:15" ht="28.8" x14ac:dyDescent="0.3">
      <c r="A2852" s="1" t="s">
        <v>6494</v>
      </c>
      <c r="B2852" s="1" t="str">
        <f>"Natural UK Ltd"</f>
        <v>Natural UK Ltd</v>
      </c>
      <c r="C2852" s="1" t="s">
        <v>6495</v>
      </c>
      <c r="D2852" s="1" t="s">
        <v>1404</v>
      </c>
      <c r="F2852" s="1" t="s">
        <v>665</v>
      </c>
      <c r="H2852" s="1" t="s">
        <v>2163</v>
      </c>
      <c r="I2852" s="1" t="s">
        <v>19</v>
      </c>
      <c r="J2852" s="1" t="s">
        <v>6</v>
      </c>
      <c r="K2852" s="1" t="s">
        <v>34</v>
      </c>
      <c r="L2852" s="1">
        <v>4722956</v>
      </c>
      <c r="M2852" s="2">
        <v>42993</v>
      </c>
      <c r="N2852" s="1" t="s">
        <v>8</v>
      </c>
      <c r="O2852" s="2">
        <v>44089</v>
      </c>
    </row>
    <row r="2853" spans="1:15" ht="28.8" x14ac:dyDescent="0.3">
      <c r="A2853" s="1" t="s">
        <v>6496</v>
      </c>
      <c r="B2853" s="1" t="str">
        <f>"Conformance Landscaping Wales Ltd"</f>
        <v>Conformance Landscaping Wales Ltd</v>
      </c>
      <c r="C2853" s="1" t="s">
        <v>6497</v>
      </c>
      <c r="F2853" s="1" t="s">
        <v>42</v>
      </c>
      <c r="H2853" s="1" t="s">
        <v>6498</v>
      </c>
      <c r="I2853" s="1" t="s">
        <v>19</v>
      </c>
      <c r="J2853" s="1" t="s">
        <v>6</v>
      </c>
      <c r="K2853" s="1" t="s">
        <v>34</v>
      </c>
      <c r="L2853" s="1">
        <v>10884721</v>
      </c>
      <c r="M2853" s="2">
        <v>42993</v>
      </c>
      <c r="N2853" s="1" t="s">
        <v>8</v>
      </c>
      <c r="O2853" s="2">
        <v>44089</v>
      </c>
    </row>
    <row r="2854" spans="1:15" ht="43.2" x14ac:dyDescent="0.3">
      <c r="A2854" s="1" t="s">
        <v>6499</v>
      </c>
      <c r="B2854" s="1" t="str">
        <f>"REES AGRI EQUIPMENT LTD"</f>
        <v>REES AGRI EQUIPMENT LTD</v>
      </c>
      <c r="C2854" s="1" t="s">
        <v>6500</v>
      </c>
      <c r="F2854" s="1" t="s">
        <v>1206</v>
      </c>
      <c r="H2854" s="1" t="s">
        <v>6501</v>
      </c>
      <c r="I2854" s="1" t="s">
        <v>19</v>
      </c>
      <c r="J2854" s="1" t="s">
        <v>67</v>
      </c>
      <c r="K2854" s="1" t="s">
        <v>14</v>
      </c>
      <c r="M2854" s="2">
        <v>42993</v>
      </c>
      <c r="N2854" s="1" t="s">
        <v>8</v>
      </c>
      <c r="O2854" s="1" t="s">
        <v>68</v>
      </c>
    </row>
    <row r="2855" spans="1:15" x14ac:dyDescent="0.3">
      <c r="A2855" s="1" t="s">
        <v>7516</v>
      </c>
      <c r="B2855" s="1" t="str">
        <f>"JD Marine &amp; Sons"</f>
        <v>JD Marine &amp; Sons</v>
      </c>
      <c r="C2855" s="1" t="s">
        <v>7517</v>
      </c>
      <c r="F2855" s="1" t="s">
        <v>1351</v>
      </c>
      <c r="H2855" s="1" t="s">
        <v>7518</v>
      </c>
      <c r="I2855" s="1" t="s">
        <v>19</v>
      </c>
      <c r="J2855" s="1" t="s">
        <v>6</v>
      </c>
      <c r="K2855" s="1" t="s">
        <v>24</v>
      </c>
      <c r="L2855" s="1">
        <v>8142732</v>
      </c>
      <c r="M2855" s="2">
        <v>42993</v>
      </c>
      <c r="N2855" s="1" t="s">
        <v>8</v>
      </c>
      <c r="O2855" s="2">
        <v>44089</v>
      </c>
    </row>
    <row r="2856" spans="1:15" ht="28.8" x14ac:dyDescent="0.3">
      <c r="A2856" s="1" t="s">
        <v>7519</v>
      </c>
      <c r="B2856" s="1" t="str">
        <f>"Unicorn Southern LTD"</f>
        <v>Unicorn Southern LTD</v>
      </c>
      <c r="C2856" s="1" t="s">
        <v>7520</v>
      </c>
      <c r="D2856" s="1" t="s">
        <v>7521</v>
      </c>
      <c r="E2856" s="1" t="s">
        <v>564</v>
      </c>
      <c r="F2856" s="1" t="s">
        <v>179</v>
      </c>
      <c r="H2856" s="1" t="s">
        <v>7522</v>
      </c>
      <c r="I2856" s="1" t="s">
        <v>19</v>
      </c>
      <c r="J2856" s="1" t="s">
        <v>6</v>
      </c>
      <c r="K2856" s="1" t="s">
        <v>24</v>
      </c>
      <c r="L2856" s="1">
        <v>2508652</v>
      </c>
      <c r="M2856" s="2">
        <v>42993</v>
      </c>
      <c r="N2856" s="1" t="s">
        <v>8</v>
      </c>
      <c r="O2856" s="2">
        <v>44089</v>
      </c>
    </row>
    <row r="2857" spans="1:15" ht="43.2" x14ac:dyDescent="0.3">
      <c r="A2857" s="1" t="s">
        <v>7523</v>
      </c>
      <c r="B2857" s="1" t="str">
        <f>"MONMOUTHSHIRE HOUSING ASSOCIATION LIMITED"</f>
        <v>MONMOUTHSHIRE HOUSING ASSOCIATION LIMITED</v>
      </c>
      <c r="C2857" s="1" t="s">
        <v>4049</v>
      </c>
      <c r="D2857" s="1" t="s">
        <v>4050</v>
      </c>
      <c r="F2857" s="1" t="s">
        <v>1058</v>
      </c>
      <c r="H2857" s="1" t="s">
        <v>4051</v>
      </c>
      <c r="I2857" s="1" t="s">
        <v>125</v>
      </c>
      <c r="J2857" s="1" t="s">
        <v>6</v>
      </c>
      <c r="K2857" s="1" t="s">
        <v>24</v>
      </c>
      <c r="L2857" s="1" t="s">
        <v>4052</v>
      </c>
      <c r="M2857" s="2">
        <v>42993</v>
      </c>
      <c r="N2857" s="1" t="s">
        <v>8</v>
      </c>
      <c r="O2857" s="2">
        <v>44089</v>
      </c>
    </row>
    <row r="2858" spans="1:15" x14ac:dyDescent="0.3">
      <c r="A2858" s="1" t="s">
        <v>7524</v>
      </c>
      <c r="B2858" s="1" t="str">
        <f>"Derfacilities"</f>
        <v>Derfacilities</v>
      </c>
      <c r="C2858" s="1" t="s">
        <v>7525</v>
      </c>
      <c r="F2858" s="1" t="s">
        <v>32</v>
      </c>
      <c r="H2858" s="1" t="s">
        <v>7526</v>
      </c>
      <c r="I2858" s="1" t="s">
        <v>19</v>
      </c>
      <c r="J2858" s="1" t="s">
        <v>6</v>
      </c>
      <c r="K2858" s="1" t="s">
        <v>24</v>
      </c>
      <c r="L2858" s="1">
        <v>10661196</v>
      </c>
      <c r="M2858" s="2">
        <v>42993</v>
      </c>
      <c r="N2858" s="1" t="s">
        <v>8</v>
      </c>
      <c r="O2858" s="2">
        <v>44089</v>
      </c>
    </row>
    <row r="2859" spans="1:15" ht="43.2" x14ac:dyDescent="0.3">
      <c r="A2859" s="1" t="s">
        <v>7527</v>
      </c>
      <c r="B2859" s="1" t="str">
        <f>"First Encounters Ultrasound Ltd"</f>
        <v>First Encounters Ultrasound Ltd</v>
      </c>
      <c r="C2859" s="1" t="s">
        <v>7528</v>
      </c>
      <c r="D2859" s="1" t="s">
        <v>7529</v>
      </c>
      <c r="E2859" s="1" t="s">
        <v>7530</v>
      </c>
      <c r="F2859" s="1" t="s">
        <v>5459</v>
      </c>
      <c r="H2859" s="1" t="s">
        <v>7531</v>
      </c>
      <c r="I2859" s="1" t="s">
        <v>19</v>
      </c>
      <c r="J2859" s="1" t="s">
        <v>67</v>
      </c>
      <c r="K2859" s="1" t="s">
        <v>14</v>
      </c>
      <c r="M2859" s="2">
        <v>42993</v>
      </c>
      <c r="N2859" s="1" t="s">
        <v>8</v>
      </c>
      <c r="O2859" s="1" t="s">
        <v>68</v>
      </c>
    </row>
    <row r="2860" spans="1:15" ht="43.2" x14ac:dyDescent="0.3">
      <c r="A2860" s="1" t="s">
        <v>7532</v>
      </c>
      <c r="B2860" s="1" t="str">
        <f>"GATEWAY CARAVAN PARK LTD"</f>
        <v>GATEWAY CARAVAN PARK LTD</v>
      </c>
      <c r="C2860" s="1" t="s">
        <v>7533</v>
      </c>
      <c r="F2860" s="1" t="s">
        <v>42</v>
      </c>
      <c r="H2860" s="1" t="s">
        <v>7534</v>
      </c>
      <c r="I2860" s="1" t="s">
        <v>19</v>
      </c>
      <c r="J2860" s="1" t="s">
        <v>67</v>
      </c>
      <c r="K2860" s="1" t="s">
        <v>24</v>
      </c>
      <c r="L2860" s="1">
        <v>5455757</v>
      </c>
      <c r="M2860" s="2">
        <v>42993</v>
      </c>
      <c r="N2860" s="1" t="s">
        <v>8</v>
      </c>
      <c r="O2860" s="1" t="s">
        <v>68</v>
      </c>
    </row>
    <row r="2861" spans="1:15" ht="28.8" x14ac:dyDescent="0.3">
      <c r="A2861" s="1" t="s">
        <v>7535</v>
      </c>
      <c r="B2861" s="1" t="str">
        <f>"SMW Maintenance &amp; Building Ltd"</f>
        <v>SMW Maintenance &amp; Building Ltd</v>
      </c>
      <c r="C2861" s="1" t="s">
        <v>7536</v>
      </c>
      <c r="D2861" s="1" t="s">
        <v>7537</v>
      </c>
      <c r="E2861" s="1" t="s">
        <v>7538</v>
      </c>
      <c r="F2861" s="1" t="s">
        <v>7539</v>
      </c>
      <c r="H2861" s="1" t="s">
        <v>7540</v>
      </c>
      <c r="I2861" s="1" t="s">
        <v>19</v>
      </c>
      <c r="J2861" s="1" t="s">
        <v>6</v>
      </c>
      <c r="K2861" s="1" t="s">
        <v>34</v>
      </c>
      <c r="L2861" s="1">
        <v>8167609</v>
      </c>
      <c r="M2861" s="2">
        <v>42993</v>
      </c>
      <c r="N2861" s="1" t="s">
        <v>8</v>
      </c>
      <c r="O2861" s="2">
        <v>44089</v>
      </c>
    </row>
    <row r="2862" spans="1:15" ht="28.8" x14ac:dyDescent="0.3">
      <c r="A2862" s="1" t="s">
        <v>20845</v>
      </c>
      <c r="B2862" s="1" t="str">
        <f>"david parkes whites removals"</f>
        <v>david parkes whites removals</v>
      </c>
      <c r="C2862" s="1" t="s">
        <v>20846</v>
      </c>
      <c r="D2862" s="1" t="s">
        <v>2652</v>
      </c>
      <c r="F2862" s="1" t="s">
        <v>374</v>
      </c>
      <c r="H2862" s="1" t="s">
        <v>20847</v>
      </c>
      <c r="I2862" s="1" t="s">
        <v>5</v>
      </c>
      <c r="J2862" s="1" t="s">
        <v>6</v>
      </c>
      <c r="K2862" s="1" t="s">
        <v>24</v>
      </c>
      <c r="M2862" s="2">
        <v>42993</v>
      </c>
      <c r="N2862" s="1" t="s">
        <v>8</v>
      </c>
      <c r="O2862" s="2">
        <v>44089</v>
      </c>
    </row>
    <row r="2863" spans="1:15" ht="43.2" x14ac:dyDescent="0.3">
      <c r="A2863" s="1" t="s">
        <v>20848</v>
      </c>
      <c r="B2863" s="1" t="str">
        <f>"Mahmudur Rashid "</f>
        <v xml:space="preserve">Mahmudur Rashid </v>
      </c>
      <c r="C2863" s="1" t="s">
        <v>20849</v>
      </c>
      <c r="F2863" s="1" t="s">
        <v>20850</v>
      </c>
      <c r="H2863" s="1" t="s">
        <v>20851</v>
      </c>
      <c r="I2863" s="1" t="s">
        <v>5</v>
      </c>
      <c r="J2863" s="1" t="s">
        <v>67</v>
      </c>
      <c r="K2863" s="1" t="s">
        <v>14</v>
      </c>
      <c r="M2863" s="2">
        <v>42993</v>
      </c>
      <c r="N2863" s="1" t="s">
        <v>8</v>
      </c>
      <c r="O2863" s="1" t="s">
        <v>68</v>
      </c>
    </row>
    <row r="2864" spans="1:15" ht="28.8" x14ac:dyDescent="0.3">
      <c r="A2864" s="1" t="s">
        <v>20852</v>
      </c>
      <c r="B2864" s="1" t="str">
        <f>"Luke Muir Dragon scrap car collection "</f>
        <v xml:space="preserve">Luke Muir Dragon scrap car collection </v>
      </c>
      <c r="C2864" s="1" t="s">
        <v>20853</v>
      </c>
      <c r="F2864" s="1" t="s">
        <v>354</v>
      </c>
      <c r="H2864" s="1" t="s">
        <v>20854</v>
      </c>
      <c r="I2864" s="1" t="s">
        <v>5</v>
      </c>
      <c r="J2864" s="1" t="s">
        <v>6</v>
      </c>
      <c r="K2864" s="1" t="s">
        <v>24</v>
      </c>
      <c r="M2864" s="2">
        <v>42993</v>
      </c>
      <c r="N2864" s="1" t="s">
        <v>8</v>
      </c>
      <c r="O2864" s="2">
        <v>44089</v>
      </c>
    </row>
    <row r="2865" spans="1:15" ht="28.8" x14ac:dyDescent="0.3">
      <c r="A2865" s="1" t="s">
        <v>20855</v>
      </c>
      <c r="B2865" s="1" t="str">
        <f>"Fern Bewey Fern's Rubbish Removals"</f>
        <v>Fern Bewey Fern's Rubbish Removals</v>
      </c>
      <c r="C2865" s="1" t="s">
        <v>20856</v>
      </c>
      <c r="F2865" s="1" t="s">
        <v>706</v>
      </c>
      <c r="H2865" s="1" t="s">
        <v>20857</v>
      </c>
      <c r="I2865" s="1" t="s">
        <v>5</v>
      </c>
      <c r="J2865" s="1" t="s">
        <v>6</v>
      </c>
      <c r="K2865" s="1" t="s">
        <v>24</v>
      </c>
      <c r="M2865" s="2">
        <v>42993</v>
      </c>
      <c r="N2865" s="1" t="s">
        <v>8</v>
      </c>
      <c r="O2865" s="2">
        <v>44089</v>
      </c>
    </row>
    <row r="2866" spans="1:15" ht="28.8" x14ac:dyDescent="0.3">
      <c r="A2866" s="1" t="s">
        <v>20858</v>
      </c>
      <c r="B2866" s="1" t="str">
        <f>"Lee Moreton Moreton Landscapes"</f>
        <v>Lee Moreton Moreton Landscapes</v>
      </c>
      <c r="C2866" s="1" t="s">
        <v>20859</v>
      </c>
      <c r="F2866" s="1" t="s">
        <v>123</v>
      </c>
      <c r="H2866" s="1" t="s">
        <v>20860</v>
      </c>
      <c r="I2866" s="1" t="s">
        <v>5</v>
      </c>
      <c r="J2866" s="1" t="s">
        <v>6</v>
      </c>
      <c r="K2866" s="1" t="s">
        <v>24</v>
      </c>
      <c r="M2866" s="2">
        <v>42993</v>
      </c>
      <c r="N2866" s="1" t="s">
        <v>8</v>
      </c>
      <c r="O2866" s="2">
        <v>44089</v>
      </c>
    </row>
    <row r="2867" spans="1:15" ht="43.2" x14ac:dyDescent="0.3">
      <c r="A2867" s="1" t="s">
        <v>21618</v>
      </c>
      <c r="B2867" s="1" t="str">
        <f>"Vivienne Davies Caerphilly and District Hunt"</f>
        <v>Vivienne Davies Caerphilly and District Hunt</v>
      </c>
      <c r="C2867" s="1" t="s">
        <v>21619</v>
      </c>
      <c r="F2867" s="1" t="s">
        <v>1093</v>
      </c>
      <c r="H2867" s="1" t="s">
        <v>21620</v>
      </c>
      <c r="I2867" s="1" t="s">
        <v>5</v>
      </c>
      <c r="J2867" s="1" t="s">
        <v>6</v>
      </c>
      <c r="K2867" s="1" t="s">
        <v>24</v>
      </c>
      <c r="M2867" s="2">
        <v>42993</v>
      </c>
      <c r="N2867" s="1" t="s">
        <v>8</v>
      </c>
      <c r="O2867" s="2">
        <v>44089</v>
      </c>
    </row>
    <row r="2868" spans="1:15" ht="28.8" x14ac:dyDescent="0.3">
      <c r="A2868" s="1" t="s">
        <v>5236</v>
      </c>
      <c r="B2868" s="1" t="str">
        <f>"New Road Garage (Llandovery) Ltd"</f>
        <v>New Road Garage (Llandovery) Ltd</v>
      </c>
      <c r="C2868" s="1" t="s">
        <v>5237</v>
      </c>
      <c r="F2868" s="1" t="s">
        <v>1638</v>
      </c>
      <c r="H2868" s="1" t="s">
        <v>5238</v>
      </c>
      <c r="I2868" s="1" t="s">
        <v>19</v>
      </c>
      <c r="J2868" s="1" t="s">
        <v>6</v>
      </c>
      <c r="K2868" s="1" t="s">
        <v>34</v>
      </c>
      <c r="L2868" s="1">
        <v>5349616</v>
      </c>
      <c r="M2868" s="2">
        <v>42992</v>
      </c>
      <c r="N2868" s="1" t="s">
        <v>8</v>
      </c>
      <c r="O2868" s="2">
        <v>44088</v>
      </c>
    </row>
    <row r="2869" spans="1:15" ht="28.8" x14ac:dyDescent="0.3">
      <c r="A2869" s="1" t="s">
        <v>5239</v>
      </c>
      <c r="B2869" s="1" t="str">
        <f>"D R &amp; E G DAVIES LTD"</f>
        <v>D R &amp; E G DAVIES LTD</v>
      </c>
      <c r="C2869" s="1" t="s">
        <v>5240</v>
      </c>
      <c r="F2869" s="1" t="s">
        <v>4867</v>
      </c>
      <c r="H2869" s="1" t="s">
        <v>5241</v>
      </c>
      <c r="I2869" s="1" t="s">
        <v>19</v>
      </c>
      <c r="J2869" s="1" t="s">
        <v>6</v>
      </c>
      <c r="K2869" s="1" t="s">
        <v>34</v>
      </c>
      <c r="L2869" s="1">
        <v>6507974</v>
      </c>
      <c r="M2869" s="2">
        <v>42992</v>
      </c>
      <c r="N2869" s="1" t="s">
        <v>8</v>
      </c>
      <c r="O2869" s="2">
        <v>44088</v>
      </c>
    </row>
    <row r="2870" spans="1:15" ht="43.2" x14ac:dyDescent="0.3">
      <c r="A2870" s="1" t="s">
        <v>5242</v>
      </c>
      <c r="B2870" s="1" t="str">
        <f>"Drugaid"</f>
        <v>Drugaid</v>
      </c>
      <c r="C2870" s="1" t="s">
        <v>5243</v>
      </c>
      <c r="D2870" s="1" t="s">
        <v>5244</v>
      </c>
      <c r="F2870" s="1" t="s">
        <v>156</v>
      </c>
      <c r="H2870" s="1" t="s">
        <v>5245</v>
      </c>
      <c r="I2870" s="1" t="s">
        <v>1872</v>
      </c>
      <c r="J2870" s="1" t="s">
        <v>67</v>
      </c>
      <c r="K2870" s="1" t="s">
        <v>14</v>
      </c>
      <c r="M2870" s="2">
        <v>42992</v>
      </c>
      <c r="N2870" s="1" t="s">
        <v>8</v>
      </c>
      <c r="O2870" s="1" t="s">
        <v>68</v>
      </c>
    </row>
    <row r="2871" spans="1:15" ht="43.2" x14ac:dyDescent="0.3">
      <c r="A2871" s="1" t="s">
        <v>5246</v>
      </c>
      <c r="B2871" s="1" t="str">
        <f>"Four seasons caterers ltd"</f>
        <v>Four seasons caterers ltd</v>
      </c>
      <c r="C2871" s="1" t="s">
        <v>5247</v>
      </c>
      <c r="D2871" s="1" t="s">
        <v>5248</v>
      </c>
      <c r="F2871" s="1" t="s">
        <v>1058</v>
      </c>
      <c r="H2871" s="1" t="s">
        <v>5249</v>
      </c>
      <c r="I2871" s="1" t="s">
        <v>19</v>
      </c>
      <c r="J2871" s="1" t="s">
        <v>67</v>
      </c>
      <c r="K2871" s="1" t="s">
        <v>14</v>
      </c>
      <c r="M2871" s="2">
        <v>42992</v>
      </c>
      <c r="N2871" s="1" t="s">
        <v>8</v>
      </c>
      <c r="O2871" s="1" t="s">
        <v>68</v>
      </c>
    </row>
    <row r="2872" spans="1:15" ht="43.2" x14ac:dyDescent="0.3">
      <c r="A2872" s="1" t="s">
        <v>6479</v>
      </c>
      <c r="B2872" s="1" t="str">
        <f>"Premier Pest Management cardiff"</f>
        <v>Premier Pest Management cardiff</v>
      </c>
      <c r="C2872" s="1" t="s">
        <v>6480</v>
      </c>
      <c r="D2872" s="1" t="s">
        <v>6481</v>
      </c>
      <c r="F2872" s="1" t="s">
        <v>123</v>
      </c>
      <c r="H2872" s="1" t="s">
        <v>6482</v>
      </c>
      <c r="I2872" s="1" t="s">
        <v>19</v>
      </c>
      <c r="J2872" s="1" t="s">
        <v>67</v>
      </c>
      <c r="K2872" s="1" t="s">
        <v>14</v>
      </c>
      <c r="M2872" s="2">
        <v>42992</v>
      </c>
      <c r="N2872" s="1" t="s">
        <v>8</v>
      </c>
      <c r="O2872" s="1" t="s">
        <v>68</v>
      </c>
    </row>
    <row r="2873" spans="1:15" ht="43.2" x14ac:dyDescent="0.3">
      <c r="A2873" s="1" t="s">
        <v>6483</v>
      </c>
      <c r="B2873" s="1" t="str">
        <f>"Go firm project LTD"</f>
        <v>Go firm project LTD</v>
      </c>
      <c r="C2873" s="1" t="s">
        <v>6484</v>
      </c>
      <c r="F2873" s="1" t="s">
        <v>64</v>
      </c>
      <c r="H2873" s="1" t="s">
        <v>6485</v>
      </c>
      <c r="I2873" s="1" t="s">
        <v>19</v>
      </c>
      <c r="J2873" s="1" t="s">
        <v>67</v>
      </c>
      <c r="K2873" s="1" t="s">
        <v>34</v>
      </c>
      <c r="L2873" s="1">
        <v>9957230</v>
      </c>
      <c r="M2873" s="2">
        <v>42992</v>
      </c>
      <c r="N2873" s="1" t="s">
        <v>8</v>
      </c>
      <c r="O2873" s="1" t="s">
        <v>68</v>
      </c>
    </row>
    <row r="2874" spans="1:15" ht="43.2" x14ac:dyDescent="0.3">
      <c r="A2874" s="1" t="s">
        <v>6486</v>
      </c>
      <c r="B2874" s="1" t="str">
        <f>"WRB SOLUTIONS LTD"</f>
        <v>WRB SOLUTIONS LTD</v>
      </c>
      <c r="C2874" s="1" t="s">
        <v>6487</v>
      </c>
      <c r="D2874" s="1" t="s">
        <v>6488</v>
      </c>
      <c r="F2874" s="1" t="s">
        <v>6489</v>
      </c>
      <c r="H2874" s="1" t="s">
        <v>6490</v>
      </c>
      <c r="I2874" s="1" t="s">
        <v>19</v>
      </c>
      <c r="J2874" s="1" t="s">
        <v>6</v>
      </c>
      <c r="K2874" s="1" t="s">
        <v>34</v>
      </c>
      <c r="L2874" s="1">
        <v>8200290</v>
      </c>
      <c r="M2874" s="2">
        <v>42992</v>
      </c>
      <c r="N2874" s="1" t="s">
        <v>8</v>
      </c>
      <c r="O2874" s="2">
        <v>44088</v>
      </c>
    </row>
    <row r="2875" spans="1:15" ht="43.2" x14ac:dyDescent="0.3">
      <c r="A2875" s="1" t="s">
        <v>6491</v>
      </c>
      <c r="B2875" s="1" t="str">
        <f>"Skyline cycles limited"</f>
        <v>Skyline cycles limited</v>
      </c>
      <c r="C2875" s="1" t="s">
        <v>6492</v>
      </c>
      <c r="F2875" s="1" t="s">
        <v>1351</v>
      </c>
      <c r="H2875" s="1" t="s">
        <v>6493</v>
      </c>
      <c r="I2875" s="1" t="s">
        <v>19</v>
      </c>
      <c r="J2875" s="1" t="s">
        <v>67</v>
      </c>
      <c r="K2875" s="1" t="s">
        <v>14</v>
      </c>
      <c r="M2875" s="2">
        <v>42992</v>
      </c>
      <c r="N2875" s="1" t="s">
        <v>8</v>
      </c>
      <c r="O2875" s="1" t="s">
        <v>68</v>
      </c>
    </row>
    <row r="2876" spans="1:15" ht="28.8" x14ac:dyDescent="0.3">
      <c r="A2876" s="1" t="s">
        <v>20051</v>
      </c>
      <c r="B2876" s="1" t="str">
        <f>"Paul  Waite-Jones Park Northwest"</f>
        <v>Paul  Waite-Jones Park Northwest</v>
      </c>
      <c r="C2876" s="1" t="s">
        <v>20052</v>
      </c>
      <c r="D2876" s="1" t="s">
        <v>20053</v>
      </c>
      <c r="F2876" s="1" t="s">
        <v>2686</v>
      </c>
      <c r="H2876" s="1" t="s">
        <v>20054</v>
      </c>
      <c r="I2876" s="1" t="s">
        <v>5</v>
      </c>
      <c r="J2876" s="1" t="s">
        <v>6</v>
      </c>
      <c r="K2876" s="1" t="s">
        <v>24</v>
      </c>
      <c r="M2876" s="2">
        <v>42992</v>
      </c>
      <c r="N2876" s="1" t="s">
        <v>8</v>
      </c>
      <c r="O2876" s="2">
        <v>44088</v>
      </c>
    </row>
    <row r="2877" spans="1:15" ht="43.2" x14ac:dyDescent="0.3">
      <c r="A2877" s="1" t="s">
        <v>20055</v>
      </c>
      <c r="B2877" s="1" t="str">
        <f>"Jamie Williams Dunvant Hill Gardening Services"</f>
        <v>Jamie Williams Dunvant Hill Gardening Services</v>
      </c>
      <c r="C2877" s="1" t="s">
        <v>20056</v>
      </c>
      <c r="F2877" s="1" t="s">
        <v>64</v>
      </c>
      <c r="H2877" s="1" t="s">
        <v>20057</v>
      </c>
      <c r="I2877" s="1" t="s">
        <v>5</v>
      </c>
      <c r="J2877" s="1" t="s">
        <v>6</v>
      </c>
      <c r="K2877" s="1" t="s">
        <v>24</v>
      </c>
      <c r="M2877" s="2">
        <v>42992</v>
      </c>
      <c r="N2877" s="1" t="s">
        <v>8</v>
      </c>
      <c r="O2877" s="2">
        <v>44088</v>
      </c>
    </row>
    <row r="2878" spans="1:15" ht="43.2" x14ac:dyDescent="0.3">
      <c r="A2878" s="1" t="s">
        <v>20058</v>
      </c>
      <c r="B2878" s="1" t="str">
        <f>"Darren Morgan"</f>
        <v>Darren Morgan</v>
      </c>
      <c r="C2878" s="1" t="s">
        <v>5247</v>
      </c>
      <c r="D2878" s="1" t="s">
        <v>5248</v>
      </c>
      <c r="F2878" s="1" t="s">
        <v>1058</v>
      </c>
      <c r="H2878" s="1" t="s">
        <v>5249</v>
      </c>
      <c r="I2878" s="1" t="s">
        <v>5</v>
      </c>
      <c r="J2878" s="1" t="s">
        <v>67</v>
      </c>
      <c r="K2878" s="1" t="s">
        <v>14</v>
      </c>
      <c r="M2878" s="2">
        <v>42992</v>
      </c>
      <c r="N2878" s="1" t="s">
        <v>8</v>
      </c>
      <c r="O2878" s="1" t="s">
        <v>68</v>
      </c>
    </row>
    <row r="2879" spans="1:15" ht="28.8" x14ac:dyDescent="0.3">
      <c r="A2879" s="1" t="s">
        <v>20838</v>
      </c>
      <c r="B2879" s="1" t="str">
        <f>"Mark Connolly MAC Utilities"</f>
        <v>Mark Connolly MAC Utilities</v>
      </c>
      <c r="C2879" s="1" t="s">
        <v>20839</v>
      </c>
      <c r="D2879" s="1" t="s">
        <v>20840</v>
      </c>
      <c r="F2879" s="1" t="s">
        <v>476</v>
      </c>
      <c r="H2879" s="1" t="s">
        <v>20841</v>
      </c>
      <c r="I2879" s="1" t="s">
        <v>5</v>
      </c>
      <c r="J2879" s="1" t="s">
        <v>6</v>
      </c>
      <c r="K2879" s="1" t="s">
        <v>24</v>
      </c>
      <c r="M2879" s="2">
        <v>42992</v>
      </c>
      <c r="N2879" s="1" t="s">
        <v>8</v>
      </c>
      <c r="O2879" s="2">
        <v>44088</v>
      </c>
    </row>
    <row r="2880" spans="1:15" ht="28.8" x14ac:dyDescent="0.3">
      <c r="A2880" s="1" t="s">
        <v>20842</v>
      </c>
      <c r="B2880" s="1" t="str">
        <f>"Des Stafford Des Stafford"</f>
        <v>Des Stafford Des Stafford</v>
      </c>
      <c r="C2880" s="1" t="s">
        <v>20843</v>
      </c>
      <c r="F2880" s="1" t="s">
        <v>64</v>
      </c>
      <c r="H2880" s="1" t="s">
        <v>20844</v>
      </c>
      <c r="I2880" s="1" t="s">
        <v>5</v>
      </c>
      <c r="J2880" s="1" t="s">
        <v>6</v>
      </c>
      <c r="K2880" s="1" t="s">
        <v>24</v>
      </c>
      <c r="M2880" s="2">
        <v>42992</v>
      </c>
      <c r="N2880" s="1" t="s">
        <v>8</v>
      </c>
      <c r="O2880" s="2">
        <v>44088</v>
      </c>
    </row>
    <row r="2881" spans="1:15" ht="43.2" x14ac:dyDescent="0.3">
      <c r="A2881" s="1" t="s">
        <v>4129</v>
      </c>
      <c r="B2881" s="1" t="str">
        <f>"Elan Marquees"</f>
        <v>Elan Marquees</v>
      </c>
      <c r="C2881" s="1" t="s">
        <v>4130</v>
      </c>
      <c r="D2881" s="1" t="s">
        <v>4131</v>
      </c>
      <c r="F2881" s="1" t="s">
        <v>532</v>
      </c>
      <c r="H2881" s="1" t="s">
        <v>4132</v>
      </c>
      <c r="I2881" s="1" t="s">
        <v>19</v>
      </c>
      <c r="J2881" s="1" t="s">
        <v>67</v>
      </c>
      <c r="K2881" s="1" t="s">
        <v>14</v>
      </c>
      <c r="M2881" s="2">
        <v>42991</v>
      </c>
      <c r="N2881" s="1" t="s">
        <v>8</v>
      </c>
      <c r="O2881" s="1" t="s">
        <v>68</v>
      </c>
    </row>
    <row r="2882" spans="1:15" ht="28.8" x14ac:dyDescent="0.3">
      <c r="A2882" s="1" t="s">
        <v>4133</v>
      </c>
      <c r="B2882" s="1" t="str">
        <f>"C &amp; S PLASTERING LIMITED"</f>
        <v>C &amp; S PLASTERING LIMITED</v>
      </c>
      <c r="C2882" s="1" t="s">
        <v>4134</v>
      </c>
      <c r="D2882" s="1" t="s">
        <v>4135</v>
      </c>
      <c r="F2882" s="1" t="s">
        <v>555</v>
      </c>
      <c r="H2882" s="1" t="s">
        <v>4136</v>
      </c>
      <c r="I2882" s="1" t="s">
        <v>19</v>
      </c>
      <c r="J2882" s="1" t="s">
        <v>6</v>
      </c>
      <c r="K2882" s="1" t="s">
        <v>1859</v>
      </c>
      <c r="L2882" s="1">
        <v>3593298</v>
      </c>
      <c r="M2882" s="2">
        <v>42991</v>
      </c>
      <c r="N2882" s="1" t="s">
        <v>8</v>
      </c>
      <c r="O2882" s="2">
        <v>44087</v>
      </c>
    </row>
    <row r="2883" spans="1:15" ht="28.8" x14ac:dyDescent="0.3">
      <c r="A2883" s="1" t="s">
        <v>4137</v>
      </c>
      <c r="B2883" s="1" t="str">
        <f>"SDW CONSTRUCTION LTD"</f>
        <v>SDW CONSTRUCTION LTD</v>
      </c>
      <c r="C2883" s="1" t="s">
        <v>4138</v>
      </c>
      <c r="F2883" s="1" t="s">
        <v>3655</v>
      </c>
      <c r="H2883" s="1" t="s">
        <v>4139</v>
      </c>
      <c r="I2883" s="1" t="s">
        <v>19</v>
      </c>
      <c r="J2883" s="1" t="s">
        <v>6</v>
      </c>
      <c r="K2883" s="1" t="s">
        <v>34</v>
      </c>
      <c r="L2883" s="1">
        <v>6372882</v>
      </c>
      <c r="M2883" s="2">
        <v>42991</v>
      </c>
      <c r="N2883" s="1" t="s">
        <v>8</v>
      </c>
      <c r="O2883" s="2">
        <v>44087</v>
      </c>
    </row>
    <row r="2884" spans="1:15" ht="28.8" x14ac:dyDescent="0.3">
      <c r="A2884" s="1" t="s">
        <v>4140</v>
      </c>
      <c r="B2884" s="1" t="str">
        <f>"ATKIN TRADE SPECIALISTS LIMITED"</f>
        <v>ATKIN TRADE SPECIALISTS LIMITED</v>
      </c>
      <c r="C2884" s="1" t="s">
        <v>4141</v>
      </c>
      <c r="F2884" s="1" t="s">
        <v>123</v>
      </c>
      <c r="H2884" s="1" t="s">
        <v>4142</v>
      </c>
      <c r="I2884" s="1" t="s">
        <v>19</v>
      </c>
      <c r="J2884" s="1" t="s">
        <v>6</v>
      </c>
      <c r="K2884" s="1" t="s">
        <v>34</v>
      </c>
      <c r="L2884" s="1">
        <v>1367178</v>
      </c>
      <c r="M2884" s="2">
        <v>42991</v>
      </c>
      <c r="N2884" s="1" t="s">
        <v>8</v>
      </c>
      <c r="O2884" s="2">
        <v>44087</v>
      </c>
    </row>
    <row r="2885" spans="1:15" ht="28.8" x14ac:dyDescent="0.3">
      <c r="A2885" s="1" t="s">
        <v>4143</v>
      </c>
      <c r="B2885" s="1" t="str">
        <f>"TRERISE PROPERTY MAINTENANCE LIMITE"</f>
        <v>TRERISE PROPERTY MAINTENANCE LIMITE</v>
      </c>
      <c r="C2885" s="1" t="s">
        <v>4144</v>
      </c>
      <c r="D2885" s="1" t="s">
        <v>4145</v>
      </c>
      <c r="E2885" s="1" t="s">
        <v>2523</v>
      </c>
      <c r="F2885" s="1" t="s">
        <v>64</v>
      </c>
      <c r="H2885" s="1" t="s">
        <v>889</v>
      </c>
      <c r="I2885" s="1" t="s">
        <v>19</v>
      </c>
      <c r="J2885" s="1" t="s">
        <v>6</v>
      </c>
      <c r="K2885" s="1" t="s">
        <v>34</v>
      </c>
      <c r="L2885" s="1">
        <v>6146112</v>
      </c>
      <c r="M2885" s="2">
        <v>42991</v>
      </c>
      <c r="N2885" s="1" t="s">
        <v>8</v>
      </c>
      <c r="O2885" s="2">
        <v>44087</v>
      </c>
    </row>
    <row r="2886" spans="1:15" ht="43.2" x14ac:dyDescent="0.3">
      <c r="A2886" s="1" t="s">
        <v>4146</v>
      </c>
      <c r="B2886" s="1" t="str">
        <f>"Swan Letting &amp; property management"</f>
        <v>Swan Letting &amp; property management</v>
      </c>
      <c r="C2886" s="1" t="s">
        <v>4147</v>
      </c>
      <c r="F2886" s="1" t="s">
        <v>64</v>
      </c>
      <c r="H2886" s="1" t="s">
        <v>4148</v>
      </c>
      <c r="I2886" s="1" t="s">
        <v>19</v>
      </c>
      <c r="J2886" s="1" t="s">
        <v>67</v>
      </c>
      <c r="K2886" s="1" t="s">
        <v>14</v>
      </c>
      <c r="M2886" s="2">
        <v>42991</v>
      </c>
      <c r="N2886" s="1" t="s">
        <v>8</v>
      </c>
      <c r="O2886" s="1" t="s">
        <v>68</v>
      </c>
    </row>
    <row r="2887" spans="1:15" ht="28.8" x14ac:dyDescent="0.3">
      <c r="A2887" s="1" t="s">
        <v>4149</v>
      </c>
      <c r="B2887" s="1" t="str">
        <f>"Rivington Haulage Ltd"</f>
        <v>Rivington Haulage Ltd</v>
      </c>
      <c r="C2887" s="1" t="s">
        <v>4150</v>
      </c>
      <c r="D2887" s="1" t="s">
        <v>4151</v>
      </c>
      <c r="F2887" s="1" t="s">
        <v>720</v>
      </c>
      <c r="H2887" s="1" t="s">
        <v>4152</v>
      </c>
      <c r="I2887" s="1" t="s">
        <v>19</v>
      </c>
      <c r="J2887" s="1" t="s">
        <v>6</v>
      </c>
      <c r="K2887" s="1" t="s">
        <v>34</v>
      </c>
      <c r="L2887" s="1">
        <v>5712193</v>
      </c>
      <c r="M2887" s="2">
        <v>42991</v>
      </c>
      <c r="N2887" s="1" t="s">
        <v>8</v>
      </c>
      <c r="O2887" s="2">
        <v>44087</v>
      </c>
    </row>
    <row r="2888" spans="1:15" ht="28.8" x14ac:dyDescent="0.3">
      <c r="A2888" s="1" t="s">
        <v>4153</v>
      </c>
      <c r="B2888" s="1" t="str">
        <f>"Mayberry Pharmacy Ltd"</f>
        <v>Mayberry Pharmacy Ltd</v>
      </c>
      <c r="C2888" s="1" t="s">
        <v>4154</v>
      </c>
      <c r="F2888" s="1" t="s">
        <v>1341</v>
      </c>
      <c r="H2888" s="1" t="s">
        <v>4155</v>
      </c>
      <c r="I2888" s="1" t="s">
        <v>19</v>
      </c>
      <c r="J2888" s="1" t="s">
        <v>6</v>
      </c>
      <c r="K2888" s="1" t="s">
        <v>34</v>
      </c>
      <c r="L2888" s="1">
        <v>3812234</v>
      </c>
      <c r="M2888" s="2">
        <v>42991</v>
      </c>
      <c r="N2888" s="1" t="s">
        <v>8</v>
      </c>
      <c r="O2888" s="2">
        <v>44087</v>
      </c>
    </row>
    <row r="2889" spans="1:15" ht="43.2" x14ac:dyDescent="0.3">
      <c r="A2889" s="1" t="s">
        <v>5222</v>
      </c>
      <c r="B2889" s="1" t="str">
        <f>"5-7"</f>
        <v>5-7</v>
      </c>
      <c r="C2889" s="1" t="s">
        <v>5223</v>
      </c>
      <c r="F2889" s="1" t="s">
        <v>123</v>
      </c>
      <c r="H2889" s="1" t="s">
        <v>5224</v>
      </c>
      <c r="I2889" s="1" t="s">
        <v>125</v>
      </c>
      <c r="J2889" s="1" t="s">
        <v>67</v>
      </c>
      <c r="K2889" s="1" t="s">
        <v>14</v>
      </c>
      <c r="M2889" s="2">
        <v>42991</v>
      </c>
      <c r="N2889" s="1" t="s">
        <v>8</v>
      </c>
      <c r="O2889" s="1" t="s">
        <v>68</v>
      </c>
    </row>
    <row r="2890" spans="1:15" ht="43.2" x14ac:dyDescent="0.3">
      <c r="A2890" s="1" t="s">
        <v>5225</v>
      </c>
      <c r="B2890" s="1" t="str">
        <f>"Trefisheg Bungalow "</f>
        <v xml:space="preserve">Trefisheg Bungalow </v>
      </c>
      <c r="C2890" s="1" t="s">
        <v>5226</v>
      </c>
      <c r="F2890" s="1" t="s">
        <v>5227</v>
      </c>
      <c r="H2890" s="1" t="s">
        <v>5228</v>
      </c>
      <c r="I2890" s="1" t="s">
        <v>125</v>
      </c>
      <c r="J2890" s="1" t="s">
        <v>67</v>
      </c>
      <c r="K2890" s="1" t="s">
        <v>14</v>
      </c>
      <c r="M2890" s="2">
        <v>42991</v>
      </c>
      <c r="N2890" s="1" t="s">
        <v>8</v>
      </c>
      <c r="O2890" s="1" t="s">
        <v>68</v>
      </c>
    </row>
    <row r="2891" spans="1:15" ht="28.8" x14ac:dyDescent="0.3">
      <c r="A2891" s="1" t="s">
        <v>5229</v>
      </c>
      <c r="B2891" s="1" t="str">
        <f>"Lite Access technologies UK LTD"</f>
        <v>Lite Access technologies UK LTD</v>
      </c>
      <c r="C2891" s="1" t="s">
        <v>5230</v>
      </c>
      <c r="D2891" s="1" t="s">
        <v>5231</v>
      </c>
      <c r="F2891" s="1" t="s">
        <v>532</v>
      </c>
      <c r="H2891" s="1" t="s">
        <v>5232</v>
      </c>
      <c r="I2891" s="1" t="s">
        <v>19</v>
      </c>
      <c r="J2891" s="1" t="s">
        <v>6</v>
      </c>
      <c r="K2891" s="1" t="s">
        <v>34</v>
      </c>
      <c r="L2891" s="1">
        <v>10267362</v>
      </c>
      <c r="M2891" s="2">
        <v>42991</v>
      </c>
      <c r="N2891" s="1" t="s">
        <v>8</v>
      </c>
      <c r="O2891" s="2">
        <v>44087</v>
      </c>
    </row>
    <row r="2892" spans="1:15" ht="28.8" x14ac:dyDescent="0.3">
      <c r="A2892" s="1" t="s">
        <v>5233</v>
      </c>
      <c r="B2892" s="1" t="str">
        <f>"Tony Davies Limited"</f>
        <v>Tony Davies Limited</v>
      </c>
      <c r="C2892" s="1" t="s">
        <v>5234</v>
      </c>
      <c r="F2892" s="1" t="s">
        <v>4645</v>
      </c>
      <c r="H2892" s="1" t="s">
        <v>5235</v>
      </c>
      <c r="I2892" s="1" t="s">
        <v>19</v>
      </c>
      <c r="J2892" s="1" t="s">
        <v>6</v>
      </c>
      <c r="K2892" s="1" t="s">
        <v>34</v>
      </c>
      <c r="L2892" s="1">
        <v>5106086</v>
      </c>
      <c r="M2892" s="2">
        <v>42991</v>
      </c>
      <c r="N2892" s="1" t="s">
        <v>8</v>
      </c>
      <c r="O2892" s="2">
        <v>44087</v>
      </c>
    </row>
    <row r="2893" spans="1:15" ht="43.2" x14ac:dyDescent="0.3">
      <c r="A2893" s="1" t="s">
        <v>19241</v>
      </c>
      <c r="B2893" s="1" t="str">
        <f>"Darran Roper Dp weed control and gardening servi"</f>
        <v>Darran Roper Dp weed control and gardening servi</v>
      </c>
      <c r="C2893" s="1" t="s">
        <v>19242</v>
      </c>
      <c r="F2893" s="1" t="s">
        <v>64</v>
      </c>
      <c r="H2893" s="1" t="s">
        <v>19243</v>
      </c>
      <c r="I2893" s="1" t="s">
        <v>5</v>
      </c>
      <c r="J2893" s="1" t="s">
        <v>67</v>
      </c>
      <c r="K2893" s="1" t="s">
        <v>34</v>
      </c>
      <c r="M2893" s="2">
        <v>42991</v>
      </c>
      <c r="N2893" s="1" t="s">
        <v>8</v>
      </c>
      <c r="O2893" s="1" t="s">
        <v>68</v>
      </c>
    </row>
    <row r="2894" spans="1:15" x14ac:dyDescent="0.3">
      <c r="A2894" s="1" t="s">
        <v>19244</v>
      </c>
      <c r="B2894" s="1" t="str">
        <f>"Alan Evans Alan Evans "</f>
        <v xml:space="preserve">Alan Evans Alan Evans </v>
      </c>
      <c r="C2894" s="1" t="s">
        <v>19245</v>
      </c>
      <c r="F2894" s="1" t="s">
        <v>1479</v>
      </c>
      <c r="H2894" s="1" t="s">
        <v>19246</v>
      </c>
      <c r="I2894" s="1" t="s">
        <v>5</v>
      </c>
      <c r="J2894" s="1" t="s">
        <v>6</v>
      </c>
      <c r="K2894" s="1" t="s">
        <v>24</v>
      </c>
      <c r="M2894" s="2">
        <v>42991</v>
      </c>
      <c r="N2894" s="1" t="s">
        <v>8</v>
      </c>
      <c r="O2894" s="2">
        <v>44087</v>
      </c>
    </row>
    <row r="2895" spans="1:15" ht="28.8" x14ac:dyDescent="0.3">
      <c r="A2895" s="1" t="s">
        <v>19247</v>
      </c>
      <c r="B2895" s="1" t="str">
        <f>"Ceri Thomas Ceri Thomas"</f>
        <v>Ceri Thomas Ceri Thomas</v>
      </c>
      <c r="C2895" s="1" t="s">
        <v>19248</v>
      </c>
      <c r="F2895" s="1" t="s">
        <v>825</v>
      </c>
      <c r="H2895" s="1" t="s">
        <v>19249</v>
      </c>
      <c r="I2895" s="1" t="s">
        <v>5</v>
      </c>
      <c r="J2895" s="1" t="s">
        <v>6</v>
      </c>
      <c r="K2895" s="1" t="s">
        <v>24</v>
      </c>
      <c r="M2895" s="2">
        <v>42991</v>
      </c>
      <c r="N2895" s="1" t="s">
        <v>8</v>
      </c>
      <c r="O2895" s="2">
        <v>44087</v>
      </c>
    </row>
    <row r="2896" spans="1:15" ht="43.2" x14ac:dyDescent="0.3">
      <c r="A2896" s="1" t="s">
        <v>20037</v>
      </c>
      <c r="B2896" s="1" t="str">
        <f>"Michael Thomas Michael Thomas Transport"</f>
        <v>Michael Thomas Michael Thomas Transport</v>
      </c>
      <c r="C2896" s="1" t="s">
        <v>20038</v>
      </c>
      <c r="F2896" s="1" t="s">
        <v>4867</v>
      </c>
      <c r="H2896" s="1" t="s">
        <v>20039</v>
      </c>
      <c r="I2896" s="1" t="s">
        <v>5</v>
      </c>
      <c r="J2896" s="1" t="s">
        <v>6</v>
      </c>
      <c r="K2896" s="1" t="s">
        <v>24</v>
      </c>
      <c r="M2896" s="2">
        <v>42991</v>
      </c>
      <c r="N2896" s="1" t="s">
        <v>8</v>
      </c>
      <c r="O2896" s="2">
        <v>44087</v>
      </c>
    </row>
    <row r="2897" spans="1:15" ht="28.8" x14ac:dyDescent="0.3">
      <c r="A2897" s="1" t="s">
        <v>20040</v>
      </c>
      <c r="B2897" s="1" t="str">
        <f>"Huw Evans Plumbnfixit "</f>
        <v xml:space="preserve">Huw Evans Plumbnfixit </v>
      </c>
      <c r="C2897" s="1" t="s">
        <v>20041</v>
      </c>
      <c r="F2897" s="1" t="s">
        <v>64</v>
      </c>
      <c r="H2897" s="1" t="s">
        <v>20042</v>
      </c>
      <c r="I2897" s="1" t="s">
        <v>5</v>
      </c>
      <c r="J2897" s="1" t="s">
        <v>6</v>
      </c>
      <c r="K2897" s="1" t="s">
        <v>34</v>
      </c>
      <c r="M2897" s="2">
        <v>42991</v>
      </c>
      <c r="N2897" s="1" t="s">
        <v>8</v>
      </c>
      <c r="O2897" s="2">
        <v>44087</v>
      </c>
    </row>
    <row r="2898" spans="1:15" ht="28.8" x14ac:dyDescent="0.3">
      <c r="A2898" s="1" t="s">
        <v>20043</v>
      </c>
      <c r="B2898" s="1" t="str">
        <f>"Emily Barclay The Longhouse (holiday let)"</f>
        <v>Emily Barclay The Longhouse (holiday let)</v>
      </c>
      <c r="C2898" s="1" t="s">
        <v>20044</v>
      </c>
      <c r="F2898" s="1" t="s">
        <v>9838</v>
      </c>
      <c r="H2898" s="1" t="s">
        <v>20045</v>
      </c>
      <c r="I2898" s="1" t="s">
        <v>5</v>
      </c>
      <c r="J2898" s="1" t="s">
        <v>6</v>
      </c>
      <c r="K2898" s="1" t="s">
        <v>24</v>
      </c>
      <c r="M2898" s="2">
        <v>42991</v>
      </c>
      <c r="N2898" s="1" t="s">
        <v>8</v>
      </c>
      <c r="O2898" s="2">
        <v>44087</v>
      </c>
    </row>
    <row r="2899" spans="1:15" x14ac:dyDescent="0.3">
      <c r="A2899" s="1" t="s">
        <v>20046</v>
      </c>
      <c r="B2899" s="1" t="str">
        <f>"David Jones DSJ"</f>
        <v>David Jones DSJ</v>
      </c>
      <c r="C2899" s="1" t="s">
        <v>20047</v>
      </c>
      <c r="F2899" s="1" t="s">
        <v>20048</v>
      </c>
      <c r="H2899" s="1" t="s">
        <v>20049</v>
      </c>
      <c r="I2899" s="1" t="s">
        <v>5</v>
      </c>
      <c r="J2899" s="1" t="s">
        <v>6</v>
      </c>
      <c r="K2899" s="1" t="s">
        <v>24</v>
      </c>
      <c r="M2899" s="2">
        <v>42991</v>
      </c>
      <c r="N2899" s="1" t="s">
        <v>8</v>
      </c>
      <c r="O2899" s="2">
        <v>44087</v>
      </c>
    </row>
    <row r="2900" spans="1:15" ht="28.8" x14ac:dyDescent="0.3">
      <c r="A2900" s="1" t="s">
        <v>20050</v>
      </c>
      <c r="B2900" s="1" t="str">
        <f>"lee mason masons of welshpool"</f>
        <v>lee mason masons of welshpool</v>
      </c>
      <c r="C2900" s="1" t="s">
        <v>17793</v>
      </c>
      <c r="F2900" s="1" t="s">
        <v>2459</v>
      </c>
      <c r="H2900" s="1" t="s">
        <v>17794</v>
      </c>
      <c r="I2900" s="1" t="s">
        <v>5</v>
      </c>
      <c r="J2900" s="1" t="s">
        <v>6</v>
      </c>
      <c r="K2900" s="1" t="s">
        <v>24</v>
      </c>
      <c r="M2900" s="2">
        <v>42991</v>
      </c>
      <c r="N2900" s="1" t="s">
        <v>8</v>
      </c>
      <c r="O2900" s="2">
        <v>44087</v>
      </c>
    </row>
    <row r="2901" spans="1:15" ht="28.8" x14ac:dyDescent="0.3">
      <c r="A2901" s="1" t="s">
        <v>16740</v>
      </c>
      <c r="B2901" s="1" t="str">
        <f>"C.Jones Transport Services Ltd"</f>
        <v>C.Jones Transport Services Ltd</v>
      </c>
      <c r="C2901" s="1" t="s">
        <v>16741</v>
      </c>
      <c r="F2901" s="1" t="s">
        <v>64</v>
      </c>
      <c r="H2901" s="1" t="s">
        <v>16742</v>
      </c>
      <c r="I2901" s="1" t="s">
        <v>19</v>
      </c>
      <c r="J2901" s="1" t="s">
        <v>6</v>
      </c>
      <c r="K2901" s="1" t="s">
        <v>24</v>
      </c>
      <c r="L2901" s="1">
        <v>3955538</v>
      </c>
      <c r="M2901" s="2">
        <v>42990</v>
      </c>
      <c r="N2901" s="1" t="s">
        <v>8</v>
      </c>
      <c r="O2901" s="2">
        <v>44086</v>
      </c>
    </row>
    <row r="2902" spans="1:15" ht="43.2" x14ac:dyDescent="0.3">
      <c r="A2902" s="1" t="s">
        <v>16743</v>
      </c>
      <c r="B2902" s="1" t="str">
        <f>"welsh lavender ltd"</f>
        <v>welsh lavender ltd</v>
      </c>
      <c r="C2902" s="1" t="s">
        <v>16744</v>
      </c>
      <c r="F2902" s="1" t="s">
        <v>5409</v>
      </c>
      <c r="H2902" s="1" t="s">
        <v>16745</v>
      </c>
      <c r="I2902" s="1" t="s">
        <v>19</v>
      </c>
      <c r="J2902" s="1" t="s">
        <v>67</v>
      </c>
      <c r="K2902" s="1" t="s">
        <v>14</v>
      </c>
      <c r="M2902" s="2">
        <v>42990</v>
      </c>
      <c r="N2902" s="1" t="s">
        <v>8</v>
      </c>
      <c r="O2902" s="1" t="s">
        <v>68</v>
      </c>
    </row>
    <row r="2903" spans="1:15" ht="28.8" x14ac:dyDescent="0.3">
      <c r="A2903" s="1" t="s">
        <v>16746</v>
      </c>
      <c r="B2903" s="1" t="str">
        <f>"Davies Timber (Wales) lTD"</f>
        <v>Davies Timber (Wales) lTD</v>
      </c>
      <c r="C2903" s="1" t="s">
        <v>16747</v>
      </c>
      <c r="D2903" s="1" t="s">
        <v>7883</v>
      </c>
      <c r="E2903" s="1" t="s">
        <v>5722</v>
      </c>
      <c r="F2903" s="1" t="s">
        <v>380</v>
      </c>
      <c r="H2903" s="1" t="s">
        <v>10860</v>
      </c>
      <c r="I2903" s="1" t="s">
        <v>19</v>
      </c>
      <c r="J2903" s="1" t="s">
        <v>6</v>
      </c>
      <c r="K2903" s="1" t="s">
        <v>24</v>
      </c>
      <c r="L2903" s="1">
        <v>4982711</v>
      </c>
      <c r="M2903" s="2">
        <v>42990</v>
      </c>
      <c r="N2903" s="1" t="s">
        <v>8</v>
      </c>
      <c r="O2903" s="2">
        <v>44115</v>
      </c>
    </row>
    <row r="2904" spans="1:15" ht="43.2" x14ac:dyDescent="0.3">
      <c r="A2904" s="1" t="s">
        <v>16748</v>
      </c>
      <c r="B2904" s="1" t="str">
        <f>"City Relay"</f>
        <v>City Relay</v>
      </c>
      <c r="C2904" s="1" t="s">
        <v>16749</v>
      </c>
      <c r="F2904" s="1" t="s">
        <v>170</v>
      </c>
      <c r="H2904" s="1" t="s">
        <v>16750</v>
      </c>
      <c r="I2904" s="1" t="s">
        <v>19</v>
      </c>
      <c r="J2904" s="1" t="s">
        <v>67</v>
      </c>
      <c r="K2904" s="1" t="s">
        <v>14</v>
      </c>
      <c r="M2904" s="2">
        <v>42990</v>
      </c>
      <c r="N2904" s="1" t="s">
        <v>8</v>
      </c>
      <c r="O2904" s="1" t="s">
        <v>68</v>
      </c>
    </row>
    <row r="2905" spans="1:15" ht="43.2" x14ac:dyDescent="0.3">
      <c r="A2905" s="1" t="s">
        <v>16751</v>
      </c>
      <c r="B2905" s="1" t="str">
        <f>"Mr E Morris &amp; Mrs F Morris"</f>
        <v>Mr E Morris &amp; Mrs F Morris</v>
      </c>
      <c r="C2905" s="1" t="s">
        <v>16752</v>
      </c>
      <c r="F2905" s="1" t="s">
        <v>491</v>
      </c>
      <c r="H2905" s="1" t="s">
        <v>16753</v>
      </c>
      <c r="I2905" s="1" t="s">
        <v>125</v>
      </c>
      <c r="J2905" s="1" t="s">
        <v>67</v>
      </c>
      <c r="K2905" s="1" t="s">
        <v>14</v>
      </c>
      <c r="M2905" s="2">
        <v>42990</v>
      </c>
      <c r="N2905" s="1" t="s">
        <v>8</v>
      </c>
      <c r="O2905" s="1" t="s">
        <v>68</v>
      </c>
    </row>
    <row r="2906" spans="1:15" ht="43.2" x14ac:dyDescent="0.3">
      <c r="A2906" s="1" t="s">
        <v>17777</v>
      </c>
      <c r="B2906" s="1" t="str">
        <f>"Emex Fire &amp; Security Limited "</f>
        <v xml:space="preserve">Emex Fire &amp; Security Limited </v>
      </c>
      <c r="C2906" s="1" t="s">
        <v>17778</v>
      </c>
      <c r="F2906" s="1" t="s">
        <v>767</v>
      </c>
      <c r="H2906" s="1" t="s">
        <v>16796</v>
      </c>
      <c r="I2906" s="1" t="s">
        <v>19</v>
      </c>
      <c r="J2906" s="1" t="s">
        <v>67</v>
      </c>
      <c r="K2906" s="1" t="s">
        <v>14</v>
      </c>
      <c r="M2906" s="2">
        <v>42990</v>
      </c>
      <c r="N2906" s="1" t="s">
        <v>8</v>
      </c>
      <c r="O2906" s="1" t="s">
        <v>68</v>
      </c>
    </row>
    <row r="2907" spans="1:15" ht="28.8" x14ac:dyDescent="0.3">
      <c r="A2907" s="1" t="s">
        <v>17779</v>
      </c>
      <c r="B2907" s="1" t="str">
        <f>"ESA SYSTEMS LIMITED"</f>
        <v>ESA SYSTEMS LIMITED</v>
      </c>
      <c r="C2907" s="1" t="s">
        <v>17780</v>
      </c>
      <c r="D2907" s="1" t="s">
        <v>17781</v>
      </c>
      <c r="E2907" s="1" t="s">
        <v>5583</v>
      </c>
      <c r="F2907" s="1" t="s">
        <v>123</v>
      </c>
      <c r="H2907" s="1" t="s">
        <v>17782</v>
      </c>
      <c r="I2907" s="1" t="s">
        <v>19</v>
      </c>
      <c r="J2907" s="1" t="s">
        <v>6</v>
      </c>
      <c r="K2907" s="1" t="s">
        <v>34</v>
      </c>
      <c r="L2907" s="1">
        <v>8017290</v>
      </c>
      <c r="M2907" s="2">
        <v>42990</v>
      </c>
      <c r="N2907" s="1" t="s">
        <v>8</v>
      </c>
      <c r="O2907" s="2">
        <v>44086</v>
      </c>
    </row>
    <row r="2908" spans="1:15" ht="28.8" x14ac:dyDescent="0.3">
      <c r="A2908" s="1" t="s">
        <v>17783</v>
      </c>
      <c r="B2908" s="1" t="str">
        <f>"C &amp; F ELECTRICS LTD"</f>
        <v>C &amp; F ELECTRICS LTD</v>
      </c>
      <c r="C2908" s="1" t="s">
        <v>17784</v>
      </c>
      <c r="D2908" s="1" t="s">
        <v>2965</v>
      </c>
      <c r="F2908" s="1" t="s">
        <v>641</v>
      </c>
      <c r="H2908" s="1" t="s">
        <v>17785</v>
      </c>
      <c r="I2908" s="1" t="s">
        <v>19</v>
      </c>
      <c r="J2908" s="1" t="s">
        <v>6</v>
      </c>
      <c r="K2908" s="1" t="s">
        <v>34</v>
      </c>
      <c r="L2908" s="1">
        <v>5644194</v>
      </c>
      <c r="M2908" s="2">
        <v>42990</v>
      </c>
      <c r="N2908" s="1" t="s">
        <v>8</v>
      </c>
      <c r="O2908" s="2">
        <v>44086</v>
      </c>
    </row>
    <row r="2909" spans="1:15" ht="28.8" x14ac:dyDescent="0.3">
      <c r="A2909" s="1" t="s">
        <v>17786</v>
      </c>
      <c r="B2909" s="1" t="str">
        <f>"ELEVATE LIFTS LTD"</f>
        <v>ELEVATE LIFTS LTD</v>
      </c>
      <c r="C2909" s="1" t="s">
        <v>17787</v>
      </c>
      <c r="F2909" s="1" t="s">
        <v>123</v>
      </c>
      <c r="H2909" s="1" t="s">
        <v>17788</v>
      </c>
      <c r="I2909" s="1" t="s">
        <v>19</v>
      </c>
      <c r="J2909" s="1" t="s">
        <v>6</v>
      </c>
      <c r="K2909" s="1" t="s">
        <v>34</v>
      </c>
      <c r="L2909" s="1">
        <v>7621287</v>
      </c>
      <c r="M2909" s="2">
        <v>42990</v>
      </c>
      <c r="N2909" s="1" t="s">
        <v>8</v>
      </c>
      <c r="O2909" s="2">
        <v>44086</v>
      </c>
    </row>
    <row r="2910" spans="1:15" ht="28.8" x14ac:dyDescent="0.3">
      <c r="A2910" s="1" t="s">
        <v>17789</v>
      </c>
      <c r="B2910" s="1" t="str">
        <f>"XPS Foam Limited"</f>
        <v>XPS Foam Limited</v>
      </c>
      <c r="C2910" s="1" t="s">
        <v>17790</v>
      </c>
      <c r="F2910" s="1" t="s">
        <v>324</v>
      </c>
      <c r="H2910" s="1" t="s">
        <v>17791</v>
      </c>
      <c r="I2910" s="1" t="s">
        <v>19</v>
      </c>
      <c r="J2910" s="1" t="s">
        <v>6</v>
      </c>
      <c r="K2910" s="1" t="s">
        <v>34</v>
      </c>
      <c r="L2910" s="1">
        <v>7784773</v>
      </c>
      <c r="M2910" s="2">
        <v>42990</v>
      </c>
      <c r="N2910" s="1" t="s">
        <v>8</v>
      </c>
      <c r="O2910" s="2">
        <v>44086</v>
      </c>
    </row>
    <row r="2911" spans="1:15" ht="43.2" x14ac:dyDescent="0.3">
      <c r="A2911" s="1" t="s">
        <v>17792</v>
      </c>
      <c r="B2911" s="1" t="str">
        <f>"Masons of welshpool"</f>
        <v>Masons of welshpool</v>
      </c>
      <c r="C2911" s="1" t="s">
        <v>17793</v>
      </c>
      <c r="F2911" s="1" t="s">
        <v>2459</v>
      </c>
      <c r="H2911" s="1" t="s">
        <v>17794</v>
      </c>
      <c r="I2911" s="1" t="s">
        <v>188</v>
      </c>
      <c r="J2911" s="1" t="s">
        <v>67</v>
      </c>
      <c r="K2911" s="1" t="s">
        <v>14</v>
      </c>
      <c r="M2911" s="2">
        <v>42990</v>
      </c>
      <c r="N2911" s="1" t="s">
        <v>8</v>
      </c>
      <c r="O2911" s="1" t="s">
        <v>68</v>
      </c>
    </row>
    <row r="2912" spans="1:15" ht="28.8" x14ac:dyDescent="0.3">
      <c r="A2912" s="1" t="s">
        <v>19238</v>
      </c>
      <c r="B2912" s="1" t="str">
        <f>"paul canning paul canning decorating"</f>
        <v>paul canning paul canning decorating</v>
      </c>
      <c r="C2912" s="1" t="s">
        <v>19239</v>
      </c>
      <c r="F2912" s="1" t="s">
        <v>2961</v>
      </c>
      <c r="H2912" s="1" t="s">
        <v>19240</v>
      </c>
      <c r="I2912" s="1" t="s">
        <v>5</v>
      </c>
      <c r="J2912" s="1" t="s">
        <v>6</v>
      </c>
      <c r="K2912" s="1" t="s">
        <v>24</v>
      </c>
      <c r="M2912" s="2">
        <v>42990</v>
      </c>
      <c r="N2912" s="1" t="s">
        <v>8</v>
      </c>
      <c r="O2912" s="2">
        <v>44086</v>
      </c>
    </row>
    <row r="2913" spans="1:15" ht="28.8" x14ac:dyDescent="0.3">
      <c r="A2913" s="1" t="s">
        <v>28761</v>
      </c>
      <c r="B2913" s="1" t="str">
        <f>"GREG HARDY MR GREG HARDY"</f>
        <v>GREG HARDY MR GREG HARDY</v>
      </c>
      <c r="C2913" s="1" t="s">
        <v>28762</v>
      </c>
      <c r="F2913" s="1" t="s">
        <v>64</v>
      </c>
      <c r="H2913" s="1" t="s">
        <v>28763</v>
      </c>
      <c r="I2913" s="1" t="s">
        <v>5</v>
      </c>
      <c r="J2913" s="1" t="s">
        <v>6</v>
      </c>
      <c r="K2913" s="1" t="s">
        <v>34</v>
      </c>
      <c r="M2913" s="2">
        <v>42990</v>
      </c>
      <c r="N2913" s="1" t="s">
        <v>8</v>
      </c>
      <c r="O2913" s="2">
        <v>44086</v>
      </c>
    </row>
    <row r="2914" spans="1:15" ht="43.2" x14ac:dyDescent="0.3">
      <c r="A2914" s="1" t="s">
        <v>29519</v>
      </c>
      <c r="B2914" s="1" t="str">
        <f>"Barry Hutchinson"</f>
        <v>Barry Hutchinson</v>
      </c>
      <c r="C2914" s="1" t="s">
        <v>29520</v>
      </c>
      <c r="D2914" s="1" t="s">
        <v>29521</v>
      </c>
      <c r="F2914" s="1" t="s">
        <v>5459</v>
      </c>
      <c r="H2914" s="1" t="s">
        <v>29522</v>
      </c>
      <c r="I2914" s="1" t="s">
        <v>5</v>
      </c>
      <c r="J2914" s="1" t="s">
        <v>67</v>
      </c>
      <c r="K2914" s="1" t="s">
        <v>14</v>
      </c>
      <c r="M2914" s="2">
        <v>42990</v>
      </c>
      <c r="N2914" s="1" t="s">
        <v>8</v>
      </c>
      <c r="O2914" s="1" t="s">
        <v>68</v>
      </c>
    </row>
    <row r="2915" spans="1:15" ht="43.2" x14ac:dyDescent="0.3">
      <c r="A2915" s="1" t="s">
        <v>29523</v>
      </c>
      <c r="B2915" s="1" t="str">
        <f>"Richard Timmis"</f>
        <v>Richard Timmis</v>
      </c>
      <c r="C2915" s="1" t="s">
        <v>29524</v>
      </c>
      <c r="D2915" s="1" t="s">
        <v>29525</v>
      </c>
      <c r="E2915" s="1" t="s">
        <v>20969</v>
      </c>
      <c r="F2915" s="1" t="s">
        <v>2459</v>
      </c>
      <c r="H2915" s="1" t="s">
        <v>29526</v>
      </c>
      <c r="I2915" s="1" t="s">
        <v>5</v>
      </c>
      <c r="J2915" s="1" t="s">
        <v>67</v>
      </c>
      <c r="K2915" s="1" t="s">
        <v>14</v>
      </c>
      <c r="M2915" s="2">
        <v>42990</v>
      </c>
      <c r="N2915" s="1" t="s">
        <v>8</v>
      </c>
      <c r="O2915" s="1" t="s">
        <v>68</v>
      </c>
    </row>
    <row r="2916" spans="1:15" x14ac:dyDescent="0.3">
      <c r="A2916" s="1" t="s">
        <v>29527</v>
      </c>
      <c r="B2916" s="1" t="str">
        <f>"Jeff James Jeff James"</f>
        <v>Jeff James Jeff James</v>
      </c>
      <c r="C2916" s="1" t="s">
        <v>29528</v>
      </c>
      <c r="F2916" s="1" t="s">
        <v>56</v>
      </c>
      <c r="H2916" s="1" t="s">
        <v>29529</v>
      </c>
      <c r="I2916" s="1" t="s">
        <v>5</v>
      </c>
      <c r="J2916" s="1" t="s">
        <v>6</v>
      </c>
      <c r="K2916" s="1" t="s">
        <v>24</v>
      </c>
      <c r="M2916" s="2">
        <v>42990</v>
      </c>
      <c r="N2916" s="1" t="s">
        <v>8</v>
      </c>
      <c r="O2916" s="2">
        <v>44085</v>
      </c>
    </row>
    <row r="2917" spans="1:15" ht="43.2" x14ac:dyDescent="0.3">
      <c r="A2917" s="1" t="s">
        <v>15736</v>
      </c>
      <c r="B2917" s="1" t="str">
        <f>"H&amp;M UK ENTERPRISES LTD "</f>
        <v xml:space="preserve">H&amp;M UK ENTERPRISES LTD </v>
      </c>
      <c r="C2917" s="1" t="s">
        <v>15737</v>
      </c>
      <c r="F2917" s="1" t="s">
        <v>15738</v>
      </c>
      <c r="H2917" s="1" t="s">
        <v>15739</v>
      </c>
      <c r="I2917" s="1" t="s">
        <v>19</v>
      </c>
      <c r="J2917" s="1" t="s">
        <v>67</v>
      </c>
      <c r="K2917" s="1" t="s">
        <v>14</v>
      </c>
      <c r="M2917" s="2">
        <v>42989</v>
      </c>
      <c r="N2917" s="1" t="s">
        <v>8</v>
      </c>
      <c r="O2917" s="1" t="s">
        <v>68</v>
      </c>
    </row>
    <row r="2918" spans="1:15" ht="43.2" x14ac:dyDescent="0.3">
      <c r="A2918" s="1" t="s">
        <v>15740</v>
      </c>
      <c r="B2918" s="1" t="str">
        <f>"ELECTRIC HEAT LTD"</f>
        <v>ELECTRIC HEAT LTD</v>
      </c>
      <c r="C2918" s="1" t="s">
        <v>10880</v>
      </c>
      <c r="F2918" s="1" t="s">
        <v>42</v>
      </c>
      <c r="H2918" s="1" t="s">
        <v>10881</v>
      </c>
      <c r="I2918" s="1" t="s">
        <v>19</v>
      </c>
      <c r="J2918" s="1" t="s">
        <v>67</v>
      </c>
      <c r="K2918" s="1" t="s">
        <v>24</v>
      </c>
      <c r="L2918" s="1">
        <v>10675474</v>
      </c>
      <c r="M2918" s="2">
        <v>42989</v>
      </c>
      <c r="N2918" s="1" t="s">
        <v>8</v>
      </c>
      <c r="O2918" s="1" t="s">
        <v>68</v>
      </c>
    </row>
    <row r="2919" spans="1:15" ht="28.8" x14ac:dyDescent="0.3">
      <c r="A2919" s="1" t="s">
        <v>15741</v>
      </c>
      <c r="B2919" s="1" t="str">
        <f>"STYRENE PACKAGING AND INSULATION LT"</f>
        <v>STYRENE PACKAGING AND INSULATION LT</v>
      </c>
      <c r="C2919" s="1" t="s">
        <v>15742</v>
      </c>
      <c r="D2919" s="1" t="s">
        <v>15743</v>
      </c>
      <c r="F2919" s="1" t="s">
        <v>3864</v>
      </c>
      <c r="H2919" s="1" t="s">
        <v>15744</v>
      </c>
      <c r="I2919" s="1" t="s">
        <v>19</v>
      </c>
      <c r="J2919" s="1" t="s">
        <v>6</v>
      </c>
      <c r="K2919" s="1" t="s">
        <v>24</v>
      </c>
      <c r="L2919" s="1">
        <v>1800539</v>
      </c>
      <c r="M2919" s="2">
        <v>42989</v>
      </c>
      <c r="N2919" s="1" t="s">
        <v>8</v>
      </c>
      <c r="O2919" s="2">
        <v>44085</v>
      </c>
    </row>
    <row r="2920" spans="1:15" ht="43.2" x14ac:dyDescent="0.3">
      <c r="A2920" s="1" t="s">
        <v>15745</v>
      </c>
      <c r="B2920" s="1" t="str">
        <f>"gfp home heating care ltd"</f>
        <v>gfp home heating care ltd</v>
      </c>
      <c r="C2920" s="1" t="s">
        <v>15746</v>
      </c>
      <c r="F2920" s="1" t="s">
        <v>14815</v>
      </c>
      <c r="H2920" s="1" t="s">
        <v>15747</v>
      </c>
      <c r="I2920" s="1" t="s">
        <v>19</v>
      </c>
      <c r="J2920" s="1" t="s">
        <v>67</v>
      </c>
      <c r="K2920" s="1" t="s">
        <v>14</v>
      </c>
      <c r="M2920" s="2">
        <v>42989</v>
      </c>
      <c r="N2920" s="1" t="s">
        <v>8</v>
      </c>
      <c r="O2920" s="1" t="s">
        <v>68</v>
      </c>
    </row>
    <row r="2921" spans="1:15" ht="43.2" x14ac:dyDescent="0.3">
      <c r="A2921" s="1" t="s">
        <v>15748</v>
      </c>
      <c r="B2921" s="1" t="str">
        <f>"M C L (CIVIL ENGINEERING CONTRACTORS) LTD"</f>
        <v>M C L (CIVIL ENGINEERING CONTRACTORS) LTD</v>
      </c>
      <c r="C2921" s="1" t="s">
        <v>15749</v>
      </c>
      <c r="F2921" s="1" t="s">
        <v>140</v>
      </c>
      <c r="H2921" s="1" t="s">
        <v>15750</v>
      </c>
      <c r="I2921" s="1" t="s">
        <v>19</v>
      </c>
      <c r="J2921" s="1" t="s">
        <v>6</v>
      </c>
      <c r="K2921" s="1" t="s">
        <v>24</v>
      </c>
      <c r="L2921" s="1">
        <v>2743344</v>
      </c>
      <c r="M2921" s="2">
        <v>42989</v>
      </c>
      <c r="N2921" s="1" t="s">
        <v>8</v>
      </c>
      <c r="O2921" s="2">
        <v>44123</v>
      </c>
    </row>
    <row r="2922" spans="1:15" ht="28.8" x14ac:dyDescent="0.3">
      <c r="A2922" s="1" t="s">
        <v>15751</v>
      </c>
      <c r="B2922" s="1" t="str">
        <f>"Right Freight Ltd"</f>
        <v>Right Freight Ltd</v>
      </c>
      <c r="C2922" s="1" t="s">
        <v>15752</v>
      </c>
      <c r="D2922" s="1" t="s">
        <v>6143</v>
      </c>
      <c r="E2922" s="1" t="s">
        <v>6144</v>
      </c>
      <c r="F2922" s="1" t="s">
        <v>179</v>
      </c>
      <c r="H2922" s="1" t="s">
        <v>6145</v>
      </c>
      <c r="I2922" s="1" t="s">
        <v>19</v>
      </c>
      <c r="J2922" s="1" t="s">
        <v>6</v>
      </c>
      <c r="K2922" s="1" t="s">
        <v>24</v>
      </c>
      <c r="L2922" s="1">
        <v>6760003</v>
      </c>
      <c r="M2922" s="2">
        <v>42989</v>
      </c>
      <c r="N2922" s="1" t="s">
        <v>8</v>
      </c>
      <c r="O2922" s="2">
        <v>44085</v>
      </c>
    </row>
    <row r="2923" spans="1:15" ht="43.2" x14ac:dyDescent="0.3">
      <c r="A2923" s="1" t="s">
        <v>15753</v>
      </c>
      <c r="B2923" s="1" t="str">
        <f>"Linde Sterling Ltd"</f>
        <v>Linde Sterling Ltd</v>
      </c>
      <c r="C2923" s="1" t="s">
        <v>15754</v>
      </c>
      <c r="F2923" s="1" t="s">
        <v>1479</v>
      </c>
      <c r="H2923" s="1" t="s">
        <v>4234</v>
      </c>
      <c r="I2923" s="1" t="s">
        <v>19</v>
      </c>
      <c r="J2923" s="1" t="s">
        <v>67</v>
      </c>
      <c r="K2923" s="1" t="s">
        <v>14</v>
      </c>
      <c r="M2923" s="2">
        <v>42989</v>
      </c>
      <c r="N2923" s="1" t="s">
        <v>8</v>
      </c>
      <c r="O2923" s="1" t="s">
        <v>68</v>
      </c>
    </row>
    <row r="2924" spans="1:15" ht="28.8" x14ac:dyDescent="0.3">
      <c r="A2924" s="1" t="s">
        <v>16729</v>
      </c>
      <c r="B2924" s="1" t="str">
        <f>"ATKIN GROUNDWORKS LTD"</f>
        <v>ATKIN GROUNDWORKS LTD</v>
      </c>
      <c r="C2924" s="1" t="s">
        <v>16730</v>
      </c>
      <c r="F2924" s="1" t="s">
        <v>790</v>
      </c>
      <c r="H2924" s="1" t="s">
        <v>16731</v>
      </c>
      <c r="I2924" s="1" t="s">
        <v>19</v>
      </c>
      <c r="J2924" s="1" t="s">
        <v>6</v>
      </c>
      <c r="K2924" s="1" t="s">
        <v>24</v>
      </c>
      <c r="L2924" s="1">
        <v>5958484</v>
      </c>
      <c r="M2924" s="2">
        <v>42989</v>
      </c>
      <c r="N2924" s="1" t="s">
        <v>8</v>
      </c>
      <c r="O2924" s="2">
        <v>44085</v>
      </c>
    </row>
    <row r="2925" spans="1:15" ht="28.8" x14ac:dyDescent="0.3">
      <c r="A2925" s="1" t="s">
        <v>16732</v>
      </c>
      <c r="B2925" s="1" t="str">
        <f>"L GREGGAIN &amp; COMPANY LIMITED"</f>
        <v>L GREGGAIN &amp; COMPANY LIMITED</v>
      </c>
      <c r="C2925" s="1" t="s">
        <v>16733</v>
      </c>
      <c r="D2925" s="1" t="s">
        <v>3181</v>
      </c>
      <c r="F2925" s="1" t="s">
        <v>513</v>
      </c>
      <c r="H2925" s="1" t="s">
        <v>16734</v>
      </c>
      <c r="I2925" s="1" t="s">
        <v>19</v>
      </c>
      <c r="J2925" s="1" t="s">
        <v>6</v>
      </c>
      <c r="K2925" s="1" t="s">
        <v>34</v>
      </c>
      <c r="L2925" s="1">
        <v>4373169</v>
      </c>
      <c r="M2925" s="2">
        <v>42989</v>
      </c>
      <c r="N2925" s="1" t="s">
        <v>8</v>
      </c>
      <c r="O2925" s="2">
        <v>44085</v>
      </c>
    </row>
    <row r="2926" spans="1:15" ht="43.2" x14ac:dyDescent="0.3">
      <c r="A2926" s="1" t="s">
        <v>16735</v>
      </c>
      <c r="B2926" s="1" t="str">
        <f>"Iwerne Valley Garden Services"</f>
        <v>Iwerne Valley Garden Services</v>
      </c>
      <c r="C2926" s="1" t="s">
        <v>16736</v>
      </c>
      <c r="D2926" s="1" t="s">
        <v>16737</v>
      </c>
      <c r="F2926" s="1" t="s">
        <v>16738</v>
      </c>
      <c r="H2926" s="1" t="s">
        <v>16739</v>
      </c>
      <c r="I2926" s="1" t="s">
        <v>125</v>
      </c>
      <c r="J2926" s="1" t="s">
        <v>67</v>
      </c>
      <c r="K2926" s="1" t="s">
        <v>14</v>
      </c>
      <c r="M2926" s="2">
        <v>42989</v>
      </c>
      <c r="N2926" s="1" t="s">
        <v>8</v>
      </c>
      <c r="O2926" s="1" t="s">
        <v>68</v>
      </c>
    </row>
    <row r="2927" spans="1:15" ht="43.2" x14ac:dyDescent="0.3">
      <c r="A2927" s="1" t="s">
        <v>27968</v>
      </c>
      <c r="B2927" s="1" t="str">
        <f>"royce thomas"</f>
        <v>royce thomas</v>
      </c>
      <c r="C2927" s="1" t="s">
        <v>27969</v>
      </c>
      <c r="F2927" s="1" t="s">
        <v>1063</v>
      </c>
      <c r="H2927" s="1" t="s">
        <v>27970</v>
      </c>
      <c r="I2927" s="1" t="s">
        <v>5</v>
      </c>
      <c r="J2927" s="1" t="s">
        <v>67</v>
      </c>
      <c r="K2927" s="1" t="s">
        <v>14</v>
      </c>
      <c r="M2927" s="2">
        <v>42989</v>
      </c>
      <c r="N2927" s="1" t="s">
        <v>8</v>
      </c>
      <c r="O2927" s="1" t="s">
        <v>68</v>
      </c>
    </row>
    <row r="2928" spans="1:15" x14ac:dyDescent="0.3">
      <c r="A2928" s="1" t="s">
        <v>27971</v>
      </c>
      <c r="B2928" s="1" t="str">
        <f>"Lee Motley LMBF"</f>
        <v>Lee Motley LMBF</v>
      </c>
      <c r="C2928" s="1" t="s">
        <v>27972</v>
      </c>
      <c r="F2928" s="1" t="s">
        <v>179</v>
      </c>
      <c r="H2928" s="1" t="s">
        <v>27973</v>
      </c>
      <c r="I2928" s="1" t="s">
        <v>5</v>
      </c>
      <c r="J2928" s="1" t="s">
        <v>6</v>
      </c>
      <c r="K2928" s="1" t="s">
        <v>24</v>
      </c>
      <c r="M2928" s="2">
        <v>42989</v>
      </c>
      <c r="N2928" s="1" t="s">
        <v>8</v>
      </c>
      <c r="O2928" s="2">
        <v>44085</v>
      </c>
    </row>
    <row r="2929" spans="1:15" ht="28.8" x14ac:dyDescent="0.3">
      <c r="A2929" s="1" t="s">
        <v>28755</v>
      </c>
      <c r="B2929" s="1" t="str">
        <f>"ALLAN GRINHAM MR ALLEN GRINHAM"</f>
        <v>ALLAN GRINHAM MR ALLEN GRINHAM</v>
      </c>
      <c r="C2929" s="1" t="s">
        <v>28756</v>
      </c>
      <c r="F2929" s="1" t="s">
        <v>1137</v>
      </c>
      <c r="H2929" s="1" t="s">
        <v>28757</v>
      </c>
      <c r="I2929" s="1" t="s">
        <v>5</v>
      </c>
      <c r="J2929" s="1" t="s">
        <v>6</v>
      </c>
      <c r="K2929" s="1" t="s">
        <v>24</v>
      </c>
      <c r="M2929" s="2">
        <v>42989</v>
      </c>
      <c r="N2929" s="1" t="s">
        <v>8</v>
      </c>
      <c r="O2929" s="2">
        <v>44085</v>
      </c>
    </row>
    <row r="2930" spans="1:15" ht="43.2" x14ac:dyDescent="0.3">
      <c r="A2930" s="1" t="s">
        <v>28758</v>
      </c>
      <c r="B2930" s="1" t="str">
        <f>"Gordon James"</f>
        <v>Gordon James</v>
      </c>
      <c r="C2930" s="1" t="s">
        <v>28759</v>
      </c>
      <c r="D2930" s="1" t="s">
        <v>12604</v>
      </c>
      <c r="F2930" s="1" t="s">
        <v>491</v>
      </c>
      <c r="H2930" s="1" t="s">
        <v>28760</v>
      </c>
      <c r="I2930" s="1" t="s">
        <v>5</v>
      </c>
      <c r="J2930" s="1" t="s">
        <v>67</v>
      </c>
      <c r="K2930" s="1" t="s">
        <v>14</v>
      </c>
      <c r="M2930" s="2">
        <v>42989</v>
      </c>
      <c r="N2930" s="1" t="s">
        <v>8</v>
      </c>
      <c r="O2930" s="1" t="s">
        <v>68</v>
      </c>
    </row>
    <row r="2931" spans="1:15" ht="28.8" x14ac:dyDescent="0.3">
      <c r="A2931" s="1" t="s">
        <v>14829</v>
      </c>
      <c r="B2931" s="1" t="str">
        <f>"J.TUNLEY CONTRACTORS LTD"</f>
        <v>J.TUNLEY CONTRACTORS LTD</v>
      </c>
      <c r="C2931" s="1" t="s">
        <v>14830</v>
      </c>
      <c r="F2931" s="1" t="s">
        <v>380</v>
      </c>
      <c r="H2931" s="1" t="s">
        <v>14831</v>
      </c>
      <c r="I2931" s="1" t="s">
        <v>19</v>
      </c>
      <c r="J2931" s="1" t="s">
        <v>6</v>
      </c>
      <c r="K2931" s="1" t="s">
        <v>24</v>
      </c>
      <c r="L2931" s="1">
        <v>8946993</v>
      </c>
      <c r="M2931" s="2">
        <v>42988</v>
      </c>
      <c r="N2931" s="1" t="s">
        <v>8</v>
      </c>
      <c r="O2931" s="2">
        <v>44084</v>
      </c>
    </row>
    <row r="2932" spans="1:15" x14ac:dyDescent="0.3">
      <c r="A2932" s="1" t="s">
        <v>15732</v>
      </c>
      <c r="B2932" s="1" t="str">
        <f>"Walker &amp; Doyle"</f>
        <v>Walker &amp; Doyle</v>
      </c>
      <c r="C2932" s="1" t="s">
        <v>15733</v>
      </c>
      <c r="F2932" s="1" t="s">
        <v>15734</v>
      </c>
      <c r="H2932" s="1" t="s">
        <v>15735</v>
      </c>
      <c r="I2932" s="1" t="s">
        <v>125</v>
      </c>
      <c r="J2932" s="1" t="s">
        <v>6</v>
      </c>
      <c r="K2932" s="1" t="s">
        <v>24</v>
      </c>
      <c r="M2932" s="2">
        <v>42988</v>
      </c>
      <c r="N2932" s="1" t="s">
        <v>8</v>
      </c>
      <c r="O2932" s="2">
        <v>44084</v>
      </c>
    </row>
    <row r="2933" spans="1:15" ht="43.2" x14ac:dyDescent="0.3">
      <c r="A2933" s="1" t="s">
        <v>27129</v>
      </c>
      <c r="B2933" s="1" t="str">
        <f>"Andrew Neeves"</f>
        <v>Andrew Neeves</v>
      </c>
      <c r="C2933" s="1" t="s">
        <v>27130</v>
      </c>
      <c r="F2933" s="1" t="s">
        <v>12546</v>
      </c>
      <c r="H2933" s="1" t="s">
        <v>27131</v>
      </c>
      <c r="I2933" s="1" t="s">
        <v>5</v>
      </c>
      <c r="J2933" s="1" t="s">
        <v>67</v>
      </c>
      <c r="K2933" s="1" t="s">
        <v>14</v>
      </c>
      <c r="M2933" s="2">
        <v>42988</v>
      </c>
      <c r="N2933" s="1" t="s">
        <v>8</v>
      </c>
      <c r="O2933" s="1" t="s">
        <v>68</v>
      </c>
    </row>
    <row r="2934" spans="1:15" ht="43.2" x14ac:dyDescent="0.3">
      <c r="A2934" s="1" t="s">
        <v>27965</v>
      </c>
      <c r="B2934" s="1" t="str">
        <f>"Tom Kettle Toms property maintenance and lands"</f>
        <v>Tom Kettle Toms property maintenance and lands</v>
      </c>
      <c r="C2934" s="1" t="s">
        <v>27966</v>
      </c>
      <c r="F2934" s="1" t="s">
        <v>179</v>
      </c>
      <c r="H2934" s="1" t="s">
        <v>27967</v>
      </c>
      <c r="I2934" s="1" t="s">
        <v>5</v>
      </c>
      <c r="J2934" s="1" t="s">
        <v>6</v>
      </c>
      <c r="K2934" s="1" t="s">
        <v>24</v>
      </c>
      <c r="M2934" s="2">
        <v>42988</v>
      </c>
      <c r="N2934" s="1" t="s">
        <v>8</v>
      </c>
      <c r="O2934" s="2">
        <v>44084</v>
      </c>
    </row>
    <row r="2935" spans="1:15" ht="28.8" x14ac:dyDescent="0.3">
      <c r="A2935" s="1" t="s">
        <v>14813</v>
      </c>
      <c r="B2935" s="1" t="str">
        <f>"Crown Contracting (Yorkshire) LTD"</f>
        <v>Crown Contracting (Yorkshire) LTD</v>
      </c>
      <c r="C2935" s="1" t="s">
        <v>14814</v>
      </c>
      <c r="F2935" s="1" t="s">
        <v>14815</v>
      </c>
      <c r="H2935" s="1" t="s">
        <v>14816</v>
      </c>
      <c r="I2935" s="1" t="s">
        <v>19</v>
      </c>
      <c r="J2935" s="1" t="s">
        <v>6</v>
      </c>
      <c r="K2935" s="1" t="s">
        <v>24</v>
      </c>
      <c r="L2935" s="1">
        <v>10839870</v>
      </c>
      <c r="M2935" s="2">
        <v>42987</v>
      </c>
      <c r="N2935" s="1" t="s">
        <v>8</v>
      </c>
      <c r="O2935" s="2">
        <v>44083</v>
      </c>
    </row>
    <row r="2936" spans="1:15" ht="43.2" x14ac:dyDescent="0.3">
      <c r="A2936" s="1" t="s">
        <v>14817</v>
      </c>
      <c r="B2936" s="1" t="str">
        <f>"Traditional Homescaping Building an"</f>
        <v>Traditional Homescaping Building an</v>
      </c>
      <c r="C2936" s="1" t="s">
        <v>14818</v>
      </c>
      <c r="F2936" s="1" t="s">
        <v>230</v>
      </c>
      <c r="H2936" s="1" t="s">
        <v>14819</v>
      </c>
      <c r="I2936" s="1" t="s">
        <v>19</v>
      </c>
      <c r="J2936" s="1" t="s">
        <v>6</v>
      </c>
      <c r="K2936" s="1" t="s">
        <v>34</v>
      </c>
      <c r="L2936" s="1">
        <v>7692993</v>
      </c>
      <c r="M2936" s="2">
        <v>42987</v>
      </c>
      <c r="N2936" s="1" t="s">
        <v>8</v>
      </c>
      <c r="O2936" s="2">
        <v>44083</v>
      </c>
    </row>
    <row r="2937" spans="1:15" ht="28.8" x14ac:dyDescent="0.3">
      <c r="A2937" s="1" t="s">
        <v>14820</v>
      </c>
      <c r="B2937" s="1" t="str">
        <f>"CARDIFF GARDEN FENCING LTD"</f>
        <v>CARDIFF GARDEN FENCING LTD</v>
      </c>
      <c r="C2937" s="1" t="s">
        <v>14821</v>
      </c>
      <c r="F2937" s="1" t="s">
        <v>22</v>
      </c>
      <c r="H2937" s="1" t="s">
        <v>14822</v>
      </c>
      <c r="I2937" s="1" t="s">
        <v>19</v>
      </c>
      <c r="J2937" s="1" t="s">
        <v>6</v>
      </c>
      <c r="K2937" s="1" t="s">
        <v>24</v>
      </c>
      <c r="L2937" s="1">
        <v>9179267</v>
      </c>
      <c r="M2937" s="2">
        <v>42987</v>
      </c>
      <c r="N2937" s="1" t="s">
        <v>8</v>
      </c>
      <c r="O2937" s="2">
        <v>44083</v>
      </c>
    </row>
    <row r="2938" spans="1:15" ht="43.2" x14ac:dyDescent="0.3">
      <c r="A2938" s="1" t="s">
        <v>14823</v>
      </c>
      <c r="B2938" s="1" t="str">
        <f>"STUART SMITH ROOFING CONTRACTORS LTD"</f>
        <v>STUART SMITH ROOFING CONTRACTORS LTD</v>
      </c>
      <c r="C2938" s="1" t="s">
        <v>14824</v>
      </c>
      <c r="D2938" s="1" t="s">
        <v>4070</v>
      </c>
      <c r="F2938" s="1" t="s">
        <v>358</v>
      </c>
      <c r="H2938" s="1" t="s">
        <v>14825</v>
      </c>
      <c r="I2938" s="1" t="s">
        <v>19</v>
      </c>
      <c r="J2938" s="1" t="s">
        <v>6</v>
      </c>
      <c r="K2938" s="1" t="s">
        <v>34</v>
      </c>
      <c r="L2938" s="1">
        <v>5358426</v>
      </c>
      <c r="M2938" s="2">
        <v>42987</v>
      </c>
      <c r="N2938" s="1" t="s">
        <v>8</v>
      </c>
      <c r="O2938" s="2">
        <v>44083</v>
      </c>
    </row>
    <row r="2939" spans="1:15" ht="28.8" x14ac:dyDescent="0.3">
      <c r="A2939" s="1" t="s">
        <v>14826</v>
      </c>
      <c r="B2939" s="1" t="str">
        <f>"T.J. MAINTENANCE SERVICES LIMITED"</f>
        <v>T.J. MAINTENANCE SERVICES LIMITED</v>
      </c>
      <c r="C2939" s="1" t="s">
        <v>14827</v>
      </c>
      <c r="D2939" s="1" t="s">
        <v>2130</v>
      </c>
      <c r="F2939" s="1" t="s">
        <v>42</v>
      </c>
      <c r="H2939" s="1" t="s">
        <v>14828</v>
      </c>
      <c r="I2939" s="1" t="s">
        <v>19</v>
      </c>
      <c r="J2939" s="1" t="s">
        <v>6</v>
      </c>
      <c r="K2939" s="1" t="s">
        <v>34</v>
      </c>
      <c r="L2939" s="1">
        <v>7347136</v>
      </c>
      <c r="M2939" s="2">
        <v>42987</v>
      </c>
      <c r="N2939" s="1" t="s">
        <v>8</v>
      </c>
      <c r="O2939" s="2">
        <v>44083</v>
      </c>
    </row>
    <row r="2940" spans="1:15" ht="28.8" x14ac:dyDescent="0.3">
      <c r="A2940" s="1" t="s">
        <v>27115</v>
      </c>
      <c r="B2940" s="1" t="str">
        <f>"Ian Hartshorn Mr Ian Hartshorn"</f>
        <v>Ian Hartshorn Mr Ian Hartshorn</v>
      </c>
      <c r="C2940" s="1" t="s">
        <v>27116</v>
      </c>
      <c r="F2940" s="1" t="s">
        <v>1226</v>
      </c>
      <c r="H2940" s="1" t="s">
        <v>27117</v>
      </c>
      <c r="I2940" s="1" t="s">
        <v>5</v>
      </c>
      <c r="J2940" s="1" t="s">
        <v>6</v>
      </c>
      <c r="K2940" s="1" t="s">
        <v>24</v>
      </c>
      <c r="M2940" s="2">
        <v>42987</v>
      </c>
      <c r="N2940" s="1" t="s">
        <v>8</v>
      </c>
      <c r="O2940" s="2">
        <v>44083</v>
      </c>
    </row>
    <row r="2941" spans="1:15" ht="43.2" x14ac:dyDescent="0.3">
      <c r="A2941" s="1" t="s">
        <v>27118</v>
      </c>
      <c r="B2941" s="1" t="str">
        <f>"Jonathan Stimpson"</f>
        <v>Jonathan Stimpson</v>
      </c>
      <c r="C2941" s="1" t="s">
        <v>27119</v>
      </c>
      <c r="D2941" s="1" t="s">
        <v>27120</v>
      </c>
      <c r="F2941" s="1" t="s">
        <v>27121</v>
      </c>
      <c r="H2941" s="1" t="s">
        <v>27122</v>
      </c>
      <c r="I2941" s="1" t="s">
        <v>5</v>
      </c>
      <c r="J2941" s="1" t="s">
        <v>67</v>
      </c>
      <c r="K2941" s="1" t="s">
        <v>14</v>
      </c>
      <c r="M2941" s="2">
        <v>42987</v>
      </c>
      <c r="N2941" s="1" t="s">
        <v>8</v>
      </c>
      <c r="O2941" s="1" t="s">
        <v>68</v>
      </c>
    </row>
    <row r="2942" spans="1:15" ht="28.8" x14ac:dyDescent="0.3">
      <c r="A2942" s="1" t="s">
        <v>27123</v>
      </c>
      <c r="B2942" s="1" t="str">
        <f>"Ian Lewis Ian Lewis"</f>
        <v>Ian Lewis Ian Lewis</v>
      </c>
      <c r="C2942" s="1" t="s">
        <v>27124</v>
      </c>
      <c r="F2942" s="1" t="s">
        <v>179</v>
      </c>
      <c r="H2942" s="1" t="s">
        <v>27125</v>
      </c>
      <c r="I2942" s="1" t="s">
        <v>5</v>
      </c>
      <c r="J2942" s="1" t="s">
        <v>6</v>
      </c>
      <c r="K2942" s="1" t="s">
        <v>34</v>
      </c>
      <c r="M2942" s="2">
        <v>42987</v>
      </c>
      <c r="N2942" s="1" t="s">
        <v>8</v>
      </c>
      <c r="O2942" s="2">
        <v>44083</v>
      </c>
    </row>
    <row r="2943" spans="1:15" ht="43.2" x14ac:dyDescent="0.3">
      <c r="A2943" s="1" t="s">
        <v>27126</v>
      </c>
      <c r="B2943" s="1" t="str">
        <f>"Gareth Griffiths"</f>
        <v>Gareth Griffiths</v>
      </c>
      <c r="C2943" s="1" t="s">
        <v>27127</v>
      </c>
      <c r="F2943" s="1" t="s">
        <v>156</v>
      </c>
      <c r="H2943" s="1" t="s">
        <v>27128</v>
      </c>
      <c r="I2943" s="1" t="s">
        <v>5</v>
      </c>
      <c r="J2943" s="1" t="s">
        <v>67</v>
      </c>
      <c r="K2943" s="1" t="s">
        <v>24</v>
      </c>
      <c r="M2943" s="2">
        <v>42987</v>
      </c>
      <c r="N2943" s="1" t="s">
        <v>8</v>
      </c>
      <c r="O2943" s="1" t="s">
        <v>68</v>
      </c>
    </row>
    <row r="2944" spans="1:15" x14ac:dyDescent="0.3">
      <c r="A2944" s="1" t="s">
        <v>13954</v>
      </c>
      <c r="B2944" s="1" t="str">
        <f>"Accelerate Freight Ltd"</f>
        <v>Accelerate Freight Ltd</v>
      </c>
      <c r="C2944" s="1" t="s">
        <v>13955</v>
      </c>
      <c r="F2944" s="1" t="s">
        <v>123</v>
      </c>
      <c r="G2944" s="1" t="s">
        <v>27</v>
      </c>
      <c r="H2944" s="1" t="s">
        <v>13956</v>
      </c>
      <c r="I2944" s="1" t="s">
        <v>19</v>
      </c>
      <c r="J2944" s="1" t="s">
        <v>6</v>
      </c>
      <c r="K2944" s="1" t="s">
        <v>24</v>
      </c>
      <c r="L2944" s="1">
        <v>6602482</v>
      </c>
      <c r="M2944" s="2">
        <v>42986</v>
      </c>
      <c r="N2944" s="1" t="s">
        <v>8</v>
      </c>
      <c r="O2944" s="2">
        <v>44081</v>
      </c>
    </row>
    <row r="2945" spans="1:15" ht="28.8" x14ac:dyDescent="0.3">
      <c r="A2945" s="1" t="s">
        <v>14799</v>
      </c>
      <c r="B2945" s="1" t="str">
        <f>"Eco-Enviro Llandysul Ltd"</f>
        <v>Eco-Enviro Llandysul Ltd</v>
      </c>
      <c r="C2945" s="1" t="s">
        <v>14800</v>
      </c>
      <c r="F2945" s="1" t="s">
        <v>2961</v>
      </c>
      <c r="H2945" s="1" t="s">
        <v>7602</v>
      </c>
      <c r="I2945" s="1" t="s">
        <v>19</v>
      </c>
      <c r="J2945" s="1" t="s">
        <v>6</v>
      </c>
      <c r="K2945" s="1" t="s">
        <v>1859</v>
      </c>
      <c r="L2945" s="1">
        <v>4929194</v>
      </c>
      <c r="M2945" s="2">
        <v>42986</v>
      </c>
      <c r="N2945" s="1" t="s">
        <v>8</v>
      </c>
      <c r="O2945" s="2">
        <v>44082</v>
      </c>
    </row>
    <row r="2946" spans="1:15" x14ac:dyDescent="0.3">
      <c r="A2946" s="1" t="s">
        <v>14801</v>
      </c>
      <c r="B2946" s="1" t="str">
        <f>"L Jones Transport Ltd"</f>
        <v>L Jones Transport Ltd</v>
      </c>
      <c r="C2946" s="1" t="s">
        <v>14802</v>
      </c>
      <c r="F2946" s="1" t="s">
        <v>64</v>
      </c>
      <c r="H2946" s="1" t="s">
        <v>12588</v>
      </c>
      <c r="I2946" s="1" t="s">
        <v>19</v>
      </c>
      <c r="J2946" s="1" t="s">
        <v>6</v>
      </c>
      <c r="K2946" s="1" t="s">
        <v>24</v>
      </c>
      <c r="L2946" s="1">
        <v>10579300</v>
      </c>
      <c r="M2946" s="2">
        <v>42986</v>
      </c>
      <c r="N2946" s="1" t="s">
        <v>8</v>
      </c>
      <c r="O2946" s="2">
        <v>44082</v>
      </c>
    </row>
    <row r="2947" spans="1:15" ht="28.8" x14ac:dyDescent="0.3">
      <c r="A2947" s="1" t="s">
        <v>14803</v>
      </c>
      <c r="B2947" s="1" t="str">
        <f>"Milne Installations"</f>
        <v>Milne Installations</v>
      </c>
      <c r="C2947" s="1" t="s">
        <v>14804</v>
      </c>
      <c r="F2947" s="1" t="s">
        <v>2459</v>
      </c>
      <c r="H2947" s="1" t="s">
        <v>14805</v>
      </c>
      <c r="I2947" s="1" t="s">
        <v>125</v>
      </c>
      <c r="J2947" s="1" t="s">
        <v>6</v>
      </c>
      <c r="K2947" s="1" t="s">
        <v>24</v>
      </c>
      <c r="M2947" s="2">
        <v>42986</v>
      </c>
      <c r="N2947" s="1" t="s">
        <v>8</v>
      </c>
      <c r="O2947" s="2">
        <v>44082</v>
      </c>
    </row>
    <row r="2948" spans="1:15" x14ac:dyDescent="0.3">
      <c r="A2948" s="1" t="s">
        <v>14806</v>
      </c>
      <c r="B2948" s="1" t="str">
        <f>"GL &amp; SV Owens"</f>
        <v>GL &amp; SV Owens</v>
      </c>
      <c r="C2948" s="1" t="s">
        <v>14807</v>
      </c>
      <c r="F2948" s="1" t="s">
        <v>1991</v>
      </c>
      <c r="H2948" s="1" t="s">
        <v>14808</v>
      </c>
      <c r="I2948" s="1" t="s">
        <v>125</v>
      </c>
      <c r="J2948" s="1" t="s">
        <v>6</v>
      </c>
      <c r="K2948" s="1" t="s">
        <v>24</v>
      </c>
      <c r="M2948" s="2">
        <v>42986</v>
      </c>
      <c r="N2948" s="1" t="s">
        <v>8</v>
      </c>
      <c r="O2948" s="2">
        <v>44082</v>
      </c>
    </row>
    <row r="2949" spans="1:15" ht="28.8" x14ac:dyDescent="0.3">
      <c r="A2949" s="1" t="s">
        <v>14809</v>
      </c>
      <c r="B2949" s="1" t="str">
        <f>"R.F. BELLIS HAULAGE LTD"</f>
        <v>R.F. BELLIS HAULAGE LTD</v>
      </c>
      <c r="C2949" s="1" t="s">
        <v>14810</v>
      </c>
      <c r="D2949" s="1" t="s">
        <v>14811</v>
      </c>
      <c r="F2949" s="1" t="s">
        <v>4944</v>
      </c>
      <c r="H2949" s="1" t="s">
        <v>14812</v>
      </c>
      <c r="I2949" s="1" t="s">
        <v>19</v>
      </c>
      <c r="J2949" s="1" t="s">
        <v>6</v>
      </c>
      <c r="K2949" s="1" t="s">
        <v>24</v>
      </c>
      <c r="L2949" s="1">
        <v>4536183</v>
      </c>
      <c r="M2949" s="2">
        <v>42986</v>
      </c>
      <c r="N2949" s="1" t="s">
        <v>8</v>
      </c>
      <c r="O2949" s="2">
        <v>44082</v>
      </c>
    </row>
    <row r="2950" spans="1:15" ht="43.2" x14ac:dyDescent="0.3">
      <c r="A2950" s="1" t="s">
        <v>26400</v>
      </c>
      <c r="B2950" s="1" t="str">
        <f>"David Rees"</f>
        <v>David Rees</v>
      </c>
      <c r="C2950" s="1" t="s">
        <v>26401</v>
      </c>
      <c r="F2950" s="1" t="s">
        <v>1063</v>
      </c>
      <c r="H2950" s="1" t="s">
        <v>14254</v>
      </c>
      <c r="I2950" s="1" t="s">
        <v>5</v>
      </c>
      <c r="J2950" s="1" t="s">
        <v>67</v>
      </c>
      <c r="K2950" s="1" t="s">
        <v>14</v>
      </c>
      <c r="M2950" s="2">
        <v>42986</v>
      </c>
      <c r="N2950" s="1" t="s">
        <v>8</v>
      </c>
      <c r="O2950" s="1" t="s">
        <v>68</v>
      </c>
    </row>
    <row r="2951" spans="1:15" ht="43.2" x14ac:dyDescent="0.3">
      <c r="A2951" s="1" t="s">
        <v>27108</v>
      </c>
      <c r="B2951" s="1" t="str">
        <f>"Stephanie Widdowson"</f>
        <v>Stephanie Widdowson</v>
      </c>
      <c r="C2951" s="1" t="s">
        <v>27109</v>
      </c>
      <c r="F2951" s="1" t="s">
        <v>710</v>
      </c>
      <c r="H2951" s="1" t="s">
        <v>7081</v>
      </c>
      <c r="I2951" s="1" t="s">
        <v>5</v>
      </c>
      <c r="J2951" s="1" t="s">
        <v>67</v>
      </c>
      <c r="K2951" s="1" t="s">
        <v>14</v>
      </c>
      <c r="M2951" s="2">
        <v>42986</v>
      </c>
      <c r="N2951" s="1" t="s">
        <v>8</v>
      </c>
      <c r="O2951" s="1" t="s">
        <v>68</v>
      </c>
    </row>
    <row r="2952" spans="1:15" ht="28.8" x14ac:dyDescent="0.3">
      <c r="A2952" s="1" t="s">
        <v>27110</v>
      </c>
      <c r="B2952" s="1" t="str">
        <f>"Chris Thomas"</f>
        <v>Chris Thomas</v>
      </c>
      <c r="C2952" s="1" t="s">
        <v>27111</v>
      </c>
      <c r="F2952" s="1" t="s">
        <v>42</v>
      </c>
      <c r="H2952" s="1" t="s">
        <v>26778</v>
      </c>
      <c r="I2952" s="1" t="s">
        <v>5</v>
      </c>
      <c r="J2952" s="1" t="s">
        <v>6</v>
      </c>
      <c r="K2952" s="1" t="s">
        <v>24</v>
      </c>
      <c r="M2952" s="2">
        <v>42986</v>
      </c>
      <c r="N2952" s="1" t="s">
        <v>8</v>
      </c>
      <c r="O2952" s="2">
        <v>44082</v>
      </c>
    </row>
    <row r="2953" spans="1:15" x14ac:dyDescent="0.3">
      <c r="A2953" s="1" t="s">
        <v>27112</v>
      </c>
      <c r="B2953" s="1" t="str">
        <f>"Michael Allen Lock"</f>
        <v>Michael Allen Lock</v>
      </c>
      <c r="C2953" s="1" t="s">
        <v>27113</v>
      </c>
      <c r="D2953" s="1" t="s">
        <v>21653</v>
      </c>
      <c r="F2953" s="1" t="s">
        <v>151</v>
      </c>
      <c r="H2953" s="1" t="s">
        <v>27114</v>
      </c>
      <c r="I2953" s="1" t="s">
        <v>5</v>
      </c>
      <c r="J2953" s="1" t="s">
        <v>6</v>
      </c>
      <c r="K2953" s="1" t="s">
        <v>24</v>
      </c>
      <c r="M2953" s="2">
        <v>42986</v>
      </c>
      <c r="N2953" s="1" t="s">
        <v>8</v>
      </c>
      <c r="O2953" s="2">
        <v>44082</v>
      </c>
    </row>
    <row r="2954" spans="1:15" ht="28.8" x14ac:dyDescent="0.3">
      <c r="A2954" s="1" t="s">
        <v>13932</v>
      </c>
      <c r="B2954" s="1" t="str">
        <f>"I W HUGHES SERVICES LTD"</f>
        <v>I W HUGHES SERVICES LTD</v>
      </c>
      <c r="C2954" s="1" t="s">
        <v>13933</v>
      </c>
      <c r="F2954" s="1" t="s">
        <v>4645</v>
      </c>
      <c r="H2954" s="1" t="s">
        <v>13934</v>
      </c>
      <c r="I2954" s="1" t="s">
        <v>19</v>
      </c>
      <c r="J2954" s="1" t="s">
        <v>6</v>
      </c>
      <c r="K2954" s="1" t="s">
        <v>24</v>
      </c>
      <c r="L2954" s="1">
        <v>7390045</v>
      </c>
      <c r="M2954" s="2">
        <v>42985</v>
      </c>
      <c r="N2954" s="1" t="s">
        <v>8</v>
      </c>
      <c r="O2954" s="2">
        <v>44081</v>
      </c>
    </row>
    <row r="2955" spans="1:15" x14ac:dyDescent="0.3">
      <c r="A2955" s="1" t="s">
        <v>13935</v>
      </c>
      <c r="B2955" s="1" t="str">
        <f>"D T Two Limited"</f>
        <v>D T Two Limited</v>
      </c>
      <c r="C2955" s="1" t="s">
        <v>13936</v>
      </c>
      <c r="F2955" s="1" t="s">
        <v>64</v>
      </c>
      <c r="H2955" s="1" t="s">
        <v>13937</v>
      </c>
      <c r="I2955" s="1" t="s">
        <v>19</v>
      </c>
      <c r="J2955" s="1" t="s">
        <v>6</v>
      </c>
      <c r="K2955" s="1" t="s">
        <v>24</v>
      </c>
      <c r="L2955" s="1">
        <v>7687697</v>
      </c>
      <c r="M2955" s="2">
        <v>42985</v>
      </c>
      <c r="N2955" s="1" t="s">
        <v>8</v>
      </c>
      <c r="O2955" s="2">
        <v>44081</v>
      </c>
    </row>
    <row r="2956" spans="1:15" ht="43.2" x14ac:dyDescent="0.3">
      <c r="A2956" s="1" t="s">
        <v>13938</v>
      </c>
      <c r="B2956" s="1" t="str">
        <f>"Seaside retreat"</f>
        <v>Seaside retreat</v>
      </c>
      <c r="C2956" s="1" t="s">
        <v>13939</v>
      </c>
      <c r="D2956" s="1" t="s">
        <v>13940</v>
      </c>
      <c r="F2956" s="1" t="s">
        <v>5291</v>
      </c>
      <c r="H2956" s="1" t="s">
        <v>13941</v>
      </c>
      <c r="I2956" s="1" t="s">
        <v>125</v>
      </c>
      <c r="J2956" s="1" t="s">
        <v>67</v>
      </c>
      <c r="K2956" s="1" t="s">
        <v>14</v>
      </c>
      <c r="M2956" s="2">
        <v>42985</v>
      </c>
      <c r="N2956" s="1" t="s">
        <v>8</v>
      </c>
      <c r="O2956" s="1" t="s">
        <v>68</v>
      </c>
    </row>
    <row r="2957" spans="1:15" x14ac:dyDescent="0.3">
      <c r="A2957" s="1" t="s">
        <v>13942</v>
      </c>
      <c r="B2957" s="1" t="str">
        <f>"300 Recycling Ltd"</f>
        <v>300 Recycling Ltd</v>
      </c>
      <c r="C2957" s="1" t="s">
        <v>13943</v>
      </c>
      <c r="D2957" s="1" t="s">
        <v>746</v>
      </c>
      <c r="F2957" s="1" t="s">
        <v>323</v>
      </c>
      <c r="H2957" s="1" t="s">
        <v>960</v>
      </c>
      <c r="I2957" s="1" t="s">
        <v>19</v>
      </c>
      <c r="J2957" s="1" t="s">
        <v>6</v>
      </c>
      <c r="K2957" s="1" t="s">
        <v>1859</v>
      </c>
      <c r="L2957" s="1">
        <v>7075430</v>
      </c>
      <c r="M2957" s="2">
        <v>42985</v>
      </c>
      <c r="N2957" s="1" t="s">
        <v>8</v>
      </c>
      <c r="O2957" s="2">
        <v>44081</v>
      </c>
    </row>
    <row r="2958" spans="1:15" ht="43.2" x14ac:dyDescent="0.3">
      <c r="A2958" s="1" t="s">
        <v>13944</v>
      </c>
      <c r="B2958" s="1" t="str">
        <f>"4  min y graig pontyberem "</f>
        <v xml:space="preserve">4  min y graig pontyberem </v>
      </c>
      <c r="C2958" s="1" t="s">
        <v>13945</v>
      </c>
      <c r="F2958" s="1" t="s">
        <v>42</v>
      </c>
      <c r="H2958" s="1" t="s">
        <v>13946</v>
      </c>
      <c r="I2958" s="1" t="s">
        <v>1872</v>
      </c>
      <c r="J2958" s="1" t="s">
        <v>67</v>
      </c>
      <c r="K2958" s="1" t="s">
        <v>14</v>
      </c>
      <c r="M2958" s="2">
        <v>42985</v>
      </c>
      <c r="N2958" s="1" t="s">
        <v>8</v>
      </c>
      <c r="O2958" s="1" t="s">
        <v>68</v>
      </c>
    </row>
    <row r="2959" spans="1:15" ht="28.8" x14ac:dyDescent="0.3">
      <c r="A2959" s="1" t="s">
        <v>13947</v>
      </c>
      <c r="B2959" s="1" t="str">
        <f>"ORANGEBOX LTD"</f>
        <v>ORANGEBOX LTD</v>
      </c>
      <c r="C2959" s="1" t="s">
        <v>13948</v>
      </c>
      <c r="D2959" s="1" t="s">
        <v>523</v>
      </c>
      <c r="F2959" s="1" t="s">
        <v>364</v>
      </c>
      <c r="H2959" s="1" t="s">
        <v>12856</v>
      </c>
      <c r="I2959" s="1" t="s">
        <v>19</v>
      </c>
      <c r="J2959" s="1" t="s">
        <v>6</v>
      </c>
      <c r="K2959" s="1" t="s">
        <v>34</v>
      </c>
      <c r="L2959" s="1">
        <v>3406086</v>
      </c>
      <c r="M2959" s="2">
        <v>42985</v>
      </c>
      <c r="N2959" s="1" t="s">
        <v>8</v>
      </c>
      <c r="O2959" s="2">
        <v>44081</v>
      </c>
    </row>
    <row r="2960" spans="1:15" ht="28.8" x14ac:dyDescent="0.3">
      <c r="A2960" s="1" t="s">
        <v>13949</v>
      </c>
      <c r="B2960" s="1" t="str">
        <f>"Cardigan Bathroom Centre Ltd"</f>
        <v>Cardigan Bathroom Centre Ltd</v>
      </c>
      <c r="C2960" s="1" t="s">
        <v>12220</v>
      </c>
      <c r="F2960" s="1" t="s">
        <v>1991</v>
      </c>
      <c r="H2960" s="1" t="s">
        <v>13950</v>
      </c>
      <c r="I2960" s="1" t="s">
        <v>19</v>
      </c>
      <c r="J2960" s="1" t="s">
        <v>6</v>
      </c>
      <c r="K2960" s="1" t="s">
        <v>24</v>
      </c>
      <c r="L2960" s="1">
        <v>5642379</v>
      </c>
      <c r="M2960" s="2">
        <v>42985</v>
      </c>
      <c r="N2960" s="1" t="s">
        <v>8</v>
      </c>
      <c r="O2960" s="2">
        <v>44081</v>
      </c>
    </row>
    <row r="2961" spans="1:15" ht="43.2" x14ac:dyDescent="0.3">
      <c r="A2961" s="1" t="s">
        <v>13951</v>
      </c>
      <c r="B2961" s="1" t="str">
        <f>"Felin Wrdan Cottages"</f>
        <v>Felin Wrdan Cottages</v>
      </c>
      <c r="C2961" s="1" t="s">
        <v>13952</v>
      </c>
      <c r="F2961" s="1" t="s">
        <v>114</v>
      </c>
      <c r="H2961" s="1" t="s">
        <v>13953</v>
      </c>
      <c r="I2961" s="1" t="s">
        <v>125</v>
      </c>
      <c r="J2961" s="1" t="s">
        <v>67</v>
      </c>
      <c r="K2961" s="1" t="s">
        <v>14</v>
      </c>
      <c r="M2961" s="2">
        <v>42985</v>
      </c>
      <c r="N2961" s="1" t="s">
        <v>8</v>
      </c>
      <c r="O2961" s="1" t="s">
        <v>68</v>
      </c>
    </row>
    <row r="2962" spans="1:15" ht="43.2" x14ac:dyDescent="0.3">
      <c r="A2962" s="1" t="s">
        <v>26376</v>
      </c>
      <c r="B2962" s="1" t="str">
        <f>"Sue Arkinstall"</f>
        <v>Sue Arkinstall</v>
      </c>
      <c r="C2962" s="1" t="s">
        <v>26377</v>
      </c>
      <c r="D2962" s="1" t="s">
        <v>114</v>
      </c>
      <c r="F2962" s="1" t="s">
        <v>114</v>
      </c>
      <c r="H2962" s="1" t="s">
        <v>26378</v>
      </c>
      <c r="I2962" s="1" t="s">
        <v>5</v>
      </c>
      <c r="J2962" s="1" t="s">
        <v>67</v>
      </c>
      <c r="K2962" s="1" t="s">
        <v>14</v>
      </c>
      <c r="M2962" s="2">
        <v>42985</v>
      </c>
      <c r="N2962" s="1" t="s">
        <v>8</v>
      </c>
      <c r="O2962" s="1" t="s">
        <v>68</v>
      </c>
    </row>
    <row r="2963" spans="1:15" ht="28.8" x14ac:dyDescent="0.3">
      <c r="A2963" s="1" t="s">
        <v>26379</v>
      </c>
      <c r="B2963" s="1" t="str">
        <f>"John Treharne John Treharne Engineering"</f>
        <v>John Treharne John Treharne Engineering</v>
      </c>
      <c r="C2963" s="1" t="s">
        <v>26380</v>
      </c>
      <c r="F2963" s="1" t="s">
        <v>42</v>
      </c>
      <c r="H2963" s="1" t="s">
        <v>43</v>
      </c>
      <c r="I2963" s="1" t="s">
        <v>5</v>
      </c>
      <c r="J2963" s="1" t="s">
        <v>6</v>
      </c>
      <c r="K2963" s="1" t="s">
        <v>34</v>
      </c>
      <c r="M2963" s="2">
        <v>42985</v>
      </c>
      <c r="N2963" s="1" t="s">
        <v>8</v>
      </c>
      <c r="O2963" s="2">
        <v>44081</v>
      </c>
    </row>
    <row r="2964" spans="1:15" ht="57.6" x14ac:dyDescent="0.3">
      <c r="A2964" s="1" t="s">
        <v>26381</v>
      </c>
      <c r="B2964" s="1" t="str">
        <f>"Andrew Lewis ANDREW LEWIS PROJECT MANAGEMENT"</f>
        <v>Andrew Lewis ANDREW LEWIS PROJECT MANAGEMENT</v>
      </c>
      <c r="C2964" s="1" t="s">
        <v>19001</v>
      </c>
      <c r="D2964" s="1" t="s">
        <v>2006</v>
      </c>
      <c r="F2964" s="1" t="s">
        <v>123</v>
      </c>
      <c r="H2964" s="1" t="s">
        <v>19002</v>
      </c>
      <c r="I2964" s="1" t="s">
        <v>5</v>
      </c>
      <c r="J2964" s="1" t="s">
        <v>6</v>
      </c>
      <c r="K2964" s="1" t="s">
        <v>34</v>
      </c>
      <c r="M2964" s="2">
        <v>42985</v>
      </c>
      <c r="N2964" s="1" t="s">
        <v>8</v>
      </c>
      <c r="O2964" s="2">
        <v>44081</v>
      </c>
    </row>
    <row r="2965" spans="1:15" ht="43.2" x14ac:dyDescent="0.3">
      <c r="A2965" s="1" t="s">
        <v>26382</v>
      </c>
      <c r="B2965" s="1" t="str">
        <f>"Debbie Okeeffe"</f>
        <v>Debbie Okeeffe</v>
      </c>
      <c r="C2965" s="1" t="s">
        <v>26383</v>
      </c>
      <c r="F2965" s="1" t="s">
        <v>42</v>
      </c>
      <c r="H2965" s="1" t="s">
        <v>26384</v>
      </c>
      <c r="I2965" s="1" t="s">
        <v>5</v>
      </c>
      <c r="J2965" s="1" t="s">
        <v>67</v>
      </c>
      <c r="K2965" s="1" t="s">
        <v>14</v>
      </c>
      <c r="M2965" s="2">
        <v>42985</v>
      </c>
      <c r="N2965" s="1" t="s">
        <v>8</v>
      </c>
      <c r="O2965" s="1" t="s">
        <v>68</v>
      </c>
    </row>
    <row r="2966" spans="1:15" ht="43.2" x14ac:dyDescent="0.3">
      <c r="A2966" s="1" t="s">
        <v>26385</v>
      </c>
      <c r="B2966" s="1" t="str">
        <f>"mathew jones"</f>
        <v>mathew jones</v>
      </c>
      <c r="C2966" s="1" t="s">
        <v>26386</v>
      </c>
      <c r="F2966" s="1" t="s">
        <v>532</v>
      </c>
      <c r="H2966" s="1" t="s">
        <v>26387</v>
      </c>
      <c r="I2966" s="1" t="s">
        <v>5</v>
      </c>
      <c r="J2966" s="1" t="s">
        <v>67</v>
      </c>
      <c r="K2966" s="1" t="s">
        <v>14</v>
      </c>
      <c r="M2966" s="2">
        <v>42985</v>
      </c>
      <c r="N2966" s="1" t="s">
        <v>8</v>
      </c>
      <c r="O2966" s="1" t="s">
        <v>68</v>
      </c>
    </row>
    <row r="2967" spans="1:15" ht="43.2" x14ac:dyDescent="0.3">
      <c r="A2967" s="1" t="s">
        <v>26388</v>
      </c>
      <c r="B2967" s="1" t="str">
        <f>"Thomas James Milton James Building Contractor"</f>
        <v>Thomas James Milton James Building Contractor</v>
      </c>
      <c r="C2967" s="1" t="s">
        <v>26389</v>
      </c>
      <c r="F2967" s="1" t="s">
        <v>37</v>
      </c>
      <c r="H2967" s="1" t="s">
        <v>26390</v>
      </c>
      <c r="I2967" s="1" t="s">
        <v>5</v>
      </c>
      <c r="J2967" s="1" t="s">
        <v>6</v>
      </c>
      <c r="K2967" s="1" t="s">
        <v>34</v>
      </c>
      <c r="M2967" s="2">
        <v>42985</v>
      </c>
      <c r="N2967" s="1" t="s">
        <v>8</v>
      </c>
      <c r="O2967" s="2">
        <v>44081</v>
      </c>
    </row>
    <row r="2968" spans="1:15" ht="28.8" x14ac:dyDescent="0.3">
      <c r="A2968" s="1" t="s">
        <v>26391</v>
      </c>
      <c r="B2968" s="1" t="str">
        <f>"kris williams K Will"</f>
        <v>kris williams K Will</v>
      </c>
      <c r="C2968" s="1" t="s">
        <v>26392</v>
      </c>
      <c r="F2968" s="1" t="s">
        <v>1108</v>
      </c>
      <c r="H2968" s="1" t="s">
        <v>26393</v>
      </c>
      <c r="I2968" s="1" t="s">
        <v>5</v>
      </c>
      <c r="J2968" s="1" t="s">
        <v>6</v>
      </c>
      <c r="K2968" s="1" t="s">
        <v>34</v>
      </c>
      <c r="M2968" s="2">
        <v>42985</v>
      </c>
      <c r="N2968" s="1" t="s">
        <v>8</v>
      </c>
      <c r="O2968" s="2">
        <v>44081</v>
      </c>
    </row>
    <row r="2969" spans="1:15" ht="43.2" x14ac:dyDescent="0.3">
      <c r="A2969" s="1" t="s">
        <v>26394</v>
      </c>
      <c r="B2969" s="1" t="str">
        <f>"Sue Blackman"</f>
        <v>Sue Blackman</v>
      </c>
      <c r="C2969" s="1" t="s">
        <v>26395</v>
      </c>
      <c r="F2969" s="1" t="s">
        <v>653</v>
      </c>
      <c r="H2969" s="1" t="s">
        <v>26396</v>
      </c>
      <c r="I2969" s="1" t="s">
        <v>5</v>
      </c>
      <c r="J2969" s="1" t="s">
        <v>67</v>
      </c>
      <c r="K2969" s="1" t="s">
        <v>14</v>
      </c>
      <c r="M2969" s="2">
        <v>42985</v>
      </c>
      <c r="N2969" s="1" t="s">
        <v>8</v>
      </c>
      <c r="O2969" s="1" t="s">
        <v>68</v>
      </c>
    </row>
    <row r="2970" spans="1:15" ht="43.2" x14ac:dyDescent="0.3">
      <c r="A2970" s="1" t="s">
        <v>26397</v>
      </c>
      <c r="B2970" s="1" t="str">
        <f>"Wyn Phillips"</f>
        <v>Wyn Phillips</v>
      </c>
      <c r="C2970" s="1" t="s">
        <v>26398</v>
      </c>
      <c r="F2970" s="1" t="s">
        <v>653</v>
      </c>
      <c r="H2970" s="1" t="s">
        <v>26399</v>
      </c>
      <c r="I2970" s="1" t="s">
        <v>5</v>
      </c>
      <c r="J2970" s="1" t="s">
        <v>67</v>
      </c>
      <c r="K2970" s="1" t="s">
        <v>14</v>
      </c>
      <c r="M2970" s="2">
        <v>42985</v>
      </c>
      <c r="N2970" s="1" t="s">
        <v>8</v>
      </c>
      <c r="O2970" s="1" t="s">
        <v>68</v>
      </c>
    </row>
    <row r="2971" spans="1:15" ht="43.2" x14ac:dyDescent="0.3">
      <c r="A2971" s="1" t="s">
        <v>12871</v>
      </c>
      <c r="B2971" s="1" t="str">
        <f>"GARNETT-HUGHES DEVELOPMENTS LIMITED"</f>
        <v>GARNETT-HUGHES DEVELOPMENTS LIMITED</v>
      </c>
      <c r="C2971" s="1" t="s">
        <v>12872</v>
      </c>
      <c r="D2971" s="1" t="s">
        <v>2433</v>
      </c>
      <c r="F2971" s="1" t="s">
        <v>897</v>
      </c>
      <c r="H2971" s="1" t="s">
        <v>12873</v>
      </c>
      <c r="I2971" s="1" t="s">
        <v>19</v>
      </c>
      <c r="J2971" s="1" t="s">
        <v>6</v>
      </c>
      <c r="K2971" s="1" t="s">
        <v>34</v>
      </c>
      <c r="L2971" s="1">
        <v>4754885</v>
      </c>
      <c r="M2971" s="2">
        <v>42984</v>
      </c>
      <c r="N2971" s="1" t="s">
        <v>8</v>
      </c>
      <c r="O2971" s="2">
        <v>44080</v>
      </c>
    </row>
    <row r="2972" spans="1:15" ht="28.8" x14ac:dyDescent="0.3">
      <c r="A2972" s="1" t="s">
        <v>12874</v>
      </c>
      <c r="B2972" s="1" t="str">
        <f>"Platinum Property Services"</f>
        <v>Platinum Property Services</v>
      </c>
      <c r="C2972" s="1" t="s">
        <v>12875</v>
      </c>
      <c r="F2972" s="1" t="s">
        <v>64</v>
      </c>
      <c r="H2972" s="1" t="s">
        <v>12876</v>
      </c>
      <c r="I2972" s="1" t="s">
        <v>19</v>
      </c>
      <c r="J2972" s="1" t="s">
        <v>6</v>
      </c>
      <c r="K2972" s="1" t="s">
        <v>34</v>
      </c>
      <c r="L2972" s="1">
        <v>7415349</v>
      </c>
      <c r="M2972" s="2">
        <v>42984</v>
      </c>
      <c r="N2972" s="1" t="s">
        <v>8</v>
      </c>
      <c r="O2972" s="2">
        <v>44080</v>
      </c>
    </row>
    <row r="2973" spans="1:15" ht="28.8" x14ac:dyDescent="0.3">
      <c r="A2973" s="1" t="s">
        <v>12877</v>
      </c>
      <c r="B2973" s="1" t="str">
        <f>"DARRYL ROBERTS ELECTRICAL LTD"</f>
        <v>DARRYL ROBERTS ELECTRICAL LTD</v>
      </c>
      <c r="C2973" s="1" t="s">
        <v>12878</v>
      </c>
      <c r="D2973" s="1" t="s">
        <v>5884</v>
      </c>
      <c r="F2973" s="1" t="s">
        <v>532</v>
      </c>
      <c r="H2973" s="1" t="s">
        <v>12879</v>
      </c>
      <c r="I2973" s="1" t="s">
        <v>19</v>
      </c>
      <c r="J2973" s="1" t="s">
        <v>6</v>
      </c>
      <c r="K2973" s="1" t="s">
        <v>24</v>
      </c>
      <c r="L2973" s="1">
        <v>8399205</v>
      </c>
      <c r="M2973" s="2">
        <v>42984</v>
      </c>
      <c r="N2973" s="1" t="s">
        <v>8</v>
      </c>
      <c r="O2973" s="2">
        <v>44080</v>
      </c>
    </row>
    <row r="2974" spans="1:15" ht="28.8" x14ac:dyDescent="0.3">
      <c r="A2974" s="1" t="s">
        <v>12880</v>
      </c>
      <c r="B2974" s="1" t="str">
        <f>"ARTEMIS FMC LIMITED"</f>
        <v>ARTEMIS FMC LIMITED</v>
      </c>
      <c r="C2974" s="1" t="s">
        <v>12881</v>
      </c>
      <c r="F2974" s="1" t="s">
        <v>123</v>
      </c>
      <c r="H2974" s="1" t="s">
        <v>12882</v>
      </c>
      <c r="I2974" s="1" t="s">
        <v>19</v>
      </c>
      <c r="J2974" s="1" t="s">
        <v>6</v>
      </c>
      <c r="K2974" s="1" t="s">
        <v>24</v>
      </c>
      <c r="L2974" s="1">
        <v>8766965</v>
      </c>
      <c r="M2974" s="2">
        <v>42984</v>
      </c>
      <c r="N2974" s="1" t="s">
        <v>8</v>
      </c>
      <c r="O2974" s="2">
        <v>44080</v>
      </c>
    </row>
    <row r="2975" spans="1:15" x14ac:dyDescent="0.3">
      <c r="A2975" s="1" t="s">
        <v>12883</v>
      </c>
      <c r="B2975" s="1" t="str">
        <f>"Bins Away"</f>
        <v>Bins Away</v>
      </c>
      <c r="C2975" s="1" t="s">
        <v>12884</v>
      </c>
      <c r="F2975" s="1" t="s">
        <v>277</v>
      </c>
      <c r="H2975" s="1" t="s">
        <v>12885</v>
      </c>
      <c r="I2975" s="1" t="s">
        <v>19</v>
      </c>
      <c r="J2975" s="1" t="s">
        <v>6</v>
      </c>
      <c r="K2975" s="1" t="s">
        <v>24</v>
      </c>
      <c r="L2975" s="1">
        <v>10863025</v>
      </c>
      <c r="M2975" s="2">
        <v>42984</v>
      </c>
      <c r="N2975" s="1" t="s">
        <v>8</v>
      </c>
      <c r="O2975" s="2">
        <v>44080</v>
      </c>
    </row>
    <row r="2976" spans="1:15" ht="43.2" x14ac:dyDescent="0.3">
      <c r="A2976" s="1" t="s">
        <v>12886</v>
      </c>
      <c r="B2976" s="1" t="str">
        <f>"STEVE VERNON TRANSPORT LTD."</f>
        <v>STEVE VERNON TRANSPORT LTD.</v>
      </c>
      <c r="C2976" s="1" t="s">
        <v>12887</v>
      </c>
      <c r="F2976" s="1" t="s">
        <v>532</v>
      </c>
      <c r="H2976" s="1" t="s">
        <v>7264</v>
      </c>
      <c r="I2976" s="1" t="s">
        <v>19</v>
      </c>
      <c r="J2976" s="1" t="s">
        <v>6</v>
      </c>
      <c r="K2976" s="1" t="s">
        <v>24</v>
      </c>
      <c r="L2976" s="1">
        <v>8764841</v>
      </c>
      <c r="M2976" s="2">
        <v>42984</v>
      </c>
      <c r="N2976" s="1" t="s">
        <v>8</v>
      </c>
      <c r="O2976" s="2">
        <v>44080</v>
      </c>
    </row>
    <row r="2977" spans="1:15" ht="43.2" x14ac:dyDescent="0.3">
      <c r="A2977" s="1" t="s">
        <v>25580</v>
      </c>
      <c r="B2977" s="1" t="str">
        <f>"Daniel Birkett "</f>
        <v xml:space="preserve">Daniel Birkett </v>
      </c>
      <c r="C2977" s="1" t="s">
        <v>25581</v>
      </c>
      <c r="F2977" s="1" t="s">
        <v>25582</v>
      </c>
      <c r="H2977" s="1" t="s">
        <v>25583</v>
      </c>
      <c r="I2977" s="1" t="s">
        <v>5</v>
      </c>
      <c r="J2977" s="1" t="s">
        <v>67</v>
      </c>
      <c r="K2977" s="1" t="s">
        <v>14</v>
      </c>
      <c r="M2977" s="2">
        <v>42984</v>
      </c>
      <c r="N2977" s="1" t="s">
        <v>8</v>
      </c>
      <c r="O2977" s="1" t="s">
        <v>68</v>
      </c>
    </row>
    <row r="2978" spans="1:15" ht="43.2" x14ac:dyDescent="0.3">
      <c r="A2978" s="1" t="s">
        <v>25584</v>
      </c>
      <c r="B2978" s="1" t="str">
        <f>"Muslum Donmez"</f>
        <v>Muslum Donmez</v>
      </c>
      <c r="C2978" s="1" t="s">
        <v>25585</v>
      </c>
      <c r="F2978" s="1" t="s">
        <v>18800</v>
      </c>
      <c r="H2978" s="1" t="s">
        <v>25586</v>
      </c>
      <c r="I2978" s="1" t="s">
        <v>5</v>
      </c>
      <c r="J2978" s="1" t="s">
        <v>67</v>
      </c>
      <c r="K2978" s="1" t="s">
        <v>14</v>
      </c>
      <c r="M2978" s="2">
        <v>42984</v>
      </c>
      <c r="N2978" s="1" t="s">
        <v>8</v>
      </c>
      <c r="O2978" s="1" t="s">
        <v>68</v>
      </c>
    </row>
    <row r="2979" spans="1:15" ht="43.2" x14ac:dyDescent="0.3">
      <c r="A2979" s="1" t="s">
        <v>25587</v>
      </c>
      <c r="B2979" s="1" t="str">
        <f>"john russell"</f>
        <v>john russell</v>
      </c>
      <c r="C2979" s="1" t="s">
        <v>25588</v>
      </c>
      <c r="D2979" s="1" t="s">
        <v>25589</v>
      </c>
      <c r="F2979" s="1" t="s">
        <v>1776</v>
      </c>
      <c r="H2979" s="1" t="s">
        <v>25590</v>
      </c>
      <c r="I2979" s="1" t="s">
        <v>5</v>
      </c>
      <c r="J2979" s="1" t="s">
        <v>67</v>
      </c>
      <c r="K2979" s="1" t="s">
        <v>14</v>
      </c>
      <c r="M2979" s="2">
        <v>42984</v>
      </c>
      <c r="N2979" s="1" t="s">
        <v>8</v>
      </c>
      <c r="O2979" s="1" t="s">
        <v>68</v>
      </c>
    </row>
    <row r="2980" spans="1:15" ht="43.2" x14ac:dyDescent="0.3">
      <c r="A2980" s="1" t="s">
        <v>25591</v>
      </c>
      <c r="B2980" s="1" t="str">
        <f>"Gurdip Singh Sidhu"</f>
        <v>Gurdip Singh Sidhu</v>
      </c>
      <c r="C2980" s="1" t="s">
        <v>25592</v>
      </c>
      <c r="F2980" s="1" t="s">
        <v>10122</v>
      </c>
      <c r="H2980" s="1" t="s">
        <v>25593</v>
      </c>
      <c r="I2980" s="1" t="s">
        <v>5</v>
      </c>
      <c r="J2980" s="1" t="s">
        <v>67</v>
      </c>
      <c r="K2980" s="1" t="s">
        <v>14</v>
      </c>
      <c r="M2980" s="2">
        <v>42984</v>
      </c>
      <c r="N2980" s="1" t="s">
        <v>8</v>
      </c>
      <c r="O2980" s="1" t="s">
        <v>68</v>
      </c>
    </row>
    <row r="2981" spans="1:15" ht="28.8" x14ac:dyDescent="0.3">
      <c r="A2981" s="1" t="s">
        <v>25594</v>
      </c>
      <c r="B2981" s="1" t="str">
        <f>"Lee Branighan Fencing 4 u "</f>
        <v xml:space="preserve">Lee Branighan Fencing 4 u </v>
      </c>
      <c r="C2981" s="1" t="s">
        <v>25595</v>
      </c>
      <c r="F2981" s="1" t="s">
        <v>8841</v>
      </c>
      <c r="H2981" s="1" t="s">
        <v>25596</v>
      </c>
      <c r="I2981" s="1" t="s">
        <v>5</v>
      </c>
      <c r="J2981" s="1" t="s">
        <v>6</v>
      </c>
      <c r="K2981" s="1" t="s">
        <v>34</v>
      </c>
      <c r="M2981" s="2">
        <v>42984</v>
      </c>
      <c r="N2981" s="1" t="s">
        <v>8</v>
      </c>
      <c r="O2981" s="2">
        <v>44080</v>
      </c>
    </row>
    <row r="2982" spans="1:15" ht="28.8" x14ac:dyDescent="0.3">
      <c r="A2982" s="1" t="s">
        <v>10858</v>
      </c>
      <c r="B2982" s="1" t="str">
        <f>"IG DOORS LIMITED"</f>
        <v>IG DOORS LIMITED</v>
      </c>
      <c r="C2982" s="1" t="s">
        <v>10859</v>
      </c>
      <c r="D2982" s="1" t="s">
        <v>7883</v>
      </c>
      <c r="E2982" s="1" t="s">
        <v>5722</v>
      </c>
      <c r="F2982" s="1" t="s">
        <v>380</v>
      </c>
      <c r="H2982" s="1" t="s">
        <v>10860</v>
      </c>
      <c r="I2982" s="1" t="s">
        <v>19</v>
      </c>
      <c r="J2982" s="1" t="s">
        <v>6</v>
      </c>
      <c r="K2982" s="1" t="s">
        <v>34</v>
      </c>
      <c r="L2982" s="1">
        <v>4867822</v>
      </c>
      <c r="M2982" s="2">
        <v>42983</v>
      </c>
      <c r="N2982" s="1" t="s">
        <v>8</v>
      </c>
      <c r="O2982" s="2">
        <v>44079</v>
      </c>
    </row>
    <row r="2983" spans="1:15" ht="28.8" x14ac:dyDescent="0.3">
      <c r="A2983" s="1" t="s">
        <v>10861</v>
      </c>
      <c r="B2983" s="1" t="str">
        <f>"CLASSIC DECORATORS (UK) LIMITED"</f>
        <v>CLASSIC DECORATORS (UK) LIMITED</v>
      </c>
      <c r="C2983" s="1" t="s">
        <v>10862</v>
      </c>
      <c r="D2983" s="1" t="s">
        <v>10863</v>
      </c>
      <c r="E2983" s="1" t="s">
        <v>3004</v>
      </c>
      <c r="F2983" s="1" t="s">
        <v>706</v>
      </c>
      <c r="H2983" s="1" t="s">
        <v>10864</v>
      </c>
      <c r="I2983" s="1" t="s">
        <v>19</v>
      </c>
      <c r="J2983" s="1" t="s">
        <v>6</v>
      </c>
      <c r="K2983" s="1" t="s">
        <v>34</v>
      </c>
      <c r="L2983" s="1">
        <v>6811820</v>
      </c>
      <c r="M2983" s="2">
        <v>42983</v>
      </c>
      <c r="N2983" s="1" t="s">
        <v>8</v>
      </c>
      <c r="O2983" s="2">
        <v>44079</v>
      </c>
    </row>
    <row r="2984" spans="1:15" x14ac:dyDescent="0.3">
      <c r="A2984" s="1" t="s">
        <v>10865</v>
      </c>
      <c r="B2984" s="1" t="str">
        <f>"CESSXPRESS LTD"</f>
        <v>CESSXPRESS LTD</v>
      </c>
      <c r="C2984" s="1" t="s">
        <v>10866</v>
      </c>
      <c r="F2984" s="1" t="s">
        <v>230</v>
      </c>
      <c r="H2984" s="1" t="s">
        <v>10867</v>
      </c>
      <c r="I2984" s="1" t="s">
        <v>19</v>
      </c>
      <c r="J2984" s="1" t="s">
        <v>6</v>
      </c>
      <c r="K2984" s="1" t="s">
        <v>24</v>
      </c>
      <c r="L2984" s="1">
        <v>4374417</v>
      </c>
      <c r="M2984" s="2">
        <v>42983</v>
      </c>
      <c r="N2984" s="1" t="s">
        <v>8</v>
      </c>
      <c r="O2984" s="2">
        <v>44079</v>
      </c>
    </row>
    <row r="2985" spans="1:15" x14ac:dyDescent="0.3">
      <c r="A2985" s="1" t="s">
        <v>10868</v>
      </c>
      <c r="B2985" s="1" t="str">
        <f>"CENIN LIMITED"</f>
        <v>CENIN LIMITED</v>
      </c>
      <c r="C2985" s="1" t="s">
        <v>10869</v>
      </c>
      <c r="D2985" s="1" t="s">
        <v>10870</v>
      </c>
      <c r="E2985" s="1" t="s">
        <v>564</v>
      </c>
      <c r="F2985" s="1" t="s">
        <v>179</v>
      </c>
      <c r="H2985" s="1" t="s">
        <v>10871</v>
      </c>
      <c r="I2985" s="1" t="s">
        <v>19</v>
      </c>
      <c r="J2985" s="1" t="s">
        <v>6</v>
      </c>
      <c r="K2985" s="1" t="s">
        <v>24</v>
      </c>
      <c r="L2985" s="1">
        <v>5626851</v>
      </c>
      <c r="M2985" s="2">
        <v>42983</v>
      </c>
      <c r="N2985" s="1" t="s">
        <v>8</v>
      </c>
      <c r="O2985" s="2">
        <v>44079</v>
      </c>
    </row>
    <row r="2986" spans="1:15" x14ac:dyDescent="0.3">
      <c r="A2986" s="1" t="s">
        <v>11868</v>
      </c>
      <c r="B2986" s="1" t="str">
        <f>"T W House Ltd"</f>
        <v>T W House Ltd</v>
      </c>
      <c r="C2986" s="1" t="s">
        <v>11869</v>
      </c>
      <c r="F2986" s="1" t="s">
        <v>156</v>
      </c>
      <c r="H2986" s="1" t="s">
        <v>11870</v>
      </c>
      <c r="I2986" s="1" t="s">
        <v>19</v>
      </c>
      <c r="J2986" s="1" t="s">
        <v>6</v>
      </c>
      <c r="K2986" s="1" t="s">
        <v>24</v>
      </c>
      <c r="L2986" s="1">
        <v>10693361</v>
      </c>
      <c r="M2986" s="2">
        <v>42983</v>
      </c>
      <c r="N2986" s="1" t="s">
        <v>8</v>
      </c>
      <c r="O2986" s="2">
        <v>44079</v>
      </c>
    </row>
    <row r="2987" spans="1:15" ht="28.8" x14ac:dyDescent="0.3">
      <c r="A2987" s="1" t="s">
        <v>11871</v>
      </c>
      <c r="B2987" s="1" t="str">
        <f>"Carlton Construction National Limit"</f>
        <v>Carlton Construction National Limit</v>
      </c>
      <c r="C2987" s="1" t="s">
        <v>11872</v>
      </c>
      <c r="D2987" s="1" t="s">
        <v>8076</v>
      </c>
      <c r="F2987" s="1" t="s">
        <v>358</v>
      </c>
      <c r="H2987" s="1" t="s">
        <v>11873</v>
      </c>
      <c r="I2987" s="1" t="s">
        <v>19</v>
      </c>
      <c r="J2987" s="1" t="s">
        <v>6</v>
      </c>
      <c r="K2987" s="1" t="s">
        <v>34</v>
      </c>
      <c r="L2987" s="1">
        <v>9642441</v>
      </c>
      <c r="M2987" s="2">
        <v>42983</v>
      </c>
      <c r="N2987" s="1" t="s">
        <v>8</v>
      </c>
      <c r="O2987" s="2">
        <v>44079</v>
      </c>
    </row>
    <row r="2988" spans="1:15" ht="28.8" x14ac:dyDescent="0.3">
      <c r="A2988" s="1" t="s">
        <v>11874</v>
      </c>
      <c r="B2988" s="1" t="str">
        <f>"Alltybrain Farm Cottages"</f>
        <v>Alltybrain Farm Cottages</v>
      </c>
      <c r="C2988" s="1" t="s">
        <v>11875</v>
      </c>
      <c r="F2988" s="1" t="s">
        <v>1206</v>
      </c>
      <c r="H2988" s="1" t="s">
        <v>11876</v>
      </c>
      <c r="I2988" s="1" t="s">
        <v>125</v>
      </c>
      <c r="J2988" s="1" t="s">
        <v>6</v>
      </c>
      <c r="K2988" s="1" t="s">
        <v>24</v>
      </c>
      <c r="M2988" s="2">
        <v>42983</v>
      </c>
      <c r="N2988" s="1" t="s">
        <v>8</v>
      </c>
      <c r="O2988" s="2">
        <v>44079</v>
      </c>
    </row>
    <row r="2989" spans="1:15" ht="43.2" x14ac:dyDescent="0.3">
      <c r="A2989" s="1" t="s">
        <v>11877</v>
      </c>
      <c r="B2989" s="1" t="str">
        <f>"Gardening "</f>
        <v xml:space="preserve">Gardening </v>
      </c>
      <c r="C2989" s="1" t="s">
        <v>11878</v>
      </c>
      <c r="F2989" s="1" t="s">
        <v>11879</v>
      </c>
      <c r="H2989" s="1" t="s">
        <v>11880</v>
      </c>
      <c r="I2989" s="1" t="s">
        <v>125</v>
      </c>
      <c r="J2989" s="1" t="s">
        <v>67</v>
      </c>
      <c r="K2989" s="1" t="s">
        <v>14</v>
      </c>
      <c r="M2989" s="2">
        <v>42983</v>
      </c>
      <c r="N2989" s="1" t="s">
        <v>8</v>
      </c>
      <c r="O2989" s="1" t="s">
        <v>68</v>
      </c>
    </row>
    <row r="2990" spans="1:15" ht="43.2" x14ac:dyDescent="0.3">
      <c r="A2990" s="1" t="s">
        <v>11881</v>
      </c>
      <c r="B2990" s="1" t="str">
        <f>"Gardening"</f>
        <v>Gardening</v>
      </c>
      <c r="C2990" s="1" t="s">
        <v>11878</v>
      </c>
      <c r="F2990" s="1" t="s">
        <v>11879</v>
      </c>
      <c r="H2990" s="1" t="s">
        <v>11880</v>
      </c>
      <c r="I2990" s="1" t="s">
        <v>125</v>
      </c>
      <c r="J2990" s="1" t="s">
        <v>67</v>
      </c>
      <c r="K2990" s="1" t="s">
        <v>14</v>
      </c>
      <c r="M2990" s="2">
        <v>42983</v>
      </c>
      <c r="N2990" s="1" t="s">
        <v>8</v>
      </c>
      <c r="O2990" s="1" t="s">
        <v>68</v>
      </c>
    </row>
    <row r="2991" spans="1:15" ht="28.8" x14ac:dyDescent="0.3">
      <c r="A2991" s="1" t="s">
        <v>11882</v>
      </c>
      <c r="B2991" s="1" t="str">
        <f>"A.M.E Electrical"</f>
        <v>A.M.E Electrical</v>
      </c>
      <c r="C2991" s="1" t="s">
        <v>11883</v>
      </c>
      <c r="F2991" s="1" t="s">
        <v>364</v>
      </c>
      <c r="H2991" s="1" t="s">
        <v>11884</v>
      </c>
      <c r="I2991" s="1" t="s">
        <v>19</v>
      </c>
      <c r="J2991" s="1" t="s">
        <v>6</v>
      </c>
      <c r="K2991" s="1" t="s">
        <v>34</v>
      </c>
      <c r="L2991" s="1">
        <v>10360368</v>
      </c>
      <c r="M2991" s="2">
        <v>42983</v>
      </c>
      <c r="N2991" s="1" t="s">
        <v>8</v>
      </c>
      <c r="O2991" s="2">
        <v>44079</v>
      </c>
    </row>
    <row r="2992" spans="1:15" ht="28.8" x14ac:dyDescent="0.3">
      <c r="A2992" s="1" t="s">
        <v>11885</v>
      </c>
      <c r="B2992" s="1" t="str">
        <f>"LA Direct"</f>
        <v>LA Direct</v>
      </c>
      <c r="C2992" s="1" t="s">
        <v>11886</v>
      </c>
      <c r="F2992" s="1" t="s">
        <v>11887</v>
      </c>
      <c r="H2992" s="1" t="s">
        <v>11888</v>
      </c>
      <c r="I2992" s="1" t="s">
        <v>19</v>
      </c>
      <c r="J2992" s="1" t="s">
        <v>6</v>
      </c>
      <c r="K2992" s="1" t="s">
        <v>34</v>
      </c>
      <c r="L2992" s="1">
        <v>10677163</v>
      </c>
      <c r="M2992" s="2">
        <v>42983</v>
      </c>
      <c r="N2992" s="1" t="s">
        <v>8</v>
      </c>
      <c r="O2992" s="2">
        <v>44079</v>
      </c>
    </row>
    <row r="2993" spans="1:15" ht="28.8" x14ac:dyDescent="0.3">
      <c r="A2993" s="1" t="s">
        <v>11889</v>
      </c>
      <c r="B2993" s="1" t="str">
        <f>"Towy Valley Windows limited"</f>
        <v>Towy Valley Windows limited</v>
      </c>
      <c r="C2993" s="1" t="s">
        <v>11890</v>
      </c>
      <c r="F2993" s="1" t="s">
        <v>665</v>
      </c>
      <c r="H2993" s="1" t="s">
        <v>11891</v>
      </c>
      <c r="I2993" s="1" t="s">
        <v>19</v>
      </c>
      <c r="J2993" s="1" t="s">
        <v>6</v>
      </c>
      <c r="K2993" s="1" t="s">
        <v>24</v>
      </c>
      <c r="L2993" s="1">
        <v>7201657</v>
      </c>
      <c r="M2993" s="2">
        <v>42983</v>
      </c>
      <c r="N2993" s="1" t="s">
        <v>8</v>
      </c>
      <c r="O2993" s="2">
        <v>44079</v>
      </c>
    </row>
    <row r="2994" spans="1:15" ht="28.8" x14ac:dyDescent="0.3">
      <c r="A2994" s="1" t="s">
        <v>11892</v>
      </c>
      <c r="B2994" s="1" t="str">
        <f>"Stuart laidlaw building ltd"</f>
        <v>Stuart laidlaw building ltd</v>
      </c>
      <c r="C2994" s="1" t="s">
        <v>11893</v>
      </c>
      <c r="F2994" s="1" t="s">
        <v>179</v>
      </c>
      <c r="H2994" s="1" t="s">
        <v>11894</v>
      </c>
      <c r="I2994" s="1" t="s">
        <v>19</v>
      </c>
      <c r="J2994" s="1" t="s">
        <v>6</v>
      </c>
      <c r="K2994" s="1" t="s">
        <v>34</v>
      </c>
      <c r="L2994" s="1">
        <v>9818292</v>
      </c>
      <c r="M2994" s="2">
        <v>42983</v>
      </c>
      <c r="N2994" s="1" t="s">
        <v>8</v>
      </c>
      <c r="O2994" s="2">
        <v>44079</v>
      </c>
    </row>
    <row r="2995" spans="1:15" ht="43.2" x14ac:dyDescent="0.3">
      <c r="A2995" s="1" t="s">
        <v>23977</v>
      </c>
      <c r="B2995" s="1" t="str">
        <f>"Andrew  Harvey"</f>
        <v>Andrew  Harvey</v>
      </c>
      <c r="C2995" s="1" t="s">
        <v>23978</v>
      </c>
      <c r="F2995" s="1" t="s">
        <v>5599</v>
      </c>
      <c r="H2995" s="1" t="s">
        <v>23979</v>
      </c>
      <c r="I2995" s="1" t="s">
        <v>5</v>
      </c>
      <c r="J2995" s="1" t="s">
        <v>67</v>
      </c>
      <c r="K2995" s="1" t="s">
        <v>14</v>
      </c>
      <c r="M2995" s="2">
        <v>42983</v>
      </c>
      <c r="N2995" s="1" t="s">
        <v>8</v>
      </c>
      <c r="O2995" s="1" t="s">
        <v>68</v>
      </c>
    </row>
    <row r="2996" spans="1:15" ht="28.8" x14ac:dyDescent="0.3">
      <c r="A2996" s="1" t="s">
        <v>24818</v>
      </c>
      <c r="B2996" s="1" t="str">
        <f>"Andrew Merrick Men At Work Wales"</f>
        <v>Andrew Merrick Men At Work Wales</v>
      </c>
      <c r="C2996" s="1" t="s">
        <v>24819</v>
      </c>
      <c r="D2996" s="1" t="s">
        <v>24820</v>
      </c>
      <c r="E2996" s="1" t="s">
        <v>7222</v>
      </c>
      <c r="F2996" s="1" t="s">
        <v>359</v>
      </c>
      <c r="H2996" s="1" t="s">
        <v>24821</v>
      </c>
      <c r="I2996" s="1" t="s">
        <v>5</v>
      </c>
      <c r="J2996" s="1" t="s">
        <v>6</v>
      </c>
      <c r="K2996" s="1" t="s">
        <v>34</v>
      </c>
      <c r="M2996" s="2">
        <v>42983</v>
      </c>
      <c r="N2996" s="1" t="s">
        <v>8</v>
      </c>
      <c r="O2996" s="2">
        <v>44079</v>
      </c>
    </row>
    <row r="2997" spans="1:15" ht="28.8" x14ac:dyDescent="0.3">
      <c r="A2997" s="1" t="s">
        <v>24822</v>
      </c>
      <c r="B2997" s="1" t="str">
        <f>"Stephen Bayliss Steve Bayliss Groundworks"</f>
        <v>Stephen Bayliss Steve Bayliss Groundworks</v>
      </c>
      <c r="C2997" s="1" t="s">
        <v>24823</v>
      </c>
      <c r="F2997" s="1" t="s">
        <v>32</v>
      </c>
      <c r="H2997" s="1" t="s">
        <v>24824</v>
      </c>
      <c r="I2997" s="1" t="s">
        <v>5</v>
      </c>
      <c r="J2997" s="1" t="s">
        <v>6</v>
      </c>
      <c r="K2997" s="1" t="s">
        <v>24</v>
      </c>
      <c r="M2997" s="2">
        <v>42983</v>
      </c>
      <c r="N2997" s="1" t="s">
        <v>8</v>
      </c>
      <c r="O2997" s="2">
        <v>44079</v>
      </c>
    </row>
    <row r="2998" spans="1:15" ht="28.8" x14ac:dyDescent="0.3">
      <c r="A2998" s="1" t="s">
        <v>24825</v>
      </c>
      <c r="B2998" s="1" t="str">
        <f>"Thomas Davies T E Davies"</f>
        <v>Thomas Davies T E Davies</v>
      </c>
      <c r="C2998" s="1" t="s">
        <v>24826</v>
      </c>
      <c r="F2998" s="1" t="s">
        <v>9838</v>
      </c>
      <c r="H2998" s="1" t="s">
        <v>24827</v>
      </c>
      <c r="I2998" s="1" t="s">
        <v>5</v>
      </c>
      <c r="J2998" s="1" t="s">
        <v>6</v>
      </c>
      <c r="K2998" s="1" t="s">
        <v>24</v>
      </c>
      <c r="M2998" s="2">
        <v>42983</v>
      </c>
      <c r="N2998" s="1" t="s">
        <v>8</v>
      </c>
      <c r="O2998" s="2">
        <v>44079</v>
      </c>
    </row>
    <row r="2999" spans="1:15" ht="43.2" x14ac:dyDescent="0.3">
      <c r="A2999" s="1" t="s">
        <v>24828</v>
      </c>
      <c r="B2999" s="1" t="str">
        <f>"MICHAEL SANDFORD"</f>
        <v>MICHAEL SANDFORD</v>
      </c>
      <c r="C2999" s="1" t="s">
        <v>11878</v>
      </c>
      <c r="F2999" s="1" t="s">
        <v>11879</v>
      </c>
      <c r="H2999" s="1" t="s">
        <v>11880</v>
      </c>
      <c r="I2999" s="1" t="s">
        <v>5</v>
      </c>
      <c r="J2999" s="1" t="s">
        <v>67</v>
      </c>
      <c r="K2999" s="1" t="s">
        <v>14</v>
      </c>
      <c r="M2999" s="2">
        <v>42983</v>
      </c>
      <c r="N2999" s="1" t="s">
        <v>8</v>
      </c>
      <c r="O2999" s="1" t="s">
        <v>68</v>
      </c>
    </row>
    <row r="3000" spans="1:15" ht="28.8" x14ac:dyDescent="0.3">
      <c r="A3000" s="1" t="s">
        <v>24829</v>
      </c>
      <c r="B3000" s="1" t="str">
        <f>"Dan O'Mahoney D M ELECTRICAL SERVICES"</f>
        <v>Dan O'Mahoney D M ELECTRICAL SERVICES</v>
      </c>
      <c r="C3000" s="1" t="s">
        <v>24830</v>
      </c>
      <c r="F3000" s="1" t="s">
        <v>24831</v>
      </c>
      <c r="H3000" s="1" t="s">
        <v>24832</v>
      </c>
      <c r="I3000" s="1" t="s">
        <v>5</v>
      </c>
      <c r="J3000" s="1" t="s">
        <v>6</v>
      </c>
      <c r="K3000" s="1" t="s">
        <v>24</v>
      </c>
      <c r="M3000" s="2">
        <v>42983</v>
      </c>
      <c r="N3000" s="1" t="s">
        <v>8</v>
      </c>
      <c r="O3000" s="2">
        <v>44079</v>
      </c>
    </row>
    <row r="3001" spans="1:15" ht="28.8" x14ac:dyDescent="0.3">
      <c r="A3001" s="1" t="s">
        <v>24833</v>
      </c>
      <c r="B3001" s="1" t="str">
        <f>"Gethin Hughes G.O.Hughes"</f>
        <v>Gethin Hughes G.O.Hughes</v>
      </c>
      <c r="C3001" s="1" t="s">
        <v>24834</v>
      </c>
      <c r="F3001" s="1" t="s">
        <v>1696</v>
      </c>
      <c r="H3001" s="1" t="s">
        <v>24835</v>
      </c>
      <c r="I3001" s="1" t="s">
        <v>5</v>
      </c>
      <c r="J3001" s="1" t="s">
        <v>6</v>
      </c>
      <c r="K3001" s="1" t="s">
        <v>34</v>
      </c>
      <c r="M3001" s="2">
        <v>42983</v>
      </c>
      <c r="N3001" s="1" t="s">
        <v>8</v>
      </c>
      <c r="O3001" s="2">
        <v>44079</v>
      </c>
    </row>
    <row r="3002" spans="1:15" ht="43.2" x14ac:dyDescent="0.3">
      <c r="A3002" s="1" t="s">
        <v>9836</v>
      </c>
      <c r="B3002" s="1" t="str">
        <f>"Spencer Macdonald &amp; Associates Ltd"</f>
        <v>Spencer Macdonald &amp; Associates Ltd</v>
      </c>
      <c r="C3002" s="1" t="s">
        <v>9837</v>
      </c>
      <c r="F3002" s="1" t="s">
        <v>9838</v>
      </c>
      <c r="H3002" s="1" t="s">
        <v>9839</v>
      </c>
      <c r="I3002" s="1" t="s">
        <v>19</v>
      </c>
      <c r="J3002" s="1" t="s">
        <v>67</v>
      </c>
      <c r="K3002" s="1" t="s">
        <v>14</v>
      </c>
      <c r="M3002" s="2">
        <v>42982</v>
      </c>
      <c r="N3002" s="1" t="s">
        <v>8</v>
      </c>
      <c r="O3002" s="1" t="s">
        <v>68</v>
      </c>
    </row>
    <row r="3003" spans="1:15" ht="28.8" x14ac:dyDescent="0.3">
      <c r="A3003" s="1" t="s">
        <v>9840</v>
      </c>
      <c r="B3003" s="1" t="str">
        <f>"SILVERTRAM LIMITED"</f>
        <v>SILVERTRAM LIMITED</v>
      </c>
      <c r="C3003" s="1" t="s">
        <v>9841</v>
      </c>
      <c r="D3003" s="1" t="s">
        <v>1839</v>
      </c>
      <c r="F3003" s="1" t="s">
        <v>1093</v>
      </c>
      <c r="H3003" s="1" t="s">
        <v>9842</v>
      </c>
      <c r="I3003" s="1" t="s">
        <v>19</v>
      </c>
      <c r="J3003" s="1" t="s">
        <v>6</v>
      </c>
      <c r="K3003" s="1" t="s">
        <v>34</v>
      </c>
      <c r="L3003" s="1">
        <v>1690789</v>
      </c>
      <c r="M3003" s="2">
        <v>42982</v>
      </c>
      <c r="N3003" s="1" t="s">
        <v>8</v>
      </c>
      <c r="O3003" s="2">
        <v>44078</v>
      </c>
    </row>
    <row r="3004" spans="1:15" ht="28.8" x14ac:dyDescent="0.3">
      <c r="A3004" s="1" t="s">
        <v>9843</v>
      </c>
      <c r="B3004" s="1" t="str">
        <f>"A&amp;M Generators"</f>
        <v>A&amp;M Generators</v>
      </c>
      <c r="C3004" s="1" t="s">
        <v>9844</v>
      </c>
      <c r="F3004" s="1" t="s">
        <v>2342</v>
      </c>
      <c r="H3004" s="1" t="s">
        <v>9845</v>
      </c>
      <c r="I3004" s="1" t="s">
        <v>19</v>
      </c>
      <c r="J3004" s="1" t="s">
        <v>6</v>
      </c>
      <c r="K3004" s="1" t="s">
        <v>34</v>
      </c>
      <c r="L3004" s="1">
        <v>5733938</v>
      </c>
      <c r="M3004" s="2">
        <v>42982</v>
      </c>
      <c r="N3004" s="1" t="s">
        <v>8</v>
      </c>
      <c r="O3004" s="2">
        <v>44078</v>
      </c>
    </row>
    <row r="3005" spans="1:15" ht="28.8" x14ac:dyDescent="0.3">
      <c r="A3005" s="1" t="s">
        <v>9846</v>
      </c>
      <c r="B3005" s="1" t="str">
        <f>"PENNY ELECTRICAL LTD"</f>
        <v>PENNY ELECTRICAL LTD</v>
      </c>
      <c r="C3005" s="1" t="s">
        <v>9847</v>
      </c>
      <c r="F3005" s="1" t="s">
        <v>1991</v>
      </c>
      <c r="H3005" s="1" t="s">
        <v>9848</v>
      </c>
      <c r="I3005" s="1" t="s">
        <v>19</v>
      </c>
      <c r="J3005" s="1" t="s">
        <v>6</v>
      </c>
      <c r="K3005" s="1" t="s">
        <v>24</v>
      </c>
      <c r="L3005" s="1">
        <v>4588512</v>
      </c>
      <c r="M3005" s="2">
        <v>42982</v>
      </c>
      <c r="N3005" s="1" t="s">
        <v>8</v>
      </c>
      <c r="O3005" s="2">
        <v>44078</v>
      </c>
    </row>
    <row r="3006" spans="1:15" ht="28.8" x14ac:dyDescent="0.3">
      <c r="A3006" s="1" t="s">
        <v>10853</v>
      </c>
      <c r="B3006" s="1" t="str">
        <f>"CS Plastering &amp; Decorating Ltd"</f>
        <v>CS Plastering &amp; Decorating Ltd</v>
      </c>
      <c r="C3006" s="1" t="s">
        <v>10854</v>
      </c>
      <c r="D3006" s="1" t="s">
        <v>1350</v>
      </c>
      <c r="F3006" s="1" t="s">
        <v>1351</v>
      </c>
      <c r="H3006" s="1" t="s">
        <v>1352</v>
      </c>
      <c r="I3006" s="1" t="s">
        <v>19</v>
      </c>
      <c r="J3006" s="1" t="s">
        <v>6</v>
      </c>
      <c r="K3006" s="1" t="s">
        <v>24</v>
      </c>
      <c r="L3006" s="1">
        <v>10783407</v>
      </c>
      <c r="M3006" s="2">
        <v>42982</v>
      </c>
      <c r="N3006" s="1" t="s">
        <v>8</v>
      </c>
      <c r="O3006" s="2">
        <v>44078</v>
      </c>
    </row>
    <row r="3007" spans="1:15" ht="43.2" x14ac:dyDescent="0.3">
      <c r="A3007" s="1" t="s">
        <v>10855</v>
      </c>
      <c r="B3007" s="1" t="str">
        <f>"Y Bwthyn"</f>
        <v>Y Bwthyn</v>
      </c>
      <c r="C3007" s="1" t="s">
        <v>10856</v>
      </c>
      <c r="F3007" s="1" t="s">
        <v>1991</v>
      </c>
      <c r="H3007" s="1" t="s">
        <v>10857</v>
      </c>
      <c r="I3007" s="1" t="s">
        <v>125</v>
      </c>
      <c r="J3007" s="1" t="s">
        <v>67</v>
      </c>
      <c r="K3007" s="1" t="s">
        <v>14</v>
      </c>
      <c r="M3007" s="2">
        <v>42982</v>
      </c>
      <c r="N3007" s="1" t="s">
        <v>8</v>
      </c>
      <c r="O3007" s="1" t="s">
        <v>68</v>
      </c>
    </row>
    <row r="3008" spans="1:15" ht="43.2" x14ac:dyDescent="0.3">
      <c r="A3008" s="1" t="s">
        <v>23151</v>
      </c>
      <c r="B3008" s="1" t="str">
        <f>"Dale Wilder"</f>
        <v>Dale Wilder</v>
      </c>
      <c r="C3008" s="1" t="s">
        <v>23152</v>
      </c>
      <c r="D3008" s="1" t="s">
        <v>4070</v>
      </c>
      <c r="F3008" s="1" t="s">
        <v>358</v>
      </c>
      <c r="H3008" s="1" t="s">
        <v>23153</v>
      </c>
      <c r="I3008" s="1" t="s">
        <v>5</v>
      </c>
      <c r="J3008" s="1" t="s">
        <v>67</v>
      </c>
      <c r="K3008" s="1" t="s">
        <v>14</v>
      </c>
      <c r="M3008" s="2">
        <v>42982</v>
      </c>
      <c r="N3008" s="1" t="s">
        <v>8</v>
      </c>
      <c r="O3008" s="1" t="s">
        <v>68</v>
      </c>
    </row>
    <row r="3009" spans="1:15" ht="28.8" x14ac:dyDescent="0.3">
      <c r="A3009" s="1" t="s">
        <v>23154</v>
      </c>
      <c r="B3009" s="1" t="str">
        <f>"Winsor mark  Bush  Winsor mark Bush "</f>
        <v xml:space="preserve">Winsor mark  Bush  Winsor mark Bush </v>
      </c>
      <c r="C3009" s="1" t="s">
        <v>23155</v>
      </c>
      <c r="F3009" s="1" t="s">
        <v>354</v>
      </c>
      <c r="H3009" s="1" t="s">
        <v>23156</v>
      </c>
      <c r="I3009" s="1" t="s">
        <v>5</v>
      </c>
      <c r="J3009" s="1" t="s">
        <v>6</v>
      </c>
      <c r="K3009" s="1" t="s">
        <v>24</v>
      </c>
      <c r="M3009" s="2">
        <v>42982</v>
      </c>
      <c r="N3009" s="1" t="s">
        <v>8</v>
      </c>
      <c r="O3009" s="2">
        <v>44078</v>
      </c>
    </row>
    <row r="3010" spans="1:15" ht="28.8" x14ac:dyDescent="0.3">
      <c r="A3010" s="1" t="s">
        <v>23157</v>
      </c>
      <c r="B3010" s="1" t="str">
        <f>"Luke Wall Luke Wall"</f>
        <v>Luke Wall Luke Wall</v>
      </c>
      <c r="C3010" s="1" t="s">
        <v>23158</v>
      </c>
      <c r="F3010" s="1" t="s">
        <v>123</v>
      </c>
      <c r="H3010" s="1" t="s">
        <v>23159</v>
      </c>
      <c r="I3010" s="1" t="s">
        <v>5</v>
      </c>
      <c r="J3010" s="1" t="s">
        <v>6</v>
      </c>
      <c r="K3010" s="1" t="s">
        <v>24</v>
      </c>
      <c r="M3010" s="2">
        <v>42982</v>
      </c>
      <c r="N3010" s="1" t="s">
        <v>8</v>
      </c>
      <c r="O3010" s="2">
        <v>44078</v>
      </c>
    </row>
    <row r="3011" spans="1:15" ht="43.2" x14ac:dyDescent="0.3">
      <c r="A3011" s="1" t="s">
        <v>23160</v>
      </c>
      <c r="B3011" s="1" t="str">
        <f>"Robert Vernon"</f>
        <v>Robert Vernon</v>
      </c>
      <c r="C3011" s="1" t="s">
        <v>23161</v>
      </c>
      <c r="F3011" s="1" t="s">
        <v>585</v>
      </c>
      <c r="H3011" s="1" t="s">
        <v>23162</v>
      </c>
      <c r="I3011" s="1" t="s">
        <v>5</v>
      </c>
      <c r="J3011" s="1" t="s">
        <v>67</v>
      </c>
      <c r="K3011" s="1" t="s">
        <v>14</v>
      </c>
      <c r="M3011" s="2">
        <v>42982</v>
      </c>
      <c r="N3011" s="1" t="s">
        <v>8</v>
      </c>
      <c r="O3011" s="1" t="s">
        <v>68</v>
      </c>
    </row>
    <row r="3012" spans="1:15" ht="28.8" x14ac:dyDescent="0.3">
      <c r="A3012" s="1" t="s">
        <v>23163</v>
      </c>
      <c r="B3012" s="1" t="str">
        <f>"John Morris J.D.W.Morris"</f>
        <v>John Morris J.D.W.Morris</v>
      </c>
      <c r="C3012" s="1" t="s">
        <v>23164</v>
      </c>
      <c r="D3012" s="1" t="s">
        <v>23165</v>
      </c>
      <c r="F3012" s="1" t="s">
        <v>64</v>
      </c>
      <c r="H3012" s="1" t="s">
        <v>23166</v>
      </c>
      <c r="I3012" s="1" t="s">
        <v>5</v>
      </c>
      <c r="J3012" s="1" t="s">
        <v>6</v>
      </c>
      <c r="K3012" s="1" t="s">
        <v>24</v>
      </c>
      <c r="M3012" s="2">
        <v>42982</v>
      </c>
      <c r="N3012" s="1" t="s">
        <v>8</v>
      </c>
      <c r="O3012" s="2">
        <v>44078</v>
      </c>
    </row>
    <row r="3013" spans="1:15" ht="43.2" x14ac:dyDescent="0.3">
      <c r="A3013" s="1" t="s">
        <v>23167</v>
      </c>
      <c r="B3013" s="1" t="str">
        <f>"jeff phillips"</f>
        <v>jeff phillips</v>
      </c>
      <c r="C3013" s="1" t="s">
        <v>23168</v>
      </c>
      <c r="F3013" s="1" t="s">
        <v>42</v>
      </c>
      <c r="H3013" s="1" t="s">
        <v>23169</v>
      </c>
      <c r="I3013" s="1" t="s">
        <v>5</v>
      </c>
      <c r="J3013" s="1" t="s">
        <v>67</v>
      </c>
      <c r="K3013" s="1" t="s">
        <v>14</v>
      </c>
      <c r="M3013" s="2">
        <v>42982</v>
      </c>
      <c r="N3013" s="1" t="s">
        <v>8</v>
      </c>
      <c r="O3013" s="1" t="s">
        <v>68</v>
      </c>
    </row>
    <row r="3014" spans="1:15" ht="43.2" x14ac:dyDescent="0.3">
      <c r="A3014" s="1" t="s">
        <v>23170</v>
      </c>
      <c r="B3014" s="1" t="str">
        <f>"Janet Treschi"</f>
        <v>Janet Treschi</v>
      </c>
      <c r="C3014" s="1" t="s">
        <v>23171</v>
      </c>
      <c r="F3014" s="1" t="s">
        <v>1063</v>
      </c>
      <c r="H3014" s="1" t="s">
        <v>23172</v>
      </c>
      <c r="I3014" s="1" t="s">
        <v>5</v>
      </c>
      <c r="J3014" s="1" t="s">
        <v>67</v>
      </c>
      <c r="K3014" s="1" t="s">
        <v>14</v>
      </c>
      <c r="M3014" s="2">
        <v>42982</v>
      </c>
      <c r="N3014" s="1" t="s">
        <v>8</v>
      </c>
      <c r="O3014" s="1" t="s">
        <v>68</v>
      </c>
    </row>
    <row r="3015" spans="1:15" ht="43.2" x14ac:dyDescent="0.3">
      <c r="A3015" s="1" t="s">
        <v>23962</v>
      </c>
      <c r="B3015" s="1" t="str">
        <f>"Michael Williams"</f>
        <v>Michael Williams</v>
      </c>
      <c r="C3015" s="1" t="s">
        <v>23963</v>
      </c>
      <c r="F3015" s="1" t="s">
        <v>1093</v>
      </c>
      <c r="H3015" s="1" t="s">
        <v>23964</v>
      </c>
      <c r="I3015" s="1" t="s">
        <v>5</v>
      </c>
      <c r="J3015" s="1" t="s">
        <v>67</v>
      </c>
      <c r="K3015" s="1" t="s">
        <v>24</v>
      </c>
      <c r="M3015" s="2">
        <v>42982</v>
      </c>
      <c r="N3015" s="1" t="s">
        <v>8</v>
      </c>
      <c r="O3015" s="1" t="s">
        <v>68</v>
      </c>
    </row>
    <row r="3016" spans="1:15" ht="43.2" x14ac:dyDescent="0.3">
      <c r="A3016" s="1" t="s">
        <v>23965</v>
      </c>
      <c r="B3016" s="1" t="str">
        <f>"David Johnson"</f>
        <v>David Johnson</v>
      </c>
      <c r="C3016" s="1" t="s">
        <v>23966</v>
      </c>
      <c r="F3016" s="1" t="s">
        <v>64</v>
      </c>
      <c r="H3016" s="1" t="s">
        <v>23967</v>
      </c>
      <c r="I3016" s="1" t="s">
        <v>5</v>
      </c>
      <c r="J3016" s="1" t="s">
        <v>67</v>
      </c>
      <c r="K3016" s="1" t="s">
        <v>14</v>
      </c>
      <c r="M3016" s="2">
        <v>42982</v>
      </c>
      <c r="N3016" s="1" t="s">
        <v>8</v>
      </c>
      <c r="O3016" s="1" t="s">
        <v>68</v>
      </c>
    </row>
    <row r="3017" spans="1:15" ht="43.2" x14ac:dyDescent="0.3">
      <c r="A3017" s="1" t="s">
        <v>23968</v>
      </c>
      <c r="B3017" s="1" t="str">
        <f>"Howard Brown"</f>
        <v>Howard Brown</v>
      </c>
      <c r="C3017" s="1" t="s">
        <v>23969</v>
      </c>
      <c r="F3017" s="1" t="s">
        <v>1776</v>
      </c>
      <c r="H3017" s="1" t="s">
        <v>23970</v>
      </c>
      <c r="I3017" s="1" t="s">
        <v>5</v>
      </c>
      <c r="J3017" s="1" t="s">
        <v>67</v>
      </c>
      <c r="K3017" s="1" t="s">
        <v>14</v>
      </c>
      <c r="M3017" s="2">
        <v>42982</v>
      </c>
      <c r="N3017" s="1" t="s">
        <v>8</v>
      </c>
      <c r="O3017" s="1" t="s">
        <v>68</v>
      </c>
    </row>
    <row r="3018" spans="1:15" ht="28.8" x14ac:dyDescent="0.3">
      <c r="A3018" s="1" t="s">
        <v>23971</v>
      </c>
      <c r="B3018" s="1" t="str">
        <f>"David Lester Flear"</f>
        <v>David Lester Flear</v>
      </c>
      <c r="C3018" s="1" t="s">
        <v>23972</v>
      </c>
      <c r="F3018" s="1" t="s">
        <v>42</v>
      </c>
      <c r="H3018" s="1" t="s">
        <v>23973</v>
      </c>
      <c r="I3018" s="1" t="s">
        <v>5</v>
      </c>
      <c r="J3018" s="1" t="s">
        <v>6</v>
      </c>
      <c r="K3018" s="1" t="s">
        <v>34</v>
      </c>
      <c r="M3018" s="2">
        <v>42982</v>
      </c>
      <c r="N3018" s="1" t="s">
        <v>8</v>
      </c>
      <c r="O3018" s="2">
        <v>44078</v>
      </c>
    </row>
    <row r="3019" spans="1:15" x14ac:dyDescent="0.3">
      <c r="A3019" s="1" t="s">
        <v>23974</v>
      </c>
      <c r="B3019" s="1" t="str">
        <f>"John  Cox John Cox"</f>
        <v>John  Cox John Cox</v>
      </c>
      <c r="C3019" s="1" t="s">
        <v>23975</v>
      </c>
      <c r="F3019" s="1" t="s">
        <v>3655</v>
      </c>
      <c r="H3019" s="1" t="s">
        <v>23976</v>
      </c>
      <c r="I3019" s="1" t="s">
        <v>5</v>
      </c>
      <c r="J3019" s="1" t="s">
        <v>6</v>
      </c>
      <c r="K3019" s="1" t="s">
        <v>24</v>
      </c>
      <c r="M3019" s="2">
        <v>42982</v>
      </c>
      <c r="N3019" s="1" t="s">
        <v>8</v>
      </c>
      <c r="O3019" s="2">
        <v>44078</v>
      </c>
    </row>
    <row r="3020" spans="1:15" ht="28.8" x14ac:dyDescent="0.3">
      <c r="A3020" s="1" t="s">
        <v>8667</v>
      </c>
      <c r="B3020" s="1" t="str">
        <f>"HOWELLS ELECTRICAL LTD"</f>
        <v>HOWELLS ELECTRICAL LTD</v>
      </c>
      <c r="C3020" s="1" t="s">
        <v>8668</v>
      </c>
      <c r="F3020" s="1" t="s">
        <v>156</v>
      </c>
      <c r="H3020" s="1" t="s">
        <v>8669</v>
      </c>
      <c r="I3020" s="1" t="s">
        <v>19</v>
      </c>
      <c r="J3020" s="1" t="s">
        <v>6</v>
      </c>
      <c r="K3020" s="1" t="s">
        <v>34</v>
      </c>
      <c r="L3020" s="1">
        <v>8944632</v>
      </c>
      <c r="M3020" s="2">
        <v>42981</v>
      </c>
      <c r="N3020" s="1" t="s">
        <v>8</v>
      </c>
      <c r="O3020" s="2">
        <v>44077</v>
      </c>
    </row>
    <row r="3021" spans="1:15" ht="28.8" x14ac:dyDescent="0.3">
      <c r="A3021" s="1" t="s">
        <v>8670</v>
      </c>
      <c r="B3021" s="1" t="str">
        <f>"LOCATION SOLUTIONS LTD"</f>
        <v>LOCATION SOLUTIONS LTD</v>
      </c>
      <c r="C3021" s="1" t="s">
        <v>8671</v>
      </c>
      <c r="F3021" s="1" t="s">
        <v>1093</v>
      </c>
      <c r="H3021" s="1" t="s">
        <v>8672</v>
      </c>
      <c r="I3021" s="1" t="s">
        <v>19</v>
      </c>
      <c r="J3021" s="1" t="s">
        <v>6</v>
      </c>
      <c r="K3021" s="1" t="s">
        <v>24</v>
      </c>
      <c r="L3021" s="1">
        <v>6194035</v>
      </c>
      <c r="M3021" s="2">
        <v>42981</v>
      </c>
      <c r="N3021" s="1" t="s">
        <v>8</v>
      </c>
      <c r="O3021" s="2">
        <v>44077</v>
      </c>
    </row>
    <row r="3022" spans="1:15" ht="43.2" x14ac:dyDescent="0.3">
      <c r="A3022" s="1" t="s">
        <v>22460</v>
      </c>
      <c r="B3022" s="1" t="str">
        <f>"MICHAEL THOMAS Michael Thomas Transport"</f>
        <v>MICHAEL THOMAS Michael Thomas Transport</v>
      </c>
      <c r="C3022" s="1" t="s">
        <v>22461</v>
      </c>
      <c r="F3022" s="1" t="s">
        <v>4867</v>
      </c>
      <c r="H3022" s="1" t="s">
        <v>20039</v>
      </c>
      <c r="I3022" s="1" t="s">
        <v>5</v>
      </c>
      <c r="J3022" s="1" t="s">
        <v>67</v>
      </c>
      <c r="K3022" s="1" t="s">
        <v>24</v>
      </c>
      <c r="M3022" s="2">
        <v>42981</v>
      </c>
      <c r="N3022" s="1" t="s">
        <v>8</v>
      </c>
      <c r="O3022" s="1" t="s">
        <v>68</v>
      </c>
    </row>
    <row r="3023" spans="1:15" ht="28.8" x14ac:dyDescent="0.3">
      <c r="A3023" s="1" t="s">
        <v>22462</v>
      </c>
      <c r="B3023" s="1" t="str">
        <f>"philip wildbur North Wales Sheds"</f>
        <v>philip wildbur North Wales Sheds</v>
      </c>
      <c r="C3023" s="1" t="s">
        <v>22463</v>
      </c>
      <c r="F3023" s="1" t="s">
        <v>72</v>
      </c>
      <c r="H3023" s="1" t="s">
        <v>22464</v>
      </c>
      <c r="I3023" s="1" t="s">
        <v>5</v>
      </c>
      <c r="J3023" s="1" t="s">
        <v>6</v>
      </c>
      <c r="K3023" s="1" t="s">
        <v>24</v>
      </c>
      <c r="M3023" s="2">
        <v>42981</v>
      </c>
      <c r="N3023" s="1" t="s">
        <v>8</v>
      </c>
      <c r="O3023" s="2">
        <v>44077</v>
      </c>
    </row>
    <row r="3024" spans="1:15" ht="28.8" x14ac:dyDescent="0.3">
      <c r="A3024" s="1" t="s">
        <v>23144</v>
      </c>
      <c r="B3024" s="1" t="str">
        <f>"David Price David Price Building"</f>
        <v>David Price David Price Building</v>
      </c>
      <c r="C3024" s="1" t="s">
        <v>23145</v>
      </c>
      <c r="F3024" s="1" t="s">
        <v>179</v>
      </c>
      <c r="H3024" s="1" t="s">
        <v>23146</v>
      </c>
      <c r="I3024" s="1" t="s">
        <v>5</v>
      </c>
      <c r="J3024" s="1" t="s">
        <v>6</v>
      </c>
      <c r="K3024" s="1" t="s">
        <v>34</v>
      </c>
      <c r="M3024" s="2">
        <v>42981</v>
      </c>
      <c r="N3024" s="1" t="s">
        <v>8</v>
      </c>
      <c r="O3024" s="2">
        <v>44077</v>
      </c>
    </row>
    <row r="3025" spans="1:15" ht="43.2" x14ac:dyDescent="0.3">
      <c r="A3025" s="1" t="s">
        <v>23147</v>
      </c>
      <c r="B3025" s="1" t="str">
        <f>"Simon Wootten"</f>
        <v>Simon Wootten</v>
      </c>
      <c r="C3025" s="1" t="s">
        <v>23148</v>
      </c>
      <c r="F3025" s="1" t="s">
        <v>23149</v>
      </c>
      <c r="H3025" s="1" t="s">
        <v>23150</v>
      </c>
      <c r="I3025" s="1" t="s">
        <v>5</v>
      </c>
      <c r="J3025" s="1" t="s">
        <v>67</v>
      </c>
      <c r="K3025" s="1" t="s">
        <v>14</v>
      </c>
      <c r="M3025" s="2">
        <v>42981</v>
      </c>
      <c r="N3025" s="1" t="s">
        <v>8</v>
      </c>
      <c r="O3025" s="1" t="s">
        <v>68</v>
      </c>
    </row>
    <row r="3026" spans="1:15" ht="28.8" x14ac:dyDescent="0.3">
      <c r="A3026" s="1" t="s">
        <v>8663</v>
      </c>
      <c r="B3026" s="1" t="str">
        <f>"Interbuild property &amp; landscaping"</f>
        <v>Interbuild property &amp; landscaping</v>
      </c>
      <c r="C3026" s="1" t="s">
        <v>8664</v>
      </c>
      <c r="F3026" s="1" t="s">
        <v>8665</v>
      </c>
      <c r="H3026" s="1" t="s">
        <v>8666</v>
      </c>
      <c r="I3026" s="1" t="s">
        <v>125</v>
      </c>
      <c r="J3026" s="1" t="s">
        <v>6</v>
      </c>
      <c r="K3026" s="1" t="s">
        <v>34</v>
      </c>
      <c r="M3026" s="2">
        <v>42980</v>
      </c>
      <c r="N3026" s="1" t="s">
        <v>8</v>
      </c>
      <c r="O3026" s="2">
        <v>44076</v>
      </c>
    </row>
    <row r="3027" spans="1:15" ht="43.2" x14ac:dyDescent="0.3">
      <c r="A3027" s="1" t="s">
        <v>22457</v>
      </c>
      <c r="B3027" s="1" t="str">
        <f>"Sherry Stone"</f>
        <v>Sherry Stone</v>
      </c>
      <c r="C3027" s="1" t="s">
        <v>22458</v>
      </c>
      <c r="F3027" s="1" t="s">
        <v>1063</v>
      </c>
      <c r="H3027" s="1" t="s">
        <v>22459</v>
      </c>
      <c r="I3027" s="1" t="s">
        <v>5</v>
      </c>
      <c r="J3027" s="1" t="s">
        <v>67</v>
      </c>
      <c r="K3027" s="1" t="s">
        <v>14</v>
      </c>
      <c r="M3027" s="2">
        <v>42980</v>
      </c>
      <c r="N3027" s="1" t="s">
        <v>8</v>
      </c>
      <c r="O3027" s="1" t="s">
        <v>68</v>
      </c>
    </row>
    <row r="3028" spans="1:15" ht="28.8" x14ac:dyDescent="0.3">
      <c r="A3028" s="1" t="s">
        <v>8657</v>
      </c>
      <c r="B3028" s="1" t="str">
        <f>"Plant &amp; Transport"</f>
        <v>Plant &amp; Transport</v>
      </c>
      <c r="C3028" s="1" t="s">
        <v>8658</v>
      </c>
      <c r="D3028" s="1" t="s">
        <v>8659</v>
      </c>
      <c r="F3028" s="1" t="s">
        <v>8659</v>
      </c>
      <c r="H3028" s="1" t="s">
        <v>1134</v>
      </c>
      <c r="I3028" s="1" t="s">
        <v>19</v>
      </c>
      <c r="J3028" s="1" t="s">
        <v>6</v>
      </c>
      <c r="K3028" s="1" t="s">
        <v>34</v>
      </c>
      <c r="L3028" s="1">
        <v>9445176</v>
      </c>
      <c r="M3028" s="2">
        <v>42979</v>
      </c>
      <c r="N3028" s="1" t="s">
        <v>8</v>
      </c>
      <c r="O3028" s="2">
        <v>44075</v>
      </c>
    </row>
    <row r="3029" spans="1:15" ht="28.8" x14ac:dyDescent="0.3">
      <c r="A3029" s="1" t="s">
        <v>8660</v>
      </c>
      <c r="B3029" s="1" t="str">
        <f>"OWENS BUILDING &amp; ROOFING LIMITED"</f>
        <v>OWENS BUILDING &amp; ROOFING LIMITED</v>
      </c>
      <c r="C3029" s="1" t="s">
        <v>8661</v>
      </c>
      <c r="F3029" s="1" t="s">
        <v>678</v>
      </c>
      <c r="H3029" s="1" t="s">
        <v>8662</v>
      </c>
      <c r="I3029" s="1" t="s">
        <v>19</v>
      </c>
      <c r="J3029" s="1" t="s">
        <v>6</v>
      </c>
      <c r="K3029" s="1" t="s">
        <v>34</v>
      </c>
      <c r="L3029" s="1">
        <v>8478172</v>
      </c>
      <c r="M3029" s="2">
        <v>42979</v>
      </c>
      <c r="N3029" s="1" t="s">
        <v>8</v>
      </c>
      <c r="O3029" s="2">
        <v>44075</v>
      </c>
    </row>
    <row r="3030" spans="1:15" ht="28.8" x14ac:dyDescent="0.3">
      <c r="A3030" s="1" t="s">
        <v>22448</v>
      </c>
      <c r="B3030" s="1" t="str">
        <f>"martin christford MC RECYCLING"</f>
        <v>martin christford MC RECYCLING</v>
      </c>
      <c r="C3030" s="1" t="s">
        <v>22449</v>
      </c>
      <c r="F3030" s="1" t="s">
        <v>42</v>
      </c>
      <c r="H3030" s="1" t="s">
        <v>22450</v>
      </c>
      <c r="I3030" s="1" t="s">
        <v>5</v>
      </c>
      <c r="J3030" s="1" t="s">
        <v>6</v>
      </c>
      <c r="K3030" s="1" t="s">
        <v>24</v>
      </c>
      <c r="M3030" s="2">
        <v>42979</v>
      </c>
      <c r="N3030" s="1" t="s">
        <v>8</v>
      </c>
      <c r="O3030" s="2">
        <v>44075</v>
      </c>
    </row>
    <row r="3031" spans="1:15" ht="43.2" x14ac:dyDescent="0.3">
      <c r="A3031" s="1" t="s">
        <v>22451</v>
      </c>
      <c r="B3031" s="1" t="str">
        <f>"Kerry Williams"</f>
        <v>Kerry Williams</v>
      </c>
      <c r="C3031" s="1" t="s">
        <v>22452</v>
      </c>
      <c r="F3031" s="1" t="s">
        <v>64</v>
      </c>
      <c r="H3031" s="1" t="s">
        <v>22453</v>
      </c>
      <c r="I3031" s="1" t="s">
        <v>5</v>
      </c>
      <c r="J3031" s="1" t="s">
        <v>67</v>
      </c>
      <c r="K3031" s="1" t="s">
        <v>14</v>
      </c>
      <c r="M3031" s="2">
        <v>42979</v>
      </c>
      <c r="N3031" s="1" t="s">
        <v>8</v>
      </c>
      <c r="O3031" s="1" t="s">
        <v>68</v>
      </c>
    </row>
    <row r="3032" spans="1:15" ht="43.2" x14ac:dyDescent="0.3">
      <c r="A3032" s="1" t="s">
        <v>22454</v>
      </c>
      <c r="B3032" s="1" t="str">
        <f>"james stokes"</f>
        <v>james stokes</v>
      </c>
      <c r="C3032" s="1" t="s">
        <v>22455</v>
      </c>
      <c r="F3032" s="1" t="s">
        <v>1998</v>
      </c>
      <c r="H3032" s="1" t="s">
        <v>22456</v>
      </c>
      <c r="I3032" s="1" t="s">
        <v>5</v>
      </c>
      <c r="J3032" s="1" t="s">
        <v>67</v>
      </c>
      <c r="K3032" s="1" t="s">
        <v>14</v>
      </c>
      <c r="M3032" s="2">
        <v>42979</v>
      </c>
      <c r="N3032" s="1" t="s">
        <v>8</v>
      </c>
      <c r="O3032" s="1" t="s">
        <v>68</v>
      </c>
    </row>
    <row r="3033" spans="1:15" ht="43.2" x14ac:dyDescent="0.3">
      <c r="A3033" s="1" t="s">
        <v>7498</v>
      </c>
      <c r="B3033" s="1" t="str">
        <f>"IAN THOMAS CONSTRUCTION SERVICES LIMITED"</f>
        <v>IAN THOMAS CONSTRUCTION SERVICES LIMITED</v>
      </c>
      <c r="C3033" s="1" t="s">
        <v>7499</v>
      </c>
      <c r="F3033" s="1" t="s">
        <v>56</v>
      </c>
      <c r="H3033" s="1" t="s">
        <v>7500</v>
      </c>
      <c r="I3033" s="1" t="s">
        <v>19</v>
      </c>
      <c r="J3033" s="1" t="s">
        <v>6</v>
      </c>
      <c r="K3033" s="1" t="s">
        <v>34</v>
      </c>
      <c r="L3033" s="1">
        <v>2519009</v>
      </c>
      <c r="M3033" s="2">
        <v>42978</v>
      </c>
      <c r="N3033" s="1" t="s">
        <v>8</v>
      </c>
      <c r="O3033" s="2">
        <v>44074</v>
      </c>
    </row>
    <row r="3034" spans="1:15" ht="43.2" x14ac:dyDescent="0.3">
      <c r="A3034" s="1" t="s">
        <v>7501</v>
      </c>
      <c r="B3034" s="1" t="str">
        <f>"regis healthcare"</f>
        <v>regis healthcare</v>
      </c>
      <c r="C3034" s="1" t="s">
        <v>7502</v>
      </c>
      <c r="F3034" s="1" t="s">
        <v>641</v>
      </c>
      <c r="H3034" s="1" t="s">
        <v>7503</v>
      </c>
      <c r="I3034" s="1" t="s">
        <v>19</v>
      </c>
      <c r="J3034" s="1" t="s">
        <v>67</v>
      </c>
      <c r="K3034" s="1" t="s">
        <v>14</v>
      </c>
      <c r="M3034" s="2">
        <v>42978</v>
      </c>
      <c r="N3034" s="1" t="s">
        <v>8</v>
      </c>
      <c r="O3034" s="1" t="s">
        <v>68</v>
      </c>
    </row>
    <row r="3035" spans="1:15" ht="28.8" x14ac:dyDescent="0.3">
      <c r="A3035" s="1" t="s">
        <v>7504</v>
      </c>
      <c r="B3035" s="1" t="str">
        <f>"Anglesey Model Village Ltd"</f>
        <v>Anglesey Model Village Ltd</v>
      </c>
      <c r="C3035" s="1" t="s">
        <v>7505</v>
      </c>
      <c r="F3035" s="1" t="s">
        <v>151</v>
      </c>
      <c r="H3035" s="1" t="s">
        <v>7506</v>
      </c>
      <c r="I3035" s="1" t="s">
        <v>19</v>
      </c>
      <c r="J3035" s="1" t="s">
        <v>6</v>
      </c>
      <c r="K3035" s="1" t="s">
        <v>34</v>
      </c>
      <c r="L3035" s="1">
        <v>10407728</v>
      </c>
      <c r="M3035" s="2">
        <v>42978</v>
      </c>
      <c r="N3035" s="1" t="s">
        <v>8</v>
      </c>
      <c r="O3035" s="2">
        <v>44074</v>
      </c>
    </row>
    <row r="3036" spans="1:15" ht="28.8" x14ac:dyDescent="0.3">
      <c r="A3036" s="1" t="s">
        <v>7507</v>
      </c>
      <c r="B3036" s="1" t="str">
        <f>"BK NOLTE CONTRACTS LTD"</f>
        <v>BK NOLTE CONTRACTS LTD</v>
      </c>
      <c r="C3036" s="1" t="s">
        <v>7508</v>
      </c>
      <c r="D3036" s="1" t="s">
        <v>7509</v>
      </c>
      <c r="F3036" s="1" t="s">
        <v>532</v>
      </c>
      <c r="H3036" s="1" t="s">
        <v>3720</v>
      </c>
      <c r="I3036" s="1" t="s">
        <v>19</v>
      </c>
      <c r="J3036" s="1" t="s">
        <v>6</v>
      </c>
      <c r="K3036" s="1" t="s">
        <v>24</v>
      </c>
      <c r="L3036" s="1">
        <v>6500188</v>
      </c>
      <c r="M3036" s="2">
        <v>42978</v>
      </c>
      <c r="N3036" s="1" t="s">
        <v>8</v>
      </c>
      <c r="O3036" s="2">
        <v>44074</v>
      </c>
    </row>
    <row r="3037" spans="1:15" ht="43.2" x14ac:dyDescent="0.3">
      <c r="A3037" s="1" t="s">
        <v>7510</v>
      </c>
      <c r="B3037" s="1" t="str">
        <f>"E W a S E Williams "</f>
        <v xml:space="preserve">E W a S E Williams </v>
      </c>
      <c r="C3037" s="1" t="s">
        <v>7511</v>
      </c>
      <c r="F3037" s="1" t="s">
        <v>374</v>
      </c>
      <c r="H3037" s="1" t="s">
        <v>7512</v>
      </c>
      <c r="I3037" s="1" t="s">
        <v>125</v>
      </c>
      <c r="J3037" s="1" t="s">
        <v>67</v>
      </c>
      <c r="K3037" s="1" t="s">
        <v>14</v>
      </c>
      <c r="M3037" s="2">
        <v>42978</v>
      </c>
      <c r="N3037" s="1" t="s">
        <v>8</v>
      </c>
      <c r="O3037" s="1" t="s">
        <v>68</v>
      </c>
    </row>
    <row r="3038" spans="1:15" ht="43.2" x14ac:dyDescent="0.3">
      <c r="A3038" s="1" t="s">
        <v>7513</v>
      </c>
      <c r="B3038" s="1" t="str">
        <f>"MULTI MAINTENANCE SERVICES (UK) LIMITED"</f>
        <v>MULTI MAINTENANCE SERVICES (UK) LIMITED</v>
      </c>
      <c r="C3038" s="1" t="s">
        <v>7514</v>
      </c>
      <c r="D3038" s="1" t="s">
        <v>2652</v>
      </c>
      <c r="F3038" s="1" t="s">
        <v>374</v>
      </c>
      <c r="H3038" s="1" t="s">
        <v>7515</v>
      </c>
      <c r="I3038" s="1" t="s">
        <v>19</v>
      </c>
      <c r="J3038" s="1" t="s">
        <v>67</v>
      </c>
      <c r="K3038" s="1" t="s">
        <v>24</v>
      </c>
      <c r="L3038" s="1">
        <v>7809986</v>
      </c>
      <c r="M3038" s="2">
        <v>42978</v>
      </c>
      <c r="N3038" s="1" t="s">
        <v>8</v>
      </c>
      <c r="O3038" s="1" t="s">
        <v>68</v>
      </c>
    </row>
    <row r="3039" spans="1:15" ht="43.2" x14ac:dyDescent="0.3">
      <c r="A3039" s="1" t="s">
        <v>21612</v>
      </c>
      <c r="B3039" s="1" t="str">
        <f>"Mark Stewart-Deane"</f>
        <v>Mark Stewart-Deane</v>
      </c>
      <c r="C3039" s="1" t="s">
        <v>21613</v>
      </c>
      <c r="F3039" s="1" t="s">
        <v>5227</v>
      </c>
      <c r="H3039" s="1" t="s">
        <v>21614</v>
      </c>
      <c r="I3039" s="1" t="s">
        <v>5</v>
      </c>
      <c r="J3039" s="1" t="s">
        <v>67</v>
      </c>
      <c r="K3039" s="1" t="s">
        <v>14</v>
      </c>
      <c r="M3039" s="2">
        <v>42978</v>
      </c>
      <c r="N3039" s="1" t="s">
        <v>8</v>
      </c>
      <c r="O3039" s="1" t="s">
        <v>68</v>
      </c>
    </row>
    <row r="3040" spans="1:15" ht="43.2" x14ac:dyDescent="0.3">
      <c r="A3040" s="1" t="s">
        <v>21615</v>
      </c>
      <c r="B3040" s="1" t="str">
        <f>"Daivd Broom"</f>
        <v>Daivd Broom</v>
      </c>
      <c r="C3040" s="1" t="s">
        <v>21616</v>
      </c>
      <c r="F3040" s="1" t="s">
        <v>556</v>
      </c>
      <c r="H3040" s="1" t="s">
        <v>21617</v>
      </c>
      <c r="I3040" s="1" t="s">
        <v>5</v>
      </c>
      <c r="J3040" s="1" t="s">
        <v>67</v>
      </c>
      <c r="K3040" s="1" t="s">
        <v>14</v>
      </c>
      <c r="M3040" s="2">
        <v>42978</v>
      </c>
      <c r="N3040" s="1" t="s">
        <v>8</v>
      </c>
      <c r="O3040" s="1" t="s">
        <v>68</v>
      </c>
    </row>
    <row r="3041" spans="1:15" ht="28.8" x14ac:dyDescent="0.3">
      <c r="A3041" s="1" t="s">
        <v>6476</v>
      </c>
      <c r="B3041" s="1" t="str">
        <f>"ServiceBase Ltd"</f>
        <v>ServiceBase Ltd</v>
      </c>
      <c r="C3041" s="1" t="s">
        <v>6477</v>
      </c>
      <c r="F3041" s="1" t="s">
        <v>476</v>
      </c>
      <c r="H3041" s="1" t="s">
        <v>6478</v>
      </c>
      <c r="I3041" s="1" t="s">
        <v>19</v>
      </c>
      <c r="J3041" s="1" t="s">
        <v>6</v>
      </c>
      <c r="K3041" s="1" t="s">
        <v>24</v>
      </c>
      <c r="L3041" s="1">
        <v>7150407</v>
      </c>
      <c r="M3041" s="2">
        <v>42977</v>
      </c>
      <c r="N3041" s="1" t="s">
        <v>8</v>
      </c>
      <c r="O3041" s="2">
        <v>44073</v>
      </c>
    </row>
    <row r="3042" spans="1:15" ht="43.2" x14ac:dyDescent="0.3">
      <c r="A3042" s="1" t="s">
        <v>7482</v>
      </c>
      <c r="B3042" s="1" t="str">
        <f>"G J Owen and Co"</f>
        <v>G J Owen and Co</v>
      </c>
      <c r="C3042" s="1" t="s">
        <v>7483</v>
      </c>
      <c r="F3042" s="1" t="s">
        <v>1206</v>
      </c>
      <c r="H3042" s="1" t="s">
        <v>7484</v>
      </c>
      <c r="I3042" s="1" t="s">
        <v>125</v>
      </c>
      <c r="J3042" s="1" t="s">
        <v>67</v>
      </c>
      <c r="K3042" s="1" t="s">
        <v>14</v>
      </c>
      <c r="M3042" s="2">
        <v>42977</v>
      </c>
      <c r="N3042" s="1" t="s">
        <v>8</v>
      </c>
      <c r="O3042" s="1" t="s">
        <v>68</v>
      </c>
    </row>
    <row r="3043" spans="1:15" ht="43.2" x14ac:dyDescent="0.3">
      <c r="A3043" s="1" t="s">
        <v>7485</v>
      </c>
      <c r="B3043" s="1" t="str">
        <f>"BRYNAMAN ONE STOP"</f>
        <v>BRYNAMAN ONE STOP</v>
      </c>
      <c r="C3043" s="1" t="s">
        <v>7486</v>
      </c>
      <c r="F3043" s="1" t="s">
        <v>665</v>
      </c>
      <c r="H3043" s="1" t="s">
        <v>7487</v>
      </c>
      <c r="I3043" s="1" t="s">
        <v>125</v>
      </c>
      <c r="J3043" s="1" t="s">
        <v>67</v>
      </c>
      <c r="K3043" s="1" t="s">
        <v>14</v>
      </c>
      <c r="M3043" s="2">
        <v>42977</v>
      </c>
      <c r="N3043" s="1" t="s">
        <v>8</v>
      </c>
      <c r="O3043" s="1" t="s">
        <v>68</v>
      </c>
    </row>
    <row r="3044" spans="1:15" ht="43.2" x14ac:dyDescent="0.3">
      <c r="A3044" s="1" t="s">
        <v>7488</v>
      </c>
      <c r="B3044" s="1" t="str">
        <f>"NATIONAL RESCUE MIDLANDS"</f>
        <v>NATIONAL RESCUE MIDLANDS</v>
      </c>
      <c r="C3044" s="1" t="s">
        <v>7489</v>
      </c>
      <c r="F3044" s="1" t="s">
        <v>7490</v>
      </c>
      <c r="H3044" s="1" t="s">
        <v>7491</v>
      </c>
      <c r="I3044" s="1" t="s">
        <v>19</v>
      </c>
      <c r="J3044" s="1" t="s">
        <v>67</v>
      </c>
      <c r="K3044" s="1" t="s">
        <v>14</v>
      </c>
      <c r="M3044" s="2">
        <v>42977</v>
      </c>
      <c r="N3044" s="1" t="s">
        <v>8</v>
      </c>
      <c r="O3044" s="1" t="s">
        <v>68</v>
      </c>
    </row>
    <row r="3045" spans="1:15" ht="28.8" x14ac:dyDescent="0.3">
      <c r="A3045" s="1" t="s">
        <v>7492</v>
      </c>
      <c r="B3045" s="1" t="str">
        <f>"SJ BUILDING CONTRACTORS LTD"</f>
        <v>SJ BUILDING CONTRACTORS LTD</v>
      </c>
      <c r="C3045" s="1" t="s">
        <v>7493</v>
      </c>
      <c r="D3045" s="1" t="s">
        <v>7494</v>
      </c>
      <c r="F3045" s="1" t="s">
        <v>4645</v>
      </c>
      <c r="H3045" s="1" t="s">
        <v>7019</v>
      </c>
      <c r="I3045" s="1" t="s">
        <v>19</v>
      </c>
      <c r="J3045" s="1" t="s">
        <v>6</v>
      </c>
      <c r="K3045" s="1" t="s">
        <v>24</v>
      </c>
      <c r="L3045" s="1">
        <v>4611085</v>
      </c>
      <c r="M3045" s="2">
        <v>42977</v>
      </c>
      <c r="N3045" s="1" t="s">
        <v>8</v>
      </c>
      <c r="O3045" s="2">
        <v>44073</v>
      </c>
    </row>
    <row r="3046" spans="1:15" ht="28.8" x14ac:dyDescent="0.3">
      <c r="A3046" s="1" t="s">
        <v>7495</v>
      </c>
      <c r="B3046" s="1" t="str">
        <f>"K M Williams"</f>
        <v>K M Williams</v>
      </c>
      <c r="C3046" s="1" t="s">
        <v>7496</v>
      </c>
      <c r="F3046" s="1" t="s">
        <v>1609</v>
      </c>
      <c r="H3046" s="1" t="s">
        <v>7497</v>
      </c>
      <c r="I3046" s="1" t="s">
        <v>125</v>
      </c>
      <c r="J3046" s="1" t="s">
        <v>6</v>
      </c>
      <c r="K3046" s="1" t="s">
        <v>34</v>
      </c>
      <c r="M3046" s="2">
        <v>42977</v>
      </c>
      <c r="N3046" s="1" t="s">
        <v>8</v>
      </c>
      <c r="O3046" s="2">
        <v>44073</v>
      </c>
    </row>
    <row r="3047" spans="1:15" ht="28.8" x14ac:dyDescent="0.3">
      <c r="A3047" s="1" t="s">
        <v>21609</v>
      </c>
      <c r="B3047" s="1" t="str">
        <f>"Samuel Griffiths SRG Waste Removal "</f>
        <v xml:space="preserve">Samuel Griffiths SRG Waste Removal </v>
      </c>
      <c r="C3047" s="1" t="s">
        <v>21610</v>
      </c>
      <c r="F3047" s="1" t="s">
        <v>1556</v>
      </c>
      <c r="H3047" s="1" t="s">
        <v>21611</v>
      </c>
      <c r="I3047" s="1" t="s">
        <v>5</v>
      </c>
      <c r="J3047" s="1" t="s">
        <v>6</v>
      </c>
      <c r="K3047" s="1" t="s">
        <v>24</v>
      </c>
      <c r="M3047" s="2">
        <v>42977</v>
      </c>
      <c r="N3047" s="1" t="s">
        <v>8</v>
      </c>
      <c r="O3047" s="2">
        <v>44073</v>
      </c>
    </row>
    <row r="3048" spans="1:15" ht="28.8" x14ac:dyDescent="0.3">
      <c r="A3048" s="1" t="s">
        <v>6450</v>
      </c>
      <c r="B3048" s="1" t="str">
        <f>"North Wales Logistics Ltd"</f>
        <v>North Wales Logistics Ltd</v>
      </c>
      <c r="C3048" s="1" t="s">
        <v>6451</v>
      </c>
      <c r="F3048" s="1" t="s">
        <v>358</v>
      </c>
      <c r="H3048" s="1" t="s">
        <v>6452</v>
      </c>
      <c r="I3048" s="1" t="s">
        <v>19</v>
      </c>
      <c r="J3048" s="1" t="s">
        <v>6</v>
      </c>
      <c r="K3048" s="1" t="s">
        <v>24</v>
      </c>
      <c r="L3048" s="1">
        <v>10799053</v>
      </c>
      <c r="M3048" s="2">
        <v>42976</v>
      </c>
      <c r="N3048" s="1" t="s">
        <v>8</v>
      </c>
      <c r="O3048" s="2">
        <v>44072</v>
      </c>
    </row>
    <row r="3049" spans="1:15" ht="28.8" x14ac:dyDescent="0.3">
      <c r="A3049" s="1" t="s">
        <v>6453</v>
      </c>
      <c r="B3049" s="1" t="str">
        <f>"Griffith John Owen &amp; Sons"</f>
        <v>Griffith John Owen &amp; Sons</v>
      </c>
      <c r="C3049" s="1" t="s">
        <v>6454</v>
      </c>
      <c r="D3049" s="1" t="s">
        <v>4436</v>
      </c>
      <c r="F3049" s="1" t="s">
        <v>358</v>
      </c>
      <c r="H3049" s="1" t="s">
        <v>6455</v>
      </c>
      <c r="I3049" s="1" t="s">
        <v>125</v>
      </c>
      <c r="J3049" s="1" t="s">
        <v>6</v>
      </c>
      <c r="K3049" s="1" t="s">
        <v>34</v>
      </c>
      <c r="M3049" s="2">
        <v>42976</v>
      </c>
      <c r="N3049" s="1" t="s">
        <v>8</v>
      </c>
      <c r="O3049" s="2">
        <v>44072</v>
      </c>
    </row>
    <row r="3050" spans="1:15" ht="43.2" x14ac:dyDescent="0.3">
      <c r="A3050" s="1" t="s">
        <v>6456</v>
      </c>
      <c r="B3050" s="1" t="str">
        <f>"VECTOR AIR &amp; WATER LTD"</f>
        <v>VECTOR AIR &amp; WATER LTD</v>
      </c>
      <c r="C3050" s="1" t="s">
        <v>6457</v>
      </c>
      <c r="F3050" s="1" t="s">
        <v>179</v>
      </c>
      <c r="H3050" s="1" t="s">
        <v>6458</v>
      </c>
      <c r="I3050" s="1" t="s">
        <v>19</v>
      </c>
      <c r="J3050" s="1" t="s">
        <v>67</v>
      </c>
      <c r="K3050" s="1" t="s">
        <v>24</v>
      </c>
      <c r="L3050" s="1">
        <v>8356336</v>
      </c>
      <c r="M3050" s="2">
        <v>42976</v>
      </c>
      <c r="N3050" s="1" t="s">
        <v>8</v>
      </c>
      <c r="O3050" s="1" t="s">
        <v>68</v>
      </c>
    </row>
    <row r="3051" spans="1:15" ht="28.8" x14ac:dyDescent="0.3">
      <c r="A3051" s="1" t="s">
        <v>6459</v>
      </c>
      <c r="B3051" s="1" t="str">
        <f>"N &amp; A JAMES LTD"</f>
        <v>N &amp; A JAMES LTD</v>
      </c>
      <c r="C3051" s="1" t="s">
        <v>3305</v>
      </c>
      <c r="D3051" s="1" t="s">
        <v>6460</v>
      </c>
      <c r="F3051" s="1" t="s">
        <v>56</v>
      </c>
      <c r="H3051" s="1" t="s">
        <v>6461</v>
      </c>
      <c r="I3051" s="1" t="s">
        <v>19</v>
      </c>
      <c r="J3051" s="1" t="s">
        <v>6</v>
      </c>
      <c r="K3051" s="1" t="s">
        <v>24</v>
      </c>
      <c r="L3051" s="1">
        <v>1140403</v>
      </c>
      <c r="M3051" s="2">
        <v>42976</v>
      </c>
      <c r="N3051" s="1" t="s">
        <v>8</v>
      </c>
      <c r="O3051" s="2">
        <v>44072</v>
      </c>
    </row>
    <row r="3052" spans="1:15" ht="28.8" x14ac:dyDescent="0.3">
      <c r="A3052" s="1" t="s">
        <v>6462</v>
      </c>
      <c r="B3052" s="1" t="str">
        <f>"DELIVERY SOLUTIONS (DELSOL) LIMITED"</f>
        <v>DELIVERY SOLUTIONS (DELSOL) LIMITED</v>
      </c>
      <c r="C3052" s="1" t="s">
        <v>6463</v>
      </c>
      <c r="F3052" s="1" t="s">
        <v>710</v>
      </c>
      <c r="H3052" s="1" t="s">
        <v>6464</v>
      </c>
      <c r="I3052" s="1" t="s">
        <v>19</v>
      </c>
      <c r="J3052" s="1" t="s">
        <v>6</v>
      </c>
      <c r="K3052" s="1" t="s">
        <v>24</v>
      </c>
      <c r="L3052" s="1">
        <v>4845404</v>
      </c>
      <c r="M3052" s="2">
        <v>42976</v>
      </c>
      <c r="N3052" s="1" t="s">
        <v>8</v>
      </c>
      <c r="O3052" s="2">
        <v>44072</v>
      </c>
    </row>
    <row r="3053" spans="1:15" ht="28.8" x14ac:dyDescent="0.3">
      <c r="A3053" s="1" t="s">
        <v>6465</v>
      </c>
      <c r="B3053" s="1" t="str">
        <f>"Protocol Control Systems Ltd"</f>
        <v>Protocol Control Systems Ltd</v>
      </c>
      <c r="C3053" s="1" t="s">
        <v>6466</v>
      </c>
      <c r="D3053" s="1" t="s">
        <v>6467</v>
      </c>
      <c r="F3053" s="1" t="s">
        <v>1986</v>
      </c>
      <c r="H3053" s="1" t="s">
        <v>6468</v>
      </c>
      <c r="I3053" s="1" t="s">
        <v>19</v>
      </c>
      <c r="J3053" s="1" t="s">
        <v>6</v>
      </c>
      <c r="K3053" s="1" t="s">
        <v>24</v>
      </c>
      <c r="L3053" s="1">
        <v>3133577</v>
      </c>
      <c r="M3053" s="2">
        <v>42976</v>
      </c>
      <c r="N3053" s="1" t="s">
        <v>8</v>
      </c>
      <c r="O3053" s="2">
        <v>44072</v>
      </c>
    </row>
    <row r="3054" spans="1:15" x14ac:dyDescent="0.3">
      <c r="A3054" s="1" t="s">
        <v>6469</v>
      </c>
      <c r="B3054" s="1" t="str">
        <f>"AJI &amp; MD James"</f>
        <v>AJI &amp; MD James</v>
      </c>
      <c r="C3054" s="1" t="s">
        <v>6470</v>
      </c>
      <c r="F3054" s="1" t="s">
        <v>6471</v>
      </c>
      <c r="H3054" s="1" t="s">
        <v>6472</v>
      </c>
      <c r="I3054" s="1" t="s">
        <v>125</v>
      </c>
      <c r="J3054" s="1" t="s">
        <v>6</v>
      </c>
      <c r="K3054" s="1" t="s">
        <v>24</v>
      </c>
      <c r="M3054" s="2">
        <v>42976</v>
      </c>
      <c r="N3054" s="1" t="s">
        <v>8</v>
      </c>
      <c r="O3054" s="2">
        <v>44072</v>
      </c>
    </row>
    <row r="3055" spans="1:15" ht="28.8" x14ac:dyDescent="0.3">
      <c r="A3055" s="1" t="s">
        <v>6473</v>
      </c>
      <c r="B3055" s="1" t="str">
        <f>"starlight electrical services ltd"</f>
        <v>starlight electrical services ltd</v>
      </c>
      <c r="C3055" s="1" t="s">
        <v>6474</v>
      </c>
      <c r="F3055" s="1" t="s">
        <v>1093</v>
      </c>
      <c r="H3055" s="1" t="s">
        <v>6475</v>
      </c>
      <c r="I3055" s="1" t="s">
        <v>19</v>
      </c>
      <c r="J3055" s="1" t="s">
        <v>6</v>
      </c>
      <c r="K3055" s="1" t="s">
        <v>24</v>
      </c>
      <c r="L3055" s="1">
        <v>8116752</v>
      </c>
      <c r="M3055" s="2">
        <v>42976</v>
      </c>
      <c r="N3055" s="1" t="s">
        <v>8</v>
      </c>
      <c r="O3055" s="2">
        <v>44072</v>
      </c>
    </row>
    <row r="3056" spans="1:15" ht="43.2" x14ac:dyDescent="0.3">
      <c r="A3056" s="1" t="s">
        <v>20822</v>
      </c>
      <c r="B3056" s="1" t="str">
        <f>"Andrew Smart"</f>
        <v>Andrew Smart</v>
      </c>
      <c r="C3056" s="1" t="s">
        <v>20823</v>
      </c>
      <c r="F3056" s="1" t="s">
        <v>7844</v>
      </c>
      <c r="H3056" s="1" t="s">
        <v>20824</v>
      </c>
      <c r="I3056" s="1" t="s">
        <v>5</v>
      </c>
      <c r="J3056" s="1" t="s">
        <v>67</v>
      </c>
      <c r="K3056" s="1" t="s">
        <v>14</v>
      </c>
      <c r="M3056" s="2">
        <v>42976</v>
      </c>
      <c r="N3056" s="1" t="s">
        <v>8</v>
      </c>
      <c r="O3056" s="1" t="s">
        <v>68</v>
      </c>
    </row>
    <row r="3057" spans="1:15" ht="28.8" x14ac:dyDescent="0.3">
      <c r="A3057" s="1" t="s">
        <v>20825</v>
      </c>
      <c r="B3057" s="1" t="str">
        <f>"DEAN PERRY Digger Dean"</f>
        <v>DEAN PERRY Digger Dean</v>
      </c>
      <c r="C3057" s="1" t="s">
        <v>20826</v>
      </c>
      <c r="D3057" s="1" t="s">
        <v>20827</v>
      </c>
      <c r="F3057" s="1" t="s">
        <v>277</v>
      </c>
      <c r="H3057" s="1" t="s">
        <v>20828</v>
      </c>
      <c r="I3057" s="1" t="s">
        <v>5</v>
      </c>
      <c r="J3057" s="1" t="s">
        <v>6</v>
      </c>
      <c r="K3057" s="1" t="s">
        <v>34</v>
      </c>
      <c r="M3057" s="2">
        <v>42976</v>
      </c>
      <c r="N3057" s="1" t="s">
        <v>8</v>
      </c>
      <c r="O3057" s="2">
        <v>44072</v>
      </c>
    </row>
    <row r="3058" spans="1:15" ht="43.2" x14ac:dyDescent="0.3">
      <c r="A3058" s="1" t="s">
        <v>20829</v>
      </c>
      <c r="B3058" s="1" t="str">
        <f>"Michael Jones countrysideconservatoriesand window"</f>
        <v>Michael Jones countrysideconservatoriesand window</v>
      </c>
      <c r="C3058" s="1" t="s">
        <v>20830</v>
      </c>
      <c r="F3058" s="1" t="s">
        <v>123</v>
      </c>
      <c r="H3058" s="1" t="s">
        <v>20831</v>
      </c>
      <c r="I3058" s="1" t="s">
        <v>5</v>
      </c>
      <c r="J3058" s="1" t="s">
        <v>6</v>
      </c>
      <c r="K3058" s="1" t="s">
        <v>34</v>
      </c>
      <c r="M3058" s="2">
        <v>42976</v>
      </c>
      <c r="N3058" s="1" t="s">
        <v>8</v>
      </c>
      <c r="O3058" s="2">
        <v>44072</v>
      </c>
    </row>
    <row r="3059" spans="1:15" ht="28.8" x14ac:dyDescent="0.3">
      <c r="A3059" s="1" t="s">
        <v>20832</v>
      </c>
      <c r="B3059" s="1" t="str">
        <f>"Piotr Dudkowiak Second Hand Uk"</f>
        <v>Piotr Dudkowiak Second Hand Uk</v>
      </c>
      <c r="C3059" s="1" t="s">
        <v>20833</v>
      </c>
      <c r="F3059" s="1" t="s">
        <v>156</v>
      </c>
      <c r="H3059" s="1" t="s">
        <v>20834</v>
      </c>
      <c r="I3059" s="1" t="s">
        <v>5</v>
      </c>
      <c r="J3059" s="1" t="s">
        <v>6</v>
      </c>
      <c r="K3059" s="1" t="s">
        <v>34</v>
      </c>
      <c r="M3059" s="2">
        <v>42976</v>
      </c>
      <c r="N3059" s="1" t="s">
        <v>8</v>
      </c>
      <c r="O3059" s="2">
        <v>44072</v>
      </c>
    </row>
    <row r="3060" spans="1:15" ht="43.2" x14ac:dyDescent="0.3">
      <c r="A3060" s="1" t="s">
        <v>20835</v>
      </c>
      <c r="B3060" s="1" t="str">
        <f>"Nicky Young"</f>
        <v>Nicky Young</v>
      </c>
      <c r="C3060" s="1" t="s">
        <v>20836</v>
      </c>
      <c r="F3060" s="1" t="s">
        <v>156</v>
      </c>
      <c r="H3060" s="1" t="s">
        <v>20837</v>
      </c>
      <c r="I3060" s="1" t="s">
        <v>5</v>
      </c>
      <c r="J3060" s="1" t="s">
        <v>67</v>
      </c>
      <c r="K3060" s="1" t="s">
        <v>14</v>
      </c>
      <c r="M3060" s="2">
        <v>42976</v>
      </c>
      <c r="N3060" s="1" t="s">
        <v>8</v>
      </c>
      <c r="O3060" s="1" t="s">
        <v>68</v>
      </c>
    </row>
    <row r="3061" spans="1:15" ht="28.8" x14ac:dyDescent="0.3">
      <c r="A3061" s="1" t="s">
        <v>6447</v>
      </c>
      <c r="B3061" s="1" t="str">
        <f>"Actual Landscapes Ltd"</f>
        <v>Actual Landscapes Ltd</v>
      </c>
      <c r="C3061" s="1" t="s">
        <v>6448</v>
      </c>
      <c r="F3061" s="1" t="s">
        <v>323</v>
      </c>
      <c r="H3061" s="1" t="s">
        <v>6449</v>
      </c>
      <c r="I3061" s="1" t="s">
        <v>19</v>
      </c>
      <c r="J3061" s="1" t="s">
        <v>6</v>
      </c>
      <c r="K3061" s="1" t="s">
        <v>34</v>
      </c>
      <c r="L3061" s="1">
        <v>10543710</v>
      </c>
      <c r="M3061" s="2">
        <v>42975</v>
      </c>
      <c r="N3061" s="1" t="s">
        <v>8</v>
      </c>
      <c r="O3061" s="2">
        <v>44071</v>
      </c>
    </row>
    <row r="3062" spans="1:15" x14ac:dyDescent="0.3">
      <c r="A3062" s="1" t="s">
        <v>20817</v>
      </c>
      <c r="B3062" s="1" t="str">
        <f>"Neil Pugh Neil Pugh"</f>
        <v>Neil Pugh Neil Pugh</v>
      </c>
      <c r="C3062" s="1" t="s">
        <v>20818</v>
      </c>
      <c r="F3062" s="1" t="s">
        <v>1351</v>
      </c>
      <c r="H3062" s="1" t="s">
        <v>20790</v>
      </c>
      <c r="I3062" s="1" t="s">
        <v>5</v>
      </c>
      <c r="J3062" s="1" t="s">
        <v>6</v>
      </c>
      <c r="K3062" s="1" t="s">
        <v>24</v>
      </c>
      <c r="M3062" s="2">
        <v>42975</v>
      </c>
      <c r="N3062" s="1" t="s">
        <v>8</v>
      </c>
      <c r="O3062" s="2">
        <v>44071</v>
      </c>
    </row>
    <row r="3063" spans="1:15" ht="43.2" x14ac:dyDescent="0.3">
      <c r="A3063" s="1" t="s">
        <v>20819</v>
      </c>
      <c r="B3063" s="1" t="str">
        <f>"Caryl Thomas"</f>
        <v>Caryl Thomas</v>
      </c>
      <c r="C3063" s="1" t="s">
        <v>20820</v>
      </c>
      <c r="F3063" s="1" t="s">
        <v>32</v>
      </c>
      <c r="H3063" s="1" t="s">
        <v>20821</v>
      </c>
      <c r="I3063" s="1" t="s">
        <v>5</v>
      </c>
      <c r="J3063" s="1" t="s">
        <v>67</v>
      </c>
      <c r="K3063" s="1" t="s">
        <v>34</v>
      </c>
      <c r="M3063" s="2">
        <v>42975</v>
      </c>
      <c r="N3063" s="1" t="s">
        <v>8</v>
      </c>
      <c r="O3063" s="1" t="s">
        <v>68</v>
      </c>
    </row>
    <row r="3064" spans="1:15" ht="28.8" x14ac:dyDescent="0.3">
      <c r="A3064" s="1" t="s">
        <v>20814</v>
      </c>
      <c r="B3064" s="1" t="str">
        <f>"Brian Jenkins B J CLEANING"</f>
        <v>Brian Jenkins B J CLEANING</v>
      </c>
      <c r="C3064" s="1" t="s">
        <v>20815</v>
      </c>
      <c r="F3064" s="1" t="s">
        <v>179</v>
      </c>
      <c r="H3064" s="1" t="s">
        <v>20816</v>
      </c>
      <c r="I3064" s="1" t="s">
        <v>5</v>
      </c>
      <c r="J3064" s="1" t="s">
        <v>6</v>
      </c>
      <c r="K3064" s="1" t="s">
        <v>24</v>
      </c>
      <c r="M3064" s="2">
        <v>42974</v>
      </c>
      <c r="N3064" s="1" t="s">
        <v>8</v>
      </c>
      <c r="O3064" s="2">
        <v>44070</v>
      </c>
    </row>
    <row r="3065" spans="1:15" ht="28.8" x14ac:dyDescent="0.3">
      <c r="A3065" s="1" t="s">
        <v>6436</v>
      </c>
      <c r="B3065" s="1" t="str">
        <f>"A Keedwell holdings limited"</f>
        <v>A Keedwell holdings limited</v>
      </c>
      <c r="C3065" s="1" t="s">
        <v>6437</v>
      </c>
      <c r="F3065" s="1" t="s">
        <v>179</v>
      </c>
      <c r="H3065" s="1" t="s">
        <v>6438</v>
      </c>
      <c r="I3065" s="1" t="s">
        <v>19</v>
      </c>
      <c r="J3065" s="1" t="s">
        <v>6</v>
      </c>
      <c r="K3065" s="1" t="s">
        <v>24</v>
      </c>
      <c r="L3065" s="1">
        <v>10922875</v>
      </c>
      <c r="M3065" s="2">
        <v>42973</v>
      </c>
      <c r="N3065" s="1" t="s">
        <v>8</v>
      </c>
      <c r="O3065" s="2">
        <v>44069</v>
      </c>
    </row>
    <row r="3066" spans="1:15" ht="28.8" x14ac:dyDescent="0.3">
      <c r="A3066" s="1" t="s">
        <v>6439</v>
      </c>
      <c r="B3066" s="1" t="str">
        <f>"Utley excavations"</f>
        <v>Utley excavations</v>
      </c>
      <c r="C3066" s="1" t="s">
        <v>6440</v>
      </c>
      <c r="D3066" s="1" t="s">
        <v>6441</v>
      </c>
      <c r="F3066" s="1" t="s">
        <v>6442</v>
      </c>
      <c r="H3066" s="1" t="s">
        <v>6443</v>
      </c>
      <c r="I3066" s="1" t="s">
        <v>19</v>
      </c>
      <c r="J3066" s="1" t="s">
        <v>6</v>
      </c>
      <c r="K3066" s="1" t="s">
        <v>34</v>
      </c>
      <c r="L3066" s="1">
        <v>7191153</v>
      </c>
      <c r="M3066" s="2">
        <v>42973</v>
      </c>
      <c r="N3066" s="1" t="s">
        <v>8</v>
      </c>
      <c r="O3066" s="2">
        <v>44069</v>
      </c>
    </row>
    <row r="3067" spans="1:15" ht="43.2" x14ac:dyDescent="0.3">
      <c r="A3067" s="1" t="s">
        <v>6444</v>
      </c>
      <c r="B3067" s="1" t="str">
        <f>"MULTI-ELEC SERVICES LIMITED"</f>
        <v>MULTI-ELEC SERVICES LIMITED</v>
      </c>
      <c r="C3067" s="1" t="s">
        <v>6445</v>
      </c>
      <c r="F3067" s="1" t="s">
        <v>277</v>
      </c>
      <c r="H3067" s="1" t="s">
        <v>6446</v>
      </c>
      <c r="I3067" s="1" t="s">
        <v>19</v>
      </c>
      <c r="J3067" s="1" t="s">
        <v>67</v>
      </c>
      <c r="K3067" s="1" t="s">
        <v>14</v>
      </c>
      <c r="M3067" s="2">
        <v>42973</v>
      </c>
      <c r="N3067" s="1" t="s">
        <v>8</v>
      </c>
      <c r="O3067" s="1" t="s">
        <v>68</v>
      </c>
    </row>
    <row r="3068" spans="1:15" ht="28.8" x14ac:dyDescent="0.3">
      <c r="A3068" s="1" t="s">
        <v>5211</v>
      </c>
      <c r="B3068" s="1" t="str">
        <f>"ARROW VALUE RECOVERY UK LTD"</f>
        <v>ARROW VALUE RECOVERY UK LTD</v>
      </c>
      <c r="C3068" s="1" t="s">
        <v>5212</v>
      </c>
      <c r="D3068" s="1" t="s">
        <v>1503</v>
      </c>
      <c r="F3068" s="1" t="s">
        <v>140</v>
      </c>
      <c r="H3068" s="1" t="s">
        <v>1504</v>
      </c>
      <c r="I3068" s="1" t="s">
        <v>19</v>
      </c>
      <c r="J3068" s="1" t="s">
        <v>6</v>
      </c>
      <c r="K3068" s="1" t="s">
        <v>34</v>
      </c>
      <c r="L3068" s="1">
        <v>6348255</v>
      </c>
      <c r="M3068" s="2">
        <v>42972</v>
      </c>
      <c r="N3068" s="1" t="s">
        <v>8</v>
      </c>
      <c r="O3068" s="2">
        <v>44068</v>
      </c>
    </row>
    <row r="3069" spans="1:15" ht="28.8" x14ac:dyDescent="0.3">
      <c r="A3069" s="1" t="s">
        <v>5213</v>
      </c>
      <c r="B3069" s="1" t="str">
        <f>"FLINTSHIRE CRANE HIRE LTD"</f>
        <v>FLINTSHIRE CRANE HIRE LTD</v>
      </c>
      <c r="C3069" s="1" t="s">
        <v>5214</v>
      </c>
      <c r="D3069" s="1" t="s">
        <v>1739</v>
      </c>
      <c r="F3069" s="1" t="s">
        <v>720</v>
      </c>
      <c r="H3069" s="1" t="s">
        <v>5215</v>
      </c>
      <c r="I3069" s="1" t="s">
        <v>19</v>
      </c>
      <c r="J3069" s="1" t="s">
        <v>6</v>
      </c>
      <c r="K3069" s="1" t="s">
        <v>34</v>
      </c>
      <c r="L3069" s="1">
        <v>3058231</v>
      </c>
      <c r="M3069" s="2">
        <v>42972</v>
      </c>
      <c r="N3069" s="1" t="s">
        <v>8</v>
      </c>
      <c r="O3069" s="2">
        <v>44068</v>
      </c>
    </row>
    <row r="3070" spans="1:15" ht="28.8" x14ac:dyDescent="0.3">
      <c r="A3070" s="1" t="s">
        <v>5216</v>
      </c>
      <c r="B3070" s="1" t="str">
        <f>"HOWEL RICHARDS TRANSPORT LIMITED"</f>
        <v>HOWEL RICHARDS TRANSPORT LIMITED</v>
      </c>
      <c r="C3070" s="1" t="s">
        <v>5217</v>
      </c>
      <c r="F3070" s="1" t="s">
        <v>179</v>
      </c>
      <c r="H3070" s="1" t="s">
        <v>5218</v>
      </c>
      <c r="I3070" s="1" t="s">
        <v>19</v>
      </c>
      <c r="J3070" s="1" t="s">
        <v>6</v>
      </c>
      <c r="K3070" s="1" t="s">
        <v>34</v>
      </c>
      <c r="L3070" s="1">
        <v>1159592</v>
      </c>
      <c r="M3070" s="2">
        <v>42972</v>
      </c>
      <c r="N3070" s="1" t="s">
        <v>8</v>
      </c>
      <c r="O3070" s="2">
        <v>44068</v>
      </c>
    </row>
    <row r="3071" spans="1:15" ht="28.8" x14ac:dyDescent="0.3">
      <c r="A3071" s="1" t="s">
        <v>5219</v>
      </c>
      <c r="B3071" s="1" t="str">
        <f>"RDJ &amp; CO (WREXHAM) LTD"</f>
        <v>RDJ &amp; CO (WREXHAM) LTD</v>
      </c>
      <c r="C3071" s="1" t="s">
        <v>5220</v>
      </c>
      <c r="F3071" s="1" t="s">
        <v>532</v>
      </c>
      <c r="H3071" s="1" t="s">
        <v>5221</v>
      </c>
      <c r="I3071" s="1" t="s">
        <v>19</v>
      </c>
      <c r="J3071" s="1" t="s">
        <v>6</v>
      </c>
      <c r="K3071" s="1" t="s">
        <v>24</v>
      </c>
      <c r="L3071" s="1">
        <v>8937710</v>
      </c>
      <c r="M3071" s="2">
        <v>42972</v>
      </c>
      <c r="N3071" s="1" t="s">
        <v>8</v>
      </c>
      <c r="O3071" s="2">
        <v>44068</v>
      </c>
    </row>
    <row r="3072" spans="1:15" ht="28.8" x14ac:dyDescent="0.3">
      <c r="A3072" s="1" t="s">
        <v>20028</v>
      </c>
      <c r="B3072" s="1" t="str">
        <f>"Cameron  Collis  Collis waste clearance "</f>
        <v xml:space="preserve">Cameron  Collis  Collis waste clearance </v>
      </c>
      <c r="C3072" s="1" t="s">
        <v>20029</v>
      </c>
      <c r="F3072" s="1" t="s">
        <v>64</v>
      </c>
      <c r="H3072" s="1" t="s">
        <v>20030</v>
      </c>
      <c r="I3072" s="1" t="s">
        <v>5</v>
      </c>
      <c r="J3072" s="1" t="s">
        <v>6</v>
      </c>
      <c r="K3072" s="1" t="s">
        <v>24</v>
      </c>
      <c r="M3072" s="2">
        <v>42972</v>
      </c>
      <c r="N3072" s="1" t="s">
        <v>8</v>
      </c>
      <c r="O3072" s="2">
        <v>44068</v>
      </c>
    </row>
    <row r="3073" spans="1:15" ht="28.8" x14ac:dyDescent="0.3">
      <c r="A3073" s="1" t="s">
        <v>20031</v>
      </c>
      <c r="B3073" s="1" t="str">
        <f>"CARL JONES MR CARL JONES"</f>
        <v>CARL JONES MR CARL JONES</v>
      </c>
      <c r="C3073" s="1" t="s">
        <v>20032</v>
      </c>
      <c r="F3073" s="1" t="s">
        <v>556</v>
      </c>
      <c r="H3073" s="1" t="s">
        <v>20033</v>
      </c>
      <c r="I3073" s="1" t="s">
        <v>5</v>
      </c>
      <c r="J3073" s="1" t="s">
        <v>6</v>
      </c>
      <c r="K3073" s="1" t="s">
        <v>24</v>
      </c>
      <c r="M3073" s="2">
        <v>42972</v>
      </c>
      <c r="N3073" s="1" t="s">
        <v>8</v>
      </c>
      <c r="O3073" s="2">
        <v>44068</v>
      </c>
    </row>
    <row r="3074" spans="1:15" ht="28.8" x14ac:dyDescent="0.3">
      <c r="A3074" s="1" t="s">
        <v>20034</v>
      </c>
      <c r="B3074" s="1" t="str">
        <f>"Emyr Davies ED Plant"</f>
        <v>Emyr Davies ED Plant</v>
      </c>
      <c r="C3074" s="1" t="s">
        <v>20035</v>
      </c>
      <c r="D3074" s="1" t="s">
        <v>108</v>
      </c>
      <c r="F3074" s="1" t="s">
        <v>64</v>
      </c>
      <c r="H3074" s="1" t="s">
        <v>20036</v>
      </c>
      <c r="I3074" s="1" t="s">
        <v>5</v>
      </c>
      <c r="J3074" s="1" t="s">
        <v>6</v>
      </c>
      <c r="K3074" s="1" t="s">
        <v>34</v>
      </c>
      <c r="M3074" s="2">
        <v>42972</v>
      </c>
      <c r="N3074" s="1" t="s">
        <v>8</v>
      </c>
      <c r="O3074" s="2">
        <v>44068</v>
      </c>
    </row>
    <row r="3075" spans="1:15" ht="28.8" x14ac:dyDescent="0.3">
      <c r="A3075" s="1" t="s">
        <v>20808</v>
      </c>
      <c r="B3075" s="1" t="str">
        <f>"Robert Ayers Robert Ayers"</f>
        <v>Robert Ayers Robert Ayers</v>
      </c>
      <c r="C3075" s="1" t="s">
        <v>20809</v>
      </c>
      <c r="F3075" s="1" t="s">
        <v>64</v>
      </c>
      <c r="H3075" s="1" t="s">
        <v>20810</v>
      </c>
      <c r="I3075" s="1" t="s">
        <v>5</v>
      </c>
      <c r="J3075" s="1" t="s">
        <v>6</v>
      </c>
      <c r="K3075" s="1" t="s">
        <v>24</v>
      </c>
      <c r="M3075" s="2">
        <v>42972</v>
      </c>
      <c r="N3075" s="1" t="s">
        <v>8</v>
      </c>
      <c r="O3075" s="2">
        <v>44068</v>
      </c>
    </row>
    <row r="3076" spans="1:15" ht="28.8" x14ac:dyDescent="0.3">
      <c r="A3076" s="1" t="s">
        <v>20811</v>
      </c>
      <c r="B3076" s="1" t="str">
        <f>"Lance Jury Waste man"</f>
        <v>Lance Jury Waste man</v>
      </c>
      <c r="C3076" s="1" t="s">
        <v>20812</v>
      </c>
      <c r="F3076" s="1" t="s">
        <v>179</v>
      </c>
      <c r="H3076" s="1" t="s">
        <v>20813</v>
      </c>
      <c r="I3076" s="1" t="s">
        <v>5</v>
      </c>
      <c r="J3076" s="1" t="s">
        <v>6</v>
      </c>
      <c r="K3076" s="1" t="s">
        <v>24</v>
      </c>
      <c r="M3076" s="2">
        <v>42972</v>
      </c>
      <c r="N3076" s="1" t="s">
        <v>8</v>
      </c>
      <c r="O3076" s="2">
        <v>44068</v>
      </c>
    </row>
    <row r="3077" spans="1:15" ht="43.2" x14ac:dyDescent="0.3">
      <c r="A3077" s="1" t="s">
        <v>5207</v>
      </c>
      <c r="B3077" s="1" t="str">
        <f>"Just in Time Plumbing  Heating &amp; Building Services Limited"</f>
        <v>Just in Time Plumbing  Heating &amp; Building Services Limited</v>
      </c>
      <c r="C3077" s="1" t="s">
        <v>5208</v>
      </c>
      <c r="D3077" s="1" t="s">
        <v>5209</v>
      </c>
      <c r="F3077" s="1" t="s">
        <v>64</v>
      </c>
      <c r="H3077" s="1" t="s">
        <v>5210</v>
      </c>
      <c r="I3077" s="1" t="s">
        <v>19</v>
      </c>
      <c r="J3077" s="1" t="s">
        <v>6</v>
      </c>
      <c r="K3077" s="1" t="s">
        <v>34</v>
      </c>
      <c r="L3077" s="1">
        <v>5743620</v>
      </c>
      <c r="M3077" s="2">
        <v>42971</v>
      </c>
      <c r="N3077" s="1" t="s">
        <v>8</v>
      </c>
      <c r="O3077" s="2">
        <v>44067</v>
      </c>
    </row>
    <row r="3078" spans="1:15" ht="43.2" x14ac:dyDescent="0.3">
      <c r="A3078" s="1" t="s">
        <v>20014</v>
      </c>
      <c r="B3078" s="1" t="str">
        <f>"Steven Williams S P WILLIAMS BUILDING CONTRACTORS"</f>
        <v>Steven Williams S P WILLIAMS BUILDING CONTRACTORS</v>
      </c>
      <c r="C3078" s="1" t="s">
        <v>20015</v>
      </c>
      <c r="F3078" s="1" t="s">
        <v>1351</v>
      </c>
      <c r="H3078" s="1" t="s">
        <v>20016</v>
      </c>
      <c r="I3078" s="1" t="s">
        <v>5</v>
      </c>
      <c r="J3078" s="1" t="s">
        <v>6</v>
      </c>
      <c r="K3078" s="1" t="s">
        <v>24</v>
      </c>
      <c r="M3078" s="2">
        <v>42971</v>
      </c>
      <c r="N3078" s="1" t="s">
        <v>8</v>
      </c>
      <c r="O3078" s="2">
        <v>44067</v>
      </c>
    </row>
    <row r="3079" spans="1:15" ht="28.8" x14ac:dyDescent="0.3">
      <c r="A3079" s="1" t="s">
        <v>20017</v>
      </c>
      <c r="B3079" s="1" t="str">
        <f>"Russell Jones JP &amp; RJ Jones"</f>
        <v>Russell Jones JP &amp; RJ Jones</v>
      </c>
      <c r="C3079" s="1" t="s">
        <v>20018</v>
      </c>
      <c r="F3079" s="1" t="s">
        <v>2459</v>
      </c>
      <c r="H3079" s="1" t="s">
        <v>20019</v>
      </c>
      <c r="I3079" s="1" t="s">
        <v>5</v>
      </c>
      <c r="J3079" s="1" t="s">
        <v>6</v>
      </c>
      <c r="K3079" s="1" t="s">
        <v>34</v>
      </c>
      <c r="M3079" s="2">
        <v>42971</v>
      </c>
      <c r="N3079" s="1" t="s">
        <v>8</v>
      </c>
      <c r="O3079" s="2">
        <v>44067</v>
      </c>
    </row>
    <row r="3080" spans="1:15" ht="43.2" x14ac:dyDescent="0.3">
      <c r="A3080" s="1" t="s">
        <v>20020</v>
      </c>
      <c r="B3080" s="1" t="str">
        <f>"Rodney Morgan"</f>
        <v>Rodney Morgan</v>
      </c>
      <c r="C3080" s="1" t="s">
        <v>20021</v>
      </c>
      <c r="F3080" s="1" t="s">
        <v>5409</v>
      </c>
      <c r="H3080" s="1" t="s">
        <v>14251</v>
      </c>
      <c r="I3080" s="1" t="s">
        <v>5</v>
      </c>
      <c r="J3080" s="1" t="s">
        <v>67</v>
      </c>
      <c r="K3080" s="1" t="s">
        <v>14</v>
      </c>
      <c r="M3080" s="2">
        <v>42971</v>
      </c>
      <c r="N3080" s="1" t="s">
        <v>8</v>
      </c>
      <c r="O3080" s="1" t="s">
        <v>68</v>
      </c>
    </row>
    <row r="3081" spans="1:15" ht="43.2" x14ac:dyDescent="0.3">
      <c r="A3081" s="1" t="s">
        <v>20022</v>
      </c>
      <c r="B3081" s="1" t="str">
        <f>"daniel hard"</f>
        <v>daniel hard</v>
      </c>
      <c r="C3081" s="1" t="s">
        <v>20023</v>
      </c>
      <c r="F3081" s="1" t="s">
        <v>156</v>
      </c>
      <c r="H3081" s="1" t="s">
        <v>20024</v>
      </c>
      <c r="I3081" s="1" t="s">
        <v>5</v>
      </c>
      <c r="J3081" s="1" t="s">
        <v>67</v>
      </c>
      <c r="K3081" s="1" t="s">
        <v>14</v>
      </c>
      <c r="M3081" s="2">
        <v>42971</v>
      </c>
      <c r="N3081" s="1" t="s">
        <v>8</v>
      </c>
      <c r="O3081" s="1" t="s">
        <v>68</v>
      </c>
    </row>
    <row r="3082" spans="1:15" x14ac:dyDescent="0.3">
      <c r="A3082" s="1" t="s">
        <v>20025</v>
      </c>
      <c r="B3082" s="1" t="str">
        <f>"David Owen Astley"</f>
        <v>David Owen Astley</v>
      </c>
      <c r="C3082" s="1" t="s">
        <v>20026</v>
      </c>
      <c r="F3082" s="1" t="s">
        <v>555</v>
      </c>
      <c r="H3082" s="1" t="s">
        <v>20027</v>
      </c>
      <c r="I3082" s="1" t="s">
        <v>5</v>
      </c>
      <c r="J3082" s="1" t="s">
        <v>6</v>
      </c>
      <c r="K3082" s="1" t="s">
        <v>24</v>
      </c>
      <c r="M3082" s="2">
        <v>42971</v>
      </c>
      <c r="N3082" s="1" t="s">
        <v>8</v>
      </c>
      <c r="O3082" s="2">
        <v>44067</v>
      </c>
    </row>
    <row r="3083" spans="1:15" x14ac:dyDescent="0.3">
      <c r="A3083" s="1" t="s">
        <v>4125</v>
      </c>
      <c r="B3083" s="1" t="str">
        <f>"R A OWEN AND SONS"</f>
        <v>R A OWEN AND SONS</v>
      </c>
      <c r="C3083" s="1" t="s">
        <v>4126</v>
      </c>
      <c r="F3083" s="1" t="s">
        <v>4127</v>
      </c>
      <c r="H3083" s="1" t="s">
        <v>4128</v>
      </c>
      <c r="I3083" s="1" t="s">
        <v>125</v>
      </c>
      <c r="J3083" s="1" t="s">
        <v>6</v>
      </c>
      <c r="K3083" s="1" t="s">
        <v>24</v>
      </c>
      <c r="M3083" s="2">
        <v>42970</v>
      </c>
      <c r="N3083" s="1" t="s">
        <v>8</v>
      </c>
      <c r="O3083" s="2">
        <v>44066</v>
      </c>
    </row>
    <row r="3084" spans="1:15" x14ac:dyDescent="0.3">
      <c r="A3084" s="1" t="s">
        <v>5201</v>
      </c>
      <c r="B3084" s="1" t="str">
        <f>"Bullock Brothers"</f>
        <v>Bullock Brothers</v>
      </c>
      <c r="C3084" s="1" t="s">
        <v>5202</v>
      </c>
      <c r="F3084" s="1" t="s">
        <v>1638</v>
      </c>
      <c r="H3084" s="1" t="s">
        <v>5203</v>
      </c>
      <c r="I3084" s="1" t="s">
        <v>125</v>
      </c>
      <c r="J3084" s="1" t="s">
        <v>6</v>
      </c>
      <c r="K3084" s="1" t="s">
        <v>24</v>
      </c>
      <c r="M3084" s="2">
        <v>42970</v>
      </c>
      <c r="N3084" s="1" t="s">
        <v>8</v>
      </c>
      <c r="O3084" s="2">
        <v>44066</v>
      </c>
    </row>
    <row r="3085" spans="1:15" ht="28.8" x14ac:dyDescent="0.3">
      <c r="A3085" s="1" t="s">
        <v>5204</v>
      </c>
      <c r="B3085" s="1" t="str">
        <f>"FLINTSHIRE ROOFING LIMITED"</f>
        <v>FLINTSHIRE ROOFING LIMITED</v>
      </c>
      <c r="C3085" s="1" t="s">
        <v>5205</v>
      </c>
      <c r="D3085" s="1" t="s">
        <v>5206</v>
      </c>
      <c r="F3085" s="1" t="s">
        <v>1479</v>
      </c>
      <c r="H3085" s="1" t="s">
        <v>3619</v>
      </c>
      <c r="I3085" s="1" t="s">
        <v>19</v>
      </c>
      <c r="J3085" s="1" t="s">
        <v>6</v>
      </c>
      <c r="K3085" s="1" t="s">
        <v>34</v>
      </c>
      <c r="L3085" s="1">
        <v>9457243</v>
      </c>
      <c r="M3085" s="2">
        <v>42970</v>
      </c>
      <c r="N3085" s="1" t="s">
        <v>8</v>
      </c>
      <c r="O3085" s="2">
        <v>44066</v>
      </c>
    </row>
    <row r="3086" spans="1:15" ht="43.2" x14ac:dyDescent="0.3">
      <c r="A3086" s="1" t="s">
        <v>19234</v>
      </c>
      <c r="B3086" s="1" t="str">
        <f>"Jeff Mennell"</f>
        <v>Jeff Mennell</v>
      </c>
      <c r="C3086" s="1" t="s">
        <v>19235</v>
      </c>
      <c r="F3086" s="1" t="s">
        <v>19236</v>
      </c>
      <c r="H3086" s="1" t="s">
        <v>19237</v>
      </c>
      <c r="I3086" s="1" t="s">
        <v>5</v>
      </c>
      <c r="J3086" s="1" t="s">
        <v>67</v>
      </c>
      <c r="K3086" s="1" t="s">
        <v>14</v>
      </c>
      <c r="M3086" s="2">
        <v>42970</v>
      </c>
      <c r="N3086" s="1" t="s">
        <v>8</v>
      </c>
      <c r="O3086" s="1" t="s">
        <v>68</v>
      </c>
    </row>
    <row r="3087" spans="1:15" ht="43.2" x14ac:dyDescent="0.3">
      <c r="A3087" s="1" t="s">
        <v>20004</v>
      </c>
      <c r="B3087" s="1" t="str">
        <f>"Garry  Stevens "</f>
        <v xml:space="preserve">Garry  Stevens </v>
      </c>
      <c r="C3087" s="1" t="s">
        <v>20005</v>
      </c>
      <c r="F3087" s="1" t="s">
        <v>20006</v>
      </c>
      <c r="H3087" s="1" t="s">
        <v>20007</v>
      </c>
      <c r="I3087" s="1" t="s">
        <v>5</v>
      </c>
      <c r="J3087" s="1" t="s">
        <v>67</v>
      </c>
      <c r="K3087" s="1" t="s">
        <v>14</v>
      </c>
      <c r="M3087" s="2">
        <v>42970</v>
      </c>
      <c r="N3087" s="1" t="s">
        <v>8</v>
      </c>
      <c r="O3087" s="1" t="s">
        <v>68</v>
      </c>
    </row>
    <row r="3088" spans="1:15" ht="28.8" x14ac:dyDescent="0.3">
      <c r="A3088" s="1" t="s">
        <v>20008</v>
      </c>
      <c r="B3088" s="1" t="str">
        <f>"Martin Hefferman  Peppy's Recoverys"</f>
        <v>Martin Hefferman  Peppy's Recoverys</v>
      </c>
      <c r="C3088" s="1" t="s">
        <v>20009</v>
      </c>
      <c r="D3088" s="1" t="s">
        <v>101</v>
      </c>
      <c r="F3088" s="1" t="s">
        <v>102</v>
      </c>
      <c r="H3088" s="1" t="s">
        <v>20010</v>
      </c>
      <c r="I3088" s="1" t="s">
        <v>5</v>
      </c>
      <c r="J3088" s="1" t="s">
        <v>6</v>
      </c>
      <c r="K3088" s="1" t="s">
        <v>24</v>
      </c>
      <c r="M3088" s="2">
        <v>42970</v>
      </c>
      <c r="N3088" s="1" t="s">
        <v>8</v>
      </c>
      <c r="O3088" s="2">
        <v>44066</v>
      </c>
    </row>
    <row r="3089" spans="1:15" ht="28.8" x14ac:dyDescent="0.3">
      <c r="A3089" s="1" t="s">
        <v>20011</v>
      </c>
      <c r="B3089" s="1" t="str">
        <f>"scott appleyard kingsbridge auto parts"</f>
        <v>scott appleyard kingsbridge auto parts</v>
      </c>
      <c r="C3089" s="1" t="s">
        <v>20012</v>
      </c>
      <c r="F3089" s="1" t="s">
        <v>1525</v>
      </c>
      <c r="H3089" s="1" t="s">
        <v>20013</v>
      </c>
      <c r="I3089" s="1" t="s">
        <v>5</v>
      </c>
      <c r="J3089" s="1" t="s">
        <v>6</v>
      </c>
      <c r="K3089" s="1" t="s">
        <v>1859</v>
      </c>
      <c r="M3089" s="2">
        <v>42970</v>
      </c>
      <c r="N3089" s="1" t="s">
        <v>8</v>
      </c>
      <c r="O3089" s="2">
        <v>44066</v>
      </c>
    </row>
    <row r="3090" spans="1:15" ht="43.2" x14ac:dyDescent="0.3">
      <c r="A3090" s="1" t="s">
        <v>4107</v>
      </c>
      <c r="B3090" s="1" t="str">
        <f>"Oldar LTD"</f>
        <v>Oldar LTD</v>
      </c>
      <c r="C3090" s="1" t="s">
        <v>4108</v>
      </c>
      <c r="F3090" s="1" t="s">
        <v>4109</v>
      </c>
      <c r="H3090" s="1" t="s">
        <v>4110</v>
      </c>
      <c r="I3090" s="1" t="s">
        <v>19</v>
      </c>
      <c r="J3090" s="1" t="s">
        <v>67</v>
      </c>
      <c r="K3090" s="1" t="s">
        <v>14</v>
      </c>
      <c r="M3090" s="2">
        <v>42969</v>
      </c>
      <c r="N3090" s="1" t="s">
        <v>8</v>
      </c>
      <c r="O3090" s="1" t="s">
        <v>68</v>
      </c>
    </row>
    <row r="3091" spans="1:15" ht="28.8" x14ac:dyDescent="0.3">
      <c r="A3091" s="1" t="s">
        <v>4111</v>
      </c>
      <c r="B3091" s="1" t="str">
        <f>"R.E.G construction limited"</f>
        <v>R.E.G construction limited</v>
      </c>
      <c r="C3091" s="1" t="s">
        <v>4112</v>
      </c>
      <c r="F3091" s="1" t="s">
        <v>123</v>
      </c>
      <c r="H3091" s="1" t="s">
        <v>4113</v>
      </c>
      <c r="I3091" s="1" t="s">
        <v>19</v>
      </c>
      <c r="J3091" s="1" t="s">
        <v>6</v>
      </c>
      <c r="K3091" s="1" t="s">
        <v>34</v>
      </c>
      <c r="L3091" s="1">
        <v>10342364</v>
      </c>
      <c r="M3091" s="2">
        <v>42969</v>
      </c>
      <c r="N3091" s="1" t="s">
        <v>8</v>
      </c>
      <c r="O3091" s="2">
        <v>44065</v>
      </c>
    </row>
    <row r="3092" spans="1:15" ht="28.8" x14ac:dyDescent="0.3">
      <c r="A3092" s="1" t="s">
        <v>4114</v>
      </c>
      <c r="B3092" s="1" t="str">
        <f>"For You Property Services Ltd"</f>
        <v>For You Property Services Ltd</v>
      </c>
      <c r="C3092" s="1" t="s">
        <v>4115</v>
      </c>
      <c r="F3092" s="1" t="s">
        <v>323</v>
      </c>
      <c r="H3092" s="1" t="s">
        <v>4116</v>
      </c>
      <c r="I3092" s="1" t="s">
        <v>19</v>
      </c>
      <c r="J3092" s="1" t="s">
        <v>6</v>
      </c>
      <c r="K3092" s="1" t="s">
        <v>34</v>
      </c>
      <c r="L3092" s="1">
        <v>10404538</v>
      </c>
      <c r="M3092" s="2">
        <v>42969</v>
      </c>
      <c r="N3092" s="1" t="s">
        <v>8</v>
      </c>
      <c r="O3092" s="2">
        <v>44065</v>
      </c>
    </row>
    <row r="3093" spans="1:15" ht="28.8" x14ac:dyDescent="0.3">
      <c r="A3093" s="1" t="s">
        <v>4117</v>
      </c>
      <c r="B3093" s="1" t="str">
        <f>"D A Ross Transport Ltd"</f>
        <v>D A Ross Transport Ltd</v>
      </c>
      <c r="C3093" s="1" t="s">
        <v>4118</v>
      </c>
      <c r="F3093" s="1" t="s">
        <v>706</v>
      </c>
      <c r="H3093" s="1" t="s">
        <v>4119</v>
      </c>
      <c r="I3093" s="1" t="s">
        <v>19</v>
      </c>
      <c r="J3093" s="1" t="s">
        <v>6</v>
      </c>
      <c r="K3093" s="1" t="s">
        <v>34</v>
      </c>
      <c r="L3093" s="1">
        <v>8178998</v>
      </c>
      <c r="M3093" s="2">
        <v>42969</v>
      </c>
      <c r="N3093" s="1" t="s">
        <v>8</v>
      </c>
      <c r="O3093" s="2">
        <v>44065</v>
      </c>
    </row>
    <row r="3094" spans="1:15" ht="43.2" x14ac:dyDescent="0.3">
      <c r="A3094" s="1" t="s">
        <v>4120</v>
      </c>
      <c r="B3094" s="1" t="str">
        <f>"Adept GRP Ltd"</f>
        <v>Adept GRP Ltd</v>
      </c>
      <c r="C3094" s="1" t="s">
        <v>4121</v>
      </c>
      <c r="D3094" s="1" t="s">
        <v>4122</v>
      </c>
      <c r="E3094" s="1" t="s">
        <v>4123</v>
      </c>
      <c r="F3094" s="1" t="s">
        <v>42</v>
      </c>
      <c r="H3094" s="1" t="s">
        <v>4124</v>
      </c>
      <c r="I3094" s="1" t="s">
        <v>19</v>
      </c>
      <c r="J3094" s="1" t="s">
        <v>67</v>
      </c>
      <c r="K3094" s="1" t="s">
        <v>24</v>
      </c>
      <c r="M3094" s="2">
        <v>42969</v>
      </c>
      <c r="N3094" s="1" t="s">
        <v>8</v>
      </c>
      <c r="O3094" s="1" t="s">
        <v>68</v>
      </c>
    </row>
    <row r="3095" spans="1:15" ht="43.2" x14ac:dyDescent="0.3">
      <c r="A3095" s="1" t="s">
        <v>19217</v>
      </c>
      <c r="B3095" s="1" t="str">
        <f>"Justin Price"</f>
        <v>Justin Price</v>
      </c>
      <c r="C3095" s="1" t="s">
        <v>19218</v>
      </c>
      <c r="D3095" s="1" t="s">
        <v>3465</v>
      </c>
      <c r="F3095" s="1" t="s">
        <v>641</v>
      </c>
      <c r="H3095" s="1" t="s">
        <v>10893</v>
      </c>
      <c r="I3095" s="1" t="s">
        <v>5</v>
      </c>
      <c r="J3095" s="1" t="s">
        <v>67</v>
      </c>
      <c r="K3095" s="1" t="s">
        <v>14</v>
      </c>
      <c r="M3095" s="2">
        <v>42969</v>
      </c>
      <c r="N3095" s="1" t="s">
        <v>8</v>
      </c>
      <c r="O3095" s="1" t="s">
        <v>68</v>
      </c>
    </row>
    <row r="3096" spans="1:15" ht="43.2" x14ac:dyDescent="0.3">
      <c r="A3096" s="1" t="s">
        <v>19219</v>
      </c>
      <c r="B3096" s="1" t="str">
        <f>"karen  ward"</f>
        <v>karen  ward</v>
      </c>
      <c r="C3096" s="1" t="s">
        <v>19220</v>
      </c>
      <c r="D3096" s="1" t="s">
        <v>19221</v>
      </c>
      <c r="F3096" s="1" t="s">
        <v>5963</v>
      </c>
      <c r="H3096" s="1" t="s">
        <v>19222</v>
      </c>
      <c r="I3096" s="1" t="s">
        <v>5</v>
      </c>
      <c r="J3096" s="1" t="s">
        <v>67</v>
      </c>
      <c r="K3096" s="1" t="s">
        <v>14</v>
      </c>
      <c r="M3096" s="2">
        <v>42969</v>
      </c>
      <c r="N3096" s="1" t="s">
        <v>8</v>
      </c>
      <c r="O3096" s="1" t="s">
        <v>68</v>
      </c>
    </row>
    <row r="3097" spans="1:15" ht="43.2" x14ac:dyDescent="0.3">
      <c r="A3097" s="1" t="s">
        <v>19223</v>
      </c>
      <c r="B3097" s="1" t="str">
        <f>"Arron Watkins"</f>
        <v>Arron Watkins</v>
      </c>
      <c r="C3097" s="1" t="s">
        <v>19224</v>
      </c>
      <c r="F3097" s="1" t="s">
        <v>1093</v>
      </c>
      <c r="H3097" s="1" t="s">
        <v>19225</v>
      </c>
      <c r="I3097" s="1" t="s">
        <v>5</v>
      </c>
      <c r="J3097" s="1" t="s">
        <v>67</v>
      </c>
      <c r="K3097" s="1" t="s">
        <v>14</v>
      </c>
      <c r="M3097" s="2">
        <v>42969</v>
      </c>
      <c r="N3097" s="1" t="s">
        <v>8</v>
      </c>
      <c r="O3097" s="1" t="s">
        <v>68</v>
      </c>
    </row>
    <row r="3098" spans="1:15" ht="28.8" x14ac:dyDescent="0.3">
      <c r="A3098" s="1" t="s">
        <v>19226</v>
      </c>
      <c r="B3098" s="1" t="str">
        <f>"Stephen Jones Stephen Jones Building"</f>
        <v>Stephen Jones Stephen Jones Building</v>
      </c>
      <c r="C3098" s="1" t="s">
        <v>19227</v>
      </c>
      <c r="F3098" s="1" t="s">
        <v>64</v>
      </c>
      <c r="H3098" s="1" t="s">
        <v>19228</v>
      </c>
      <c r="I3098" s="1" t="s">
        <v>5</v>
      </c>
      <c r="J3098" s="1" t="s">
        <v>6</v>
      </c>
      <c r="K3098" s="1" t="s">
        <v>24</v>
      </c>
      <c r="M3098" s="2">
        <v>42969</v>
      </c>
      <c r="N3098" s="1" t="s">
        <v>8</v>
      </c>
      <c r="O3098" s="2">
        <v>44065</v>
      </c>
    </row>
    <row r="3099" spans="1:15" ht="43.2" x14ac:dyDescent="0.3">
      <c r="A3099" s="1" t="s">
        <v>19229</v>
      </c>
      <c r="B3099" s="1" t="str">
        <f>"Christopher Tabbener"</f>
        <v>Christopher Tabbener</v>
      </c>
      <c r="C3099" s="1" t="s">
        <v>19230</v>
      </c>
      <c r="F3099" s="1" t="s">
        <v>930</v>
      </c>
      <c r="H3099" s="1" t="s">
        <v>1664</v>
      </c>
      <c r="I3099" s="1" t="s">
        <v>5</v>
      </c>
      <c r="J3099" s="1" t="s">
        <v>67</v>
      </c>
      <c r="K3099" s="1" t="s">
        <v>14</v>
      </c>
      <c r="M3099" s="2">
        <v>42969</v>
      </c>
      <c r="N3099" s="1" t="s">
        <v>8</v>
      </c>
      <c r="O3099" s="1" t="s">
        <v>68</v>
      </c>
    </row>
    <row r="3100" spans="1:15" ht="28.8" x14ac:dyDescent="0.3">
      <c r="A3100" s="1" t="s">
        <v>19231</v>
      </c>
      <c r="B3100" s="1" t="str">
        <f>"Robert Thomas West Wales Garage Doors"</f>
        <v>Robert Thomas West Wales Garage Doors</v>
      </c>
      <c r="C3100" s="1" t="s">
        <v>19232</v>
      </c>
      <c r="F3100" s="1" t="s">
        <v>1226</v>
      </c>
      <c r="H3100" s="1" t="s">
        <v>19233</v>
      </c>
      <c r="I3100" s="1" t="s">
        <v>5</v>
      </c>
      <c r="J3100" s="1" t="s">
        <v>6</v>
      </c>
      <c r="K3100" s="1" t="s">
        <v>34</v>
      </c>
      <c r="M3100" s="2">
        <v>42969</v>
      </c>
      <c r="N3100" s="1" t="s">
        <v>8</v>
      </c>
      <c r="O3100" s="2">
        <v>44222</v>
      </c>
    </row>
    <row r="3101" spans="1:15" ht="43.2" x14ac:dyDescent="0.3">
      <c r="A3101" s="1" t="s">
        <v>4048</v>
      </c>
      <c r="B3101" s="1" t="str">
        <f>"MONMOUTHSHIRE HOUSING ASSOCIATION LIMITED"</f>
        <v>MONMOUTHSHIRE HOUSING ASSOCIATION LIMITED</v>
      </c>
      <c r="C3101" s="1" t="s">
        <v>4049</v>
      </c>
      <c r="D3101" s="1" t="s">
        <v>4050</v>
      </c>
      <c r="F3101" s="1" t="s">
        <v>1058</v>
      </c>
      <c r="H3101" s="1" t="s">
        <v>4051</v>
      </c>
      <c r="I3101" s="1" t="s">
        <v>1872</v>
      </c>
      <c r="J3101" s="1" t="s">
        <v>67</v>
      </c>
      <c r="K3101" s="1" t="s">
        <v>24</v>
      </c>
      <c r="L3101" s="1" t="s">
        <v>4052</v>
      </c>
      <c r="M3101" s="2">
        <v>42968</v>
      </c>
      <c r="N3101" s="1" t="s">
        <v>8</v>
      </c>
      <c r="O3101" s="1" t="s">
        <v>68</v>
      </c>
    </row>
    <row r="3102" spans="1:15" ht="43.2" x14ac:dyDescent="0.3">
      <c r="A3102" s="1" t="s">
        <v>4053</v>
      </c>
      <c r="B3102" s="1" t="str">
        <f>"Senior Flexonics"</f>
        <v>Senior Flexonics</v>
      </c>
      <c r="C3102" s="1" t="s">
        <v>4054</v>
      </c>
      <c r="D3102" s="1" t="s">
        <v>4055</v>
      </c>
      <c r="E3102" s="1" t="s">
        <v>389</v>
      </c>
      <c r="F3102" s="1" t="s">
        <v>156</v>
      </c>
      <c r="H3102" s="1" t="s">
        <v>4056</v>
      </c>
      <c r="I3102" s="1" t="s">
        <v>19</v>
      </c>
      <c r="J3102" s="1" t="s">
        <v>67</v>
      </c>
      <c r="K3102" s="1" t="s">
        <v>14</v>
      </c>
      <c r="M3102" s="2">
        <v>42968</v>
      </c>
      <c r="N3102" s="1" t="s">
        <v>8</v>
      </c>
      <c r="O3102" s="1" t="s">
        <v>68</v>
      </c>
    </row>
    <row r="3103" spans="1:15" ht="28.8" x14ac:dyDescent="0.3">
      <c r="A3103" s="1" t="s">
        <v>4057</v>
      </c>
      <c r="B3103" s="1" t="str">
        <f>"CRYSTAL CLEANING SOLUTIONS LTD"</f>
        <v>CRYSTAL CLEANING SOLUTIONS LTD</v>
      </c>
      <c r="C3103" s="1" t="s">
        <v>4058</v>
      </c>
      <c r="F3103" s="1" t="s">
        <v>156</v>
      </c>
      <c r="H3103" s="1" t="s">
        <v>3696</v>
      </c>
      <c r="I3103" s="1" t="s">
        <v>19</v>
      </c>
      <c r="J3103" s="1" t="s">
        <v>6</v>
      </c>
      <c r="K3103" s="1" t="s">
        <v>34</v>
      </c>
      <c r="L3103" s="1">
        <v>6709708</v>
      </c>
      <c r="M3103" s="2">
        <v>42968</v>
      </c>
      <c r="N3103" s="1" t="s">
        <v>8</v>
      </c>
      <c r="O3103" s="2">
        <v>44064</v>
      </c>
    </row>
    <row r="3104" spans="1:15" ht="43.2" x14ac:dyDescent="0.3">
      <c r="A3104" s="1" t="s">
        <v>4059</v>
      </c>
      <c r="B3104" s="1" t="str">
        <f>"VORTEX ENVIRONMENTAL SERVICES LTD"</f>
        <v>VORTEX ENVIRONMENTAL SERVICES LTD</v>
      </c>
      <c r="C3104" s="1" t="s">
        <v>4060</v>
      </c>
      <c r="F3104" s="1" t="s">
        <v>140</v>
      </c>
      <c r="H3104" s="1" t="s">
        <v>4061</v>
      </c>
      <c r="I3104" s="1" t="s">
        <v>19</v>
      </c>
      <c r="J3104" s="1" t="s">
        <v>6</v>
      </c>
      <c r="K3104" s="1" t="s">
        <v>34</v>
      </c>
      <c r="L3104" s="1">
        <v>9073120</v>
      </c>
      <c r="M3104" s="2">
        <v>42968</v>
      </c>
      <c r="N3104" s="1" t="s">
        <v>8</v>
      </c>
      <c r="O3104" s="2">
        <v>44064</v>
      </c>
    </row>
    <row r="3105" spans="1:15" ht="28.8" x14ac:dyDescent="0.3">
      <c r="A3105" s="1" t="s">
        <v>4094</v>
      </c>
      <c r="B3105" s="1" t="str">
        <f>"JB Heating (UK) Ltd"</f>
        <v>JB Heating (UK) Ltd</v>
      </c>
      <c r="C3105" s="1" t="s">
        <v>4095</v>
      </c>
      <c r="F3105" s="1" t="s">
        <v>64</v>
      </c>
      <c r="H3105" s="1" t="s">
        <v>4096</v>
      </c>
      <c r="I3105" s="1" t="s">
        <v>19</v>
      </c>
      <c r="J3105" s="1" t="s">
        <v>6</v>
      </c>
      <c r="K3105" s="1" t="s">
        <v>24</v>
      </c>
      <c r="L3105" s="1">
        <v>6490884</v>
      </c>
      <c r="M3105" s="2">
        <v>42968</v>
      </c>
      <c r="N3105" s="1" t="s">
        <v>8</v>
      </c>
      <c r="O3105" s="2">
        <v>44095</v>
      </c>
    </row>
    <row r="3106" spans="1:15" ht="43.2" x14ac:dyDescent="0.3">
      <c r="A3106" s="1" t="s">
        <v>4097</v>
      </c>
      <c r="B3106" s="1" t="str">
        <f>"CARE AND REPAIR SOLUTIONS"</f>
        <v>CARE AND REPAIR SOLUTIONS</v>
      </c>
      <c r="C3106" s="1" t="s">
        <v>4098</v>
      </c>
      <c r="F3106" s="1" t="s">
        <v>64</v>
      </c>
      <c r="H3106" s="1" t="s">
        <v>4099</v>
      </c>
      <c r="I3106" s="1" t="s">
        <v>19</v>
      </c>
      <c r="J3106" s="1" t="s">
        <v>67</v>
      </c>
      <c r="K3106" s="1" t="s">
        <v>24</v>
      </c>
      <c r="L3106" s="1">
        <v>7578751</v>
      </c>
      <c r="M3106" s="2">
        <v>42968</v>
      </c>
      <c r="N3106" s="1" t="s">
        <v>8</v>
      </c>
      <c r="O3106" s="1" t="s">
        <v>68</v>
      </c>
    </row>
    <row r="3107" spans="1:15" ht="28.8" x14ac:dyDescent="0.3">
      <c r="A3107" s="1" t="s">
        <v>4100</v>
      </c>
      <c r="B3107" s="1" t="str">
        <f>"SRY Plumbing &amp; Heating Ltd"</f>
        <v>SRY Plumbing &amp; Heating Ltd</v>
      </c>
      <c r="C3107" s="1" t="s">
        <v>4101</v>
      </c>
      <c r="D3107" s="1" t="s">
        <v>938</v>
      </c>
      <c r="F3107" s="1" t="s">
        <v>64</v>
      </c>
      <c r="H3107" s="1" t="s">
        <v>4102</v>
      </c>
      <c r="I3107" s="1" t="s">
        <v>19</v>
      </c>
      <c r="J3107" s="1" t="s">
        <v>6</v>
      </c>
      <c r="K3107" s="1" t="s">
        <v>24</v>
      </c>
      <c r="L3107" s="1">
        <v>4580158</v>
      </c>
      <c r="M3107" s="2">
        <v>42968</v>
      </c>
      <c r="N3107" s="1" t="s">
        <v>8</v>
      </c>
      <c r="O3107" s="2">
        <v>44064</v>
      </c>
    </row>
    <row r="3108" spans="1:15" ht="43.2" x14ac:dyDescent="0.3">
      <c r="A3108" s="1" t="s">
        <v>4103</v>
      </c>
      <c r="B3108" s="1" t="str">
        <f>"MORGAN CONSTRUCTION WALES LIMITED"</f>
        <v>MORGAN CONSTRUCTION WALES LIMITED</v>
      </c>
      <c r="C3108" s="1" t="s">
        <v>4104</v>
      </c>
      <c r="F3108" s="1" t="s">
        <v>4105</v>
      </c>
      <c r="H3108" s="1" t="s">
        <v>4106</v>
      </c>
      <c r="I3108" s="1" t="s">
        <v>19</v>
      </c>
      <c r="J3108" s="1" t="s">
        <v>6</v>
      </c>
      <c r="K3108" s="1" t="s">
        <v>34</v>
      </c>
      <c r="L3108" s="1">
        <v>4940619</v>
      </c>
      <c r="M3108" s="2">
        <v>42968</v>
      </c>
      <c r="N3108" s="1" t="s">
        <v>8</v>
      </c>
      <c r="O3108" s="2">
        <v>44064</v>
      </c>
    </row>
    <row r="3109" spans="1:15" ht="43.2" x14ac:dyDescent="0.3">
      <c r="A3109" s="1" t="s">
        <v>5184</v>
      </c>
      <c r="B3109" s="1" t="str">
        <f>"Dons Transporte AG"</f>
        <v>Dons Transporte AG</v>
      </c>
      <c r="C3109" s="1" t="s">
        <v>5185</v>
      </c>
      <c r="D3109" s="1" t="s">
        <v>5186</v>
      </c>
      <c r="G3109" s="1" t="s">
        <v>5187</v>
      </c>
      <c r="I3109" s="1" t="s">
        <v>19</v>
      </c>
      <c r="J3109" s="1" t="s">
        <v>67</v>
      </c>
      <c r="K3109" s="1" t="s">
        <v>14</v>
      </c>
      <c r="M3109" s="2">
        <v>42968</v>
      </c>
      <c r="N3109" s="1" t="s">
        <v>8</v>
      </c>
      <c r="O3109" s="1" t="s">
        <v>68</v>
      </c>
    </row>
    <row r="3110" spans="1:15" ht="43.2" x14ac:dyDescent="0.3">
      <c r="A3110" s="1" t="s">
        <v>19200</v>
      </c>
      <c r="B3110" s="1" t="str">
        <f>"Theresa May"</f>
        <v>Theresa May</v>
      </c>
      <c r="C3110" s="1" t="s">
        <v>19201</v>
      </c>
      <c r="F3110" s="1" t="s">
        <v>665</v>
      </c>
      <c r="H3110" s="1" t="s">
        <v>19202</v>
      </c>
      <c r="I3110" s="1" t="s">
        <v>5</v>
      </c>
      <c r="J3110" s="1" t="s">
        <v>67</v>
      </c>
      <c r="K3110" s="1" t="s">
        <v>14</v>
      </c>
      <c r="M3110" s="2">
        <v>42968</v>
      </c>
      <c r="N3110" s="1" t="s">
        <v>8</v>
      </c>
      <c r="O3110" s="1" t="s">
        <v>68</v>
      </c>
    </row>
    <row r="3111" spans="1:15" ht="28.8" x14ac:dyDescent="0.3">
      <c r="A3111" s="1" t="s">
        <v>19203</v>
      </c>
      <c r="B3111" s="1" t="str">
        <f>"John Griffiths John Griffiths"</f>
        <v>John Griffiths John Griffiths</v>
      </c>
      <c r="C3111" s="1" t="s">
        <v>19204</v>
      </c>
      <c r="F3111" s="1" t="s">
        <v>3068</v>
      </c>
      <c r="H3111" s="1" t="s">
        <v>19205</v>
      </c>
      <c r="I3111" s="1" t="s">
        <v>5</v>
      </c>
      <c r="J3111" s="1" t="s">
        <v>6</v>
      </c>
      <c r="K3111" s="1" t="s">
        <v>24</v>
      </c>
      <c r="M3111" s="2">
        <v>42968</v>
      </c>
      <c r="N3111" s="1" t="s">
        <v>8</v>
      </c>
      <c r="O3111" s="2">
        <v>44064</v>
      </c>
    </row>
    <row r="3112" spans="1:15" ht="43.2" x14ac:dyDescent="0.3">
      <c r="A3112" s="1" t="s">
        <v>19206</v>
      </c>
      <c r="B3112" s="1" t="str">
        <f>"Terence Owen Owens Electronic &amp; Electrical Store"</f>
        <v>Terence Owen Owens Electronic &amp; Electrical Store</v>
      </c>
      <c r="C3112" s="1" t="s">
        <v>19207</v>
      </c>
      <c r="F3112" s="1" t="s">
        <v>358</v>
      </c>
      <c r="H3112" s="1" t="s">
        <v>19208</v>
      </c>
      <c r="I3112" s="1" t="s">
        <v>5</v>
      </c>
      <c r="J3112" s="1" t="s">
        <v>6</v>
      </c>
      <c r="K3112" s="1" t="s">
        <v>34</v>
      </c>
      <c r="M3112" s="2">
        <v>42968</v>
      </c>
      <c r="N3112" s="1" t="s">
        <v>8</v>
      </c>
      <c r="O3112" s="2">
        <v>44064</v>
      </c>
    </row>
    <row r="3113" spans="1:15" ht="28.8" x14ac:dyDescent="0.3">
      <c r="A3113" s="1" t="s">
        <v>19215</v>
      </c>
      <c r="B3113" s="1" t="str">
        <f>"Stephen  Wells Stephen Wells"</f>
        <v>Stephen  Wells Stephen Wells</v>
      </c>
      <c r="C3113" s="1" t="s">
        <v>19216</v>
      </c>
      <c r="F3113" s="1" t="s">
        <v>42</v>
      </c>
      <c r="H3113" s="1" t="s">
        <v>15937</v>
      </c>
      <c r="I3113" s="1" t="s">
        <v>5</v>
      </c>
      <c r="J3113" s="1" t="s">
        <v>6</v>
      </c>
      <c r="K3113" s="1" t="s">
        <v>34</v>
      </c>
      <c r="M3113" s="2">
        <v>42968</v>
      </c>
      <c r="N3113" s="1" t="s">
        <v>8</v>
      </c>
      <c r="O3113" s="2">
        <v>44064</v>
      </c>
    </row>
    <row r="3114" spans="1:15" ht="43.2" x14ac:dyDescent="0.3">
      <c r="A3114" s="1" t="s">
        <v>19994</v>
      </c>
      <c r="B3114" s="1" t="str">
        <f>"Michael McCarthy "</f>
        <v xml:space="preserve">Michael McCarthy </v>
      </c>
      <c r="C3114" s="1" t="s">
        <v>2468</v>
      </c>
      <c r="D3114" s="1" t="s">
        <v>737</v>
      </c>
      <c r="E3114" s="1" t="s">
        <v>738</v>
      </c>
      <c r="F3114" s="1" t="s">
        <v>556</v>
      </c>
      <c r="H3114" s="1" t="s">
        <v>740</v>
      </c>
      <c r="I3114" s="1" t="s">
        <v>5</v>
      </c>
      <c r="J3114" s="1" t="s">
        <v>67</v>
      </c>
      <c r="K3114" s="1" t="s">
        <v>14</v>
      </c>
      <c r="M3114" s="2">
        <v>42968</v>
      </c>
      <c r="N3114" s="1" t="s">
        <v>8</v>
      </c>
      <c r="O3114" s="1" t="s">
        <v>68</v>
      </c>
    </row>
    <row r="3115" spans="1:15" ht="43.2" x14ac:dyDescent="0.3">
      <c r="A3115" s="1" t="s">
        <v>4041</v>
      </c>
      <c r="B3115" s="1" t="str">
        <f>"Smart Clean Solutions"</f>
        <v>Smart Clean Solutions</v>
      </c>
      <c r="C3115" s="1" t="s">
        <v>4042</v>
      </c>
      <c r="F3115" s="1" t="s">
        <v>156</v>
      </c>
      <c r="H3115" s="1" t="s">
        <v>4043</v>
      </c>
      <c r="I3115" s="1" t="s">
        <v>19</v>
      </c>
      <c r="J3115" s="1" t="s">
        <v>67</v>
      </c>
      <c r="K3115" s="1" t="s">
        <v>14</v>
      </c>
      <c r="M3115" s="2">
        <v>42967</v>
      </c>
      <c r="N3115" s="1" t="s">
        <v>8</v>
      </c>
      <c r="O3115" s="1" t="s">
        <v>68</v>
      </c>
    </row>
    <row r="3116" spans="1:15" ht="28.8" x14ac:dyDescent="0.3">
      <c r="A3116" s="1" t="s">
        <v>4044</v>
      </c>
      <c r="B3116" s="1" t="str">
        <f>"Flaming hot ltd"</f>
        <v>Flaming hot ltd</v>
      </c>
      <c r="C3116" s="1" t="s">
        <v>4045</v>
      </c>
      <c r="F3116" s="1" t="s">
        <v>4046</v>
      </c>
      <c r="H3116" s="1" t="s">
        <v>4047</v>
      </c>
      <c r="I3116" s="1" t="s">
        <v>19</v>
      </c>
      <c r="J3116" s="1" t="s">
        <v>6</v>
      </c>
      <c r="K3116" s="1" t="s">
        <v>34</v>
      </c>
      <c r="L3116" s="1">
        <v>7830987</v>
      </c>
      <c r="M3116" s="2">
        <v>42967</v>
      </c>
      <c r="N3116" s="1" t="s">
        <v>8</v>
      </c>
      <c r="O3116" s="2">
        <v>44063</v>
      </c>
    </row>
    <row r="3117" spans="1:15" ht="28.8" x14ac:dyDescent="0.3">
      <c r="A3117" s="1" t="s">
        <v>19197</v>
      </c>
      <c r="B3117" s="1" t="str">
        <f>"Daniel Bowen DSD (Car &amp; Commerecial) Spares"</f>
        <v>Daniel Bowen DSD (Car &amp; Commerecial) Spares</v>
      </c>
      <c r="C3117" s="1" t="s">
        <v>19198</v>
      </c>
      <c r="F3117" s="1" t="s">
        <v>2961</v>
      </c>
      <c r="H3117" s="1" t="s">
        <v>19199</v>
      </c>
      <c r="I3117" s="1" t="s">
        <v>5</v>
      </c>
      <c r="J3117" s="1" t="s">
        <v>6</v>
      </c>
      <c r="K3117" s="1" t="s">
        <v>24</v>
      </c>
      <c r="M3117" s="2">
        <v>42967</v>
      </c>
      <c r="N3117" s="1" t="s">
        <v>8</v>
      </c>
      <c r="O3117" s="2">
        <v>44063</v>
      </c>
    </row>
    <row r="3118" spans="1:15" ht="43.2" x14ac:dyDescent="0.3">
      <c r="A3118" s="1" t="s">
        <v>4038</v>
      </c>
      <c r="B3118" s="1" t="str">
        <f>"NA"</f>
        <v>NA</v>
      </c>
      <c r="C3118" s="1" t="s">
        <v>4039</v>
      </c>
      <c r="F3118" s="1" t="s">
        <v>930</v>
      </c>
      <c r="H3118" s="1" t="s">
        <v>4040</v>
      </c>
      <c r="I3118" s="1" t="s">
        <v>188</v>
      </c>
      <c r="J3118" s="1" t="s">
        <v>67</v>
      </c>
      <c r="K3118" s="1" t="s">
        <v>14</v>
      </c>
      <c r="M3118" s="2">
        <v>42966</v>
      </c>
      <c r="N3118" s="1" t="s">
        <v>8</v>
      </c>
      <c r="O3118" s="1" t="s">
        <v>68</v>
      </c>
    </row>
    <row r="3119" spans="1:15" ht="28.8" x14ac:dyDescent="0.3">
      <c r="A3119" s="1" t="s">
        <v>19194</v>
      </c>
      <c r="B3119" s="1" t="str">
        <f>"anthony rise anthony joshua rise"</f>
        <v>anthony rise anthony joshua rise</v>
      </c>
      <c r="C3119" s="1" t="s">
        <v>8587</v>
      </c>
      <c r="F3119" s="1" t="s">
        <v>32</v>
      </c>
      <c r="H3119" s="1" t="s">
        <v>8588</v>
      </c>
      <c r="I3119" s="1" t="s">
        <v>5</v>
      </c>
      <c r="J3119" s="1" t="s">
        <v>6</v>
      </c>
      <c r="K3119" s="1" t="s">
        <v>24</v>
      </c>
      <c r="M3119" s="2">
        <v>42966</v>
      </c>
      <c r="N3119" s="1" t="s">
        <v>8</v>
      </c>
      <c r="O3119" s="2">
        <v>44062</v>
      </c>
    </row>
    <row r="3120" spans="1:15" ht="43.2" x14ac:dyDescent="0.3">
      <c r="A3120" s="1" t="s">
        <v>19195</v>
      </c>
      <c r="B3120" s="1" t="str">
        <f>"Stephen Rumney"</f>
        <v>Stephen Rumney</v>
      </c>
      <c r="C3120" s="1" t="s">
        <v>19196</v>
      </c>
      <c r="D3120" s="1" t="s">
        <v>922</v>
      </c>
      <c r="F3120" s="1" t="s">
        <v>73</v>
      </c>
      <c r="H3120" s="1" t="s">
        <v>10426</v>
      </c>
      <c r="I3120" s="1" t="s">
        <v>5</v>
      </c>
      <c r="J3120" s="1" t="s">
        <v>67</v>
      </c>
      <c r="K3120" s="1" t="s">
        <v>14</v>
      </c>
      <c r="M3120" s="2">
        <v>42966</v>
      </c>
      <c r="N3120" s="1" t="s">
        <v>8</v>
      </c>
      <c r="O3120" s="1" t="s">
        <v>68</v>
      </c>
    </row>
    <row r="3121" spans="1:15" ht="28.8" x14ac:dyDescent="0.3">
      <c r="A3121" s="1" t="s">
        <v>29504</v>
      </c>
      <c r="B3121" s="1" t="str">
        <f>"Wyndham Phillips Wyndham J Phillips"</f>
        <v>Wyndham Phillips Wyndham J Phillips</v>
      </c>
      <c r="C3121" s="1" t="s">
        <v>29505</v>
      </c>
      <c r="F3121" s="1" t="s">
        <v>56</v>
      </c>
      <c r="H3121" s="1" t="s">
        <v>1580</v>
      </c>
      <c r="I3121" s="1" t="s">
        <v>5</v>
      </c>
      <c r="J3121" s="1" t="s">
        <v>6</v>
      </c>
      <c r="K3121" s="1" t="s">
        <v>24</v>
      </c>
      <c r="M3121" s="2">
        <v>42966</v>
      </c>
      <c r="N3121" s="1" t="s">
        <v>8</v>
      </c>
      <c r="O3121" s="2">
        <v>44062</v>
      </c>
    </row>
    <row r="3122" spans="1:15" ht="28.8" x14ac:dyDescent="0.3">
      <c r="A3122" s="1" t="s">
        <v>17753</v>
      </c>
      <c r="B3122" s="1" t="str">
        <f>"C S PHILLIPS PROPERTY DEVELOPMENTS LTD"</f>
        <v>C S PHILLIPS PROPERTY DEVELOPMENTS LTD</v>
      </c>
      <c r="C3122" s="1" t="s">
        <v>17754</v>
      </c>
      <c r="D3122" s="1" t="s">
        <v>276</v>
      </c>
      <c r="F3122" s="1" t="s">
        <v>277</v>
      </c>
      <c r="G3122" s="1" t="s">
        <v>141</v>
      </c>
      <c r="H3122" s="1" t="s">
        <v>17755</v>
      </c>
      <c r="I3122" s="1" t="s">
        <v>19</v>
      </c>
      <c r="J3122" s="1" t="s">
        <v>6</v>
      </c>
      <c r="K3122" s="1" t="s">
        <v>34</v>
      </c>
      <c r="L3122" s="1">
        <v>7321884</v>
      </c>
      <c r="M3122" s="2">
        <v>42965</v>
      </c>
      <c r="N3122" s="1" t="s">
        <v>8</v>
      </c>
      <c r="O3122" s="2">
        <v>44060</v>
      </c>
    </row>
    <row r="3123" spans="1:15" ht="28.8" x14ac:dyDescent="0.3">
      <c r="A3123" s="1" t="s">
        <v>17756</v>
      </c>
      <c r="B3123" s="1" t="str">
        <f>"Premier Contractors South West Ltd"</f>
        <v>Premier Contractors South West Ltd</v>
      </c>
      <c r="C3123" s="1" t="s">
        <v>17757</v>
      </c>
      <c r="F3123" s="1" t="s">
        <v>17758</v>
      </c>
      <c r="H3123" s="1" t="s">
        <v>17759</v>
      </c>
      <c r="I3123" s="1" t="s">
        <v>19</v>
      </c>
      <c r="J3123" s="1" t="s">
        <v>6</v>
      </c>
      <c r="K3123" s="1" t="s">
        <v>34</v>
      </c>
      <c r="L3123" s="1">
        <v>6346499</v>
      </c>
      <c r="M3123" s="2">
        <v>42965</v>
      </c>
      <c r="N3123" s="1" t="s">
        <v>8</v>
      </c>
      <c r="O3123" s="2">
        <v>44061</v>
      </c>
    </row>
    <row r="3124" spans="1:15" ht="28.8" x14ac:dyDescent="0.3">
      <c r="A3124" s="1" t="s">
        <v>17760</v>
      </c>
      <c r="B3124" s="1" t="str">
        <f>"GA Howells &amp; Son"</f>
        <v>GA Howells &amp; Son</v>
      </c>
      <c r="C3124" s="1" t="s">
        <v>17761</v>
      </c>
      <c r="D3124" s="1" t="s">
        <v>17762</v>
      </c>
      <c r="F3124" s="1" t="s">
        <v>179</v>
      </c>
      <c r="H3124" s="1" t="s">
        <v>17763</v>
      </c>
      <c r="I3124" s="1" t="s">
        <v>125</v>
      </c>
      <c r="J3124" s="1" t="s">
        <v>6</v>
      </c>
      <c r="K3124" s="1" t="s">
        <v>24</v>
      </c>
      <c r="M3124" s="2">
        <v>42965</v>
      </c>
      <c r="N3124" s="1" t="s">
        <v>8</v>
      </c>
      <c r="O3124" s="2">
        <v>44061</v>
      </c>
    </row>
    <row r="3125" spans="1:15" ht="43.2" x14ac:dyDescent="0.3">
      <c r="A3125" s="1" t="s">
        <v>29492</v>
      </c>
      <c r="B3125" s="1" t="str">
        <f>"Philip  Turner "</f>
        <v xml:space="preserve">Philip  Turner </v>
      </c>
      <c r="C3125" s="1" t="s">
        <v>29441</v>
      </c>
      <c r="F3125" s="1" t="s">
        <v>1093</v>
      </c>
      <c r="H3125" s="1" t="s">
        <v>29442</v>
      </c>
      <c r="I3125" s="1" t="s">
        <v>5</v>
      </c>
      <c r="J3125" s="1" t="s">
        <v>67</v>
      </c>
      <c r="K3125" s="1" t="s">
        <v>14</v>
      </c>
      <c r="M3125" s="2">
        <v>42965</v>
      </c>
      <c r="N3125" s="1" t="s">
        <v>8</v>
      </c>
      <c r="O3125" s="1" t="s">
        <v>68</v>
      </c>
    </row>
    <row r="3126" spans="1:15" ht="43.2" x14ac:dyDescent="0.3">
      <c r="A3126" s="1" t="s">
        <v>29493</v>
      </c>
      <c r="B3126" s="1" t="str">
        <f>"William Andrew Howell Andrew Howell Home Improvements"</f>
        <v>William Andrew Howell Andrew Howell Home Improvements</v>
      </c>
      <c r="C3126" s="1" t="s">
        <v>29494</v>
      </c>
      <c r="D3126" s="1" t="s">
        <v>21452</v>
      </c>
      <c r="F3126" s="1" t="s">
        <v>64</v>
      </c>
      <c r="H3126" s="1" t="s">
        <v>29495</v>
      </c>
      <c r="I3126" s="1" t="s">
        <v>5</v>
      </c>
      <c r="J3126" s="1" t="s">
        <v>6</v>
      </c>
      <c r="K3126" s="1" t="s">
        <v>34</v>
      </c>
      <c r="M3126" s="2">
        <v>42965</v>
      </c>
      <c r="N3126" s="1" t="s">
        <v>8</v>
      </c>
      <c r="O3126" s="2">
        <v>44061</v>
      </c>
    </row>
    <row r="3127" spans="1:15" x14ac:dyDescent="0.3">
      <c r="A3127" s="1" t="s">
        <v>29496</v>
      </c>
      <c r="B3127" s="1" t="str">
        <f>"Nick Clark Nick Clark"</f>
        <v>Nick Clark Nick Clark</v>
      </c>
      <c r="C3127" s="1" t="s">
        <v>29497</v>
      </c>
      <c r="F3127" s="1" t="s">
        <v>1556</v>
      </c>
      <c r="H3127" s="1" t="s">
        <v>29498</v>
      </c>
      <c r="I3127" s="1" t="s">
        <v>5</v>
      </c>
      <c r="J3127" s="1" t="s">
        <v>6</v>
      </c>
      <c r="K3127" s="1" t="s">
        <v>24</v>
      </c>
      <c r="M3127" s="2">
        <v>42965</v>
      </c>
      <c r="N3127" s="1" t="s">
        <v>8</v>
      </c>
      <c r="O3127" s="2">
        <v>44061</v>
      </c>
    </row>
    <row r="3128" spans="1:15" ht="43.2" x14ac:dyDescent="0.3">
      <c r="A3128" s="1" t="s">
        <v>29499</v>
      </c>
      <c r="B3128" s="1" t="str">
        <f>"Brian Stephens BE Stephens Plastering &amp; Building Contractor"</f>
        <v>Brian Stephens BE Stephens Plastering &amp; Building Contractor</v>
      </c>
      <c r="C3128" s="1" t="s">
        <v>29500</v>
      </c>
      <c r="D3128" s="1" t="s">
        <v>5248</v>
      </c>
      <c r="F3128" s="1" t="s">
        <v>1058</v>
      </c>
      <c r="H3128" s="1" t="s">
        <v>29501</v>
      </c>
      <c r="I3128" s="1" t="s">
        <v>5</v>
      </c>
      <c r="J3128" s="1" t="s">
        <v>6</v>
      </c>
      <c r="K3128" s="1" t="s">
        <v>24</v>
      </c>
      <c r="M3128" s="2">
        <v>42965</v>
      </c>
      <c r="N3128" s="1" t="s">
        <v>8</v>
      </c>
      <c r="O3128" s="2">
        <v>44061</v>
      </c>
    </row>
    <row r="3129" spans="1:15" ht="28.8" x14ac:dyDescent="0.3">
      <c r="A3129" s="1" t="s">
        <v>29502</v>
      </c>
      <c r="B3129" s="1" t="str">
        <f>"Stuart Binns Stuart Binns"</f>
        <v>Stuart Binns Stuart Binns</v>
      </c>
      <c r="C3129" s="1" t="s">
        <v>29503</v>
      </c>
      <c r="D3129" s="1" t="s">
        <v>1739</v>
      </c>
      <c r="F3129" s="1" t="s">
        <v>720</v>
      </c>
      <c r="H3129" s="1" t="s">
        <v>29344</v>
      </c>
      <c r="I3129" s="1" t="s">
        <v>5</v>
      </c>
      <c r="J3129" s="1" t="s">
        <v>6</v>
      </c>
      <c r="K3129" s="1" t="s">
        <v>24</v>
      </c>
      <c r="M3129" s="2">
        <v>42965</v>
      </c>
      <c r="N3129" s="1" t="s">
        <v>8</v>
      </c>
      <c r="O3129" s="2">
        <v>44061</v>
      </c>
    </row>
    <row r="3130" spans="1:15" ht="28.8" x14ac:dyDescent="0.3">
      <c r="A3130" s="1" t="s">
        <v>15710</v>
      </c>
      <c r="B3130" s="1" t="str">
        <f>"J.R &amp; A.G Diack Ltd"</f>
        <v>J.R &amp; A.G Diack Ltd</v>
      </c>
      <c r="C3130" s="1" t="s">
        <v>15711</v>
      </c>
      <c r="D3130" s="1" t="s">
        <v>4055</v>
      </c>
      <c r="E3130" s="1" t="s">
        <v>389</v>
      </c>
      <c r="F3130" s="1" t="s">
        <v>156</v>
      </c>
      <c r="H3130" s="1" t="s">
        <v>4997</v>
      </c>
      <c r="I3130" s="1" t="s">
        <v>19</v>
      </c>
      <c r="J3130" s="1" t="s">
        <v>6</v>
      </c>
      <c r="K3130" s="1" t="s">
        <v>34</v>
      </c>
      <c r="L3130" s="1">
        <v>4447422</v>
      </c>
      <c r="M3130" s="2">
        <v>42964</v>
      </c>
      <c r="N3130" s="1" t="s">
        <v>8</v>
      </c>
      <c r="O3130" s="2">
        <v>44060</v>
      </c>
    </row>
    <row r="3131" spans="1:15" ht="43.2" x14ac:dyDescent="0.3">
      <c r="A3131" s="1" t="s">
        <v>16694</v>
      </c>
      <c r="B3131" s="1" t="str">
        <f>"Hywel DDA Health Board"</f>
        <v>Hywel DDA Health Board</v>
      </c>
      <c r="C3131" s="1" t="s">
        <v>16695</v>
      </c>
      <c r="F3131" s="1" t="s">
        <v>56</v>
      </c>
      <c r="H3131" s="1" t="s">
        <v>16696</v>
      </c>
      <c r="I3131" s="1" t="s">
        <v>188</v>
      </c>
      <c r="J3131" s="1" t="s">
        <v>67</v>
      </c>
      <c r="K3131" s="1" t="s">
        <v>24</v>
      </c>
      <c r="M3131" s="2">
        <v>42964</v>
      </c>
      <c r="N3131" s="1" t="s">
        <v>8</v>
      </c>
      <c r="O3131" s="1" t="s">
        <v>68</v>
      </c>
    </row>
    <row r="3132" spans="1:15" ht="43.2" x14ac:dyDescent="0.3">
      <c r="A3132" s="1" t="s">
        <v>16697</v>
      </c>
      <c r="B3132" s="1" t="str">
        <f>"OM TRADERS LIMITED"</f>
        <v>OM TRADERS LIMITED</v>
      </c>
      <c r="C3132" s="1" t="s">
        <v>16698</v>
      </c>
      <c r="F3132" s="1" t="s">
        <v>16699</v>
      </c>
      <c r="H3132" s="1" t="s">
        <v>16700</v>
      </c>
      <c r="I3132" s="1" t="s">
        <v>19</v>
      </c>
      <c r="J3132" s="1" t="s">
        <v>67</v>
      </c>
      <c r="K3132" s="1" t="s">
        <v>14</v>
      </c>
      <c r="M3132" s="2">
        <v>42964</v>
      </c>
      <c r="N3132" s="1" t="s">
        <v>8</v>
      </c>
      <c r="O3132" s="1" t="s">
        <v>68</v>
      </c>
    </row>
    <row r="3133" spans="1:15" ht="28.8" x14ac:dyDescent="0.3">
      <c r="A3133" s="1" t="s">
        <v>16701</v>
      </c>
      <c r="B3133" s="1" t="str">
        <f>"Royal Roofing"</f>
        <v>Royal Roofing</v>
      </c>
      <c r="C3133" s="1" t="s">
        <v>16702</v>
      </c>
      <c r="F3133" s="1" t="s">
        <v>64</v>
      </c>
      <c r="H3133" s="1" t="s">
        <v>16703</v>
      </c>
      <c r="I3133" s="1" t="s">
        <v>125</v>
      </c>
      <c r="J3133" s="1" t="s">
        <v>6</v>
      </c>
      <c r="K3133" s="1" t="s">
        <v>34</v>
      </c>
      <c r="M3133" s="2">
        <v>42964</v>
      </c>
      <c r="N3133" s="1" t="s">
        <v>8</v>
      </c>
      <c r="O3133" s="2">
        <v>44060</v>
      </c>
    </row>
    <row r="3134" spans="1:15" ht="28.8" x14ac:dyDescent="0.3">
      <c r="A3134" s="1" t="s">
        <v>16704</v>
      </c>
      <c r="B3134" s="1" t="str">
        <f>"Robert Tweddle (T.M.H.C) Ltd"</f>
        <v>Robert Tweddle (T.M.H.C) Ltd</v>
      </c>
      <c r="C3134" s="1" t="s">
        <v>16705</v>
      </c>
      <c r="D3134" s="1" t="s">
        <v>16706</v>
      </c>
      <c r="F3134" s="1" t="s">
        <v>7398</v>
      </c>
      <c r="H3134" s="1" t="s">
        <v>16707</v>
      </c>
      <c r="I3134" s="1" t="s">
        <v>19</v>
      </c>
      <c r="J3134" s="1" t="s">
        <v>6</v>
      </c>
      <c r="K3134" s="1" t="s">
        <v>34</v>
      </c>
      <c r="L3134" s="1">
        <v>4090000</v>
      </c>
      <c r="M3134" s="2">
        <v>42964</v>
      </c>
      <c r="N3134" s="1" t="s">
        <v>8</v>
      </c>
      <c r="O3134" s="2">
        <v>44060</v>
      </c>
    </row>
    <row r="3135" spans="1:15" ht="28.8" x14ac:dyDescent="0.3">
      <c r="A3135" s="1" t="s">
        <v>16708</v>
      </c>
      <c r="B3135" s="1" t="str">
        <f>"RJM HIGHWAYS LTD"</f>
        <v>RJM HIGHWAYS LTD</v>
      </c>
      <c r="C3135" s="1" t="s">
        <v>16709</v>
      </c>
      <c r="F3135" s="1" t="s">
        <v>230</v>
      </c>
      <c r="H3135" s="1" t="s">
        <v>16710</v>
      </c>
      <c r="I3135" s="1" t="s">
        <v>19</v>
      </c>
      <c r="J3135" s="1" t="s">
        <v>6</v>
      </c>
      <c r="K3135" s="1" t="s">
        <v>34</v>
      </c>
      <c r="L3135" s="1">
        <v>10305367</v>
      </c>
      <c r="M3135" s="2">
        <v>42964</v>
      </c>
      <c r="N3135" s="1" t="s">
        <v>8</v>
      </c>
      <c r="O3135" s="2">
        <v>44060</v>
      </c>
    </row>
    <row r="3136" spans="1:15" ht="28.8" x14ac:dyDescent="0.3">
      <c r="A3136" s="1" t="s">
        <v>16711</v>
      </c>
      <c r="B3136" s="1" t="str">
        <f>"Nunndale Limited"</f>
        <v>Nunndale Limited</v>
      </c>
      <c r="C3136" s="1" t="s">
        <v>16712</v>
      </c>
      <c r="D3136" s="1" t="s">
        <v>14862</v>
      </c>
      <c r="F3136" s="1" t="s">
        <v>532</v>
      </c>
      <c r="H3136" s="1" t="s">
        <v>16713</v>
      </c>
      <c r="I3136" s="1" t="s">
        <v>19</v>
      </c>
      <c r="J3136" s="1" t="s">
        <v>6</v>
      </c>
      <c r="K3136" s="1" t="s">
        <v>34</v>
      </c>
      <c r="L3136" s="1">
        <v>1243565</v>
      </c>
      <c r="M3136" s="2">
        <v>42964</v>
      </c>
      <c r="N3136" s="1" t="s">
        <v>8</v>
      </c>
      <c r="O3136" s="2">
        <v>44060</v>
      </c>
    </row>
    <row r="3137" spans="1:15" ht="43.2" x14ac:dyDescent="0.3">
      <c r="A3137" s="1" t="s">
        <v>17751</v>
      </c>
      <c r="B3137" s="1" t="str">
        <f>"HUGHES BROTHERS BUILDING CONTRACTORS LTD"</f>
        <v>HUGHES BROTHERS BUILDING CONTRACTORS LTD</v>
      </c>
      <c r="C3137" s="1" t="s">
        <v>17752</v>
      </c>
      <c r="D3137" s="1" t="s">
        <v>10324</v>
      </c>
      <c r="F3137" s="1" t="s">
        <v>532</v>
      </c>
      <c r="H3137" s="1" t="s">
        <v>10325</v>
      </c>
      <c r="I3137" s="1" t="s">
        <v>19</v>
      </c>
      <c r="J3137" s="1" t="s">
        <v>6</v>
      </c>
      <c r="K3137" s="1" t="s">
        <v>24</v>
      </c>
      <c r="L3137" s="1">
        <v>7841809</v>
      </c>
      <c r="M3137" s="2">
        <v>42964</v>
      </c>
      <c r="N3137" s="1" t="s">
        <v>8</v>
      </c>
      <c r="O3137" s="2">
        <v>44060</v>
      </c>
    </row>
    <row r="3138" spans="1:15" ht="43.2" x14ac:dyDescent="0.3">
      <c r="A3138" s="1" t="s">
        <v>28719</v>
      </c>
      <c r="B3138" s="1" t="str">
        <f>"Paula Oakes "</f>
        <v xml:space="preserve">Paula Oakes </v>
      </c>
      <c r="C3138" s="1" t="s">
        <v>28720</v>
      </c>
      <c r="F3138" s="1" t="s">
        <v>28721</v>
      </c>
      <c r="H3138" s="1" t="s">
        <v>28722</v>
      </c>
      <c r="I3138" s="1" t="s">
        <v>5</v>
      </c>
      <c r="J3138" s="1" t="s">
        <v>67</v>
      </c>
      <c r="K3138" s="1" t="s">
        <v>14</v>
      </c>
      <c r="M3138" s="2">
        <v>42964</v>
      </c>
      <c r="N3138" s="1" t="s">
        <v>8</v>
      </c>
      <c r="O3138" s="1" t="s">
        <v>68</v>
      </c>
    </row>
    <row r="3139" spans="1:15" ht="28.8" x14ac:dyDescent="0.3">
      <c r="A3139" s="1" t="s">
        <v>28723</v>
      </c>
      <c r="B3139" s="1" t="str">
        <f>"Alan Paget 137St John St"</f>
        <v>Alan Paget 137St John St</v>
      </c>
      <c r="C3139" s="1" t="s">
        <v>28724</v>
      </c>
      <c r="F3139" s="1" t="s">
        <v>179</v>
      </c>
      <c r="H3139" s="1" t="s">
        <v>28725</v>
      </c>
      <c r="I3139" s="1" t="s">
        <v>5</v>
      </c>
      <c r="J3139" s="1" t="s">
        <v>6</v>
      </c>
      <c r="K3139" s="1" t="s">
        <v>24</v>
      </c>
      <c r="M3139" s="2">
        <v>42964</v>
      </c>
      <c r="N3139" s="1" t="s">
        <v>8</v>
      </c>
      <c r="O3139" s="2">
        <v>44060</v>
      </c>
    </row>
    <row r="3140" spans="1:15" ht="43.2" x14ac:dyDescent="0.3">
      <c r="A3140" s="1" t="s">
        <v>28726</v>
      </c>
      <c r="B3140" s="1" t="str">
        <f>"Robert Edmunds  ROB EDMUNDS SECTIONAL GARRAGES"</f>
        <v>Robert Edmunds  ROB EDMUNDS SECTIONAL GARRAGES</v>
      </c>
      <c r="C3140" s="1" t="s">
        <v>28727</v>
      </c>
      <c r="D3140" s="1" t="s">
        <v>18020</v>
      </c>
      <c r="F3140" s="1" t="s">
        <v>156</v>
      </c>
      <c r="H3140" s="1" t="s">
        <v>28728</v>
      </c>
      <c r="I3140" s="1" t="s">
        <v>5</v>
      </c>
      <c r="J3140" s="1" t="s">
        <v>6</v>
      </c>
      <c r="K3140" s="1" t="s">
        <v>34</v>
      </c>
      <c r="M3140" s="2">
        <v>42964</v>
      </c>
      <c r="N3140" s="1" t="s">
        <v>8</v>
      </c>
      <c r="O3140" s="2">
        <v>44060</v>
      </c>
    </row>
    <row r="3141" spans="1:15" ht="28.8" x14ac:dyDescent="0.3">
      <c r="A3141" s="1" t="s">
        <v>28729</v>
      </c>
      <c r="B3141" s="1" t="str">
        <f>"Anthony Stokes TD clearance"</f>
        <v>Anthony Stokes TD clearance</v>
      </c>
      <c r="C3141" s="1" t="s">
        <v>28730</v>
      </c>
      <c r="F3141" s="1" t="s">
        <v>22418</v>
      </c>
      <c r="H3141" s="1" t="s">
        <v>28731</v>
      </c>
      <c r="I3141" s="1" t="s">
        <v>5</v>
      </c>
      <c r="J3141" s="1" t="s">
        <v>6</v>
      </c>
      <c r="K3141" s="1" t="s">
        <v>24</v>
      </c>
      <c r="M3141" s="2">
        <v>42964</v>
      </c>
      <c r="N3141" s="1" t="s">
        <v>8</v>
      </c>
      <c r="O3141" s="2">
        <v>44060</v>
      </c>
    </row>
    <row r="3142" spans="1:15" ht="28.8" x14ac:dyDescent="0.3">
      <c r="A3142" s="1" t="s">
        <v>28732</v>
      </c>
      <c r="B3142" s="1" t="str">
        <f>"Josh Turner Turners Metals"</f>
        <v>Josh Turner Turners Metals</v>
      </c>
      <c r="C3142" s="1" t="s">
        <v>19143</v>
      </c>
      <c r="F3142" s="1" t="s">
        <v>1341</v>
      </c>
      <c r="H3142" s="1" t="s">
        <v>19144</v>
      </c>
      <c r="I3142" s="1" t="s">
        <v>5</v>
      </c>
      <c r="J3142" s="1" t="s">
        <v>6</v>
      </c>
      <c r="K3142" s="1" t="s">
        <v>34</v>
      </c>
      <c r="M3142" s="2">
        <v>42964</v>
      </c>
      <c r="N3142" s="1" t="s">
        <v>8</v>
      </c>
      <c r="O3142" s="2">
        <v>44060</v>
      </c>
    </row>
    <row r="3143" spans="1:15" ht="28.8" x14ac:dyDescent="0.3">
      <c r="A3143" s="1" t="s">
        <v>28733</v>
      </c>
      <c r="B3143" s="1" t="str">
        <f>"Alan Jones Alan Jones"</f>
        <v>Alan Jones Alan Jones</v>
      </c>
      <c r="C3143" s="1" t="s">
        <v>22079</v>
      </c>
      <c r="F3143" s="1" t="s">
        <v>179</v>
      </c>
      <c r="H3143" s="1" t="s">
        <v>22080</v>
      </c>
      <c r="I3143" s="1" t="s">
        <v>5</v>
      </c>
      <c r="J3143" s="1" t="s">
        <v>6</v>
      </c>
      <c r="K3143" s="1" t="s">
        <v>34</v>
      </c>
      <c r="M3143" s="2">
        <v>42964</v>
      </c>
      <c r="N3143" s="1" t="s">
        <v>8</v>
      </c>
      <c r="O3143" s="2">
        <v>44060</v>
      </c>
    </row>
    <row r="3144" spans="1:15" ht="43.2" x14ac:dyDescent="0.3">
      <c r="A3144" s="1" t="s">
        <v>28734</v>
      </c>
      <c r="B3144" s="1" t="str">
        <f>"Alex Morrell"</f>
        <v>Alex Morrell</v>
      </c>
      <c r="C3144" s="1" t="s">
        <v>28735</v>
      </c>
      <c r="F3144" s="1" t="s">
        <v>4645</v>
      </c>
      <c r="H3144" s="1" t="s">
        <v>28736</v>
      </c>
      <c r="I3144" s="1" t="s">
        <v>5</v>
      </c>
      <c r="J3144" s="1" t="s">
        <v>67</v>
      </c>
      <c r="K3144" s="1" t="s">
        <v>14</v>
      </c>
      <c r="M3144" s="2">
        <v>42964</v>
      </c>
      <c r="N3144" s="1" t="s">
        <v>8</v>
      </c>
      <c r="O3144" s="1" t="s">
        <v>68</v>
      </c>
    </row>
    <row r="3145" spans="1:15" ht="43.2" x14ac:dyDescent="0.3">
      <c r="A3145" s="1" t="s">
        <v>28737</v>
      </c>
      <c r="B3145" s="1" t="str">
        <f>"Joseph Melhado"</f>
        <v>Joseph Melhado</v>
      </c>
      <c r="C3145" s="1" t="s">
        <v>28738</v>
      </c>
      <c r="F3145" s="1" t="s">
        <v>17442</v>
      </c>
      <c r="H3145" s="1" t="s">
        <v>28739</v>
      </c>
      <c r="I3145" s="1" t="s">
        <v>5</v>
      </c>
      <c r="J3145" s="1" t="s">
        <v>67</v>
      </c>
      <c r="K3145" s="1" t="s">
        <v>14</v>
      </c>
      <c r="M3145" s="2">
        <v>42964</v>
      </c>
      <c r="N3145" s="1" t="s">
        <v>8</v>
      </c>
      <c r="O3145" s="1" t="s">
        <v>68</v>
      </c>
    </row>
    <row r="3146" spans="1:15" ht="43.2" x14ac:dyDescent="0.3">
      <c r="A3146" s="1" t="s">
        <v>29484</v>
      </c>
      <c r="B3146" s="1" t="str">
        <f>"matthew calladine"</f>
        <v>matthew calladine</v>
      </c>
      <c r="C3146" s="1" t="s">
        <v>29485</v>
      </c>
      <c r="F3146" s="1" t="s">
        <v>19501</v>
      </c>
      <c r="H3146" s="1" t="s">
        <v>29486</v>
      </c>
      <c r="I3146" s="1" t="s">
        <v>5</v>
      </c>
      <c r="J3146" s="1" t="s">
        <v>67</v>
      </c>
      <c r="K3146" s="1" t="s">
        <v>14</v>
      </c>
      <c r="M3146" s="2">
        <v>42964</v>
      </c>
      <c r="N3146" s="1" t="s">
        <v>8</v>
      </c>
      <c r="O3146" s="1" t="s">
        <v>68</v>
      </c>
    </row>
    <row r="3147" spans="1:15" ht="43.2" x14ac:dyDescent="0.3">
      <c r="A3147" s="1" t="s">
        <v>29487</v>
      </c>
      <c r="B3147" s="1" t="str">
        <f>"David  Thomas"</f>
        <v>David  Thomas</v>
      </c>
      <c r="C3147" s="1" t="s">
        <v>29488</v>
      </c>
      <c r="F3147" s="1" t="s">
        <v>123</v>
      </c>
      <c r="H3147" s="1" t="s">
        <v>29489</v>
      </c>
      <c r="I3147" s="1" t="s">
        <v>5</v>
      </c>
      <c r="J3147" s="1" t="s">
        <v>67</v>
      </c>
      <c r="K3147" s="1" t="s">
        <v>14</v>
      </c>
      <c r="M3147" s="2">
        <v>42964</v>
      </c>
      <c r="N3147" s="1" t="s">
        <v>8</v>
      </c>
      <c r="O3147" s="1" t="s">
        <v>68</v>
      </c>
    </row>
    <row r="3148" spans="1:15" ht="43.2" x14ac:dyDescent="0.3">
      <c r="A3148" s="1" t="s">
        <v>29490</v>
      </c>
      <c r="B3148" s="1" t="str">
        <f>"Jeremy Roberts-James"</f>
        <v>Jeremy Roberts-James</v>
      </c>
      <c r="C3148" s="1" t="s">
        <v>29491</v>
      </c>
      <c r="F3148" s="1" t="s">
        <v>1206</v>
      </c>
      <c r="H3148" s="1" t="s">
        <v>24265</v>
      </c>
      <c r="I3148" s="1" t="s">
        <v>5</v>
      </c>
      <c r="J3148" s="1" t="s">
        <v>67</v>
      </c>
      <c r="K3148" s="1" t="s">
        <v>14</v>
      </c>
      <c r="M3148" s="2">
        <v>42964</v>
      </c>
      <c r="N3148" s="1" t="s">
        <v>8</v>
      </c>
      <c r="O3148" s="1" t="s">
        <v>68</v>
      </c>
    </row>
    <row r="3149" spans="1:15" ht="28.8" x14ac:dyDescent="0.3">
      <c r="A3149" s="1" t="s">
        <v>15689</v>
      </c>
      <c r="B3149" s="1" t="str">
        <f>"ALLPORT METAL RECYCLING LTD"</f>
        <v>ALLPORT METAL RECYCLING LTD</v>
      </c>
      <c r="C3149" s="1" t="s">
        <v>15690</v>
      </c>
      <c r="F3149" s="1" t="s">
        <v>710</v>
      </c>
      <c r="H3149" s="1" t="s">
        <v>15691</v>
      </c>
      <c r="I3149" s="1" t="s">
        <v>19</v>
      </c>
      <c r="J3149" s="1" t="s">
        <v>6</v>
      </c>
      <c r="K3149" s="1" t="s">
        <v>24</v>
      </c>
      <c r="L3149" s="1">
        <v>5345255</v>
      </c>
      <c r="M3149" s="2">
        <v>42963</v>
      </c>
      <c r="N3149" s="1" t="s">
        <v>8</v>
      </c>
      <c r="O3149" s="2">
        <v>44059</v>
      </c>
    </row>
    <row r="3150" spans="1:15" ht="28.8" x14ac:dyDescent="0.3">
      <c r="A3150" s="1" t="s">
        <v>15692</v>
      </c>
      <c r="B3150" s="1" t="str">
        <f>"A &amp;G haulage ltd "</f>
        <v xml:space="preserve">A &amp;G haulage ltd </v>
      </c>
      <c r="C3150" s="1" t="s">
        <v>15693</v>
      </c>
      <c r="F3150" s="1" t="s">
        <v>1058</v>
      </c>
      <c r="H3150" s="1" t="s">
        <v>15694</v>
      </c>
      <c r="I3150" s="1" t="s">
        <v>19</v>
      </c>
      <c r="J3150" s="1" t="s">
        <v>6</v>
      </c>
      <c r="K3150" s="1" t="s">
        <v>24</v>
      </c>
      <c r="L3150" s="1">
        <v>10316217</v>
      </c>
      <c r="M3150" s="2">
        <v>42963</v>
      </c>
      <c r="N3150" s="1" t="s">
        <v>8</v>
      </c>
      <c r="O3150" s="2">
        <v>44059</v>
      </c>
    </row>
    <row r="3151" spans="1:15" ht="43.2" x14ac:dyDescent="0.3">
      <c r="A3151" s="1" t="s">
        <v>15695</v>
      </c>
      <c r="B3151" s="1" t="str">
        <f>"Bradleys Garage (Newtown) Ltd"</f>
        <v>Bradleys Garage (Newtown) Ltd</v>
      </c>
      <c r="C3151" s="1" t="s">
        <v>15696</v>
      </c>
      <c r="F3151" s="1" t="s">
        <v>3465</v>
      </c>
      <c r="H3151" s="1" t="s">
        <v>15697</v>
      </c>
      <c r="I3151" s="1" t="s">
        <v>19</v>
      </c>
      <c r="J3151" s="1" t="s">
        <v>67</v>
      </c>
      <c r="K3151" s="1" t="s">
        <v>14</v>
      </c>
      <c r="M3151" s="2">
        <v>42963</v>
      </c>
      <c r="N3151" s="1" t="s">
        <v>8</v>
      </c>
      <c r="O3151" s="1" t="s">
        <v>68</v>
      </c>
    </row>
    <row r="3152" spans="1:15" x14ac:dyDescent="0.3">
      <c r="A3152" s="1" t="s">
        <v>15698</v>
      </c>
      <c r="B3152" s="1" t="str">
        <f>"G R MORRIS LTD."</f>
        <v>G R MORRIS LTD.</v>
      </c>
      <c r="C3152" s="1" t="s">
        <v>15699</v>
      </c>
      <c r="D3152" s="1" t="s">
        <v>15700</v>
      </c>
      <c r="F3152" s="1" t="s">
        <v>798</v>
      </c>
      <c r="H3152" s="1" t="s">
        <v>15701</v>
      </c>
      <c r="I3152" s="1" t="s">
        <v>19</v>
      </c>
      <c r="J3152" s="1" t="s">
        <v>6</v>
      </c>
      <c r="K3152" s="1" t="s">
        <v>24</v>
      </c>
      <c r="L3152" s="1">
        <v>8476280</v>
      </c>
      <c r="M3152" s="2">
        <v>42963</v>
      </c>
      <c r="N3152" s="1" t="s">
        <v>8</v>
      </c>
      <c r="O3152" s="2">
        <v>44059</v>
      </c>
    </row>
    <row r="3153" spans="1:15" ht="43.2" x14ac:dyDescent="0.3">
      <c r="A3153" s="1" t="s">
        <v>15702</v>
      </c>
      <c r="B3153" s="1" t="str">
        <f>"BOWLAND TRACTORS LTD"</f>
        <v>BOWLAND TRACTORS LTD</v>
      </c>
      <c r="C3153" s="1" t="s">
        <v>15703</v>
      </c>
      <c r="D3153" s="1" t="s">
        <v>15704</v>
      </c>
      <c r="E3153" s="1" t="s">
        <v>15705</v>
      </c>
      <c r="F3153" s="1" t="s">
        <v>532</v>
      </c>
      <c r="H3153" s="1" t="s">
        <v>15706</v>
      </c>
      <c r="I3153" s="1" t="s">
        <v>19</v>
      </c>
      <c r="J3153" s="1" t="s">
        <v>67</v>
      </c>
      <c r="K3153" s="1" t="s">
        <v>14</v>
      </c>
      <c r="M3153" s="2">
        <v>42963</v>
      </c>
      <c r="N3153" s="1" t="s">
        <v>8</v>
      </c>
      <c r="O3153" s="1" t="s">
        <v>68</v>
      </c>
    </row>
    <row r="3154" spans="1:15" ht="28.8" x14ac:dyDescent="0.3">
      <c r="A3154" s="1" t="s">
        <v>15707</v>
      </c>
      <c r="B3154" s="1" t="str">
        <f>"R &amp; L. Anthony Ltd"</f>
        <v>R &amp; L. Anthony Ltd</v>
      </c>
      <c r="C3154" s="1" t="s">
        <v>15708</v>
      </c>
      <c r="F3154" s="1" t="s">
        <v>179</v>
      </c>
      <c r="H3154" s="1" t="s">
        <v>15709</v>
      </c>
      <c r="I3154" s="1" t="s">
        <v>19</v>
      </c>
      <c r="J3154" s="1" t="s">
        <v>6</v>
      </c>
      <c r="K3154" s="1" t="s">
        <v>34</v>
      </c>
      <c r="L3154" s="1">
        <v>7134322</v>
      </c>
      <c r="M3154" s="2">
        <v>42963</v>
      </c>
      <c r="N3154" s="1" t="s">
        <v>8</v>
      </c>
      <c r="O3154" s="2">
        <v>44059</v>
      </c>
    </row>
    <row r="3155" spans="1:15" ht="43.2" x14ac:dyDescent="0.3">
      <c r="A3155" s="1" t="s">
        <v>27924</v>
      </c>
      <c r="B3155" s="1" t="str">
        <f>"Amanda Williams"</f>
        <v>Amanda Williams</v>
      </c>
      <c r="C3155" s="1" t="s">
        <v>27925</v>
      </c>
      <c r="F3155" s="1" t="s">
        <v>3251</v>
      </c>
      <c r="H3155" s="1" t="s">
        <v>27926</v>
      </c>
      <c r="I3155" s="1" t="s">
        <v>5</v>
      </c>
      <c r="J3155" s="1" t="s">
        <v>67</v>
      </c>
      <c r="K3155" s="1" t="s">
        <v>14</v>
      </c>
      <c r="M3155" s="2">
        <v>42963</v>
      </c>
      <c r="N3155" s="1" t="s">
        <v>8</v>
      </c>
      <c r="O3155" s="1" t="s">
        <v>68</v>
      </c>
    </row>
    <row r="3156" spans="1:15" ht="43.2" x14ac:dyDescent="0.3">
      <c r="A3156" s="1" t="s">
        <v>27927</v>
      </c>
      <c r="B3156" s="1" t="str">
        <f>"Darren Banfield D.B. Garden &amp; Property Maintenance "</f>
        <v xml:space="preserve">Darren Banfield D.B. Garden &amp; Property Maintenance </v>
      </c>
      <c r="C3156" s="1" t="s">
        <v>27928</v>
      </c>
      <c r="F3156" s="1" t="s">
        <v>64</v>
      </c>
      <c r="H3156" s="1" t="s">
        <v>27929</v>
      </c>
      <c r="I3156" s="1" t="s">
        <v>5</v>
      </c>
      <c r="J3156" s="1" t="s">
        <v>6</v>
      </c>
      <c r="K3156" s="1" t="s">
        <v>24</v>
      </c>
      <c r="M3156" s="2">
        <v>42963</v>
      </c>
      <c r="N3156" s="1" t="s">
        <v>8</v>
      </c>
      <c r="O3156" s="2">
        <v>44059</v>
      </c>
    </row>
    <row r="3157" spans="1:15" ht="43.2" x14ac:dyDescent="0.3">
      <c r="A3157" s="1" t="s">
        <v>27930</v>
      </c>
      <c r="B3157" s="1" t="str">
        <f>"SPENCER DAVIES SPENCER EDWARD DAVIES"</f>
        <v>SPENCER DAVIES SPENCER EDWARD DAVIES</v>
      </c>
      <c r="C3157" s="1" t="s">
        <v>27931</v>
      </c>
      <c r="F3157" s="1" t="s">
        <v>64</v>
      </c>
      <c r="H3157" s="1" t="s">
        <v>27932</v>
      </c>
      <c r="I3157" s="1" t="s">
        <v>5</v>
      </c>
      <c r="J3157" s="1" t="s">
        <v>6</v>
      </c>
      <c r="K3157" s="1" t="s">
        <v>34</v>
      </c>
      <c r="M3157" s="2">
        <v>42963</v>
      </c>
      <c r="N3157" s="1" t="s">
        <v>8</v>
      </c>
      <c r="O3157" s="2">
        <v>44059</v>
      </c>
    </row>
    <row r="3158" spans="1:15" ht="43.2" x14ac:dyDescent="0.3">
      <c r="A3158" s="1" t="s">
        <v>27933</v>
      </c>
      <c r="B3158" s="1" t="str">
        <f>"Julian  Tod"</f>
        <v>Julian  Tod</v>
      </c>
      <c r="C3158" s="1" t="s">
        <v>27934</v>
      </c>
      <c r="F3158" s="1" t="s">
        <v>230</v>
      </c>
      <c r="H3158" s="1" t="s">
        <v>27935</v>
      </c>
      <c r="I3158" s="1" t="s">
        <v>5</v>
      </c>
      <c r="J3158" s="1" t="s">
        <v>67</v>
      </c>
      <c r="K3158" s="1" t="s">
        <v>14</v>
      </c>
      <c r="M3158" s="2">
        <v>42963</v>
      </c>
      <c r="N3158" s="1" t="s">
        <v>8</v>
      </c>
      <c r="O3158" s="1" t="s">
        <v>68</v>
      </c>
    </row>
    <row r="3159" spans="1:15" ht="28.8" x14ac:dyDescent="0.3">
      <c r="A3159" s="1" t="s">
        <v>27936</v>
      </c>
      <c r="B3159" s="1" t="str">
        <f>"Gwyn jones Gwyn Jones contracting"</f>
        <v>Gwyn jones Gwyn Jones contracting</v>
      </c>
      <c r="C3159" s="1" t="s">
        <v>27937</v>
      </c>
      <c r="F3159" s="1" t="s">
        <v>790</v>
      </c>
      <c r="H3159" s="1" t="s">
        <v>27938</v>
      </c>
      <c r="I3159" s="1" t="s">
        <v>5</v>
      </c>
      <c r="J3159" s="1" t="s">
        <v>6</v>
      </c>
      <c r="K3159" s="1" t="s">
        <v>24</v>
      </c>
      <c r="M3159" s="2">
        <v>42963</v>
      </c>
      <c r="N3159" s="1" t="s">
        <v>8</v>
      </c>
      <c r="O3159" s="2">
        <v>44059</v>
      </c>
    </row>
    <row r="3160" spans="1:15" ht="28.8" x14ac:dyDescent="0.3">
      <c r="A3160" s="1" t="s">
        <v>27939</v>
      </c>
      <c r="B3160" s="1" t="str">
        <f>"Anthony  Werrett A werrett"</f>
        <v>Anthony  Werrett A werrett</v>
      </c>
      <c r="C3160" s="1" t="s">
        <v>27940</v>
      </c>
      <c r="F3160" s="1" t="s">
        <v>487</v>
      </c>
      <c r="H3160" s="1" t="s">
        <v>27941</v>
      </c>
      <c r="I3160" s="1" t="s">
        <v>5</v>
      </c>
      <c r="J3160" s="1" t="s">
        <v>6</v>
      </c>
      <c r="K3160" s="1" t="s">
        <v>24</v>
      </c>
      <c r="M3160" s="2">
        <v>42963</v>
      </c>
      <c r="N3160" s="1" t="s">
        <v>8</v>
      </c>
      <c r="O3160" s="2">
        <v>44059</v>
      </c>
    </row>
    <row r="3161" spans="1:15" ht="43.2" x14ac:dyDescent="0.3">
      <c r="A3161" s="1" t="s">
        <v>27942</v>
      </c>
      <c r="B3161" s="1" t="str">
        <f>"Paul Clement"</f>
        <v>Paul Clement</v>
      </c>
      <c r="C3161" s="1" t="s">
        <v>27943</v>
      </c>
      <c r="F3161" s="1" t="s">
        <v>1093</v>
      </c>
      <c r="H3161" s="1" t="s">
        <v>27944</v>
      </c>
      <c r="I3161" s="1" t="s">
        <v>5</v>
      </c>
      <c r="J3161" s="1" t="s">
        <v>67</v>
      </c>
      <c r="K3161" s="1" t="s">
        <v>14</v>
      </c>
      <c r="M3161" s="2">
        <v>42963</v>
      </c>
      <c r="N3161" s="1" t="s">
        <v>8</v>
      </c>
      <c r="O3161" s="1" t="s">
        <v>68</v>
      </c>
    </row>
    <row r="3162" spans="1:15" ht="28.8" x14ac:dyDescent="0.3">
      <c r="A3162" s="1" t="s">
        <v>14778</v>
      </c>
      <c r="B3162" s="1" t="str">
        <f>"Wish Wash Company"</f>
        <v>Wish Wash Company</v>
      </c>
      <c r="C3162" s="1" t="s">
        <v>14779</v>
      </c>
      <c r="D3162" s="1" t="s">
        <v>476</v>
      </c>
      <c r="F3162" s="1" t="s">
        <v>14780</v>
      </c>
      <c r="H3162" s="1" t="s">
        <v>14781</v>
      </c>
      <c r="I3162" s="1" t="s">
        <v>19</v>
      </c>
      <c r="J3162" s="1" t="s">
        <v>6</v>
      </c>
      <c r="K3162" s="1" t="s">
        <v>34</v>
      </c>
      <c r="L3162" s="1">
        <v>5374146</v>
      </c>
      <c r="M3162" s="2">
        <v>42962</v>
      </c>
      <c r="N3162" s="1" t="s">
        <v>8</v>
      </c>
      <c r="O3162" s="2">
        <v>44058</v>
      </c>
    </row>
    <row r="3163" spans="1:15" ht="28.8" x14ac:dyDescent="0.3">
      <c r="A3163" s="1" t="s">
        <v>15676</v>
      </c>
      <c r="B3163" s="1" t="str">
        <f>"Reinforce Utilities"</f>
        <v>Reinforce Utilities</v>
      </c>
      <c r="C3163" s="1" t="s">
        <v>15677</v>
      </c>
      <c r="D3163" s="1" t="s">
        <v>15678</v>
      </c>
      <c r="F3163" s="1" t="s">
        <v>15679</v>
      </c>
      <c r="H3163" s="1" t="s">
        <v>15680</v>
      </c>
      <c r="I3163" s="1" t="s">
        <v>19</v>
      </c>
      <c r="J3163" s="1" t="s">
        <v>6</v>
      </c>
      <c r="K3163" s="1" t="s">
        <v>34</v>
      </c>
      <c r="L3163" s="1">
        <v>10583701</v>
      </c>
      <c r="M3163" s="2">
        <v>42962</v>
      </c>
      <c r="N3163" s="1" t="s">
        <v>8</v>
      </c>
      <c r="O3163" s="2">
        <v>44058</v>
      </c>
    </row>
    <row r="3164" spans="1:15" ht="28.8" x14ac:dyDescent="0.3">
      <c r="A3164" s="1" t="s">
        <v>15681</v>
      </c>
      <c r="B3164" s="1" t="str">
        <f>"STARBANG LIMITED"</f>
        <v>STARBANG LIMITED</v>
      </c>
      <c r="C3164" s="1" t="s">
        <v>15682</v>
      </c>
      <c r="D3164" s="1" t="s">
        <v>258</v>
      </c>
      <c r="F3164" s="1" t="s">
        <v>64</v>
      </c>
      <c r="H3164" s="1" t="s">
        <v>259</v>
      </c>
      <c r="I3164" s="1" t="s">
        <v>19</v>
      </c>
      <c r="J3164" s="1" t="s">
        <v>6</v>
      </c>
      <c r="K3164" s="1" t="s">
        <v>24</v>
      </c>
      <c r="L3164" s="1">
        <v>4278853</v>
      </c>
      <c r="M3164" s="2">
        <v>42962</v>
      </c>
      <c r="N3164" s="1" t="s">
        <v>8</v>
      </c>
      <c r="O3164" s="2">
        <v>44106</v>
      </c>
    </row>
    <row r="3165" spans="1:15" ht="28.8" x14ac:dyDescent="0.3">
      <c r="A3165" s="1" t="s">
        <v>15683</v>
      </c>
      <c r="B3165" s="1" t="str">
        <f>"Swansea Timber &amp; Plywood Co Ltd"</f>
        <v>Swansea Timber &amp; Plywood Co Ltd</v>
      </c>
      <c r="C3165" s="1" t="s">
        <v>15684</v>
      </c>
      <c r="F3165" s="1" t="s">
        <v>64</v>
      </c>
      <c r="H3165" s="1" t="s">
        <v>15685</v>
      </c>
      <c r="I3165" s="1" t="s">
        <v>19</v>
      </c>
      <c r="J3165" s="1" t="s">
        <v>6</v>
      </c>
      <c r="K3165" s="1" t="s">
        <v>34</v>
      </c>
      <c r="L3165" s="1">
        <v>298201</v>
      </c>
      <c r="M3165" s="2">
        <v>42962</v>
      </c>
      <c r="N3165" s="1" t="s">
        <v>8</v>
      </c>
      <c r="O3165" s="2">
        <v>44058</v>
      </c>
    </row>
    <row r="3166" spans="1:15" ht="28.8" x14ac:dyDescent="0.3">
      <c r="A3166" s="1" t="s">
        <v>15686</v>
      </c>
      <c r="B3166" s="1" t="str">
        <f>"Global Contracts"</f>
        <v>Global Contracts</v>
      </c>
      <c r="C3166" s="1" t="s">
        <v>15687</v>
      </c>
      <c r="F3166" s="1" t="s">
        <v>476</v>
      </c>
      <c r="H3166" s="1" t="s">
        <v>15688</v>
      </c>
      <c r="I3166" s="1" t="s">
        <v>125</v>
      </c>
      <c r="J3166" s="1" t="s">
        <v>6</v>
      </c>
      <c r="K3166" s="1" t="s">
        <v>34</v>
      </c>
      <c r="M3166" s="2">
        <v>42962</v>
      </c>
      <c r="N3166" s="1" t="s">
        <v>8</v>
      </c>
      <c r="O3166" s="2">
        <v>44058</v>
      </c>
    </row>
    <row r="3167" spans="1:15" ht="28.8" x14ac:dyDescent="0.3">
      <c r="A3167" s="1" t="s">
        <v>27093</v>
      </c>
      <c r="B3167" s="1" t="str">
        <f>"Meredydd Owen MW Owen Maintenance"</f>
        <v>Meredydd Owen MW Owen Maintenance</v>
      </c>
      <c r="C3167" s="1" t="s">
        <v>27094</v>
      </c>
      <c r="F3167" s="1" t="s">
        <v>2757</v>
      </c>
      <c r="H3167" s="1" t="s">
        <v>27095</v>
      </c>
      <c r="I3167" s="1" t="s">
        <v>5</v>
      </c>
      <c r="J3167" s="1" t="s">
        <v>6</v>
      </c>
      <c r="K3167" s="1" t="s">
        <v>34</v>
      </c>
      <c r="M3167" s="2">
        <v>42962</v>
      </c>
      <c r="N3167" s="1" t="s">
        <v>8</v>
      </c>
      <c r="O3167" s="2">
        <v>44058</v>
      </c>
    </row>
    <row r="3168" spans="1:15" ht="43.2" x14ac:dyDescent="0.3">
      <c r="A3168" s="1" t="s">
        <v>14772</v>
      </c>
      <c r="B3168" s="1" t="str">
        <f>"CHEMICAL CORPORATION (U.K.) LTD"</f>
        <v>CHEMICAL CORPORATION (U.K.) LTD</v>
      </c>
      <c r="C3168" s="1" t="s">
        <v>14773</v>
      </c>
      <c r="D3168" s="1" t="s">
        <v>14774</v>
      </c>
      <c r="E3168" s="1" t="s">
        <v>1839</v>
      </c>
      <c r="F3168" s="1" t="s">
        <v>1093</v>
      </c>
      <c r="H3168" s="1" t="s">
        <v>14775</v>
      </c>
      <c r="I3168" s="1" t="s">
        <v>19</v>
      </c>
      <c r="J3168" s="1" t="s">
        <v>6</v>
      </c>
      <c r="K3168" s="1" t="s">
        <v>34</v>
      </c>
      <c r="L3168" s="1">
        <v>3931214</v>
      </c>
      <c r="M3168" s="2">
        <v>42961</v>
      </c>
      <c r="N3168" s="1" t="s">
        <v>8</v>
      </c>
      <c r="O3168" s="2">
        <v>44057</v>
      </c>
    </row>
    <row r="3169" spans="1:15" ht="43.2" x14ac:dyDescent="0.3">
      <c r="A3169" s="1" t="s">
        <v>14776</v>
      </c>
      <c r="B3169" s="1" t="str">
        <f>"Coed Owen Bunkhouse "</f>
        <v xml:space="preserve">Coed Owen Bunkhouse </v>
      </c>
      <c r="C3169" s="1" t="s">
        <v>14777</v>
      </c>
      <c r="F3169" s="1" t="s">
        <v>556</v>
      </c>
      <c r="H3169" s="1" t="s">
        <v>4412</v>
      </c>
      <c r="I3169" s="1" t="s">
        <v>188</v>
      </c>
      <c r="J3169" s="1" t="s">
        <v>67</v>
      </c>
      <c r="K3169" s="1" t="s">
        <v>14</v>
      </c>
      <c r="M3169" s="2">
        <v>42961</v>
      </c>
      <c r="N3169" s="1" t="s">
        <v>8</v>
      </c>
      <c r="O3169" s="1" t="s">
        <v>68</v>
      </c>
    </row>
    <row r="3170" spans="1:15" ht="28.8" x14ac:dyDescent="0.3">
      <c r="A3170" s="1" t="s">
        <v>27083</v>
      </c>
      <c r="B3170" s="1" t="str">
        <f>"JAMES KNOEDL JK GARDENING SERVICES"</f>
        <v>JAMES KNOEDL JK GARDENING SERVICES</v>
      </c>
      <c r="C3170" s="1" t="s">
        <v>27084</v>
      </c>
      <c r="F3170" s="1" t="s">
        <v>64</v>
      </c>
      <c r="H3170" s="1" t="s">
        <v>27085</v>
      </c>
      <c r="I3170" s="1" t="s">
        <v>5</v>
      </c>
      <c r="J3170" s="1" t="s">
        <v>6</v>
      </c>
      <c r="K3170" s="1" t="s">
        <v>24</v>
      </c>
      <c r="M3170" s="2">
        <v>42961</v>
      </c>
      <c r="N3170" s="1" t="s">
        <v>8</v>
      </c>
      <c r="O3170" s="2">
        <v>44057</v>
      </c>
    </row>
    <row r="3171" spans="1:15" ht="43.2" x14ac:dyDescent="0.3">
      <c r="A3171" s="1" t="s">
        <v>27086</v>
      </c>
      <c r="B3171" s="1" t="str">
        <f>"John Mason"</f>
        <v>John Mason</v>
      </c>
      <c r="C3171" s="1" t="s">
        <v>27087</v>
      </c>
      <c r="F3171" s="1" t="s">
        <v>3242</v>
      </c>
      <c r="H3171" s="1" t="s">
        <v>27088</v>
      </c>
      <c r="I3171" s="1" t="s">
        <v>5</v>
      </c>
      <c r="J3171" s="1" t="s">
        <v>67</v>
      </c>
      <c r="K3171" s="1" t="s">
        <v>14</v>
      </c>
      <c r="M3171" s="2">
        <v>42961</v>
      </c>
      <c r="N3171" s="1" t="s">
        <v>8</v>
      </c>
      <c r="O3171" s="1" t="s">
        <v>68</v>
      </c>
    </row>
    <row r="3172" spans="1:15" ht="43.2" x14ac:dyDescent="0.3">
      <c r="A3172" s="1" t="s">
        <v>27089</v>
      </c>
      <c r="B3172" s="1" t="str">
        <f>"stephen hopkins"</f>
        <v>stephen hopkins</v>
      </c>
      <c r="C3172" s="1" t="s">
        <v>27090</v>
      </c>
      <c r="F3172" s="1" t="s">
        <v>56</v>
      </c>
      <c r="H3172" s="1" t="s">
        <v>27091</v>
      </c>
      <c r="I3172" s="1" t="s">
        <v>5</v>
      </c>
      <c r="J3172" s="1" t="s">
        <v>67</v>
      </c>
      <c r="K3172" s="1" t="s">
        <v>14</v>
      </c>
      <c r="M3172" s="2">
        <v>42961</v>
      </c>
      <c r="N3172" s="1" t="s">
        <v>8</v>
      </c>
      <c r="O3172" s="1" t="s">
        <v>68</v>
      </c>
    </row>
    <row r="3173" spans="1:15" ht="43.2" x14ac:dyDescent="0.3">
      <c r="A3173" s="1" t="s">
        <v>27092</v>
      </c>
      <c r="B3173" s="1" t="str">
        <f>"stephen hopkins"</f>
        <v>stephen hopkins</v>
      </c>
      <c r="C3173" s="1" t="s">
        <v>27090</v>
      </c>
      <c r="F3173" s="1" t="s">
        <v>56</v>
      </c>
      <c r="H3173" s="1" t="s">
        <v>27091</v>
      </c>
      <c r="I3173" s="1" t="s">
        <v>5</v>
      </c>
      <c r="J3173" s="1" t="s">
        <v>67</v>
      </c>
      <c r="K3173" s="1" t="s">
        <v>14</v>
      </c>
      <c r="M3173" s="2">
        <v>42961</v>
      </c>
      <c r="N3173" s="1" t="s">
        <v>8</v>
      </c>
      <c r="O3173" s="1" t="s">
        <v>68</v>
      </c>
    </row>
    <row r="3174" spans="1:15" ht="28.8" x14ac:dyDescent="0.3">
      <c r="A3174" s="1" t="s">
        <v>14769</v>
      </c>
      <c r="B3174" s="1" t="str">
        <f>"Thomas williams"</f>
        <v>Thomas williams</v>
      </c>
      <c r="C3174" s="1" t="s">
        <v>14770</v>
      </c>
      <c r="F3174" s="1" t="s">
        <v>10122</v>
      </c>
      <c r="H3174" s="1" t="s">
        <v>14771</v>
      </c>
      <c r="I3174" s="1" t="s">
        <v>125</v>
      </c>
      <c r="J3174" s="1" t="s">
        <v>6</v>
      </c>
      <c r="K3174" s="1" t="s">
        <v>34</v>
      </c>
      <c r="M3174" s="2">
        <v>42960</v>
      </c>
      <c r="N3174" s="1" t="s">
        <v>8</v>
      </c>
      <c r="O3174" s="2">
        <v>44056</v>
      </c>
    </row>
    <row r="3175" spans="1:15" ht="43.2" x14ac:dyDescent="0.3">
      <c r="A3175" s="1" t="s">
        <v>27078</v>
      </c>
      <c r="B3175" s="1" t="str">
        <f>"Jerry Raikes"</f>
        <v>Jerry Raikes</v>
      </c>
      <c r="C3175" s="1" t="s">
        <v>27079</v>
      </c>
      <c r="F3175" s="1" t="s">
        <v>5070</v>
      </c>
      <c r="H3175" s="1" t="s">
        <v>27080</v>
      </c>
      <c r="I3175" s="1" t="s">
        <v>5</v>
      </c>
      <c r="J3175" s="1" t="s">
        <v>67</v>
      </c>
      <c r="K3175" s="1" t="s">
        <v>14</v>
      </c>
      <c r="M3175" s="2">
        <v>42960</v>
      </c>
      <c r="N3175" s="1" t="s">
        <v>8</v>
      </c>
      <c r="O3175" s="1" t="s">
        <v>68</v>
      </c>
    </row>
    <row r="3176" spans="1:15" ht="28.8" x14ac:dyDescent="0.3">
      <c r="A3176" s="1" t="s">
        <v>27081</v>
      </c>
      <c r="B3176" s="1" t="str">
        <f>"chris payne chris payne carpentry &amp;building"</f>
        <v>chris payne chris payne carpentry &amp;building</v>
      </c>
      <c r="C3176" s="1" t="s">
        <v>27082</v>
      </c>
      <c r="F3176" s="1" t="s">
        <v>706</v>
      </c>
      <c r="H3176" s="1" t="s">
        <v>4119</v>
      </c>
      <c r="I3176" s="1" t="s">
        <v>5</v>
      </c>
      <c r="J3176" s="1" t="s">
        <v>6</v>
      </c>
      <c r="K3176" s="1" t="s">
        <v>34</v>
      </c>
      <c r="M3176" s="2">
        <v>42960</v>
      </c>
      <c r="N3176" s="1" t="s">
        <v>8</v>
      </c>
      <c r="O3176" s="2">
        <v>44056</v>
      </c>
    </row>
    <row r="3177" spans="1:15" ht="28.8" x14ac:dyDescent="0.3">
      <c r="A3177" s="1" t="s">
        <v>14766</v>
      </c>
      <c r="B3177" s="1" t="str">
        <f>"County all trades services limited"</f>
        <v>County all trades services limited</v>
      </c>
      <c r="C3177" s="1" t="s">
        <v>14767</v>
      </c>
      <c r="F3177" s="1" t="s">
        <v>532</v>
      </c>
      <c r="H3177" s="1" t="s">
        <v>14768</v>
      </c>
      <c r="I3177" s="1" t="s">
        <v>19</v>
      </c>
      <c r="J3177" s="1" t="s">
        <v>6</v>
      </c>
      <c r="K3177" s="1" t="s">
        <v>34</v>
      </c>
      <c r="L3177" s="1">
        <v>7524114</v>
      </c>
      <c r="M3177" s="2">
        <v>42959</v>
      </c>
      <c r="N3177" s="1" t="s">
        <v>8</v>
      </c>
      <c r="O3177" s="2">
        <v>44055</v>
      </c>
    </row>
    <row r="3178" spans="1:15" ht="28.8" x14ac:dyDescent="0.3">
      <c r="A3178" s="1" t="s">
        <v>26353</v>
      </c>
      <c r="B3178" s="1" t="str">
        <f>"David Fisher D J Fisher"</f>
        <v>David Fisher D J Fisher</v>
      </c>
      <c r="C3178" s="1" t="s">
        <v>26354</v>
      </c>
      <c r="D3178" s="1" t="s">
        <v>4436</v>
      </c>
      <c r="F3178" s="1" t="s">
        <v>358</v>
      </c>
      <c r="H3178" s="1" t="s">
        <v>26355</v>
      </c>
      <c r="I3178" s="1" t="s">
        <v>5</v>
      </c>
      <c r="J3178" s="1" t="s">
        <v>6</v>
      </c>
      <c r="K3178" s="1" t="s">
        <v>24</v>
      </c>
      <c r="M3178" s="2">
        <v>42959</v>
      </c>
      <c r="N3178" s="1" t="s">
        <v>8</v>
      </c>
      <c r="O3178" s="2">
        <v>44055</v>
      </c>
    </row>
    <row r="3179" spans="1:15" ht="43.2" x14ac:dyDescent="0.3">
      <c r="A3179" s="1" t="s">
        <v>27075</v>
      </c>
      <c r="B3179" s="1" t="str">
        <f>"Adam Culwick"</f>
        <v>Adam Culwick</v>
      </c>
      <c r="C3179" s="1" t="s">
        <v>27076</v>
      </c>
      <c r="F3179" s="1" t="s">
        <v>3452</v>
      </c>
      <c r="H3179" s="1" t="s">
        <v>27077</v>
      </c>
      <c r="I3179" s="1" t="s">
        <v>5</v>
      </c>
      <c r="J3179" s="1" t="s">
        <v>67</v>
      </c>
      <c r="K3179" s="1" t="s">
        <v>14</v>
      </c>
      <c r="M3179" s="2">
        <v>42959</v>
      </c>
      <c r="N3179" s="1" t="s">
        <v>8</v>
      </c>
      <c r="O3179" s="1" t="s">
        <v>68</v>
      </c>
    </row>
    <row r="3180" spans="1:15" ht="28.8" x14ac:dyDescent="0.3">
      <c r="A3180" s="1" t="s">
        <v>13904</v>
      </c>
      <c r="B3180" s="1" t="str">
        <f>"PROSEAL ROOFING LTD"</f>
        <v>PROSEAL ROOFING LTD</v>
      </c>
      <c r="C3180" s="1" t="s">
        <v>13905</v>
      </c>
      <c r="F3180" s="1" t="s">
        <v>1063</v>
      </c>
      <c r="H3180" s="1" t="s">
        <v>13906</v>
      </c>
      <c r="I3180" s="1" t="s">
        <v>19</v>
      </c>
      <c r="J3180" s="1" t="s">
        <v>6</v>
      </c>
      <c r="K3180" s="1" t="s">
        <v>34</v>
      </c>
      <c r="L3180" s="1">
        <v>8513799</v>
      </c>
      <c r="M3180" s="2">
        <v>42958</v>
      </c>
      <c r="N3180" s="1" t="s">
        <v>8</v>
      </c>
      <c r="O3180" s="2">
        <v>44054</v>
      </c>
    </row>
    <row r="3181" spans="1:15" ht="43.2" x14ac:dyDescent="0.3">
      <c r="A3181" s="1" t="s">
        <v>13907</v>
      </c>
      <c r="B3181" s="1" t="str">
        <f>"PHEONIX UK BUILDING &amp; PROPERTY MAINTENANCE LTD"</f>
        <v>PHEONIX UK BUILDING &amp; PROPERTY MAINTENANCE LTD</v>
      </c>
      <c r="C3181" s="1" t="s">
        <v>5333</v>
      </c>
      <c r="D3181" s="1" t="s">
        <v>5334</v>
      </c>
      <c r="E3181" s="1" t="s">
        <v>4301</v>
      </c>
      <c r="F3181" s="1" t="s">
        <v>585</v>
      </c>
      <c r="H3181" s="1" t="s">
        <v>4302</v>
      </c>
      <c r="I3181" s="1" t="s">
        <v>19</v>
      </c>
      <c r="J3181" s="1" t="s">
        <v>6</v>
      </c>
      <c r="K3181" s="1" t="s">
        <v>24</v>
      </c>
      <c r="L3181" s="1">
        <v>6872614</v>
      </c>
      <c r="M3181" s="2">
        <v>42958</v>
      </c>
      <c r="N3181" s="1" t="s">
        <v>8</v>
      </c>
      <c r="O3181" s="2">
        <v>44054</v>
      </c>
    </row>
    <row r="3182" spans="1:15" ht="28.8" x14ac:dyDescent="0.3">
      <c r="A3182" s="1" t="s">
        <v>13908</v>
      </c>
      <c r="B3182" s="1" t="str">
        <f>"TOMACHAWK LTD"</f>
        <v>TOMACHAWK LTD</v>
      </c>
      <c r="C3182" s="1" t="s">
        <v>6921</v>
      </c>
      <c r="F3182" s="1" t="s">
        <v>56</v>
      </c>
      <c r="H3182" s="1" t="s">
        <v>13909</v>
      </c>
      <c r="I3182" s="1" t="s">
        <v>19</v>
      </c>
      <c r="J3182" s="1" t="s">
        <v>6</v>
      </c>
      <c r="K3182" s="1" t="s">
        <v>24</v>
      </c>
      <c r="L3182" s="1">
        <v>6457946</v>
      </c>
      <c r="M3182" s="2">
        <v>42958</v>
      </c>
      <c r="N3182" s="1" t="s">
        <v>8</v>
      </c>
      <c r="O3182" s="2">
        <v>44054</v>
      </c>
    </row>
    <row r="3183" spans="1:15" ht="28.8" x14ac:dyDescent="0.3">
      <c r="A3183" s="1" t="s">
        <v>13910</v>
      </c>
      <c r="B3183" s="1" t="str">
        <f>"DRAGON RECYCLING SOLUTIONS LTD"</f>
        <v>DRAGON RECYCLING SOLUTIONS LTD</v>
      </c>
      <c r="C3183" s="1" t="s">
        <v>13911</v>
      </c>
      <c r="D3183" s="1" t="s">
        <v>101</v>
      </c>
      <c r="F3183" s="1" t="s">
        <v>102</v>
      </c>
      <c r="H3183" s="1" t="s">
        <v>13912</v>
      </c>
      <c r="I3183" s="1" t="s">
        <v>19</v>
      </c>
      <c r="J3183" s="1" t="s">
        <v>6</v>
      </c>
      <c r="K3183" s="1" t="s">
        <v>34</v>
      </c>
      <c r="L3183" s="1">
        <v>5774204</v>
      </c>
      <c r="M3183" s="2">
        <v>42958</v>
      </c>
      <c r="N3183" s="1" t="s">
        <v>8</v>
      </c>
      <c r="O3183" s="2">
        <v>44054</v>
      </c>
    </row>
    <row r="3184" spans="1:15" ht="43.2" x14ac:dyDescent="0.3">
      <c r="A3184" s="1" t="s">
        <v>13913</v>
      </c>
      <c r="B3184" s="1" t="str">
        <f>"Rhos Holiday Park Limited"</f>
        <v>Rhos Holiday Park Limited</v>
      </c>
      <c r="C3184" s="1" t="s">
        <v>13914</v>
      </c>
      <c r="F3184" s="1" t="s">
        <v>1408</v>
      </c>
      <c r="H3184" s="1" t="s">
        <v>13915</v>
      </c>
      <c r="I3184" s="1" t="s">
        <v>19</v>
      </c>
      <c r="J3184" s="1" t="s">
        <v>67</v>
      </c>
      <c r="K3184" s="1" t="s">
        <v>14</v>
      </c>
      <c r="M3184" s="2">
        <v>42958</v>
      </c>
      <c r="N3184" s="1" t="s">
        <v>8</v>
      </c>
      <c r="O3184" s="1" t="s">
        <v>68</v>
      </c>
    </row>
    <row r="3185" spans="1:15" ht="43.2" x14ac:dyDescent="0.3">
      <c r="A3185" s="1" t="s">
        <v>13916</v>
      </c>
      <c r="B3185" s="1" t="str">
        <f>"Lee Edwards"</f>
        <v>Lee Edwards</v>
      </c>
      <c r="C3185" s="1" t="s">
        <v>13917</v>
      </c>
      <c r="F3185" s="1" t="s">
        <v>1058</v>
      </c>
      <c r="H3185" s="1" t="s">
        <v>13918</v>
      </c>
      <c r="I3185" s="1" t="s">
        <v>125</v>
      </c>
      <c r="J3185" s="1" t="s">
        <v>6</v>
      </c>
      <c r="K3185" s="1" t="s">
        <v>24</v>
      </c>
      <c r="M3185" s="2">
        <v>42958</v>
      </c>
      <c r="N3185" s="1" t="s">
        <v>8</v>
      </c>
      <c r="O3185" s="2">
        <v>44054</v>
      </c>
    </row>
    <row r="3186" spans="1:15" ht="28.8" x14ac:dyDescent="0.3">
      <c r="A3186" s="1" t="s">
        <v>26342</v>
      </c>
      <c r="B3186" s="1" t="str">
        <f>"Christopher Sainsbury CDS Services"</f>
        <v>Christopher Sainsbury CDS Services</v>
      </c>
      <c r="C3186" s="1" t="s">
        <v>26343</v>
      </c>
      <c r="D3186" s="1" t="s">
        <v>852</v>
      </c>
      <c r="F3186" s="1" t="s">
        <v>64</v>
      </c>
      <c r="H3186" s="1" t="s">
        <v>25449</v>
      </c>
      <c r="I3186" s="1" t="s">
        <v>5</v>
      </c>
      <c r="J3186" s="1" t="s">
        <v>6</v>
      </c>
      <c r="K3186" s="1" t="s">
        <v>24</v>
      </c>
      <c r="M3186" s="2">
        <v>42958</v>
      </c>
      <c r="N3186" s="1" t="s">
        <v>8</v>
      </c>
      <c r="O3186" s="2">
        <v>44054</v>
      </c>
    </row>
    <row r="3187" spans="1:15" ht="28.8" x14ac:dyDescent="0.3">
      <c r="A3187" s="1" t="s">
        <v>26344</v>
      </c>
      <c r="B3187" s="1" t="str">
        <f>"James Edwards Accessible services"</f>
        <v>James Edwards Accessible services</v>
      </c>
      <c r="C3187" s="1" t="s">
        <v>26345</v>
      </c>
      <c r="F3187" s="1" t="s">
        <v>6400</v>
      </c>
      <c r="H3187" s="1" t="s">
        <v>26346</v>
      </c>
      <c r="I3187" s="1" t="s">
        <v>5</v>
      </c>
      <c r="J3187" s="1" t="s">
        <v>6</v>
      </c>
      <c r="K3187" s="1" t="s">
        <v>34</v>
      </c>
      <c r="M3187" s="2">
        <v>42958</v>
      </c>
      <c r="N3187" s="1" t="s">
        <v>8</v>
      </c>
      <c r="O3187" s="2">
        <v>44054</v>
      </c>
    </row>
    <row r="3188" spans="1:15" ht="28.8" x14ac:dyDescent="0.3">
      <c r="A3188" s="1" t="s">
        <v>26347</v>
      </c>
      <c r="B3188" s="1" t="str">
        <f>"Paul John Davies"</f>
        <v>Paul John Davies</v>
      </c>
      <c r="C3188" s="1" t="s">
        <v>26348</v>
      </c>
      <c r="F3188" s="1" t="s">
        <v>64</v>
      </c>
      <c r="H3188" s="1" t="s">
        <v>26349</v>
      </c>
      <c r="I3188" s="1" t="s">
        <v>5</v>
      </c>
      <c r="J3188" s="1" t="s">
        <v>6</v>
      </c>
      <c r="K3188" s="1" t="s">
        <v>24</v>
      </c>
      <c r="M3188" s="2">
        <v>42958</v>
      </c>
      <c r="N3188" s="1" t="s">
        <v>8</v>
      </c>
      <c r="O3188" s="2">
        <v>44054</v>
      </c>
    </row>
    <row r="3189" spans="1:15" ht="43.2" x14ac:dyDescent="0.3">
      <c r="A3189" s="1" t="s">
        <v>26350</v>
      </c>
      <c r="B3189" s="1" t="str">
        <f>"Chris Evans"</f>
        <v>Chris Evans</v>
      </c>
      <c r="C3189" s="1" t="s">
        <v>26351</v>
      </c>
      <c r="F3189" s="1" t="s">
        <v>354</v>
      </c>
      <c r="H3189" s="1" t="s">
        <v>26352</v>
      </c>
      <c r="I3189" s="1" t="s">
        <v>5</v>
      </c>
      <c r="J3189" s="1" t="s">
        <v>67</v>
      </c>
      <c r="K3189" s="1" t="s">
        <v>14</v>
      </c>
      <c r="M3189" s="2">
        <v>42958</v>
      </c>
      <c r="N3189" s="1" t="s">
        <v>8</v>
      </c>
      <c r="O3189" s="1" t="s">
        <v>68</v>
      </c>
    </row>
    <row r="3190" spans="1:15" ht="28.8" x14ac:dyDescent="0.3">
      <c r="A3190" s="1" t="s">
        <v>12830</v>
      </c>
      <c r="B3190" s="1" t="str">
        <f>"Q W Construction Ltd"</f>
        <v>Q W Construction Ltd</v>
      </c>
      <c r="C3190" s="1" t="s">
        <v>12831</v>
      </c>
      <c r="D3190" s="1" t="s">
        <v>12832</v>
      </c>
      <c r="F3190" s="1" t="s">
        <v>790</v>
      </c>
      <c r="H3190" s="1" t="s">
        <v>12833</v>
      </c>
      <c r="I3190" s="1" t="s">
        <v>19</v>
      </c>
      <c r="J3190" s="1" t="s">
        <v>6</v>
      </c>
      <c r="K3190" s="1" t="s">
        <v>34</v>
      </c>
      <c r="L3190" s="1">
        <v>8913687</v>
      </c>
      <c r="M3190" s="2">
        <v>42957</v>
      </c>
      <c r="N3190" s="1" t="s">
        <v>8</v>
      </c>
      <c r="O3190" s="2">
        <v>44053</v>
      </c>
    </row>
    <row r="3191" spans="1:15" ht="28.8" x14ac:dyDescent="0.3">
      <c r="A3191" s="1" t="s">
        <v>12834</v>
      </c>
      <c r="B3191" s="1" t="str">
        <f>"I-waste Ltd - ta Gorton Autos"</f>
        <v>I-waste Ltd - ta Gorton Autos</v>
      </c>
      <c r="C3191" s="1" t="s">
        <v>12835</v>
      </c>
      <c r="F3191" s="1" t="s">
        <v>4614</v>
      </c>
      <c r="H3191" s="1" t="s">
        <v>12836</v>
      </c>
      <c r="I3191" s="1" t="s">
        <v>19</v>
      </c>
      <c r="J3191" s="1" t="s">
        <v>6</v>
      </c>
      <c r="K3191" s="1" t="s">
        <v>34</v>
      </c>
      <c r="L3191" s="1">
        <v>7304843</v>
      </c>
      <c r="M3191" s="2">
        <v>42957</v>
      </c>
      <c r="N3191" s="1" t="s">
        <v>8</v>
      </c>
      <c r="O3191" s="2">
        <v>44061</v>
      </c>
    </row>
    <row r="3192" spans="1:15" ht="28.8" x14ac:dyDescent="0.3">
      <c r="A3192" s="1" t="s">
        <v>12837</v>
      </c>
      <c r="B3192" s="1" t="str">
        <f>"WILLIS CONSTRUCTION LTD"</f>
        <v>WILLIS CONSTRUCTION LTD</v>
      </c>
      <c r="C3192" s="1" t="s">
        <v>12838</v>
      </c>
      <c r="D3192" s="1" t="s">
        <v>8138</v>
      </c>
      <c r="F3192" s="1" t="s">
        <v>123</v>
      </c>
      <c r="H3192" s="1" t="s">
        <v>3553</v>
      </c>
      <c r="I3192" s="1" t="s">
        <v>19</v>
      </c>
      <c r="J3192" s="1" t="s">
        <v>6</v>
      </c>
      <c r="K3192" s="1" t="s">
        <v>34</v>
      </c>
      <c r="L3192" s="1">
        <v>3063831</v>
      </c>
      <c r="M3192" s="2">
        <v>42957</v>
      </c>
      <c r="N3192" s="1" t="s">
        <v>8</v>
      </c>
      <c r="O3192" s="2">
        <v>44061</v>
      </c>
    </row>
    <row r="3193" spans="1:15" ht="28.8" x14ac:dyDescent="0.3">
      <c r="A3193" s="1" t="s">
        <v>12839</v>
      </c>
      <c r="B3193" s="1" t="str">
        <f>"DATA PACIFIC LIMITED"</f>
        <v>DATA PACIFIC LIMITED</v>
      </c>
      <c r="C3193" s="1" t="s">
        <v>12840</v>
      </c>
      <c r="D3193" s="1" t="s">
        <v>12841</v>
      </c>
      <c r="E3193" s="1" t="s">
        <v>7509</v>
      </c>
      <c r="F3193" s="1" t="s">
        <v>532</v>
      </c>
      <c r="H3193" s="1" t="s">
        <v>5232</v>
      </c>
      <c r="I3193" s="1" t="s">
        <v>19</v>
      </c>
      <c r="J3193" s="1" t="s">
        <v>6</v>
      </c>
      <c r="K3193" s="1" t="s">
        <v>34</v>
      </c>
      <c r="L3193" s="1">
        <v>2493405</v>
      </c>
      <c r="M3193" s="2">
        <v>42957</v>
      </c>
      <c r="N3193" s="1" t="s">
        <v>8</v>
      </c>
      <c r="O3193" s="2">
        <v>44053</v>
      </c>
    </row>
    <row r="3194" spans="1:15" ht="43.2" x14ac:dyDescent="0.3">
      <c r="A3194" s="1" t="s">
        <v>13901</v>
      </c>
      <c r="B3194" s="1" t="str">
        <f>"Stuart Smith Plant Hire Ltd"</f>
        <v>Stuart Smith Plant Hire Ltd</v>
      </c>
      <c r="C3194" s="1" t="s">
        <v>13902</v>
      </c>
      <c r="F3194" s="1" t="s">
        <v>5149</v>
      </c>
      <c r="H3194" s="1" t="s">
        <v>13903</v>
      </c>
      <c r="I3194" s="1" t="s">
        <v>19</v>
      </c>
      <c r="J3194" s="1" t="s">
        <v>67</v>
      </c>
      <c r="K3194" s="1" t="s">
        <v>14</v>
      </c>
      <c r="M3194" s="2">
        <v>42957</v>
      </c>
      <c r="N3194" s="1" t="s">
        <v>8</v>
      </c>
      <c r="O3194" s="1" t="s">
        <v>68</v>
      </c>
    </row>
    <row r="3195" spans="1:15" ht="43.2" x14ac:dyDescent="0.3">
      <c r="A3195" s="1" t="s">
        <v>25557</v>
      </c>
      <c r="B3195" s="1" t="str">
        <f>"Tony Dhillon"</f>
        <v>Tony Dhillon</v>
      </c>
      <c r="C3195" s="1" t="s">
        <v>25558</v>
      </c>
      <c r="F3195" s="1" t="s">
        <v>14052</v>
      </c>
      <c r="H3195" s="1" t="s">
        <v>25559</v>
      </c>
      <c r="I3195" s="1" t="s">
        <v>5</v>
      </c>
      <c r="J3195" s="1" t="s">
        <v>67</v>
      </c>
      <c r="K3195" s="1" t="s">
        <v>14</v>
      </c>
      <c r="M3195" s="2">
        <v>42957</v>
      </c>
      <c r="N3195" s="1" t="s">
        <v>8</v>
      </c>
      <c r="O3195" s="1" t="s">
        <v>68</v>
      </c>
    </row>
    <row r="3196" spans="1:15" ht="28.8" x14ac:dyDescent="0.3">
      <c r="A3196" s="1" t="s">
        <v>25560</v>
      </c>
      <c r="B3196" s="1" t="str">
        <f>"Philip Elkins P Elkins Construction"</f>
        <v>Philip Elkins P Elkins Construction</v>
      </c>
      <c r="C3196" s="1" t="s">
        <v>25561</v>
      </c>
      <c r="F3196" s="1" t="s">
        <v>32</v>
      </c>
      <c r="H3196" s="1" t="s">
        <v>25562</v>
      </c>
      <c r="I3196" s="1" t="s">
        <v>5</v>
      </c>
      <c r="J3196" s="1" t="s">
        <v>6</v>
      </c>
      <c r="K3196" s="1" t="s">
        <v>24</v>
      </c>
      <c r="M3196" s="2">
        <v>42957</v>
      </c>
      <c r="N3196" s="1" t="s">
        <v>8</v>
      </c>
      <c r="O3196" s="2">
        <v>44053</v>
      </c>
    </row>
    <row r="3197" spans="1:15" ht="28.8" x14ac:dyDescent="0.3">
      <c r="A3197" s="1" t="s">
        <v>25563</v>
      </c>
      <c r="B3197" s="1" t="str">
        <f>"Steven Edwards Steven Edwards Joinery"</f>
        <v>Steven Edwards Steven Edwards Joinery</v>
      </c>
      <c r="C3197" s="1" t="s">
        <v>25564</v>
      </c>
      <c r="F3197" s="1" t="s">
        <v>2281</v>
      </c>
      <c r="H3197" s="1" t="s">
        <v>25565</v>
      </c>
      <c r="I3197" s="1" t="s">
        <v>5</v>
      </c>
      <c r="J3197" s="1" t="s">
        <v>6</v>
      </c>
      <c r="K3197" s="1" t="s">
        <v>24</v>
      </c>
      <c r="M3197" s="2">
        <v>42957</v>
      </c>
      <c r="N3197" s="1" t="s">
        <v>8</v>
      </c>
      <c r="O3197" s="2">
        <v>44053</v>
      </c>
    </row>
    <row r="3198" spans="1:15" ht="28.8" x14ac:dyDescent="0.3">
      <c r="A3198" s="1" t="s">
        <v>25566</v>
      </c>
      <c r="B3198" s="1" t="str">
        <f>"Jonathan Rollinson J D Rollinson"</f>
        <v>Jonathan Rollinson J D Rollinson</v>
      </c>
      <c r="C3198" s="1" t="s">
        <v>23727</v>
      </c>
      <c r="F3198" s="1" t="s">
        <v>5640</v>
      </c>
      <c r="H3198" s="1" t="s">
        <v>23728</v>
      </c>
      <c r="I3198" s="1" t="s">
        <v>5</v>
      </c>
      <c r="J3198" s="1" t="s">
        <v>6</v>
      </c>
      <c r="K3198" s="1" t="s">
        <v>24</v>
      </c>
      <c r="M3198" s="2">
        <v>42957</v>
      </c>
      <c r="N3198" s="1" t="s">
        <v>8</v>
      </c>
      <c r="O3198" s="2">
        <v>44053</v>
      </c>
    </row>
    <row r="3199" spans="1:15" ht="28.8" x14ac:dyDescent="0.3">
      <c r="A3199" s="1" t="s">
        <v>25567</v>
      </c>
      <c r="B3199" s="1" t="str">
        <f>"Stuart Hackett ace cleaning services"</f>
        <v>Stuart Hackett ace cleaning services</v>
      </c>
      <c r="C3199" s="1" t="s">
        <v>25568</v>
      </c>
      <c r="D3199" s="1" t="s">
        <v>25569</v>
      </c>
      <c r="F3199" s="1" t="s">
        <v>64</v>
      </c>
      <c r="H3199" s="1" t="s">
        <v>25570</v>
      </c>
      <c r="I3199" s="1" t="s">
        <v>5</v>
      </c>
      <c r="J3199" s="1" t="s">
        <v>6</v>
      </c>
      <c r="K3199" s="1" t="s">
        <v>24</v>
      </c>
      <c r="M3199" s="2">
        <v>42957</v>
      </c>
      <c r="N3199" s="1" t="s">
        <v>8</v>
      </c>
      <c r="O3199" s="2">
        <v>44053</v>
      </c>
    </row>
    <row r="3200" spans="1:15" ht="28.8" x14ac:dyDescent="0.3">
      <c r="A3200" s="1" t="s">
        <v>26335</v>
      </c>
      <c r="B3200" s="1" t="str">
        <f>"Stephen Jones SBS Building Services"</f>
        <v>Stephen Jones SBS Building Services</v>
      </c>
      <c r="C3200" s="1" t="s">
        <v>26336</v>
      </c>
      <c r="D3200" s="1" t="s">
        <v>26337</v>
      </c>
      <c r="F3200" s="1" t="s">
        <v>2152</v>
      </c>
      <c r="H3200" s="1" t="s">
        <v>26338</v>
      </c>
      <c r="I3200" s="1" t="s">
        <v>5</v>
      </c>
      <c r="J3200" s="1" t="s">
        <v>6</v>
      </c>
      <c r="K3200" s="1" t="s">
        <v>24</v>
      </c>
      <c r="M3200" s="2">
        <v>42957</v>
      </c>
      <c r="N3200" s="1" t="s">
        <v>8</v>
      </c>
      <c r="O3200" s="2">
        <v>44053</v>
      </c>
    </row>
    <row r="3201" spans="1:15" ht="28.8" x14ac:dyDescent="0.3">
      <c r="A3201" s="1" t="s">
        <v>26339</v>
      </c>
      <c r="B3201" s="1" t="str">
        <f>"Lee Gwyther Grounded Trees"</f>
        <v>Lee Gwyther Grounded Trees</v>
      </c>
      <c r="C3201" s="1" t="s">
        <v>26340</v>
      </c>
      <c r="F3201" s="1" t="s">
        <v>64</v>
      </c>
      <c r="H3201" s="1" t="s">
        <v>26341</v>
      </c>
      <c r="I3201" s="1" t="s">
        <v>5</v>
      </c>
      <c r="J3201" s="1" t="s">
        <v>6</v>
      </c>
      <c r="K3201" s="1" t="s">
        <v>24</v>
      </c>
      <c r="M3201" s="2">
        <v>42957</v>
      </c>
      <c r="N3201" s="1" t="s">
        <v>8</v>
      </c>
      <c r="O3201" s="2">
        <v>44053</v>
      </c>
    </row>
    <row r="3202" spans="1:15" x14ac:dyDescent="0.3">
      <c r="A3202" s="1" t="s">
        <v>11841</v>
      </c>
      <c r="B3202" s="1" t="str">
        <f>"PNW ROOFING Ltd"</f>
        <v>PNW ROOFING Ltd</v>
      </c>
      <c r="C3202" s="1" t="s">
        <v>11842</v>
      </c>
      <c r="F3202" s="1" t="s">
        <v>1479</v>
      </c>
      <c r="H3202" s="1" t="s">
        <v>11843</v>
      </c>
      <c r="I3202" s="1" t="s">
        <v>19</v>
      </c>
      <c r="J3202" s="1" t="s">
        <v>6</v>
      </c>
      <c r="K3202" s="1" t="s">
        <v>24</v>
      </c>
      <c r="L3202" s="1">
        <v>3103801</v>
      </c>
      <c r="M3202" s="2">
        <v>42956</v>
      </c>
      <c r="N3202" s="1" t="s">
        <v>8</v>
      </c>
      <c r="O3202" s="2">
        <v>44052</v>
      </c>
    </row>
    <row r="3203" spans="1:15" ht="28.8" x14ac:dyDescent="0.3">
      <c r="A3203" s="1" t="s">
        <v>11844</v>
      </c>
      <c r="B3203" s="1" t="str">
        <f>"Burton Recycling Services Ltd"</f>
        <v>Burton Recycling Services Ltd</v>
      </c>
      <c r="C3203" s="1" t="s">
        <v>11845</v>
      </c>
      <c r="D3203" s="1" t="s">
        <v>11846</v>
      </c>
      <c r="F3203" s="1" t="s">
        <v>42</v>
      </c>
      <c r="H3203" s="1" t="s">
        <v>11847</v>
      </c>
      <c r="I3203" s="1" t="s">
        <v>19</v>
      </c>
      <c r="J3203" s="1" t="s">
        <v>6</v>
      </c>
      <c r="K3203" s="1" t="s">
        <v>34</v>
      </c>
      <c r="L3203" s="1">
        <v>6899299</v>
      </c>
      <c r="M3203" s="2">
        <v>42956</v>
      </c>
      <c r="N3203" s="1" t="s">
        <v>8</v>
      </c>
      <c r="O3203" s="2">
        <v>44052</v>
      </c>
    </row>
    <row r="3204" spans="1:15" ht="43.2" x14ac:dyDescent="0.3">
      <c r="A3204" s="1" t="s">
        <v>12813</v>
      </c>
      <c r="B3204" s="1" t="str">
        <f>"kings head hotel"</f>
        <v>kings head hotel</v>
      </c>
      <c r="C3204" s="1" t="s">
        <v>12814</v>
      </c>
      <c r="F3204" s="1" t="s">
        <v>64</v>
      </c>
      <c r="H3204" s="1" t="s">
        <v>12815</v>
      </c>
      <c r="I3204" s="1" t="s">
        <v>125</v>
      </c>
      <c r="J3204" s="1" t="s">
        <v>67</v>
      </c>
      <c r="K3204" s="1" t="s">
        <v>14</v>
      </c>
      <c r="M3204" s="2">
        <v>42956</v>
      </c>
      <c r="N3204" s="1" t="s">
        <v>8</v>
      </c>
      <c r="O3204" s="1" t="s">
        <v>68</v>
      </c>
    </row>
    <row r="3205" spans="1:15" ht="28.8" x14ac:dyDescent="0.3">
      <c r="A3205" s="1" t="s">
        <v>12816</v>
      </c>
      <c r="B3205" s="1" t="str">
        <f>"HORIZON CIVIL ENGINEERING LTD"</f>
        <v>HORIZON CIVIL ENGINEERING LTD</v>
      </c>
      <c r="C3205" s="1" t="s">
        <v>12817</v>
      </c>
      <c r="D3205" s="1" t="s">
        <v>12818</v>
      </c>
      <c r="F3205" s="1" t="s">
        <v>12819</v>
      </c>
      <c r="H3205" s="1" t="s">
        <v>12820</v>
      </c>
      <c r="I3205" s="1" t="s">
        <v>19</v>
      </c>
      <c r="J3205" s="1" t="s">
        <v>6</v>
      </c>
      <c r="K3205" s="1" t="s">
        <v>34</v>
      </c>
      <c r="L3205" s="1">
        <v>6735773</v>
      </c>
      <c r="M3205" s="2">
        <v>42956</v>
      </c>
      <c r="N3205" s="1" t="s">
        <v>8</v>
      </c>
      <c r="O3205" s="2">
        <v>44052</v>
      </c>
    </row>
    <row r="3206" spans="1:15" ht="28.8" x14ac:dyDescent="0.3">
      <c r="A3206" s="1" t="s">
        <v>12821</v>
      </c>
      <c r="B3206" s="1" t="str">
        <f>"Castle Health - Helping Hands Ltd"</f>
        <v>Castle Health - Helping Hands Ltd</v>
      </c>
      <c r="C3206" s="1" t="s">
        <v>12822</v>
      </c>
      <c r="F3206" s="1" t="s">
        <v>123</v>
      </c>
      <c r="H3206" s="1" t="s">
        <v>12823</v>
      </c>
      <c r="I3206" s="1" t="s">
        <v>19</v>
      </c>
      <c r="J3206" s="1" t="s">
        <v>6</v>
      </c>
      <c r="K3206" s="1" t="s">
        <v>24</v>
      </c>
      <c r="L3206" s="1">
        <v>10202880</v>
      </c>
      <c r="M3206" s="2">
        <v>42956</v>
      </c>
      <c r="N3206" s="1" t="s">
        <v>8</v>
      </c>
      <c r="O3206" s="2">
        <v>44052</v>
      </c>
    </row>
    <row r="3207" spans="1:15" ht="28.8" x14ac:dyDescent="0.3">
      <c r="A3207" s="1" t="s">
        <v>12824</v>
      </c>
      <c r="B3207" s="1" t="str">
        <f>"Lloyds Haulage Limited"</f>
        <v>Lloyds Haulage Limited</v>
      </c>
      <c r="C3207" s="1" t="s">
        <v>12825</v>
      </c>
      <c r="F3207" s="1" t="s">
        <v>5463</v>
      </c>
      <c r="H3207" s="1" t="s">
        <v>12826</v>
      </c>
      <c r="I3207" s="1" t="s">
        <v>19</v>
      </c>
      <c r="J3207" s="1" t="s">
        <v>6</v>
      </c>
      <c r="K3207" s="1" t="s">
        <v>34</v>
      </c>
      <c r="L3207" s="1">
        <v>8865730</v>
      </c>
      <c r="M3207" s="2">
        <v>42956</v>
      </c>
      <c r="N3207" s="1" t="s">
        <v>8</v>
      </c>
      <c r="O3207" s="2">
        <v>44052</v>
      </c>
    </row>
    <row r="3208" spans="1:15" ht="28.8" x14ac:dyDescent="0.3">
      <c r="A3208" s="1" t="s">
        <v>12827</v>
      </c>
      <c r="B3208" s="1" t="str">
        <f>"Lucas Lofts &amp; Development Ltd"</f>
        <v>Lucas Lofts &amp; Development Ltd</v>
      </c>
      <c r="C3208" s="1" t="s">
        <v>12828</v>
      </c>
      <c r="F3208" s="1" t="s">
        <v>64</v>
      </c>
      <c r="H3208" s="1" t="s">
        <v>12829</v>
      </c>
      <c r="I3208" s="1" t="s">
        <v>19</v>
      </c>
      <c r="J3208" s="1" t="s">
        <v>6</v>
      </c>
      <c r="K3208" s="1" t="s">
        <v>24</v>
      </c>
      <c r="L3208" s="1">
        <v>9218771</v>
      </c>
      <c r="M3208" s="2">
        <v>42956</v>
      </c>
      <c r="N3208" s="1" t="s">
        <v>8</v>
      </c>
      <c r="O3208" s="2">
        <v>44052</v>
      </c>
    </row>
    <row r="3209" spans="1:15" ht="43.2" x14ac:dyDescent="0.3">
      <c r="A3209" s="1" t="s">
        <v>24796</v>
      </c>
      <c r="B3209" s="1" t="str">
        <f>"Andrew Allwood"</f>
        <v>Andrew Allwood</v>
      </c>
      <c r="C3209" s="1" t="s">
        <v>24797</v>
      </c>
      <c r="F3209" s="1" t="s">
        <v>4768</v>
      </c>
      <c r="H3209" s="1" t="s">
        <v>24798</v>
      </c>
      <c r="I3209" s="1" t="s">
        <v>5</v>
      </c>
      <c r="J3209" s="1" t="s">
        <v>67</v>
      </c>
      <c r="K3209" s="1" t="s">
        <v>14</v>
      </c>
      <c r="M3209" s="2">
        <v>42956</v>
      </c>
      <c r="N3209" s="1" t="s">
        <v>8</v>
      </c>
      <c r="O3209" s="1" t="s">
        <v>68</v>
      </c>
    </row>
    <row r="3210" spans="1:15" ht="28.8" x14ac:dyDescent="0.3">
      <c r="A3210" s="1" t="s">
        <v>24799</v>
      </c>
      <c r="B3210" s="1" t="str">
        <f>"Phillip Alm 247 parts"</f>
        <v>Phillip Alm 247 parts</v>
      </c>
      <c r="C3210" s="1" t="s">
        <v>24800</v>
      </c>
      <c r="D3210" s="1" t="s">
        <v>6825</v>
      </c>
      <c r="F3210" s="1" t="s">
        <v>64</v>
      </c>
      <c r="H3210" s="1" t="s">
        <v>24801</v>
      </c>
      <c r="I3210" s="1" t="s">
        <v>5</v>
      </c>
      <c r="J3210" s="1" t="s">
        <v>6</v>
      </c>
      <c r="K3210" s="1" t="s">
        <v>24</v>
      </c>
      <c r="M3210" s="2">
        <v>42956</v>
      </c>
      <c r="N3210" s="1" t="s">
        <v>8</v>
      </c>
      <c r="O3210" s="2">
        <v>44052</v>
      </c>
    </row>
    <row r="3211" spans="1:15" ht="28.8" x14ac:dyDescent="0.3">
      <c r="A3211" s="1" t="s">
        <v>25547</v>
      </c>
      <c r="B3211" s="1" t="str">
        <f>"Peter Hill PG Hill Landscapes"</f>
        <v>Peter Hill PG Hill Landscapes</v>
      </c>
      <c r="C3211" s="1" t="s">
        <v>25548</v>
      </c>
      <c r="F3211" s="1" t="s">
        <v>22</v>
      </c>
      <c r="H3211" s="1" t="s">
        <v>25549</v>
      </c>
      <c r="I3211" s="1" t="s">
        <v>5</v>
      </c>
      <c r="J3211" s="1" t="s">
        <v>6</v>
      </c>
      <c r="K3211" s="1" t="s">
        <v>24</v>
      </c>
      <c r="M3211" s="2">
        <v>42956</v>
      </c>
      <c r="N3211" s="1" t="s">
        <v>8</v>
      </c>
      <c r="O3211" s="2">
        <v>44052</v>
      </c>
    </row>
    <row r="3212" spans="1:15" ht="43.2" x14ac:dyDescent="0.3">
      <c r="A3212" s="1" t="s">
        <v>25550</v>
      </c>
      <c r="B3212" s="1" t="str">
        <f>"kevin bisp"</f>
        <v>kevin bisp</v>
      </c>
      <c r="C3212" s="1" t="s">
        <v>25551</v>
      </c>
      <c r="F3212" s="1" t="s">
        <v>7543</v>
      </c>
      <c r="H3212" s="1" t="s">
        <v>25552</v>
      </c>
      <c r="I3212" s="1" t="s">
        <v>5</v>
      </c>
      <c r="J3212" s="1" t="s">
        <v>67</v>
      </c>
      <c r="K3212" s="1" t="s">
        <v>14</v>
      </c>
      <c r="M3212" s="2">
        <v>42956</v>
      </c>
      <c r="N3212" s="1" t="s">
        <v>8</v>
      </c>
      <c r="O3212" s="1" t="s">
        <v>68</v>
      </c>
    </row>
    <row r="3213" spans="1:15" ht="43.2" x14ac:dyDescent="0.3">
      <c r="A3213" s="1" t="s">
        <v>25553</v>
      </c>
      <c r="B3213" s="1" t="str">
        <f>"Huw Davies"</f>
        <v>Huw Davies</v>
      </c>
      <c r="C3213" s="1" t="s">
        <v>25554</v>
      </c>
      <c r="D3213" s="1" t="s">
        <v>25555</v>
      </c>
      <c r="F3213" s="1" t="s">
        <v>2342</v>
      </c>
      <c r="H3213" s="1" t="s">
        <v>25556</v>
      </c>
      <c r="I3213" s="1" t="s">
        <v>5</v>
      </c>
      <c r="J3213" s="1" t="s">
        <v>67</v>
      </c>
      <c r="K3213" s="1" t="s">
        <v>14</v>
      </c>
      <c r="M3213" s="2">
        <v>42956</v>
      </c>
      <c r="N3213" s="1" t="s">
        <v>8</v>
      </c>
      <c r="O3213" s="1" t="s">
        <v>68</v>
      </c>
    </row>
    <row r="3214" spans="1:15" ht="28.8" x14ac:dyDescent="0.3">
      <c r="A3214" s="1" t="s">
        <v>11821</v>
      </c>
      <c r="B3214" s="1" t="str">
        <f>"D W REFRIGERATION LTD"</f>
        <v>D W REFRIGERATION LTD</v>
      </c>
      <c r="C3214" s="1" t="s">
        <v>11822</v>
      </c>
      <c r="F3214" s="1" t="s">
        <v>123</v>
      </c>
      <c r="H3214" s="1" t="s">
        <v>11823</v>
      </c>
      <c r="I3214" s="1" t="s">
        <v>19</v>
      </c>
      <c r="J3214" s="1" t="s">
        <v>6</v>
      </c>
      <c r="K3214" s="1" t="s">
        <v>34</v>
      </c>
      <c r="L3214" s="1">
        <v>4685321</v>
      </c>
      <c r="M3214" s="2">
        <v>42955</v>
      </c>
      <c r="N3214" s="1" t="s">
        <v>8</v>
      </c>
      <c r="O3214" s="2">
        <v>44051</v>
      </c>
    </row>
    <row r="3215" spans="1:15" x14ac:dyDescent="0.3">
      <c r="A3215" s="1" t="s">
        <v>11824</v>
      </c>
      <c r="B3215" s="1" t="str">
        <f>"Fairfield House"</f>
        <v>Fairfield House</v>
      </c>
      <c r="C3215" s="1" t="s">
        <v>11825</v>
      </c>
      <c r="F3215" s="1" t="s">
        <v>4331</v>
      </c>
      <c r="H3215" s="1" t="s">
        <v>11826</v>
      </c>
      <c r="I3215" s="1" t="s">
        <v>125</v>
      </c>
      <c r="J3215" s="1" t="s">
        <v>6</v>
      </c>
      <c r="K3215" s="1" t="s">
        <v>24</v>
      </c>
      <c r="M3215" s="2">
        <v>42955</v>
      </c>
      <c r="N3215" s="1" t="s">
        <v>8</v>
      </c>
      <c r="O3215" s="2">
        <v>44051</v>
      </c>
    </row>
    <row r="3216" spans="1:15" ht="43.2" x14ac:dyDescent="0.3">
      <c r="A3216" s="1" t="s">
        <v>11827</v>
      </c>
      <c r="B3216" s="1" t="str">
        <f>"Trojan-Mek Ltd."</f>
        <v>Trojan-Mek Ltd.</v>
      </c>
      <c r="C3216" s="1" t="s">
        <v>11828</v>
      </c>
      <c r="D3216" s="1" t="s">
        <v>564</v>
      </c>
      <c r="F3216" s="1" t="s">
        <v>179</v>
      </c>
      <c r="H3216" s="1" t="s">
        <v>1390</v>
      </c>
      <c r="I3216" s="1" t="s">
        <v>19</v>
      </c>
      <c r="J3216" s="1" t="s">
        <v>6</v>
      </c>
      <c r="K3216" s="1" t="s">
        <v>1859</v>
      </c>
      <c r="L3216" s="1">
        <v>5033940</v>
      </c>
      <c r="M3216" s="2">
        <v>42955</v>
      </c>
      <c r="N3216" s="1" t="s">
        <v>8</v>
      </c>
      <c r="O3216" s="2">
        <v>44051</v>
      </c>
    </row>
    <row r="3217" spans="1:15" ht="28.8" x14ac:dyDescent="0.3">
      <c r="A3217" s="1" t="s">
        <v>11829</v>
      </c>
      <c r="B3217" s="1" t="str">
        <f>"RJ &amp; ME Meredith"</f>
        <v>RJ &amp; ME Meredith</v>
      </c>
      <c r="C3217" s="1" t="s">
        <v>11830</v>
      </c>
      <c r="F3217" s="1" t="s">
        <v>1400</v>
      </c>
      <c r="H3217" s="1" t="s">
        <v>11831</v>
      </c>
      <c r="I3217" s="1" t="s">
        <v>125</v>
      </c>
      <c r="J3217" s="1" t="s">
        <v>6</v>
      </c>
      <c r="K3217" s="1" t="s">
        <v>34</v>
      </c>
      <c r="M3217" s="2">
        <v>42955</v>
      </c>
      <c r="N3217" s="1" t="s">
        <v>8</v>
      </c>
      <c r="O3217" s="2">
        <v>44051</v>
      </c>
    </row>
    <row r="3218" spans="1:15" ht="28.8" x14ac:dyDescent="0.3">
      <c r="A3218" s="1" t="s">
        <v>11832</v>
      </c>
      <c r="B3218" s="1" t="str">
        <f>"Electro-Main Services "</f>
        <v xml:space="preserve">Electro-Main Services </v>
      </c>
      <c r="C3218" s="1" t="s">
        <v>11833</v>
      </c>
      <c r="F3218" s="1" t="s">
        <v>123</v>
      </c>
      <c r="H3218" s="1" t="s">
        <v>3488</v>
      </c>
      <c r="I3218" s="1" t="s">
        <v>19</v>
      </c>
      <c r="J3218" s="1" t="s">
        <v>6</v>
      </c>
      <c r="K3218" s="1" t="s">
        <v>24</v>
      </c>
      <c r="L3218" s="1">
        <v>10374338</v>
      </c>
      <c r="M3218" s="2">
        <v>42955</v>
      </c>
      <c r="N3218" s="1" t="s">
        <v>8</v>
      </c>
      <c r="O3218" s="2">
        <v>44051</v>
      </c>
    </row>
    <row r="3219" spans="1:15" ht="28.8" x14ac:dyDescent="0.3">
      <c r="A3219" s="1" t="s">
        <v>11834</v>
      </c>
      <c r="B3219" s="1" t="str">
        <f>"SERS ENERGY SOLUTIONS LIMITED"</f>
        <v>SERS ENERGY SOLUTIONS LIMITED</v>
      </c>
      <c r="C3219" s="1" t="s">
        <v>11835</v>
      </c>
      <c r="D3219" s="1" t="s">
        <v>11836</v>
      </c>
      <c r="F3219" s="1" t="s">
        <v>1093</v>
      </c>
      <c r="H3219" s="1" t="s">
        <v>11837</v>
      </c>
      <c r="I3219" s="1" t="s">
        <v>19</v>
      </c>
      <c r="J3219" s="1" t="s">
        <v>6</v>
      </c>
      <c r="K3219" s="1" t="s">
        <v>1859</v>
      </c>
      <c r="L3219" s="1">
        <v>2473034</v>
      </c>
      <c r="M3219" s="2">
        <v>42955</v>
      </c>
      <c r="N3219" s="1" t="s">
        <v>8</v>
      </c>
      <c r="O3219" s="2">
        <v>44051</v>
      </c>
    </row>
    <row r="3220" spans="1:15" ht="28.8" x14ac:dyDescent="0.3">
      <c r="A3220" s="1" t="s">
        <v>11838</v>
      </c>
      <c r="B3220" s="1" t="str">
        <f>"Henry Jones (Criccieth) Ltd"</f>
        <v>Henry Jones (Criccieth) Ltd</v>
      </c>
      <c r="C3220" s="1" t="s">
        <v>11839</v>
      </c>
      <c r="F3220" s="1" t="s">
        <v>1538</v>
      </c>
      <c r="H3220" s="1" t="s">
        <v>11840</v>
      </c>
      <c r="I3220" s="1" t="s">
        <v>19</v>
      </c>
      <c r="J3220" s="1" t="s">
        <v>6</v>
      </c>
      <c r="K3220" s="1" t="s">
        <v>24</v>
      </c>
      <c r="L3220" s="1">
        <v>1060163</v>
      </c>
      <c r="M3220" s="2">
        <v>42955</v>
      </c>
      <c r="N3220" s="1" t="s">
        <v>8</v>
      </c>
      <c r="O3220" s="2">
        <v>44051</v>
      </c>
    </row>
    <row r="3221" spans="1:15" ht="28.8" x14ac:dyDescent="0.3">
      <c r="A3221" s="1" t="s">
        <v>24777</v>
      </c>
      <c r="B3221" s="1" t="str">
        <f>"Ricky  Chapman  Ricky Chapman"</f>
        <v>Ricky  Chapman  Ricky Chapman</v>
      </c>
      <c r="C3221" s="1" t="s">
        <v>24778</v>
      </c>
      <c r="F3221" s="1" t="s">
        <v>4813</v>
      </c>
      <c r="H3221" s="1" t="s">
        <v>24779</v>
      </c>
      <c r="I3221" s="1" t="s">
        <v>5</v>
      </c>
      <c r="J3221" s="1" t="s">
        <v>6</v>
      </c>
      <c r="K3221" s="1" t="s">
        <v>34</v>
      </c>
      <c r="M3221" s="2">
        <v>42955</v>
      </c>
      <c r="N3221" s="1" t="s">
        <v>8</v>
      </c>
      <c r="O3221" s="2">
        <v>44051</v>
      </c>
    </row>
    <row r="3222" spans="1:15" ht="28.8" x14ac:dyDescent="0.3">
      <c r="A3222" s="1" t="s">
        <v>24780</v>
      </c>
      <c r="B3222" s="1" t="str">
        <f>"Ricky  Chapman  Ricky chapman"</f>
        <v>Ricky  Chapman  Ricky chapman</v>
      </c>
      <c r="C3222" s="1" t="s">
        <v>24778</v>
      </c>
      <c r="F3222" s="1" t="s">
        <v>4813</v>
      </c>
      <c r="H3222" s="1" t="s">
        <v>24779</v>
      </c>
      <c r="I3222" s="1" t="s">
        <v>5</v>
      </c>
      <c r="J3222" s="1" t="s">
        <v>6</v>
      </c>
      <c r="K3222" s="1" t="s">
        <v>34</v>
      </c>
      <c r="M3222" s="2">
        <v>42955</v>
      </c>
      <c r="N3222" s="1" t="s">
        <v>8</v>
      </c>
      <c r="O3222" s="2">
        <v>44051</v>
      </c>
    </row>
    <row r="3223" spans="1:15" ht="28.8" x14ac:dyDescent="0.3">
      <c r="A3223" s="1" t="s">
        <v>24781</v>
      </c>
      <c r="B3223" s="1" t="str">
        <f>"Ross Griffiths"</f>
        <v>Ross Griffiths</v>
      </c>
      <c r="C3223" s="1" t="s">
        <v>24782</v>
      </c>
      <c r="F3223" s="1" t="s">
        <v>22</v>
      </c>
      <c r="H3223" s="1" t="s">
        <v>24783</v>
      </c>
      <c r="I3223" s="1" t="s">
        <v>5</v>
      </c>
      <c r="J3223" s="1" t="s">
        <v>6</v>
      </c>
      <c r="K3223" s="1" t="s">
        <v>34</v>
      </c>
      <c r="M3223" s="2">
        <v>42955</v>
      </c>
      <c r="N3223" s="1" t="s">
        <v>8</v>
      </c>
      <c r="O3223" s="2">
        <v>44051</v>
      </c>
    </row>
    <row r="3224" spans="1:15" ht="43.2" x14ac:dyDescent="0.3">
      <c r="A3224" s="1" t="s">
        <v>24784</v>
      </c>
      <c r="B3224" s="1" t="str">
        <f>"kersh grinnell"</f>
        <v>kersh grinnell</v>
      </c>
      <c r="C3224" s="1" t="s">
        <v>24785</v>
      </c>
      <c r="F3224" s="1" t="s">
        <v>179</v>
      </c>
      <c r="H3224" s="1" t="s">
        <v>24786</v>
      </c>
      <c r="I3224" s="1" t="s">
        <v>5</v>
      </c>
      <c r="J3224" s="1" t="s">
        <v>67</v>
      </c>
      <c r="K3224" s="1" t="s">
        <v>14</v>
      </c>
      <c r="M3224" s="2">
        <v>42955</v>
      </c>
      <c r="N3224" s="1" t="s">
        <v>8</v>
      </c>
      <c r="O3224" s="1" t="s">
        <v>68</v>
      </c>
    </row>
    <row r="3225" spans="1:15" ht="43.2" x14ac:dyDescent="0.3">
      <c r="A3225" s="1" t="s">
        <v>24787</v>
      </c>
      <c r="B3225" s="1" t="str">
        <f>"David Fairhurst"</f>
        <v>David Fairhurst</v>
      </c>
      <c r="C3225" s="1" t="s">
        <v>24788</v>
      </c>
      <c r="D3225" s="1" t="s">
        <v>1358</v>
      </c>
      <c r="F3225" s="1" t="s">
        <v>782</v>
      </c>
      <c r="H3225" s="1" t="s">
        <v>24789</v>
      </c>
      <c r="I3225" s="1" t="s">
        <v>5</v>
      </c>
      <c r="J3225" s="1" t="s">
        <v>67</v>
      </c>
      <c r="K3225" s="1" t="s">
        <v>24</v>
      </c>
      <c r="M3225" s="2">
        <v>42955</v>
      </c>
      <c r="N3225" s="1" t="s">
        <v>8</v>
      </c>
      <c r="O3225" s="1" t="s">
        <v>68</v>
      </c>
    </row>
    <row r="3226" spans="1:15" ht="28.8" x14ac:dyDescent="0.3">
      <c r="A3226" s="1" t="s">
        <v>24790</v>
      </c>
      <c r="B3226" s="1" t="str">
        <f>"Colin Jenkins Aztec Waste Services"</f>
        <v>Colin Jenkins Aztec Waste Services</v>
      </c>
      <c r="C3226" s="1" t="s">
        <v>24791</v>
      </c>
      <c r="F3226" s="1" t="s">
        <v>64</v>
      </c>
      <c r="H3226" s="1" t="s">
        <v>24792</v>
      </c>
      <c r="I3226" s="1" t="s">
        <v>5</v>
      </c>
      <c r="J3226" s="1" t="s">
        <v>6</v>
      </c>
      <c r="K3226" s="1" t="s">
        <v>24</v>
      </c>
      <c r="M3226" s="2">
        <v>42955</v>
      </c>
      <c r="N3226" s="1" t="s">
        <v>8</v>
      </c>
      <c r="O3226" s="2">
        <v>44051</v>
      </c>
    </row>
    <row r="3227" spans="1:15" ht="28.8" x14ac:dyDescent="0.3">
      <c r="A3227" s="1" t="s">
        <v>24793</v>
      </c>
      <c r="B3227" s="1" t="str">
        <f>"William James Williams"</f>
        <v>William James Williams</v>
      </c>
      <c r="C3227" s="1" t="s">
        <v>24794</v>
      </c>
      <c r="F3227" s="1" t="s">
        <v>277</v>
      </c>
      <c r="H3227" s="1" t="s">
        <v>24795</v>
      </c>
      <c r="I3227" s="1" t="s">
        <v>5</v>
      </c>
      <c r="J3227" s="1" t="s">
        <v>6</v>
      </c>
      <c r="K3227" s="1" t="s">
        <v>34</v>
      </c>
      <c r="M3227" s="2">
        <v>42955</v>
      </c>
      <c r="N3227" s="1" t="s">
        <v>8</v>
      </c>
      <c r="O3227" s="2">
        <v>44051</v>
      </c>
    </row>
    <row r="3228" spans="1:15" ht="43.2" x14ac:dyDescent="0.3">
      <c r="A3228" s="1" t="s">
        <v>10808</v>
      </c>
      <c r="B3228" s="1" t="str">
        <f>"CLAYTON ENGINEERING LIMITED"</f>
        <v>CLAYTON ENGINEERING LIMITED</v>
      </c>
      <c r="C3228" s="1" t="s">
        <v>10809</v>
      </c>
      <c r="F3228" s="1" t="s">
        <v>1986</v>
      </c>
      <c r="H3228" s="1" t="s">
        <v>10810</v>
      </c>
      <c r="I3228" s="1" t="s">
        <v>19</v>
      </c>
      <c r="J3228" s="1" t="s">
        <v>67</v>
      </c>
      <c r="K3228" s="1" t="s">
        <v>24</v>
      </c>
      <c r="L3228" s="1">
        <v>1274923</v>
      </c>
      <c r="M3228" s="2">
        <v>42954</v>
      </c>
      <c r="N3228" s="1" t="s">
        <v>8</v>
      </c>
      <c r="O3228" s="1" t="s">
        <v>68</v>
      </c>
    </row>
    <row r="3229" spans="1:15" ht="28.8" x14ac:dyDescent="0.3">
      <c r="A3229" s="1" t="s">
        <v>10811</v>
      </c>
      <c r="B3229" s="1" t="str">
        <f>"OIL FACILITIES LTD"</f>
        <v>OIL FACILITIES LTD</v>
      </c>
      <c r="C3229" s="1" t="s">
        <v>10812</v>
      </c>
      <c r="D3229" s="1" t="s">
        <v>781</v>
      </c>
      <c r="F3229" s="1" t="s">
        <v>782</v>
      </c>
      <c r="H3229" s="1" t="s">
        <v>4030</v>
      </c>
      <c r="I3229" s="1" t="s">
        <v>19</v>
      </c>
      <c r="J3229" s="1" t="s">
        <v>6</v>
      </c>
      <c r="K3229" s="1" t="s">
        <v>34</v>
      </c>
      <c r="L3229" s="1">
        <v>6360712</v>
      </c>
      <c r="M3229" s="2">
        <v>42954</v>
      </c>
      <c r="N3229" s="1" t="s">
        <v>8</v>
      </c>
      <c r="O3229" s="2">
        <v>44050</v>
      </c>
    </row>
    <row r="3230" spans="1:15" ht="28.8" x14ac:dyDescent="0.3">
      <c r="A3230" s="1" t="s">
        <v>10813</v>
      </c>
      <c r="B3230" s="1" t="str">
        <f>"CRS HAULAGE"</f>
        <v>CRS HAULAGE</v>
      </c>
      <c r="C3230" s="1" t="s">
        <v>10814</v>
      </c>
      <c r="F3230" s="1" t="s">
        <v>4645</v>
      </c>
      <c r="H3230" s="1" t="s">
        <v>10815</v>
      </c>
      <c r="I3230" s="1" t="s">
        <v>125</v>
      </c>
      <c r="J3230" s="1" t="s">
        <v>6</v>
      </c>
      <c r="K3230" s="1" t="s">
        <v>34</v>
      </c>
      <c r="M3230" s="2">
        <v>42954</v>
      </c>
      <c r="N3230" s="1" t="s">
        <v>8</v>
      </c>
      <c r="O3230" s="2">
        <v>44050</v>
      </c>
    </row>
    <row r="3231" spans="1:15" ht="43.2" x14ac:dyDescent="0.3">
      <c r="A3231" s="1" t="s">
        <v>10816</v>
      </c>
      <c r="B3231" s="1" t="str">
        <f>"Nant Consulting Ltd"</f>
        <v>Nant Consulting Ltd</v>
      </c>
      <c r="C3231" s="1" t="s">
        <v>10817</v>
      </c>
      <c r="F3231" s="1" t="s">
        <v>3251</v>
      </c>
      <c r="H3231" s="1" t="s">
        <v>10818</v>
      </c>
      <c r="I3231" s="1" t="s">
        <v>19</v>
      </c>
      <c r="J3231" s="1" t="s">
        <v>67</v>
      </c>
      <c r="K3231" s="1" t="s">
        <v>14</v>
      </c>
      <c r="M3231" s="2">
        <v>42954</v>
      </c>
      <c r="N3231" s="1" t="s">
        <v>8</v>
      </c>
      <c r="O3231" s="1" t="s">
        <v>68</v>
      </c>
    </row>
    <row r="3232" spans="1:15" ht="28.8" x14ac:dyDescent="0.3">
      <c r="A3232" s="1" t="s">
        <v>10819</v>
      </c>
      <c r="B3232" s="1" t="str">
        <f>"J Talbot groundwork ltd. "</f>
        <v xml:space="preserve">J Talbot groundwork ltd. </v>
      </c>
      <c r="C3232" s="1" t="s">
        <v>10820</v>
      </c>
      <c r="D3232" s="1" t="s">
        <v>276</v>
      </c>
      <c r="F3232" s="1" t="s">
        <v>277</v>
      </c>
      <c r="H3232" s="1" t="s">
        <v>10821</v>
      </c>
      <c r="I3232" s="1" t="s">
        <v>19</v>
      </c>
      <c r="J3232" s="1" t="s">
        <v>6</v>
      </c>
      <c r="K3232" s="1" t="s">
        <v>24</v>
      </c>
      <c r="L3232" s="1">
        <v>7780806</v>
      </c>
      <c r="M3232" s="2">
        <v>42954</v>
      </c>
      <c r="N3232" s="1" t="s">
        <v>8</v>
      </c>
      <c r="O3232" s="2">
        <v>44050</v>
      </c>
    </row>
    <row r="3233" spans="1:15" ht="28.8" x14ac:dyDescent="0.3">
      <c r="A3233" s="1" t="s">
        <v>11818</v>
      </c>
      <c r="B3233" s="1" t="str">
        <f>"HSM Property Services Ltd"</f>
        <v>HSM Property Services Ltd</v>
      </c>
      <c r="C3233" s="1" t="s">
        <v>11819</v>
      </c>
      <c r="F3233" s="1" t="s">
        <v>532</v>
      </c>
      <c r="H3233" s="1" t="s">
        <v>11820</v>
      </c>
      <c r="I3233" s="1" t="s">
        <v>19</v>
      </c>
      <c r="J3233" s="1" t="s">
        <v>6</v>
      </c>
      <c r="K3233" s="1" t="s">
        <v>24</v>
      </c>
      <c r="L3233" s="1">
        <v>10144112</v>
      </c>
      <c r="M3233" s="2">
        <v>42954</v>
      </c>
      <c r="N3233" s="1" t="s">
        <v>8</v>
      </c>
      <c r="O3233" s="2">
        <v>44050</v>
      </c>
    </row>
    <row r="3234" spans="1:15" ht="28.8" x14ac:dyDescent="0.3">
      <c r="A3234" s="1" t="s">
        <v>23927</v>
      </c>
      <c r="B3234" s="1" t="str">
        <f>"Ian Lawrence I A L Contracting"</f>
        <v>Ian Lawrence I A L Contracting</v>
      </c>
      <c r="C3234" s="1" t="s">
        <v>23928</v>
      </c>
      <c r="F3234" s="1" t="s">
        <v>21397</v>
      </c>
      <c r="H3234" s="1" t="s">
        <v>23929</v>
      </c>
      <c r="I3234" s="1" t="s">
        <v>5</v>
      </c>
      <c r="J3234" s="1" t="s">
        <v>6</v>
      </c>
      <c r="K3234" s="1" t="s">
        <v>24</v>
      </c>
      <c r="M3234" s="2">
        <v>42954</v>
      </c>
      <c r="N3234" s="1" t="s">
        <v>8</v>
      </c>
      <c r="O3234" s="2">
        <v>44050</v>
      </c>
    </row>
    <row r="3235" spans="1:15" ht="28.8" x14ac:dyDescent="0.3">
      <c r="A3235" s="1" t="s">
        <v>23930</v>
      </c>
      <c r="B3235" s="1" t="str">
        <f>"TREVOR EDMUNDS T J EDMUNDS &amp; SON"</f>
        <v>TREVOR EDMUNDS T J EDMUNDS &amp; SON</v>
      </c>
      <c r="C3235" s="1" t="s">
        <v>23931</v>
      </c>
      <c r="F3235" s="1" t="s">
        <v>364</v>
      </c>
      <c r="H3235" s="1" t="s">
        <v>23932</v>
      </c>
      <c r="I3235" s="1" t="s">
        <v>5</v>
      </c>
      <c r="J3235" s="1" t="s">
        <v>6</v>
      </c>
      <c r="K3235" s="1" t="s">
        <v>34</v>
      </c>
      <c r="M3235" s="2">
        <v>42954</v>
      </c>
      <c r="N3235" s="1" t="s">
        <v>8</v>
      </c>
      <c r="O3235" s="2">
        <v>44050</v>
      </c>
    </row>
    <row r="3236" spans="1:15" ht="28.8" x14ac:dyDescent="0.3">
      <c r="A3236" s="1" t="s">
        <v>23933</v>
      </c>
      <c r="B3236" s="1" t="str">
        <f>"ross mulligan ross mulligan"</f>
        <v>ross mulligan ross mulligan</v>
      </c>
      <c r="C3236" s="1" t="s">
        <v>23934</v>
      </c>
      <c r="F3236" s="1" t="s">
        <v>64</v>
      </c>
      <c r="H3236" s="1" t="s">
        <v>23935</v>
      </c>
      <c r="I3236" s="1" t="s">
        <v>5</v>
      </c>
      <c r="J3236" s="1" t="s">
        <v>6</v>
      </c>
      <c r="K3236" s="1" t="s">
        <v>24</v>
      </c>
      <c r="M3236" s="2">
        <v>42954</v>
      </c>
      <c r="N3236" s="1" t="s">
        <v>8</v>
      </c>
      <c r="O3236" s="2">
        <v>44050</v>
      </c>
    </row>
    <row r="3237" spans="1:15" ht="28.8" x14ac:dyDescent="0.3">
      <c r="A3237" s="1" t="s">
        <v>23936</v>
      </c>
      <c r="B3237" s="1" t="str">
        <f>"Martyn Lewis Martyn Lewis Painter &amp; Dec"</f>
        <v>Martyn Lewis Martyn Lewis Painter &amp; Dec</v>
      </c>
      <c r="C3237" s="1" t="s">
        <v>23937</v>
      </c>
      <c r="F3237" s="1" t="s">
        <v>7844</v>
      </c>
      <c r="H3237" s="1" t="s">
        <v>23938</v>
      </c>
      <c r="I3237" s="1" t="s">
        <v>5</v>
      </c>
      <c r="J3237" s="1" t="s">
        <v>6</v>
      </c>
      <c r="K3237" s="1" t="s">
        <v>24</v>
      </c>
      <c r="M3237" s="2">
        <v>42954</v>
      </c>
      <c r="N3237" s="1" t="s">
        <v>8</v>
      </c>
      <c r="O3237" s="2">
        <v>44050</v>
      </c>
    </row>
    <row r="3238" spans="1:15" ht="28.8" x14ac:dyDescent="0.3">
      <c r="A3238" s="1" t="s">
        <v>24764</v>
      </c>
      <c r="B3238" s="1" t="str">
        <f>"David Evans David Evans &amp; Sons"</f>
        <v>David Evans David Evans &amp; Sons</v>
      </c>
      <c r="C3238" s="1" t="s">
        <v>24765</v>
      </c>
      <c r="F3238" s="1" t="s">
        <v>32</v>
      </c>
      <c r="H3238" s="1" t="s">
        <v>24766</v>
      </c>
      <c r="I3238" s="1" t="s">
        <v>5</v>
      </c>
      <c r="J3238" s="1" t="s">
        <v>6</v>
      </c>
      <c r="K3238" s="1" t="s">
        <v>24</v>
      </c>
      <c r="M3238" s="2">
        <v>42954</v>
      </c>
      <c r="N3238" s="1" t="s">
        <v>8</v>
      </c>
      <c r="O3238" s="2">
        <v>44050</v>
      </c>
    </row>
    <row r="3239" spans="1:15" ht="28.8" x14ac:dyDescent="0.3">
      <c r="A3239" s="1" t="s">
        <v>24767</v>
      </c>
      <c r="B3239" s="1" t="str">
        <f>"clive anderson cvbuilding"</f>
        <v>clive anderson cvbuilding</v>
      </c>
      <c r="C3239" s="1" t="s">
        <v>24768</v>
      </c>
      <c r="F3239" s="1" t="s">
        <v>1093</v>
      </c>
      <c r="H3239" s="1" t="s">
        <v>24769</v>
      </c>
      <c r="I3239" s="1" t="s">
        <v>5</v>
      </c>
      <c r="J3239" s="1" t="s">
        <v>6</v>
      </c>
      <c r="K3239" s="1" t="s">
        <v>24</v>
      </c>
      <c r="M3239" s="2">
        <v>42954</v>
      </c>
      <c r="N3239" s="1" t="s">
        <v>8</v>
      </c>
      <c r="O3239" s="2">
        <v>44050</v>
      </c>
    </row>
    <row r="3240" spans="1:15" ht="43.2" x14ac:dyDescent="0.3">
      <c r="A3240" s="1" t="s">
        <v>24770</v>
      </c>
      <c r="B3240" s="1" t="str">
        <f>"Damian Davies"</f>
        <v>Damian Davies</v>
      </c>
      <c r="C3240" s="1" t="s">
        <v>24771</v>
      </c>
      <c r="D3240" s="1" t="s">
        <v>24772</v>
      </c>
      <c r="F3240" s="1" t="s">
        <v>11430</v>
      </c>
      <c r="H3240" s="1" t="s">
        <v>24773</v>
      </c>
      <c r="I3240" s="1" t="s">
        <v>5</v>
      </c>
      <c r="J3240" s="1" t="s">
        <v>67</v>
      </c>
      <c r="K3240" s="1" t="s">
        <v>24</v>
      </c>
      <c r="M3240" s="2">
        <v>42954</v>
      </c>
      <c r="N3240" s="1" t="s">
        <v>8</v>
      </c>
      <c r="O3240" s="1" t="s">
        <v>68</v>
      </c>
    </row>
    <row r="3241" spans="1:15" ht="28.8" x14ac:dyDescent="0.3">
      <c r="A3241" s="1" t="s">
        <v>24774</v>
      </c>
      <c r="B3241" s="1" t="str">
        <f>"Michael Swaine Michael Swaine"</f>
        <v>Michael Swaine Michael Swaine</v>
      </c>
      <c r="C3241" s="1" t="s">
        <v>24775</v>
      </c>
      <c r="F3241" s="1" t="s">
        <v>123</v>
      </c>
      <c r="H3241" s="1" t="s">
        <v>24776</v>
      </c>
      <c r="I3241" s="1" t="s">
        <v>5</v>
      </c>
      <c r="J3241" s="1" t="s">
        <v>6</v>
      </c>
      <c r="K3241" s="1" t="s">
        <v>34</v>
      </c>
      <c r="M3241" s="2">
        <v>42954</v>
      </c>
      <c r="N3241" s="1" t="s">
        <v>8</v>
      </c>
      <c r="O3241" s="2">
        <v>44050</v>
      </c>
    </row>
    <row r="3242" spans="1:15" ht="28.8" x14ac:dyDescent="0.3">
      <c r="A3242" s="1" t="s">
        <v>10801</v>
      </c>
      <c r="B3242" s="1" t="str">
        <f>"S W RENDERING LTD"</f>
        <v>S W RENDERING LTD</v>
      </c>
      <c r="C3242" s="1" t="s">
        <v>10802</v>
      </c>
      <c r="F3242" s="1" t="s">
        <v>358</v>
      </c>
      <c r="H3242" s="1" t="s">
        <v>10803</v>
      </c>
      <c r="I3242" s="1" t="s">
        <v>19</v>
      </c>
      <c r="J3242" s="1" t="s">
        <v>6</v>
      </c>
      <c r="K3242" s="1" t="s">
        <v>34</v>
      </c>
      <c r="L3242" s="1">
        <v>8664823</v>
      </c>
      <c r="M3242" s="2">
        <v>42953</v>
      </c>
      <c r="N3242" s="1" t="s">
        <v>8</v>
      </c>
      <c r="O3242" s="2">
        <v>44049</v>
      </c>
    </row>
    <row r="3243" spans="1:15" ht="28.8" x14ac:dyDescent="0.3">
      <c r="A3243" s="1" t="s">
        <v>10804</v>
      </c>
      <c r="B3243" s="1" t="str">
        <f>"Smith &amp; Sons Structural Ltd"</f>
        <v>Smith &amp; Sons Structural Ltd</v>
      </c>
      <c r="C3243" s="1" t="s">
        <v>10805</v>
      </c>
      <c r="F3243" s="1" t="s">
        <v>10806</v>
      </c>
      <c r="H3243" s="1" t="s">
        <v>10807</v>
      </c>
      <c r="I3243" s="1" t="s">
        <v>19</v>
      </c>
      <c r="J3243" s="1" t="s">
        <v>6</v>
      </c>
      <c r="K3243" s="1" t="s">
        <v>34</v>
      </c>
      <c r="L3243" s="1">
        <v>9171251</v>
      </c>
      <c r="M3243" s="2">
        <v>42953</v>
      </c>
      <c r="N3243" s="1" t="s">
        <v>8</v>
      </c>
      <c r="O3243" s="2">
        <v>44049</v>
      </c>
    </row>
    <row r="3244" spans="1:15" ht="43.2" x14ac:dyDescent="0.3">
      <c r="A3244" s="1" t="s">
        <v>23924</v>
      </c>
      <c r="B3244" s="1" t="str">
        <f>"David Roberts"</f>
        <v>David Roberts</v>
      </c>
      <c r="C3244" s="1" t="s">
        <v>23925</v>
      </c>
      <c r="F3244" s="1" t="s">
        <v>359</v>
      </c>
      <c r="H3244" s="1" t="s">
        <v>23926</v>
      </c>
      <c r="I3244" s="1" t="s">
        <v>5</v>
      </c>
      <c r="J3244" s="1" t="s">
        <v>67</v>
      </c>
      <c r="K3244" s="1" t="s">
        <v>24</v>
      </c>
      <c r="M3244" s="2">
        <v>42953</v>
      </c>
      <c r="N3244" s="1" t="s">
        <v>8</v>
      </c>
      <c r="O3244" s="1" t="s">
        <v>68</v>
      </c>
    </row>
    <row r="3245" spans="1:15" ht="43.2" x14ac:dyDescent="0.3">
      <c r="A3245" s="1" t="s">
        <v>23921</v>
      </c>
      <c r="B3245" s="1" t="str">
        <f>"Gareth  Moore  Supreme home improvements "</f>
        <v xml:space="preserve">Gareth  Moore  Supreme home improvements </v>
      </c>
      <c r="C3245" s="1" t="s">
        <v>23922</v>
      </c>
      <c r="F3245" s="1" t="s">
        <v>140</v>
      </c>
      <c r="H3245" s="1" t="s">
        <v>23923</v>
      </c>
      <c r="I3245" s="1" t="s">
        <v>5</v>
      </c>
      <c r="J3245" s="1" t="s">
        <v>6</v>
      </c>
      <c r="K3245" s="1" t="s">
        <v>24</v>
      </c>
      <c r="M3245" s="2">
        <v>42952</v>
      </c>
      <c r="N3245" s="1" t="s">
        <v>8</v>
      </c>
      <c r="O3245" s="2">
        <v>44048</v>
      </c>
    </row>
    <row r="3246" spans="1:15" ht="28.8" x14ac:dyDescent="0.3">
      <c r="A3246" s="1" t="s">
        <v>9809</v>
      </c>
      <c r="B3246" s="1" t="str">
        <f>"E-TEC ELECTRICS LTD"</f>
        <v>E-TEC ELECTRICS LTD</v>
      </c>
      <c r="C3246" s="1" t="s">
        <v>9810</v>
      </c>
      <c r="D3246" s="1" t="s">
        <v>9811</v>
      </c>
      <c r="F3246" s="1" t="s">
        <v>706</v>
      </c>
      <c r="H3246" s="1" t="s">
        <v>6560</v>
      </c>
      <c r="I3246" s="1" t="s">
        <v>19</v>
      </c>
      <c r="J3246" s="1" t="s">
        <v>6</v>
      </c>
      <c r="K3246" s="1" t="s">
        <v>34</v>
      </c>
      <c r="L3246" s="1">
        <v>5824535</v>
      </c>
      <c r="M3246" s="2">
        <v>42951</v>
      </c>
      <c r="N3246" s="1" t="s">
        <v>8</v>
      </c>
      <c r="O3246" s="2">
        <v>44047</v>
      </c>
    </row>
    <row r="3247" spans="1:15" ht="28.8" x14ac:dyDescent="0.3">
      <c r="A3247" s="1" t="s">
        <v>9812</v>
      </c>
      <c r="B3247" s="1" t="str">
        <f>"JETSWEEP LTD"</f>
        <v>JETSWEEP LTD</v>
      </c>
      <c r="C3247" s="1" t="s">
        <v>9813</v>
      </c>
      <c r="F3247" s="1" t="s">
        <v>665</v>
      </c>
      <c r="H3247" s="1" t="s">
        <v>9814</v>
      </c>
      <c r="I3247" s="1" t="s">
        <v>19</v>
      </c>
      <c r="J3247" s="1" t="s">
        <v>6</v>
      </c>
      <c r="K3247" s="1" t="s">
        <v>24</v>
      </c>
      <c r="L3247" s="1">
        <v>2271025</v>
      </c>
      <c r="M3247" s="2">
        <v>42951</v>
      </c>
      <c r="N3247" s="1" t="s">
        <v>8</v>
      </c>
      <c r="O3247" s="2">
        <v>44047</v>
      </c>
    </row>
    <row r="3248" spans="1:15" x14ac:dyDescent="0.3">
      <c r="A3248" s="1" t="s">
        <v>23121</v>
      </c>
      <c r="B3248" s="1" t="str">
        <f>"Jefferey Jones"</f>
        <v>Jefferey Jones</v>
      </c>
      <c r="C3248" s="1" t="s">
        <v>23122</v>
      </c>
      <c r="F3248" s="1" t="s">
        <v>2066</v>
      </c>
      <c r="H3248" s="1" t="s">
        <v>23123</v>
      </c>
      <c r="I3248" s="1" t="s">
        <v>5</v>
      </c>
      <c r="J3248" s="1" t="s">
        <v>6</v>
      </c>
      <c r="K3248" s="1" t="s">
        <v>24</v>
      </c>
      <c r="M3248" s="2">
        <v>42951</v>
      </c>
      <c r="N3248" s="1" t="s">
        <v>8</v>
      </c>
      <c r="O3248" s="2">
        <v>44047</v>
      </c>
    </row>
    <row r="3249" spans="1:15" ht="28.8" x14ac:dyDescent="0.3">
      <c r="A3249" s="1" t="s">
        <v>23918</v>
      </c>
      <c r="B3249" s="1" t="str">
        <f>"Paul Franklin Victoria Carpets"</f>
        <v>Paul Franklin Victoria Carpets</v>
      </c>
      <c r="C3249" s="1" t="s">
        <v>23919</v>
      </c>
      <c r="F3249" s="1" t="s">
        <v>475</v>
      </c>
      <c r="H3249" s="1" t="s">
        <v>23920</v>
      </c>
      <c r="I3249" s="1" t="s">
        <v>5</v>
      </c>
      <c r="J3249" s="1" t="s">
        <v>6</v>
      </c>
      <c r="K3249" s="1" t="s">
        <v>34</v>
      </c>
      <c r="M3249" s="2">
        <v>42951</v>
      </c>
      <c r="N3249" s="1" t="s">
        <v>8</v>
      </c>
      <c r="O3249" s="2">
        <v>44047</v>
      </c>
    </row>
    <row r="3250" spans="1:15" ht="43.2" x14ac:dyDescent="0.3">
      <c r="A3250" s="1" t="s">
        <v>9796</v>
      </c>
      <c r="B3250" s="1" t="str">
        <f>"Clothing Recycling Centres Limited"</f>
        <v>Clothing Recycling Centres Limited</v>
      </c>
      <c r="C3250" s="1" t="s">
        <v>9797</v>
      </c>
      <c r="D3250" s="1" t="s">
        <v>4857</v>
      </c>
      <c r="F3250" s="1" t="s">
        <v>1093</v>
      </c>
      <c r="H3250" s="1" t="s">
        <v>9314</v>
      </c>
      <c r="I3250" s="1" t="s">
        <v>19</v>
      </c>
      <c r="J3250" s="1" t="s">
        <v>67</v>
      </c>
      <c r="K3250" s="1" t="s">
        <v>34</v>
      </c>
      <c r="L3250" s="1">
        <v>7742208</v>
      </c>
      <c r="M3250" s="2">
        <v>42950</v>
      </c>
      <c r="N3250" s="1" t="s">
        <v>8</v>
      </c>
      <c r="O3250" s="1" t="s">
        <v>68</v>
      </c>
    </row>
    <row r="3251" spans="1:15" ht="28.8" x14ac:dyDescent="0.3">
      <c r="A3251" s="1" t="s">
        <v>9798</v>
      </c>
      <c r="B3251" s="1" t="str">
        <f>"Clothing Recycling Centres Limited"</f>
        <v>Clothing Recycling Centres Limited</v>
      </c>
      <c r="C3251" s="1" t="s">
        <v>9797</v>
      </c>
      <c r="D3251" s="1" t="s">
        <v>4857</v>
      </c>
      <c r="F3251" s="1" t="s">
        <v>1093</v>
      </c>
      <c r="H3251" s="1" t="s">
        <v>9314</v>
      </c>
      <c r="I3251" s="1" t="s">
        <v>19</v>
      </c>
      <c r="J3251" s="1" t="s">
        <v>6</v>
      </c>
      <c r="K3251" s="1" t="s">
        <v>34</v>
      </c>
      <c r="L3251" s="1">
        <v>7742208</v>
      </c>
      <c r="M3251" s="2">
        <v>42950</v>
      </c>
      <c r="N3251" s="1" t="s">
        <v>8</v>
      </c>
      <c r="O3251" s="2">
        <v>44046</v>
      </c>
    </row>
    <row r="3252" spans="1:15" ht="43.2" x14ac:dyDescent="0.3">
      <c r="A3252" s="1" t="s">
        <v>9799</v>
      </c>
      <c r="B3252" s="1" t="str">
        <f>"Rhosyntir Limited"</f>
        <v>Rhosyntir Limited</v>
      </c>
      <c r="C3252" s="1" t="s">
        <v>9800</v>
      </c>
      <c r="F3252" s="1" t="s">
        <v>2459</v>
      </c>
      <c r="H3252" s="1" t="s">
        <v>9801</v>
      </c>
      <c r="I3252" s="1" t="s">
        <v>19</v>
      </c>
      <c r="J3252" s="1" t="s">
        <v>67</v>
      </c>
      <c r="K3252" s="1" t="s">
        <v>14</v>
      </c>
      <c r="M3252" s="2">
        <v>42950</v>
      </c>
      <c r="N3252" s="1" t="s">
        <v>8</v>
      </c>
      <c r="O3252" s="1" t="s">
        <v>68</v>
      </c>
    </row>
    <row r="3253" spans="1:15" ht="28.8" x14ac:dyDescent="0.3">
      <c r="A3253" s="1" t="s">
        <v>9802</v>
      </c>
      <c r="B3253" s="1" t="str">
        <f>"fine edge construction"</f>
        <v>fine edge construction</v>
      </c>
      <c r="C3253" s="1" t="s">
        <v>9803</v>
      </c>
      <c r="F3253" s="1" t="s">
        <v>2200</v>
      </c>
      <c r="H3253" s="1" t="s">
        <v>9804</v>
      </c>
      <c r="I3253" s="1" t="s">
        <v>19</v>
      </c>
      <c r="J3253" s="1" t="s">
        <v>6</v>
      </c>
      <c r="K3253" s="1" t="s">
        <v>34</v>
      </c>
      <c r="L3253" s="1">
        <v>7494816</v>
      </c>
      <c r="M3253" s="2">
        <v>42950</v>
      </c>
      <c r="N3253" s="1" t="s">
        <v>8</v>
      </c>
      <c r="O3253" s="2">
        <v>44046</v>
      </c>
    </row>
    <row r="3254" spans="1:15" ht="43.2" x14ac:dyDescent="0.3">
      <c r="A3254" s="1" t="s">
        <v>9805</v>
      </c>
      <c r="B3254" s="1" t="str">
        <f>"P R BEYNON (CONTRACTORS) LIMITED"</f>
        <v>P R BEYNON (CONTRACTORS) LIMITED</v>
      </c>
      <c r="C3254" s="1" t="s">
        <v>9806</v>
      </c>
      <c r="D3254" s="1" t="s">
        <v>9807</v>
      </c>
      <c r="F3254" s="1" t="s">
        <v>64</v>
      </c>
      <c r="H3254" s="1" t="s">
        <v>9808</v>
      </c>
      <c r="I3254" s="1" t="s">
        <v>19</v>
      </c>
      <c r="J3254" s="1" t="s">
        <v>6</v>
      </c>
      <c r="K3254" s="1" t="s">
        <v>24</v>
      </c>
      <c r="L3254" s="1">
        <v>8281119</v>
      </c>
      <c r="M3254" s="2">
        <v>42950</v>
      </c>
      <c r="N3254" s="1" t="s">
        <v>8</v>
      </c>
      <c r="O3254" s="2">
        <v>44046</v>
      </c>
    </row>
    <row r="3255" spans="1:15" ht="28.8" x14ac:dyDescent="0.3">
      <c r="A3255" s="1" t="s">
        <v>23108</v>
      </c>
      <c r="B3255" s="1" t="str">
        <f>"Hayley Brown HMB Waste Services"</f>
        <v>Hayley Brown HMB Waste Services</v>
      </c>
      <c r="C3255" s="1" t="s">
        <v>23109</v>
      </c>
      <c r="F3255" s="1" t="s">
        <v>665</v>
      </c>
      <c r="H3255" s="1" t="s">
        <v>23110</v>
      </c>
      <c r="I3255" s="1" t="s">
        <v>5</v>
      </c>
      <c r="J3255" s="1" t="s">
        <v>6</v>
      </c>
      <c r="K3255" s="1" t="s">
        <v>34</v>
      </c>
      <c r="M3255" s="2">
        <v>42950</v>
      </c>
      <c r="N3255" s="1" t="s">
        <v>8</v>
      </c>
      <c r="O3255" s="2">
        <v>44046</v>
      </c>
    </row>
    <row r="3256" spans="1:15" ht="43.2" x14ac:dyDescent="0.3">
      <c r="A3256" s="1" t="s">
        <v>23111</v>
      </c>
      <c r="B3256" s="1" t="str">
        <f>"Peter Ellison"</f>
        <v>Peter Ellison</v>
      </c>
      <c r="C3256" s="1" t="s">
        <v>23112</v>
      </c>
      <c r="F3256" s="1" t="s">
        <v>123</v>
      </c>
      <c r="H3256" s="1" t="s">
        <v>23113</v>
      </c>
      <c r="I3256" s="1" t="s">
        <v>5</v>
      </c>
      <c r="J3256" s="1" t="s">
        <v>67</v>
      </c>
      <c r="K3256" s="1" t="s">
        <v>14</v>
      </c>
      <c r="M3256" s="2">
        <v>42950</v>
      </c>
      <c r="N3256" s="1" t="s">
        <v>8</v>
      </c>
      <c r="O3256" s="1" t="s">
        <v>68</v>
      </c>
    </row>
    <row r="3257" spans="1:15" ht="43.2" x14ac:dyDescent="0.3">
      <c r="A3257" s="1" t="s">
        <v>23114</v>
      </c>
      <c r="B3257" s="1" t="str">
        <f>"Simon  Johns "</f>
        <v xml:space="preserve">Simon  Johns </v>
      </c>
      <c r="C3257" s="1" t="s">
        <v>23115</v>
      </c>
      <c r="F3257" s="1" t="s">
        <v>2459</v>
      </c>
      <c r="H3257" s="1" t="s">
        <v>23116</v>
      </c>
      <c r="I3257" s="1" t="s">
        <v>5</v>
      </c>
      <c r="J3257" s="1" t="s">
        <v>67</v>
      </c>
      <c r="K3257" s="1" t="s">
        <v>14</v>
      </c>
      <c r="M3257" s="2">
        <v>42950</v>
      </c>
      <c r="N3257" s="1" t="s">
        <v>8</v>
      </c>
      <c r="O3257" s="1" t="s">
        <v>68</v>
      </c>
    </row>
    <row r="3258" spans="1:15" ht="28.8" x14ac:dyDescent="0.3">
      <c r="A3258" s="1" t="s">
        <v>23117</v>
      </c>
      <c r="B3258" s="1" t="str">
        <f>"Anthony  Davies"</f>
        <v>Anthony  Davies</v>
      </c>
      <c r="C3258" s="1" t="s">
        <v>7437</v>
      </c>
      <c r="F3258" s="1" t="s">
        <v>64</v>
      </c>
      <c r="H3258" s="1" t="s">
        <v>7438</v>
      </c>
      <c r="I3258" s="1" t="s">
        <v>5</v>
      </c>
      <c r="J3258" s="1" t="s">
        <v>6</v>
      </c>
      <c r="K3258" s="1" t="s">
        <v>24</v>
      </c>
      <c r="M3258" s="2">
        <v>42950</v>
      </c>
      <c r="N3258" s="1" t="s">
        <v>8</v>
      </c>
      <c r="O3258" s="2">
        <v>44046</v>
      </c>
    </row>
    <row r="3259" spans="1:15" ht="28.8" x14ac:dyDescent="0.3">
      <c r="A3259" s="1" t="s">
        <v>23118</v>
      </c>
      <c r="B3259" s="1" t="str">
        <f>"Stephen Lucas Steve Lucas"</f>
        <v>Stephen Lucas Steve Lucas</v>
      </c>
      <c r="C3259" s="1" t="s">
        <v>23119</v>
      </c>
      <c r="F3259" s="1" t="s">
        <v>64</v>
      </c>
      <c r="H3259" s="1" t="s">
        <v>23120</v>
      </c>
      <c r="I3259" s="1" t="s">
        <v>5</v>
      </c>
      <c r="J3259" s="1" t="s">
        <v>6</v>
      </c>
      <c r="K3259" s="1" t="s">
        <v>24</v>
      </c>
      <c r="M3259" s="2">
        <v>42950</v>
      </c>
      <c r="N3259" s="1" t="s">
        <v>8</v>
      </c>
      <c r="O3259" s="2">
        <v>44046</v>
      </c>
    </row>
    <row r="3260" spans="1:15" ht="43.2" x14ac:dyDescent="0.3">
      <c r="A3260" s="1" t="s">
        <v>8608</v>
      </c>
      <c r="B3260" s="1" t="str">
        <f>"ENR house clearance "</f>
        <v xml:space="preserve">ENR house clearance </v>
      </c>
      <c r="C3260" s="1" t="s">
        <v>8609</v>
      </c>
      <c r="F3260" s="1" t="s">
        <v>42</v>
      </c>
      <c r="H3260" s="1" t="s">
        <v>8610</v>
      </c>
      <c r="I3260" s="1" t="s">
        <v>188</v>
      </c>
      <c r="J3260" s="1" t="s">
        <v>67</v>
      </c>
      <c r="K3260" s="1" t="s">
        <v>24</v>
      </c>
      <c r="M3260" s="2">
        <v>42949</v>
      </c>
      <c r="N3260" s="1" t="s">
        <v>8</v>
      </c>
      <c r="O3260" s="1" t="s">
        <v>68</v>
      </c>
    </row>
    <row r="3261" spans="1:15" ht="43.2" x14ac:dyDescent="0.3">
      <c r="A3261" s="1" t="s">
        <v>8611</v>
      </c>
      <c r="B3261" s="1" t="str">
        <f>"Hay-on-Wye Dental Centre"</f>
        <v>Hay-on-Wye Dental Centre</v>
      </c>
      <c r="C3261" s="1" t="s">
        <v>8612</v>
      </c>
      <c r="D3261" s="1" t="s">
        <v>8613</v>
      </c>
      <c r="F3261" s="1" t="s">
        <v>5551</v>
      </c>
      <c r="H3261" s="1" t="s">
        <v>8614</v>
      </c>
      <c r="I3261" s="1" t="s">
        <v>19</v>
      </c>
      <c r="J3261" s="1" t="s">
        <v>67</v>
      </c>
      <c r="K3261" s="1" t="s">
        <v>14</v>
      </c>
      <c r="M3261" s="2">
        <v>42949</v>
      </c>
      <c r="N3261" s="1" t="s">
        <v>8</v>
      </c>
      <c r="O3261" s="1" t="s">
        <v>68</v>
      </c>
    </row>
    <row r="3262" spans="1:15" ht="28.8" x14ac:dyDescent="0.3">
      <c r="A3262" s="1" t="s">
        <v>8615</v>
      </c>
      <c r="B3262" s="1" t="str">
        <f>"SOLE SW LTD"</f>
        <v>SOLE SW LTD</v>
      </c>
      <c r="C3262" s="1" t="s">
        <v>8616</v>
      </c>
      <c r="F3262" s="1" t="s">
        <v>641</v>
      </c>
      <c r="H3262" s="1" t="s">
        <v>8320</v>
      </c>
      <c r="I3262" s="1" t="s">
        <v>19</v>
      </c>
      <c r="J3262" s="1" t="s">
        <v>6</v>
      </c>
      <c r="K3262" s="1" t="s">
        <v>1859</v>
      </c>
      <c r="L3262" s="1">
        <v>9537209</v>
      </c>
      <c r="M3262" s="2">
        <v>42949</v>
      </c>
      <c r="N3262" s="1" t="s">
        <v>8</v>
      </c>
      <c r="O3262" s="2">
        <v>44045</v>
      </c>
    </row>
    <row r="3263" spans="1:15" ht="28.8" x14ac:dyDescent="0.3">
      <c r="A3263" s="1" t="s">
        <v>8617</v>
      </c>
      <c r="B3263" s="1" t="str">
        <f>"r p complete building services ltd "</f>
        <v xml:space="preserve">r p complete building services ltd </v>
      </c>
      <c r="C3263" s="1" t="s">
        <v>8618</v>
      </c>
      <c r="F3263" s="1" t="s">
        <v>5459</v>
      </c>
      <c r="H3263" s="1" t="s">
        <v>8619</v>
      </c>
      <c r="I3263" s="1" t="s">
        <v>19</v>
      </c>
      <c r="J3263" s="1" t="s">
        <v>6</v>
      </c>
      <c r="K3263" s="1" t="s">
        <v>24</v>
      </c>
      <c r="L3263" s="1">
        <v>10033876</v>
      </c>
      <c r="M3263" s="2">
        <v>42949</v>
      </c>
      <c r="N3263" s="1" t="s">
        <v>8</v>
      </c>
      <c r="O3263" s="2">
        <v>44045</v>
      </c>
    </row>
    <row r="3264" spans="1:15" x14ac:dyDescent="0.3">
      <c r="A3264" s="1" t="s">
        <v>8620</v>
      </c>
      <c r="B3264" s="1" t="str">
        <f>"d smith"</f>
        <v>d smith</v>
      </c>
      <c r="C3264" s="1" t="s">
        <v>8621</v>
      </c>
      <c r="F3264" s="1" t="s">
        <v>123</v>
      </c>
      <c r="H3264" s="1" t="s">
        <v>8622</v>
      </c>
      <c r="I3264" s="1" t="s">
        <v>125</v>
      </c>
      <c r="J3264" s="1" t="s">
        <v>6</v>
      </c>
      <c r="K3264" s="1" t="s">
        <v>24</v>
      </c>
      <c r="M3264" s="2">
        <v>42949</v>
      </c>
      <c r="N3264" s="1" t="s">
        <v>8</v>
      </c>
      <c r="O3264" s="2">
        <v>44045</v>
      </c>
    </row>
    <row r="3265" spans="1:15" ht="43.2" x14ac:dyDescent="0.3">
      <c r="A3265" s="1" t="s">
        <v>9782</v>
      </c>
      <c r="B3265" s="1" t="str">
        <f>"e emanuel heating&amp;plumbing svs ltd"</f>
        <v>e emanuel heating&amp;plumbing svs ltd</v>
      </c>
      <c r="C3265" s="1" t="s">
        <v>9783</v>
      </c>
      <c r="F3265" s="1" t="s">
        <v>42</v>
      </c>
      <c r="H3265" s="1" t="s">
        <v>9784</v>
      </c>
      <c r="I3265" s="1" t="s">
        <v>19</v>
      </c>
      <c r="J3265" s="1" t="s">
        <v>6</v>
      </c>
      <c r="K3265" s="1" t="s">
        <v>24</v>
      </c>
      <c r="L3265" s="1">
        <v>10820326</v>
      </c>
      <c r="M3265" s="2">
        <v>42949</v>
      </c>
      <c r="N3265" s="1" t="s">
        <v>8</v>
      </c>
      <c r="O3265" s="2">
        <v>44045</v>
      </c>
    </row>
    <row r="3266" spans="1:15" x14ac:dyDescent="0.3">
      <c r="A3266" s="1" t="s">
        <v>9785</v>
      </c>
      <c r="B3266" s="1" t="str">
        <f>"Claxon ltd"</f>
        <v>Claxon ltd</v>
      </c>
      <c r="C3266" s="1" t="s">
        <v>9786</v>
      </c>
      <c r="F3266" s="1" t="s">
        <v>9787</v>
      </c>
      <c r="H3266" s="1" t="s">
        <v>9788</v>
      </c>
      <c r="I3266" s="1" t="s">
        <v>19</v>
      </c>
      <c r="J3266" s="1" t="s">
        <v>6</v>
      </c>
      <c r="K3266" s="1" t="s">
        <v>24</v>
      </c>
      <c r="L3266" s="1">
        <v>9440462</v>
      </c>
      <c r="M3266" s="2">
        <v>42949</v>
      </c>
      <c r="N3266" s="1" t="s">
        <v>8</v>
      </c>
      <c r="O3266" s="2">
        <v>44045</v>
      </c>
    </row>
    <row r="3267" spans="1:15" ht="28.8" x14ac:dyDescent="0.3">
      <c r="A3267" s="1" t="s">
        <v>9789</v>
      </c>
      <c r="B3267" s="1" t="str">
        <f>"Perfect place supplies ltd"</f>
        <v>Perfect place supplies ltd</v>
      </c>
      <c r="C3267" s="1" t="s">
        <v>9790</v>
      </c>
      <c r="D3267" s="1" t="s">
        <v>9791</v>
      </c>
      <c r="F3267" s="1" t="s">
        <v>6751</v>
      </c>
      <c r="H3267" s="1" t="s">
        <v>9792</v>
      </c>
      <c r="I3267" s="1" t="s">
        <v>19</v>
      </c>
      <c r="J3267" s="1" t="s">
        <v>6</v>
      </c>
      <c r="K3267" s="1" t="s">
        <v>34</v>
      </c>
      <c r="L3267" s="1">
        <v>9841387</v>
      </c>
      <c r="M3267" s="2">
        <v>42949</v>
      </c>
      <c r="N3267" s="1" t="s">
        <v>8</v>
      </c>
      <c r="O3267" s="2">
        <v>44045</v>
      </c>
    </row>
    <row r="3268" spans="1:15" ht="28.8" x14ac:dyDescent="0.3">
      <c r="A3268" s="1" t="s">
        <v>9793</v>
      </c>
      <c r="B3268" s="1" t="str">
        <f>"Lewisbuild Construction Ltd"</f>
        <v>Lewisbuild Construction Ltd</v>
      </c>
      <c r="C3268" s="1" t="s">
        <v>9794</v>
      </c>
      <c r="F3268" s="1" t="s">
        <v>230</v>
      </c>
      <c r="H3268" s="1" t="s">
        <v>9795</v>
      </c>
      <c r="I3268" s="1" t="s">
        <v>19</v>
      </c>
      <c r="J3268" s="1" t="s">
        <v>6</v>
      </c>
      <c r="K3268" s="1" t="s">
        <v>24</v>
      </c>
      <c r="L3268" s="1">
        <v>9981530</v>
      </c>
      <c r="M3268" s="2">
        <v>42949</v>
      </c>
      <c r="N3268" s="1" t="s">
        <v>8</v>
      </c>
      <c r="O3268" s="2">
        <v>44045</v>
      </c>
    </row>
    <row r="3269" spans="1:15" ht="28.8" x14ac:dyDescent="0.3">
      <c r="A3269" s="1" t="s">
        <v>22416</v>
      </c>
      <c r="B3269" s="1" t="str">
        <f>"Sagir Hussain 17 Adelaide road "</f>
        <v xml:space="preserve">Sagir Hussain 17 Adelaide road </v>
      </c>
      <c r="C3269" s="1" t="s">
        <v>22417</v>
      </c>
      <c r="F3269" s="1" t="s">
        <v>22418</v>
      </c>
      <c r="H3269" s="1" t="s">
        <v>22419</v>
      </c>
      <c r="I3269" s="1" t="s">
        <v>5</v>
      </c>
      <c r="J3269" s="1" t="s">
        <v>6</v>
      </c>
      <c r="K3269" s="1" t="s">
        <v>24</v>
      </c>
      <c r="M3269" s="2">
        <v>42949</v>
      </c>
      <c r="N3269" s="1" t="s">
        <v>8</v>
      </c>
      <c r="O3269" s="2">
        <v>44045</v>
      </c>
    </row>
    <row r="3270" spans="1:15" ht="43.2" x14ac:dyDescent="0.3">
      <c r="A3270" s="1" t="s">
        <v>23099</v>
      </c>
      <c r="B3270" s="1" t="str">
        <f>"James Brown"</f>
        <v>James Brown</v>
      </c>
      <c r="C3270" s="1" t="s">
        <v>23100</v>
      </c>
      <c r="F3270" s="1" t="s">
        <v>19501</v>
      </c>
      <c r="H3270" s="1" t="s">
        <v>23101</v>
      </c>
      <c r="I3270" s="1" t="s">
        <v>5</v>
      </c>
      <c r="J3270" s="1" t="s">
        <v>67</v>
      </c>
      <c r="K3270" s="1" t="s">
        <v>14</v>
      </c>
      <c r="M3270" s="2">
        <v>42949</v>
      </c>
      <c r="N3270" s="1" t="s">
        <v>8</v>
      </c>
      <c r="O3270" s="1" t="s">
        <v>68</v>
      </c>
    </row>
    <row r="3271" spans="1:15" ht="28.8" x14ac:dyDescent="0.3">
      <c r="A3271" s="1" t="s">
        <v>23102</v>
      </c>
      <c r="B3271" s="1" t="str">
        <f>"mark platt John Platt &amp; Sons"</f>
        <v>mark platt John Platt &amp; Sons</v>
      </c>
      <c r="C3271" s="1" t="s">
        <v>23103</v>
      </c>
      <c r="D3271" s="1" t="s">
        <v>23104</v>
      </c>
      <c r="F3271" s="1" t="s">
        <v>532</v>
      </c>
      <c r="H3271" s="1" t="s">
        <v>23105</v>
      </c>
      <c r="I3271" s="1" t="s">
        <v>5</v>
      </c>
      <c r="J3271" s="1" t="s">
        <v>6</v>
      </c>
      <c r="K3271" s="1" t="s">
        <v>24</v>
      </c>
      <c r="M3271" s="2">
        <v>42949</v>
      </c>
      <c r="N3271" s="1" t="s">
        <v>8</v>
      </c>
      <c r="O3271" s="2">
        <v>44045</v>
      </c>
    </row>
    <row r="3272" spans="1:15" ht="43.2" x14ac:dyDescent="0.3">
      <c r="A3272" s="1" t="s">
        <v>23106</v>
      </c>
      <c r="B3272" s="1" t="str">
        <f>"Jeff  Moran Valley Services"</f>
        <v>Jeff  Moran Valley Services</v>
      </c>
      <c r="C3272" s="1" t="s">
        <v>23107</v>
      </c>
      <c r="F3272" s="1" t="s">
        <v>32</v>
      </c>
      <c r="H3272" s="1" t="s">
        <v>5859</v>
      </c>
      <c r="I3272" s="1" t="s">
        <v>5</v>
      </c>
      <c r="J3272" s="1" t="s">
        <v>6</v>
      </c>
      <c r="K3272" s="1" t="s">
        <v>24</v>
      </c>
      <c r="M3272" s="2">
        <v>42949</v>
      </c>
      <c r="N3272" s="1" t="s">
        <v>8</v>
      </c>
      <c r="O3272" s="2">
        <v>44045</v>
      </c>
    </row>
    <row r="3273" spans="1:15" ht="28.8" x14ac:dyDescent="0.3">
      <c r="A3273" s="1" t="s">
        <v>8589</v>
      </c>
      <c r="B3273" s="1" t="str">
        <f>"sandys landscapes ltd"</f>
        <v>sandys landscapes ltd</v>
      </c>
      <c r="C3273" s="1" t="s">
        <v>8590</v>
      </c>
      <c r="F3273" s="1" t="s">
        <v>1776</v>
      </c>
      <c r="H3273" s="1" t="s">
        <v>8591</v>
      </c>
      <c r="I3273" s="1" t="s">
        <v>19</v>
      </c>
      <c r="J3273" s="1" t="s">
        <v>6</v>
      </c>
      <c r="K3273" s="1" t="s">
        <v>34</v>
      </c>
      <c r="L3273" s="1">
        <v>6232260</v>
      </c>
      <c r="M3273" s="2">
        <v>42948</v>
      </c>
      <c r="N3273" s="1" t="s">
        <v>8</v>
      </c>
      <c r="O3273" s="2">
        <v>44044</v>
      </c>
    </row>
    <row r="3274" spans="1:15" x14ac:dyDescent="0.3">
      <c r="A3274" s="1" t="s">
        <v>8592</v>
      </c>
      <c r="B3274" s="1" t="str">
        <f>"perfect dreams ltd"</f>
        <v>perfect dreams ltd</v>
      </c>
      <c r="C3274" s="1" t="s">
        <v>8593</v>
      </c>
      <c r="F3274" s="1" t="s">
        <v>358</v>
      </c>
      <c r="H3274" s="1" t="s">
        <v>8594</v>
      </c>
      <c r="I3274" s="1" t="s">
        <v>19</v>
      </c>
      <c r="J3274" s="1" t="s">
        <v>6</v>
      </c>
      <c r="K3274" s="1" t="s">
        <v>24</v>
      </c>
      <c r="L3274" s="1">
        <v>5610757</v>
      </c>
      <c r="M3274" s="2">
        <v>42948</v>
      </c>
      <c r="N3274" s="1" t="s">
        <v>8</v>
      </c>
      <c r="O3274" s="2">
        <v>44044</v>
      </c>
    </row>
    <row r="3275" spans="1:15" ht="28.8" x14ac:dyDescent="0.3">
      <c r="A3275" s="1" t="s">
        <v>8595</v>
      </c>
      <c r="B3275" s="1" t="str">
        <f>"BROOME &amp; COMPANY LIMITED"</f>
        <v>BROOME &amp; COMPANY LIMITED</v>
      </c>
      <c r="C3275" s="1" t="s">
        <v>8596</v>
      </c>
      <c r="F3275" s="1" t="s">
        <v>401</v>
      </c>
      <c r="H3275" s="1" t="s">
        <v>8597</v>
      </c>
      <c r="I3275" s="1" t="s">
        <v>19</v>
      </c>
      <c r="J3275" s="1" t="s">
        <v>6</v>
      </c>
      <c r="K3275" s="1" t="s">
        <v>24</v>
      </c>
      <c r="L3275" s="1">
        <v>1088495</v>
      </c>
      <c r="M3275" s="2">
        <v>42948</v>
      </c>
      <c r="N3275" s="1" t="s">
        <v>8</v>
      </c>
      <c r="O3275" s="2">
        <v>44044</v>
      </c>
    </row>
    <row r="3276" spans="1:15" ht="28.8" x14ac:dyDescent="0.3">
      <c r="A3276" s="1" t="s">
        <v>8598</v>
      </c>
      <c r="B3276" s="1" t="str">
        <f>"Tom price "</f>
        <v xml:space="preserve">Tom price </v>
      </c>
      <c r="C3276" s="1" t="s">
        <v>8599</v>
      </c>
      <c r="F3276" s="1" t="s">
        <v>767</v>
      </c>
      <c r="H3276" s="1" t="s">
        <v>8600</v>
      </c>
      <c r="I3276" s="1" t="s">
        <v>125</v>
      </c>
      <c r="J3276" s="1" t="s">
        <v>6</v>
      </c>
      <c r="K3276" s="1" t="s">
        <v>24</v>
      </c>
      <c r="M3276" s="2">
        <v>42948</v>
      </c>
      <c r="N3276" s="1" t="s">
        <v>8</v>
      </c>
      <c r="O3276" s="2">
        <v>44044</v>
      </c>
    </row>
    <row r="3277" spans="1:15" ht="28.8" x14ac:dyDescent="0.3">
      <c r="A3277" s="1" t="s">
        <v>8601</v>
      </c>
      <c r="B3277" s="1" t="str">
        <f>"INSTALL RENOVATIONS LTD"</f>
        <v>INSTALL RENOVATIONS LTD</v>
      </c>
      <c r="C3277" s="1" t="s">
        <v>8602</v>
      </c>
      <c r="F3277" s="1" t="s">
        <v>123</v>
      </c>
      <c r="G3277" s="1" t="s">
        <v>27</v>
      </c>
      <c r="H3277" s="1" t="s">
        <v>8603</v>
      </c>
      <c r="I3277" s="1" t="s">
        <v>19</v>
      </c>
      <c r="J3277" s="1" t="s">
        <v>6</v>
      </c>
      <c r="K3277" s="1" t="s">
        <v>24</v>
      </c>
      <c r="L3277" s="1">
        <v>6501703</v>
      </c>
      <c r="M3277" s="2">
        <v>42948</v>
      </c>
      <c r="N3277" s="1" t="s">
        <v>8</v>
      </c>
      <c r="O3277" s="2">
        <v>44043</v>
      </c>
    </row>
    <row r="3278" spans="1:15" ht="28.8" x14ac:dyDescent="0.3">
      <c r="A3278" s="1" t="s">
        <v>8604</v>
      </c>
      <c r="B3278" s="1" t="str">
        <f>"Site Facilities Solutions Limited"</f>
        <v>Site Facilities Solutions Limited</v>
      </c>
      <c r="C3278" s="1" t="s">
        <v>8605</v>
      </c>
      <c r="D3278" s="1" t="s">
        <v>8606</v>
      </c>
      <c r="F3278" s="1" t="s">
        <v>401</v>
      </c>
      <c r="H3278" s="1" t="s">
        <v>8607</v>
      </c>
      <c r="I3278" s="1" t="s">
        <v>19</v>
      </c>
      <c r="J3278" s="1" t="s">
        <v>6</v>
      </c>
      <c r="K3278" s="1" t="s">
        <v>24</v>
      </c>
      <c r="L3278" s="1">
        <v>9340555</v>
      </c>
      <c r="M3278" s="2">
        <v>42948</v>
      </c>
      <c r="N3278" s="1" t="s">
        <v>8</v>
      </c>
      <c r="O3278" s="2">
        <v>44044</v>
      </c>
    </row>
    <row r="3279" spans="1:15" ht="43.2" x14ac:dyDescent="0.3">
      <c r="A3279" s="1" t="s">
        <v>22407</v>
      </c>
      <c r="B3279" s="1" t="str">
        <f>"Layton Edwards Layton Edwards Fallen Stock Services"</f>
        <v>Layton Edwards Layton Edwards Fallen Stock Services</v>
      </c>
      <c r="C3279" s="1" t="s">
        <v>22408</v>
      </c>
      <c r="F3279" s="1" t="s">
        <v>277</v>
      </c>
      <c r="H3279" s="1" t="s">
        <v>22409</v>
      </c>
      <c r="I3279" s="1" t="s">
        <v>5</v>
      </c>
      <c r="J3279" s="1" t="s">
        <v>6</v>
      </c>
      <c r="K3279" s="1" t="s">
        <v>24</v>
      </c>
      <c r="M3279" s="2">
        <v>42948</v>
      </c>
      <c r="N3279" s="1" t="s">
        <v>8</v>
      </c>
      <c r="O3279" s="2">
        <v>44044</v>
      </c>
    </row>
    <row r="3280" spans="1:15" ht="43.2" x14ac:dyDescent="0.3">
      <c r="A3280" s="1" t="s">
        <v>22410</v>
      </c>
      <c r="B3280" s="1" t="str">
        <f>"Huw Watkins HW Watkins Plant Hire Services"</f>
        <v>Huw Watkins HW Watkins Plant Hire Services</v>
      </c>
      <c r="C3280" s="1" t="s">
        <v>22411</v>
      </c>
      <c r="F3280" s="1" t="s">
        <v>2580</v>
      </c>
      <c r="H3280" s="1" t="s">
        <v>22412</v>
      </c>
      <c r="I3280" s="1" t="s">
        <v>5</v>
      </c>
      <c r="J3280" s="1" t="s">
        <v>6</v>
      </c>
      <c r="K3280" s="1" t="s">
        <v>34</v>
      </c>
      <c r="M3280" s="2">
        <v>42948</v>
      </c>
      <c r="N3280" s="1" t="s">
        <v>8</v>
      </c>
      <c r="O3280" s="2">
        <v>44044</v>
      </c>
    </row>
    <row r="3281" spans="1:15" ht="43.2" x14ac:dyDescent="0.3">
      <c r="A3281" s="1" t="s">
        <v>22413</v>
      </c>
      <c r="B3281" s="1" t="str">
        <f>"nigel hoskins"</f>
        <v>nigel hoskins</v>
      </c>
      <c r="C3281" s="1" t="s">
        <v>22414</v>
      </c>
      <c r="F3281" s="1" t="s">
        <v>243</v>
      </c>
      <c r="H3281" s="1" t="s">
        <v>22415</v>
      </c>
      <c r="I3281" s="1" t="s">
        <v>5</v>
      </c>
      <c r="J3281" s="1" t="s">
        <v>67</v>
      </c>
      <c r="K3281" s="1" t="s">
        <v>14</v>
      </c>
      <c r="M3281" s="2">
        <v>42948</v>
      </c>
      <c r="N3281" s="1" t="s">
        <v>8</v>
      </c>
      <c r="O3281" s="1" t="s">
        <v>68</v>
      </c>
    </row>
    <row r="3282" spans="1:15" ht="43.2" x14ac:dyDescent="0.3">
      <c r="A3282" s="1" t="s">
        <v>7436</v>
      </c>
      <c r="B3282" s="1" t="str">
        <f>"A&amp;S RECYCLING "</f>
        <v xml:space="preserve">A&amp;S RECYCLING </v>
      </c>
      <c r="C3282" s="1" t="s">
        <v>7437</v>
      </c>
      <c r="F3282" s="1" t="s">
        <v>64</v>
      </c>
      <c r="H3282" s="1" t="s">
        <v>7438</v>
      </c>
      <c r="I3282" s="1" t="s">
        <v>188</v>
      </c>
      <c r="J3282" s="1" t="s">
        <v>67</v>
      </c>
      <c r="K3282" s="1" t="s">
        <v>14</v>
      </c>
      <c r="M3282" s="2">
        <v>42947</v>
      </c>
      <c r="N3282" s="1" t="s">
        <v>8</v>
      </c>
      <c r="O3282" s="1" t="s">
        <v>68</v>
      </c>
    </row>
    <row r="3283" spans="1:15" x14ac:dyDescent="0.3">
      <c r="A3283" s="1" t="s">
        <v>8583</v>
      </c>
      <c r="B3283" s="1" t="str">
        <f>"CSS Electrical Ltd"</f>
        <v>CSS Electrical Ltd</v>
      </c>
      <c r="C3283" s="1" t="s">
        <v>8584</v>
      </c>
      <c r="F3283" s="1" t="s">
        <v>767</v>
      </c>
      <c r="H3283" s="1" t="s">
        <v>8585</v>
      </c>
      <c r="I3283" s="1" t="s">
        <v>19</v>
      </c>
      <c r="J3283" s="1" t="s">
        <v>6</v>
      </c>
      <c r="K3283" s="1" t="s">
        <v>24</v>
      </c>
      <c r="L3283" s="1">
        <v>8229794</v>
      </c>
      <c r="M3283" s="2">
        <v>42947</v>
      </c>
      <c r="N3283" s="1" t="s">
        <v>8</v>
      </c>
      <c r="O3283" s="2">
        <v>44043</v>
      </c>
    </row>
    <row r="3284" spans="1:15" ht="43.2" x14ac:dyDescent="0.3">
      <c r="A3284" s="1" t="s">
        <v>8586</v>
      </c>
      <c r="B3284" s="1" t="str">
        <f>"anthony rise"</f>
        <v>anthony rise</v>
      </c>
      <c r="C3284" s="1" t="s">
        <v>8587</v>
      </c>
      <c r="F3284" s="1" t="s">
        <v>32</v>
      </c>
      <c r="H3284" s="1" t="s">
        <v>8588</v>
      </c>
      <c r="I3284" s="1" t="s">
        <v>188</v>
      </c>
      <c r="J3284" s="1" t="s">
        <v>67</v>
      </c>
      <c r="K3284" s="1" t="s">
        <v>14</v>
      </c>
      <c r="M3284" s="2">
        <v>42947</v>
      </c>
      <c r="N3284" s="1" t="s">
        <v>8</v>
      </c>
      <c r="O3284" s="1" t="s">
        <v>68</v>
      </c>
    </row>
    <row r="3285" spans="1:15" ht="43.2" x14ac:dyDescent="0.3">
      <c r="A3285" s="1" t="s">
        <v>20799</v>
      </c>
      <c r="B3285" s="1" t="str">
        <f>"Gurmail Singh"</f>
        <v>Gurmail Singh</v>
      </c>
      <c r="C3285" s="1" t="s">
        <v>20800</v>
      </c>
      <c r="F3285" s="1" t="s">
        <v>123</v>
      </c>
      <c r="H3285" s="1" t="s">
        <v>20801</v>
      </c>
      <c r="I3285" s="1" t="s">
        <v>5</v>
      </c>
      <c r="J3285" s="1" t="s">
        <v>67</v>
      </c>
      <c r="K3285" s="1" t="s">
        <v>14</v>
      </c>
      <c r="M3285" s="2">
        <v>42947</v>
      </c>
      <c r="N3285" s="1" t="s">
        <v>8</v>
      </c>
      <c r="O3285" s="1" t="s">
        <v>68</v>
      </c>
    </row>
    <row r="3286" spans="1:15" ht="28.8" x14ac:dyDescent="0.3">
      <c r="A3286" s="1" t="s">
        <v>21563</v>
      </c>
      <c r="B3286" s="1" t="str">
        <f>"Thomas Florence Thomas Florence"</f>
        <v>Thomas Florence Thomas Florence</v>
      </c>
      <c r="C3286" s="1" t="s">
        <v>21564</v>
      </c>
      <c r="F3286" s="1" t="s">
        <v>1321</v>
      </c>
      <c r="H3286" s="1" t="s">
        <v>21565</v>
      </c>
      <c r="I3286" s="1" t="s">
        <v>5</v>
      </c>
      <c r="J3286" s="1" t="s">
        <v>6</v>
      </c>
      <c r="K3286" s="1" t="s">
        <v>24</v>
      </c>
      <c r="M3286" s="2">
        <v>42947</v>
      </c>
      <c r="N3286" s="1" t="s">
        <v>8</v>
      </c>
      <c r="O3286" s="2">
        <v>44043</v>
      </c>
    </row>
    <row r="3287" spans="1:15" ht="43.2" x14ac:dyDescent="0.3">
      <c r="A3287" s="1" t="s">
        <v>21566</v>
      </c>
      <c r="B3287" s="1" t="str">
        <f>"joanne mason"</f>
        <v>joanne mason</v>
      </c>
      <c r="C3287" s="1" t="s">
        <v>21567</v>
      </c>
      <c r="F3287" s="1" t="s">
        <v>1058</v>
      </c>
      <c r="H3287" s="1" t="s">
        <v>21568</v>
      </c>
      <c r="I3287" s="1" t="s">
        <v>5</v>
      </c>
      <c r="J3287" s="1" t="s">
        <v>67</v>
      </c>
      <c r="K3287" s="1" t="s">
        <v>14</v>
      </c>
      <c r="M3287" s="2">
        <v>42947</v>
      </c>
      <c r="N3287" s="1" t="s">
        <v>8</v>
      </c>
      <c r="O3287" s="1" t="s">
        <v>68</v>
      </c>
    </row>
    <row r="3288" spans="1:15" ht="28.8" x14ac:dyDescent="0.3">
      <c r="A3288" s="1" t="s">
        <v>21569</v>
      </c>
      <c r="B3288" s="1" t="str">
        <f>"Adrian Parry Adrian Parry"</f>
        <v>Adrian Parry Adrian Parry</v>
      </c>
      <c r="C3288" s="1" t="s">
        <v>21570</v>
      </c>
      <c r="F3288" s="1" t="s">
        <v>358</v>
      </c>
      <c r="H3288" s="1" t="s">
        <v>21571</v>
      </c>
      <c r="I3288" s="1" t="s">
        <v>5</v>
      </c>
      <c r="J3288" s="1" t="s">
        <v>6</v>
      </c>
      <c r="K3288" s="1" t="s">
        <v>24</v>
      </c>
      <c r="M3288" s="2">
        <v>42947</v>
      </c>
      <c r="N3288" s="1" t="s">
        <v>8</v>
      </c>
      <c r="O3288" s="2">
        <v>44043</v>
      </c>
    </row>
    <row r="3289" spans="1:15" ht="43.2" x14ac:dyDescent="0.3">
      <c r="A3289" s="1" t="s">
        <v>21572</v>
      </c>
      <c r="B3289" s="1" t="str">
        <f>"Andrew Trembath A.Trembath Groundworks"</f>
        <v>Andrew Trembath A.Trembath Groundworks</v>
      </c>
      <c r="C3289" s="1" t="s">
        <v>21573</v>
      </c>
      <c r="D3289" s="1" t="s">
        <v>21574</v>
      </c>
      <c r="F3289" s="1" t="s">
        <v>457</v>
      </c>
      <c r="H3289" s="1" t="s">
        <v>21575</v>
      </c>
      <c r="I3289" s="1" t="s">
        <v>5</v>
      </c>
      <c r="J3289" s="1" t="s">
        <v>6</v>
      </c>
      <c r="K3289" s="1" t="s">
        <v>24</v>
      </c>
      <c r="M3289" s="2">
        <v>42947</v>
      </c>
      <c r="N3289" s="1" t="s">
        <v>8</v>
      </c>
      <c r="O3289" s="2">
        <v>44043</v>
      </c>
    </row>
    <row r="3290" spans="1:15" ht="43.2" x14ac:dyDescent="0.3">
      <c r="A3290" s="1" t="s">
        <v>21576</v>
      </c>
      <c r="B3290" s="1" t="str">
        <f>"Alan Barnes"</f>
        <v>Alan Barnes</v>
      </c>
      <c r="C3290" s="1" t="s">
        <v>21577</v>
      </c>
      <c r="F3290" s="1" t="s">
        <v>641</v>
      </c>
      <c r="H3290" s="1" t="s">
        <v>21578</v>
      </c>
      <c r="I3290" s="1" t="s">
        <v>5</v>
      </c>
      <c r="J3290" s="1" t="s">
        <v>67</v>
      </c>
      <c r="K3290" s="1" t="s">
        <v>14</v>
      </c>
      <c r="M3290" s="2">
        <v>42947</v>
      </c>
      <c r="N3290" s="1" t="s">
        <v>8</v>
      </c>
      <c r="O3290" s="1" t="s">
        <v>68</v>
      </c>
    </row>
    <row r="3291" spans="1:15" ht="28.8" x14ac:dyDescent="0.3">
      <c r="A3291" s="1" t="s">
        <v>21579</v>
      </c>
      <c r="B3291" s="1" t="str">
        <f>"Alan Barnes Alan"</f>
        <v>Alan Barnes Alan</v>
      </c>
      <c r="C3291" s="1" t="s">
        <v>21577</v>
      </c>
      <c r="F3291" s="1" t="s">
        <v>641</v>
      </c>
      <c r="H3291" s="1" t="s">
        <v>21578</v>
      </c>
      <c r="I3291" s="1" t="s">
        <v>5</v>
      </c>
      <c r="J3291" s="1" t="s">
        <v>6</v>
      </c>
      <c r="K3291" s="1" t="s">
        <v>24</v>
      </c>
      <c r="M3291" s="2">
        <v>42947</v>
      </c>
      <c r="N3291" s="1" t="s">
        <v>8</v>
      </c>
      <c r="O3291" s="2">
        <v>44043</v>
      </c>
    </row>
    <row r="3292" spans="1:15" ht="43.2" x14ac:dyDescent="0.3">
      <c r="A3292" s="1" t="s">
        <v>22402</v>
      </c>
      <c r="B3292" s="1" t="str">
        <f>"Christopher  O'rourke "</f>
        <v xml:space="preserve">Christopher  O'rourke </v>
      </c>
      <c r="C3292" s="1" t="s">
        <v>22403</v>
      </c>
      <c r="F3292" s="1" t="s">
        <v>641</v>
      </c>
      <c r="H3292" s="1" t="s">
        <v>21578</v>
      </c>
      <c r="I3292" s="1" t="s">
        <v>5</v>
      </c>
      <c r="J3292" s="1" t="s">
        <v>67</v>
      </c>
      <c r="K3292" s="1" t="s">
        <v>14</v>
      </c>
      <c r="M3292" s="2">
        <v>42947</v>
      </c>
      <c r="N3292" s="1" t="s">
        <v>8</v>
      </c>
      <c r="O3292" s="1" t="s">
        <v>68</v>
      </c>
    </row>
    <row r="3293" spans="1:15" ht="28.8" x14ac:dyDescent="0.3">
      <c r="A3293" s="1" t="s">
        <v>22404</v>
      </c>
      <c r="B3293" s="1" t="str">
        <f>"Joseph Sheehan J.T.S Groundworks"</f>
        <v>Joseph Sheehan J.T.S Groundworks</v>
      </c>
      <c r="C3293" s="1" t="s">
        <v>22405</v>
      </c>
      <c r="F3293" s="1" t="s">
        <v>123</v>
      </c>
      <c r="H3293" s="1" t="s">
        <v>22406</v>
      </c>
      <c r="I3293" s="1" t="s">
        <v>5</v>
      </c>
      <c r="J3293" s="1" t="s">
        <v>6</v>
      </c>
      <c r="K3293" s="1" t="s">
        <v>34</v>
      </c>
      <c r="M3293" s="2">
        <v>42947</v>
      </c>
      <c r="N3293" s="1" t="s">
        <v>8</v>
      </c>
      <c r="O3293" s="2">
        <v>44043</v>
      </c>
    </row>
    <row r="3294" spans="1:15" ht="28.8" x14ac:dyDescent="0.3">
      <c r="A3294" s="1" t="s">
        <v>6395</v>
      </c>
      <c r="B3294" s="1" t="str">
        <f>"Edan Construction Ltd"</f>
        <v>Edan Construction Ltd</v>
      </c>
      <c r="C3294" s="1" t="s">
        <v>6396</v>
      </c>
      <c r="F3294" s="1" t="s">
        <v>5409</v>
      </c>
      <c r="H3294" s="1" t="s">
        <v>6397</v>
      </c>
      <c r="I3294" s="1" t="s">
        <v>19</v>
      </c>
      <c r="J3294" s="1" t="s">
        <v>6</v>
      </c>
      <c r="K3294" s="1" t="s">
        <v>34</v>
      </c>
      <c r="L3294" s="1">
        <v>9203356</v>
      </c>
      <c r="M3294" s="2">
        <v>42946</v>
      </c>
      <c r="N3294" s="1" t="s">
        <v>8</v>
      </c>
      <c r="O3294" s="2">
        <v>44042</v>
      </c>
    </row>
    <row r="3295" spans="1:15" ht="28.8" x14ac:dyDescent="0.3">
      <c r="A3295" s="1" t="s">
        <v>6398</v>
      </c>
      <c r="B3295" s="1" t="str">
        <f>"STEVLY U P V C SUPPLY CENTRE LTD"</f>
        <v>STEVLY U P V C SUPPLY CENTRE LTD</v>
      </c>
      <c r="C3295" s="1" t="s">
        <v>6399</v>
      </c>
      <c r="D3295" s="1" t="s">
        <v>5644</v>
      </c>
      <c r="F3295" s="1" t="s">
        <v>6400</v>
      </c>
      <c r="H3295" s="1" t="s">
        <v>5646</v>
      </c>
      <c r="I3295" s="1" t="s">
        <v>19</v>
      </c>
      <c r="J3295" s="1" t="s">
        <v>6</v>
      </c>
      <c r="K3295" s="1" t="s">
        <v>24</v>
      </c>
      <c r="L3295" s="1">
        <v>3041856</v>
      </c>
      <c r="M3295" s="2">
        <v>42946</v>
      </c>
      <c r="N3295" s="1" t="s">
        <v>8</v>
      </c>
      <c r="O3295" s="2">
        <v>44042</v>
      </c>
    </row>
    <row r="3296" spans="1:15" ht="43.2" x14ac:dyDescent="0.3">
      <c r="A3296" s="1" t="s">
        <v>20794</v>
      </c>
      <c r="B3296" s="1" t="str">
        <f>"Dewi Davies"</f>
        <v>Dewi Davies</v>
      </c>
      <c r="C3296" s="1" t="s">
        <v>20795</v>
      </c>
      <c r="F3296" s="1" t="s">
        <v>32</v>
      </c>
      <c r="H3296" s="1" t="s">
        <v>20796</v>
      </c>
      <c r="I3296" s="1" t="s">
        <v>5</v>
      </c>
      <c r="J3296" s="1" t="s">
        <v>67</v>
      </c>
      <c r="K3296" s="1" t="s">
        <v>14</v>
      </c>
      <c r="M3296" s="2">
        <v>42946</v>
      </c>
      <c r="N3296" s="1" t="s">
        <v>8</v>
      </c>
      <c r="O3296" s="1" t="s">
        <v>68</v>
      </c>
    </row>
    <row r="3297" spans="1:15" ht="43.2" x14ac:dyDescent="0.3">
      <c r="A3297" s="1" t="s">
        <v>20797</v>
      </c>
      <c r="B3297" s="1" t="str">
        <f>"Kieran Ashton Kieran ashton"</f>
        <v>Kieran Ashton Kieran ashton</v>
      </c>
      <c r="C3297" s="1" t="s">
        <v>20798</v>
      </c>
      <c r="F3297" s="1" t="s">
        <v>1321</v>
      </c>
      <c r="H3297" s="1" t="s">
        <v>5821</v>
      </c>
      <c r="I3297" s="1" t="s">
        <v>5</v>
      </c>
      <c r="J3297" s="1" t="s">
        <v>67</v>
      </c>
      <c r="K3297" s="1" t="s">
        <v>24</v>
      </c>
      <c r="M3297" s="2">
        <v>42946</v>
      </c>
      <c r="N3297" s="1" t="s">
        <v>8</v>
      </c>
      <c r="O3297" s="1" t="s">
        <v>68</v>
      </c>
    </row>
    <row r="3298" spans="1:15" ht="28.8" x14ac:dyDescent="0.3">
      <c r="A3298" s="1" t="s">
        <v>20788</v>
      </c>
      <c r="B3298" s="1" t="str">
        <f>"david blythe BJ &amp; DM Blythe"</f>
        <v>david blythe BJ &amp; DM Blythe</v>
      </c>
      <c r="C3298" s="1" t="s">
        <v>20789</v>
      </c>
      <c r="F3298" s="1" t="s">
        <v>1351</v>
      </c>
      <c r="H3298" s="1" t="s">
        <v>20790</v>
      </c>
      <c r="I3298" s="1" t="s">
        <v>5</v>
      </c>
      <c r="J3298" s="1" t="s">
        <v>6</v>
      </c>
      <c r="K3298" s="1" t="s">
        <v>24</v>
      </c>
      <c r="M3298" s="2">
        <v>42945</v>
      </c>
      <c r="N3298" s="1" t="s">
        <v>8</v>
      </c>
      <c r="O3298" s="2">
        <v>44041</v>
      </c>
    </row>
    <row r="3299" spans="1:15" ht="28.8" x14ac:dyDescent="0.3">
      <c r="A3299" s="1" t="s">
        <v>20791</v>
      </c>
      <c r="B3299" s="1" t="str">
        <f>"Raymond Murray R and I Garden Services"</f>
        <v>Raymond Murray R and I Garden Services</v>
      </c>
      <c r="C3299" s="1" t="s">
        <v>20792</v>
      </c>
      <c r="F3299" s="1" t="s">
        <v>476</v>
      </c>
      <c r="H3299" s="1" t="s">
        <v>20793</v>
      </c>
      <c r="I3299" s="1" t="s">
        <v>5</v>
      </c>
      <c r="J3299" s="1" t="s">
        <v>6</v>
      </c>
      <c r="K3299" s="1" t="s">
        <v>34</v>
      </c>
      <c r="M3299" s="2">
        <v>42945</v>
      </c>
      <c r="N3299" s="1" t="s">
        <v>8</v>
      </c>
      <c r="O3299" s="2">
        <v>44041</v>
      </c>
    </row>
    <row r="3300" spans="1:15" ht="28.8" x14ac:dyDescent="0.3">
      <c r="A3300" s="1" t="s">
        <v>5180</v>
      </c>
      <c r="B3300" s="1" t="str">
        <f>"R&amp;M Transport Solutions Ltd"</f>
        <v>R&amp;M Transport Solutions Ltd</v>
      </c>
      <c r="C3300" s="1" t="s">
        <v>5181</v>
      </c>
      <c r="F3300" s="1" t="s">
        <v>5182</v>
      </c>
      <c r="H3300" s="1" t="s">
        <v>5183</v>
      </c>
      <c r="I3300" s="1" t="s">
        <v>19</v>
      </c>
      <c r="J3300" s="1" t="s">
        <v>6</v>
      </c>
      <c r="K3300" s="1" t="s">
        <v>24</v>
      </c>
      <c r="L3300" s="1">
        <v>8544806</v>
      </c>
      <c r="M3300" s="2">
        <v>42944</v>
      </c>
      <c r="N3300" s="1" t="s">
        <v>8</v>
      </c>
      <c r="O3300" s="2">
        <v>44040</v>
      </c>
    </row>
    <row r="3301" spans="1:15" ht="43.2" x14ac:dyDescent="0.3">
      <c r="A3301" s="1" t="s">
        <v>6364</v>
      </c>
      <c r="B3301" s="1" t="str">
        <f>"New Image (South Wales) Ltd"</f>
        <v>New Image (South Wales) Ltd</v>
      </c>
      <c r="C3301" s="1" t="s">
        <v>6365</v>
      </c>
      <c r="F3301" s="1" t="s">
        <v>64</v>
      </c>
      <c r="H3301" s="1" t="s">
        <v>6366</v>
      </c>
      <c r="I3301" s="1" t="s">
        <v>19</v>
      </c>
      <c r="J3301" s="1" t="s">
        <v>67</v>
      </c>
      <c r="K3301" s="1" t="s">
        <v>14</v>
      </c>
      <c r="M3301" s="2">
        <v>42944</v>
      </c>
      <c r="N3301" s="1" t="s">
        <v>8</v>
      </c>
      <c r="O3301" s="1" t="s">
        <v>68</v>
      </c>
    </row>
    <row r="3302" spans="1:15" ht="28.8" x14ac:dyDescent="0.3">
      <c r="A3302" s="1" t="s">
        <v>6367</v>
      </c>
      <c r="B3302" s="1" t="str">
        <f>"EVANS &amp; REID LTD"</f>
        <v>EVANS &amp; REID LTD</v>
      </c>
      <c r="C3302" s="1" t="s">
        <v>6368</v>
      </c>
      <c r="F3302" s="1" t="s">
        <v>32</v>
      </c>
      <c r="H3302" s="1" t="s">
        <v>2556</v>
      </c>
      <c r="I3302" s="1" t="s">
        <v>19</v>
      </c>
      <c r="J3302" s="1" t="s">
        <v>6</v>
      </c>
      <c r="K3302" s="1" t="s">
        <v>1859</v>
      </c>
      <c r="L3302" s="1">
        <v>2727314</v>
      </c>
      <c r="M3302" s="2">
        <v>42944</v>
      </c>
      <c r="N3302" s="1" t="s">
        <v>8</v>
      </c>
      <c r="O3302" s="2">
        <v>44040</v>
      </c>
    </row>
    <row r="3303" spans="1:15" ht="28.8" x14ac:dyDescent="0.3">
      <c r="A3303" s="1" t="s">
        <v>6369</v>
      </c>
      <c r="B3303" s="1" t="str">
        <f>"Road Safety Contracts LTD"</f>
        <v>Road Safety Contracts LTD</v>
      </c>
      <c r="C3303" s="1" t="s">
        <v>6370</v>
      </c>
      <c r="F3303" s="1" t="s">
        <v>6371</v>
      </c>
      <c r="H3303" s="1" t="s">
        <v>6372</v>
      </c>
      <c r="I3303" s="1" t="s">
        <v>19</v>
      </c>
      <c r="J3303" s="1" t="s">
        <v>6</v>
      </c>
      <c r="K3303" s="1" t="s">
        <v>24</v>
      </c>
      <c r="L3303" s="1" t="s">
        <v>6373</v>
      </c>
      <c r="M3303" s="2">
        <v>42944</v>
      </c>
      <c r="N3303" s="1" t="s">
        <v>8</v>
      </c>
      <c r="O3303" s="2">
        <v>44040</v>
      </c>
    </row>
    <row r="3304" spans="1:15" ht="28.8" x14ac:dyDescent="0.3">
      <c r="A3304" s="1" t="s">
        <v>6374</v>
      </c>
      <c r="B3304" s="1" t="str">
        <f>"ATLANTIC BUILDING SERVICES LIMITED"</f>
        <v>ATLANTIC BUILDING SERVICES LIMITED</v>
      </c>
      <c r="C3304" s="1" t="s">
        <v>6375</v>
      </c>
      <c r="F3304" s="1" t="s">
        <v>364</v>
      </c>
      <c r="H3304" s="1" t="s">
        <v>6376</v>
      </c>
      <c r="I3304" s="1" t="s">
        <v>19</v>
      </c>
      <c r="J3304" s="1" t="s">
        <v>6</v>
      </c>
      <c r="K3304" s="1" t="s">
        <v>34</v>
      </c>
      <c r="L3304" s="1">
        <v>3257607</v>
      </c>
      <c r="M3304" s="2">
        <v>42944</v>
      </c>
      <c r="N3304" s="1" t="s">
        <v>8</v>
      </c>
      <c r="O3304" s="2">
        <v>44040</v>
      </c>
    </row>
    <row r="3305" spans="1:15" ht="28.8" x14ac:dyDescent="0.3">
      <c r="A3305" s="1" t="s">
        <v>6377</v>
      </c>
      <c r="B3305" s="1" t="str">
        <f>"HOOK CONSTRUCTION (UK) LTD"</f>
        <v>HOOK CONSTRUCTION (UK) LTD</v>
      </c>
      <c r="C3305" s="1" t="s">
        <v>6378</v>
      </c>
      <c r="F3305" s="1" t="s">
        <v>1776</v>
      </c>
      <c r="H3305" s="1" t="s">
        <v>6379</v>
      </c>
      <c r="I3305" s="1" t="s">
        <v>19</v>
      </c>
      <c r="J3305" s="1" t="s">
        <v>6</v>
      </c>
      <c r="K3305" s="1" t="s">
        <v>34</v>
      </c>
      <c r="L3305" s="1">
        <v>8637548</v>
      </c>
      <c r="M3305" s="2">
        <v>42944</v>
      </c>
      <c r="N3305" s="1" t="s">
        <v>8</v>
      </c>
      <c r="O3305" s="2">
        <v>44040</v>
      </c>
    </row>
    <row r="3306" spans="1:15" ht="43.2" x14ac:dyDescent="0.3">
      <c r="A3306" s="1" t="s">
        <v>6380</v>
      </c>
      <c r="B3306" s="1" t="str">
        <f>"Natural Resources Wales"</f>
        <v>Natural Resources Wales</v>
      </c>
      <c r="C3306" s="1" t="s">
        <v>6381</v>
      </c>
      <c r="F3306" s="1" t="s">
        <v>123</v>
      </c>
      <c r="H3306" s="1" t="s">
        <v>6382</v>
      </c>
      <c r="I3306" s="1" t="s">
        <v>188</v>
      </c>
      <c r="J3306" s="1" t="s">
        <v>67</v>
      </c>
      <c r="K3306" s="1" t="s">
        <v>14</v>
      </c>
      <c r="M3306" s="2">
        <v>42944</v>
      </c>
      <c r="N3306" s="1" t="s">
        <v>8</v>
      </c>
      <c r="O3306" s="1" t="s">
        <v>68</v>
      </c>
    </row>
    <row r="3307" spans="1:15" ht="43.2" x14ac:dyDescent="0.3">
      <c r="A3307" s="1" t="s">
        <v>6383</v>
      </c>
      <c r="B3307" s="1" t="str">
        <f>"TRAC2 Charity-The Really Amazing Ch"</f>
        <v>TRAC2 Charity-The Really Amazing Ch</v>
      </c>
      <c r="C3307" s="1" t="s">
        <v>6384</v>
      </c>
      <c r="F3307" s="1" t="s">
        <v>1058</v>
      </c>
      <c r="H3307" s="1" t="s">
        <v>6385</v>
      </c>
      <c r="I3307" s="1" t="s">
        <v>1872</v>
      </c>
      <c r="J3307" s="1" t="s">
        <v>67</v>
      </c>
      <c r="K3307" s="1" t="s">
        <v>14</v>
      </c>
      <c r="M3307" s="2">
        <v>42944</v>
      </c>
      <c r="N3307" s="1" t="s">
        <v>8</v>
      </c>
      <c r="O3307" s="1" t="s">
        <v>68</v>
      </c>
    </row>
    <row r="3308" spans="1:15" ht="28.8" x14ac:dyDescent="0.3">
      <c r="A3308" s="1" t="s">
        <v>6386</v>
      </c>
      <c r="B3308" s="1" t="str">
        <f>"Emergency Plumbers Ltd"</f>
        <v>Emergency Plumbers Ltd</v>
      </c>
      <c r="C3308" s="1" t="s">
        <v>6387</v>
      </c>
      <c r="F3308" s="1" t="s">
        <v>401</v>
      </c>
      <c r="H3308" s="1" t="s">
        <v>6388</v>
      </c>
      <c r="I3308" s="1" t="s">
        <v>19</v>
      </c>
      <c r="J3308" s="1" t="s">
        <v>6</v>
      </c>
      <c r="K3308" s="1" t="s">
        <v>24</v>
      </c>
      <c r="L3308" s="1">
        <v>6906747</v>
      </c>
      <c r="M3308" s="2">
        <v>42944</v>
      </c>
      <c r="N3308" s="1" t="s">
        <v>8</v>
      </c>
      <c r="O3308" s="2">
        <v>44040</v>
      </c>
    </row>
    <row r="3309" spans="1:15" ht="28.8" x14ac:dyDescent="0.3">
      <c r="A3309" s="1" t="s">
        <v>6389</v>
      </c>
      <c r="B3309" s="1" t="str">
        <f>"James Brothers"</f>
        <v>James Brothers</v>
      </c>
      <c r="C3309" s="1" t="s">
        <v>6390</v>
      </c>
      <c r="F3309" s="1" t="s">
        <v>1351</v>
      </c>
      <c r="H3309" s="1" t="s">
        <v>6391</v>
      </c>
      <c r="I3309" s="1" t="s">
        <v>125</v>
      </c>
      <c r="J3309" s="1" t="s">
        <v>6</v>
      </c>
      <c r="K3309" s="1" t="s">
        <v>34</v>
      </c>
      <c r="M3309" s="2">
        <v>42944</v>
      </c>
      <c r="N3309" s="1" t="s">
        <v>8</v>
      </c>
      <c r="O3309" s="2">
        <v>44040</v>
      </c>
    </row>
    <row r="3310" spans="1:15" x14ac:dyDescent="0.3">
      <c r="A3310" s="1" t="s">
        <v>6392</v>
      </c>
      <c r="B3310" s="1" t="str">
        <f>"Damel LTD "</f>
        <v xml:space="preserve">Damel LTD </v>
      </c>
      <c r="C3310" s="1" t="s">
        <v>6393</v>
      </c>
      <c r="F3310" s="1" t="s">
        <v>2686</v>
      </c>
      <c r="H3310" s="1" t="s">
        <v>6394</v>
      </c>
      <c r="I3310" s="1" t="s">
        <v>19</v>
      </c>
      <c r="J3310" s="1" t="s">
        <v>6</v>
      </c>
      <c r="K3310" s="1" t="s">
        <v>24</v>
      </c>
      <c r="L3310" s="1">
        <v>7594923</v>
      </c>
      <c r="M3310" s="2">
        <v>42944</v>
      </c>
      <c r="N3310" s="1" t="s">
        <v>8</v>
      </c>
      <c r="O3310" s="2">
        <v>44040</v>
      </c>
    </row>
    <row r="3311" spans="1:15" ht="43.2" x14ac:dyDescent="0.3">
      <c r="A3311" s="1" t="s">
        <v>20772</v>
      </c>
      <c r="B3311" s="1" t="str">
        <f>"Alan Ramsbottom A &amp; T Ramsbottom Landscape "</f>
        <v xml:space="preserve">Alan Ramsbottom A &amp; T Ramsbottom Landscape </v>
      </c>
      <c r="C3311" s="1" t="s">
        <v>20773</v>
      </c>
      <c r="F3311" s="1" t="s">
        <v>922</v>
      </c>
      <c r="H3311" s="1" t="s">
        <v>20774</v>
      </c>
      <c r="I3311" s="1" t="s">
        <v>5</v>
      </c>
      <c r="J3311" s="1" t="s">
        <v>6</v>
      </c>
      <c r="K3311" s="1" t="s">
        <v>34</v>
      </c>
      <c r="M3311" s="2">
        <v>42944</v>
      </c>
      <c r="N3311" s="1" t="s">
        <v>8</v>
      </c>
      <c r="O3311" s="2">
        <v>44040</v>
      </c>
    </row>
    <row r="3312" spans="1:15" ht="43.2" x14ac:dyDescent="0.3">
      <c r="A3312" s="1" t="s">
        <v>20775</v>
      </c>
      <c r="B3312" s="1" t="str">
        <f>"MARTIN Griffiths"</f>
        <v>MARTIN Griffiths</v>
      </c>
      <c r="C3312" s="1" t="s">
        <v>20776</v>
      </c>
      <c r="F3312" s="1" t="s">
        <v>653</v>
      </c>
      <c r="H3312" s="1" t="s">
        <v>20777</v>
      </c>
      <c r="I3312" s="1" t="s">
        <v>5</v>
      </c>
      <c r="J3312" s="1" t="s">
        <v>67</v>
      </c>
      <c r="K3312" s="1" t="s">
        <v>14</v>
      </c>
      <c r="M3312" s="2">
        <v>42944</v>
      </c>
      <c r="N3312" s="1" t="s">
        <v>8</v>
      </c>
      <c r="O3312" s="1" t="s">
        <v>68</v>
      </c>
    </row>
    <row r="3313" spans="1:15" ht="28.8" x14ac:dyDescent="0.3">
      <c r="A3313" s="1" t="s">
        <v>20778</v>
      </c>
      <c r="B3313" s="1" t="str">
        <f>"Ian Phillips T &amp; R Phillips"</f>
        <v>Ian Phillips T &amp; R Phillips</v>
      </c>
      <c r="C3313" s="1" t="s">
        <v>20779</v>
      </c>
      <c r="D3313" s="1" t="s">
        <v>20780</v>
      </c>
      <c r="F3313" s="1" t="s">
        <v>1351</v>
      </c>
      <c r="H3313" s="1" t="s">
        <v>20781</v>
      </c>
      <c r="I3313" s="1" t="s">
        <v>5</v>
      </c>
      <c r="J3313" s="1" t="s">
        <v>6</v>
      </c>
      <c r="K3313" s="1" t="s">
        <v>24</v>
      </c>
      <c r="M3313" s="2">
        <v>42944</v>
      </c>
      <c r="N3313" s="1" t="s">
        <v>8</v>
      </c>
      <c r="O3313" s="2">
        <v>44040</v>
      </c>
    </row>
    <row r="3314" spans="1:15" ht="28.8" x14ac:dyDescent="0.3">
      <c r="A3314" s="1" t="s">
        <v>20782</v>
      </c>
      <c r="B3314" s="1" t="str">
        <f>"Richard Walter Stanlake"</f>
        <v>Richard Walter Stanlake</v>
      </c>
      <c r="C3314" s="1" t="s">
        <v>20783</v>
      </c>
      <c r="F3314" s="1" t="s">
        <v>354</v>
      </c>
      <c r="H3314" s="1" t="s">
        <v>20784</v>
      </c>
      <c r="I3314" s="1" t="s">
        <v>5</v>
      </c>
      <c r="J3314" s="1" t="s">
        <v>6</v>
      </c>
      <c r="K3314" s="1" t="s">
        <v>24</v>
      </c>
      <c r="M3314" s="2">
        <v>42944</v>
      </c>
      <c r="N3314" s="1" t="s">
        <v>8</v>
      </c>
      <c r="O3314" s="2">
        <v>44040</v>
      </c>
    </row>
    <row r="3315" spans="1:15" ht="28.8" x14ac:dyDescent="0.3">
      <c r="A3315" s="1" t="s">
        <v>20785</v>
      </c>
      <c r="B3315" s="1" t="str">
        <f>"andrew ward HPM MAP2"</f>
        <v>andrew ward HPM MAP2</v>
      </c>
      <c r="C3315" s="1" t="s">
        <v>20786</v>
      </c>
      <c r="F3315" s="1" t="s">
        <v>156</v>
      </c>
      <c r="H3315" s="1" t="s">
        <v>20787</v>
      </c>
      <c r="I3315" s="1" t="s">
        <v>5</v>
      </c>
      <c r="J3315" s="1" t="s">
        <v>6</v>
      </c>
      <c r="K3315" s="1" t="s">
        <v>24</v>
      </c>
      <c r="M3315" s="2">
        <v>42944</v>
      </c>
      <c r="N3315" s="1" t="s">
        <v>8</v>
      </c>
      <c r="O3315" s="2">
        <v>44040</v>
      </c>
    </row>
    <row r="3316" spans="1:15" ht="43.2" x14ac:dyDescent="0.3">
      <c r="A3316" s="1" t="s">
        <v>5158</v>
      </c>
      <c r="B3316" s="1" t="str">
        <f>"Snowdrop Care &amp; Mobility Ltd"</f>
        <v>Snowdrop Care &amp; Mobility Ltd</v>
      </c>
      <c r="C3316" s="1" t="s">
        <v>5159</v>
      </c>
      <c r="F3316" s="1" t="s">
        <v>1776</v>
      </c>
      <c r="H3316" s="1" t="s">
        <v>5160</v>
      </c>
      <c r="I3316" s="1" t="s">
        <v>19</v>
      </c>
      <c r="J3316" s="1" t="s">
        <v>67</v>
      </c>
      <c r="K3316" s="1" t="s">
        <v>24</v>
      </c>
      <c r="L3316" s="1">
        <v>4243085</v>
      </c>
      <c r="M3316" s="2">
        <v>42943</v>
      </c>
      <c r="N3316" s="1" t="s">
        <v>8</v>
      </c>
      <c r="O3316" s="1" t="s">
        <v>68</v>
      </c>
    </row>
    <row r="3317" spans="1:15" ht="43.2" x14ac:dyDescent="0.3">
      <c r="A3317" s="1" t="s">
        <v>5161</v>
      </c>
      <c r="B3317" s="1" t="str">
        <f>"CARDIFF DIESEL SERVICES LTD"</f>
        <v>CARDIFF DIESEL SERVICES LTD</v>
      </c>
      <c r="C3317" s="1" t="s">
        <v>5162</v>
      </c>
      <c r="F3317" s="1" t="s">
        <v>123</v>
      </c>
      <c r="H3317" s="1" t="s">
        <v>5163</v>
      </c>
      <c r="I3317" s="1" t="s">
        <v>19</v>
      </c>
      <c r="J3317" s="1" t="s">
        <v>67</v>
      </c>
      <c r="K3317" s="1" t="s">
        <v>24</v>
      </c>
      <c r="L3317" s="1">
        <v>3631857</v>
      </c>
      <c r="M3317" s="2">
        <v>42943</v>
      </c>
      <c r="N3317" s="1" t="s">
        <v>8</v>
      </c>
      <c r="O3317" s="1" t="s">
        <v>68</v>
      </c>
    </row>
    <row r="3318" spans="1:15" ht="28.8" x14ac:dyDescent="0.3">
      <c r="A3318" s="1" t="s">
        <v>5164</v>
      </c>
      <c r="B3318" s="1" t="str">
        <f>"Graham's Recycling Services Ltd"</f>
        <v>Graham's Recycling Services Ltd</v>
      </c>
      <c r="C3318" s="1" t="s">
        <v>5165</v>
      </c>
      <c r="F3318" s="1" t="s">
        <v>156</v>
      </c>
      <c r="H3318" s="1" t="s">
        <v>5166</v>
      </c>
      <c r="I3318" s="1" t="s">
        <v>19</v>
      </c>
      <c r="J3318" s="1" t="s">
        <v>6</v>
      </c>
      <c r="K3318" s="1" t="s">
        <v>34</v>
      </c>
      <c r="L3318" s="1">
        <v>3426356</v>
      </c>
      <c r="M3318" s="2">
        <v>42943</v>
      </c>
      <c r="N3318" s="1" t="s">
        <v>8</v>
      </c>
      <c r="O3318" s="2">
        <v>44039</v>
      </c>
    </row>
    <row r="3319" spans="1:15" ht="28.8" x14ac:dyDescent="0.3">
      <c r="A3319" s="1" t="s">
        <v>5167</v>
      </c>
      <c r="B3319" s="1" t="str">
        <f>"Moonforge Ltd  Mister Window Co"</f>
        <v>Moonforge Ltd  Mister Window Co</v>
      </c>
      <c r="C3319" s="1" t="s">
        <v>5168</v>
      </c>
      <c r="D3319" s="1" t="s">
        <v>5169</v>
      </c>
      <c r="F3319" s="1" t="s">
        <v>5170</v>
      </c>
      <c r="H3319" s="1" t="s">
        <v>794</v>
      </c>
      <c r="I3319" s="1" t="s">
        <v>19</v>
      </c>
      <c r="J3319" s="1" t="s">
        <v>6</v>
      </c>
      <c r="K3319" s="1" t="s">
        <v>24</v>
      </c>
      <c r="L3319" s="1">
        <v>2414854</v>
      </c>
      <c r="M3319" s="2">
        <v>42943</v>
      </c>
      <c r="N3319" s="1" t="s">
        <v>8</v>
      </c>
      <c r="O3319" s="2">
        <v>44039</v>
      </c>
    </row>
    <row r="3320" spans="1:15" ht="28.8" x14ac:dyDescent="0.3">
      <c r="A3320" s="1" t="s">
        <v>5171</v>
      </c>
      <c r="B3320" s="1" t="str">
        <f>"MTW Plumbing &amp; Heating"</f>
        <v>MTW Plumbing &amp; Heating</v>
      </c>
      <c r="C3320" s="1" t="s">
        <v>5172</v>
      </c>
      <c r="F3320" s="1" t="s">
        <v>156</v>
      </c>
      <c r="H3320" s="1" t="s">
        <v>5173</v>
      </c>
      <c r="I3320" s="1" t="s">
        <v>19</v>
      </c>
      <c r="J3320" s="1" t="s">
        <v>6</v>
      </c>
      <c r="K3320" s="1" t="s">
        <v>24</v>
      </c>
      <c r="L3320" s="1">
        <v>10756022</v>
      </c>
      <c r="M3320" s="2">
        <v>42943</v>
      </c>
      <c r="N3320" s="1" t="s">
        <v>8</v>
      </c>
      <c r="O3320" s="2">
        <v>44039</v>
      </c>
    </row>
    <row r="3321" spans="1:15" ht="43.2" x14ac:dyDescent="0.3">
      <c r="A3321" s="1" t="s">
        <v>5174</v>
      </c>
      <c r="B3321" s="1" t="str">
        <f>"Paul Sartori Foundation Ltd"</f>
        <v>Paul Sartori Foundation Ltd</v>
      </c>
      <c r="C3321" s="1" t="s">
        <v>5175</v>
      </c>
      <c r="F3321" s="1" t="s">
        <v>1776</v>
      </c>
      <c r="H3321" s="1" t="s">
        <v>5176</v>
      </c>
      <c r="I3321" s="1" t="s">
        <v>1872</v>
      </c>
      <c r="J3321" s="1" t="s">
        <v>67</v>
      </c>
      <c r="K3321" s="1" t="s">
        <v>14</v>
      </c>
      <c r="M3321" s="2">
        <v>42943</v>
      </c>
      <c r="N3321" s="1" t="s">
        <v>8</v>
      </c>
      <c r="O3321" s="1" t="s">
        <v>68</v>
      </c>
    </row>
    <row r="3322" spans="1:15" ht="43.2" x14ac:dyDescent="0.3">
      <c r="A3322" s="1" t="s">
        <v>5177</v>
      </c>
      <c r="B3322" s="1" t="str">
        <f>"Ceffyl a Charn Cyf"</f>
        <v>Ceffyl a Charn Cyf</v>
      </c>
      <c r="C3322" s="1" t="s">
        <v>5178</v>
      </c>
      <c r="F3322" s="1" t="s">
        <v>922</v>
      </c>
      <c r="H3322" s="1" t="s">
        <v>5179</v>
      </c>
      <c r="I3322" s="1" t="s">
        <v>19</v>
      </c>
      <c r="J3322" s="1" t="s">
        <v>67</v>
      </c>
      <c r="K3322" s="1" t="s">
        <v>14</v>
      </c>
      <c r="M3322" s="2">
        <v>42943</v>
      </c>
      <c r="N3322" s="1" t="s">
        <v>8</v>
      </c>
      <c r="O3322" s="1" t="s">
        <v>68</v>
      </c>
    </row>
    <row r="3323" spans="1:15" ht="28.8" x14ac:dyDescent="0.3">
      <c r="A3323" s="1" t="s">
        <v>19988</v>
      </c>
      <c r="B3323" s="1" t="str">
        <f>"stuart james pitson sjp maintance"</f>
        <v>stuart james pitson sjp maintance</v>
      </c>
      <c r="C3323" s="1" t="s">
        <v>19989</v>
      </c>
      <c r="F3323" s="1" t="s">
        <v>64</v>
      </c>
      <c r="H3323" s="1" t="s">
        <v>19990</v>
      </c>
      <c r="I3323" s="1" t="s">
        <v>5</v>
      </c>
      <c r="J3323" s="1" t="s">
        <v>6</v>
      </c>
      <c r="K3323" s="1" t="s">
        <v>24</v>
      </c>
      <c r="M3323" s="2">
        <v>42943</v>
      </c>
      <c r="N3323" s="1" t="s">
        <v>8</v>
      </c>
      <c r="O3323" s="2">
        <v>44039</v>
      </c>
    </row>
    <row r="3324" spans="1:15" ht="28.8" x14ac:dyDescent="0.3">
      <c r="A3324" s="1" t="s">
        <v>19991</v>
      </c>
      <c r="B3324" s="1" t="str">
        <f>"Arfon  Hughes A Hughes"</f>
        <v>Arfon  Hughes A Hughes</v>
      </c>
      <c r="C3324" s="1" t="s">
        <v>19992</v>
      </c>
      <c r="F3324" s="1" t="s">
        <v>710</v>
      </c>
      <c r="H3324" s="1" t="s">
        <v>19993</v>
      </c>
      <c r="I3324" s="1" t="s">
        <v>5</v>
      </c>
      <c r="J3324" s="1" t="s">
        <v>6</v>
      </c>
      <c r="K3324" s="1" t="s">
        <v>34</v>
      </c>
      <c r="M3324" s="2">
        <v>42943</v>
      </c>
      <c r="N3324" s="1" t="s">
        <v>8</v>
      </c>
      <c r="O3324" s="2">
        <v>44039</v>
      </c>
    </row>
    <row r="3325" spans="1:15" ht="28.8" x14ac:dyDescent="0.3">
      <c r="A3325" s="1" t="s">
        <v>4022</v>
      </c>
      <c r="B3325" s="1" t="str">
        <f>"Gareth Morris Construction Ltd"</f>
        <v>Gareth Morris Construction Ltd</v>
      </c>
      <c r="C3325" s="1" t="s">
        <v>4023</v>
      </c>
      <c r="F3325" s="1" t="s">
        <v>1888</v>
      </c>
      <c r="H3325" s="1" t="s">
        <v>4024</v>
      </c>
      <c r="I3325" s="1" t="s">
        <v>19</v>
      </c>
      <c r="J3325" s="1" t="s">
        <v>6</v>
      </c>
      <c r="K3325" s="1" t="s">
        <v>24</v>
      </c>
      <c r="L3325" s="1">
        <v>2730579</v>
      </c>
      <c r="M3325" s="2">
        <v>42942</v>
      </c>
      <c r="N3325" s="1" t="s">
        <v>8</v>
      </c>
      <c r="O3325" s="2">
        <v>44043</v>
      </c>
    </row>
    <row r="3326" spans="1:15" ht="28.8" x14ac:dyDescent="0.3">
      <c r="A3326" s="1" t="s">
        <v>4025</v>
      </c>
      <c r="B3326" s="1" t="str">
        <f>"Thortech Ltd"</f>
        <v>Thortech Ltd</v>
      </c>
      <c r="C3326" s="1" t="s">
        <v>4026</v>
      </c>
      <c r="D3326" s="1" t="s">
        <v>2825</v>
      </c>
      <c r="E3326" s="1" t="s">
        <v>500</v>
      </c>
      <c r="F3326" s="1" t="s">
        <v>123</v>
      </c>
      <c r="H3326" s="1" t="s">
        <v>4027</v>
      </c>
      <c r="I3326" s="1" t="s">
        <v>19</v>
      </c>
      <c r="J3326" s="1" t="s">
        <v>6</v>
      </c>
      <c r="K3326" s="1" t="s">
        <v>24</v>
      </c>
      <c r="L3326" s="1">
        <v>5049153</v>
      </c>
      <c r="M3326" s="2">
        <v>42942</v>
      </c>
      <c r="N3326" s="1" t="s">
        <v>8</v>
      </c>
      <c r="O3326" s="2">
        <v>44038</v>
      </c>
    </row>
    <row r="3327" spans="1:15" ht="43.2" x14ac:dyDescent="0.3">
      <c r="A3327" s="1" t="s">
        <v>4028</v>
      </c>
      <c r="B3327" s="1" t="str">
        <f>"T J Morgan"</f>
        <v>T J Morgan</v>
      </c>
      <c r="C3327" s="1" t="s">
        <v>4029</v>
      </c>
      <c r="D3327" s="1" t="s">
        <v>781</v>
      </c>
      <c r="F3327" s="1" t="s">
        <v>782</v>
      </c>
      <c r="H3327" s="1" t="s">
        <v>4030</v>
      </c>
      <c r="I3327" s="1" t="s">
        <v>19</v>
      </c>
      <c r="J3327" s="1" t="s">
        <v>67</v>
      </c>
      <c r="K3327" s="1" t="s">
        <v>14</v>
      </c>
      <c r="M3327" s="2">
        <v>42942</v>
      </c>
      <c r="N3327" s="1" t="s">
        <v>8</v>
      </c>
      <c r="O3327" s="1" t="s">
        <v>68</v>
      </c>
    </row>
    <row r="3328" spans="1:15" ht="28.8" x14ac:dyDescent="0.3">
      <c r="A3328" s="1" t="s">
        <v>4031</v>
      </c>
      <c r="B3328" s="1" t="str">
        <f>"FALCONER ELECTRICALS LIMITED"</f>
        <v>FALCONER ELECTRICALS LIMITED</v>
      </c>
      <c r="C3328" s="1" t="s">
        <v>4032</v>
      </c>
      <c r="F3328" s="1" t="s">
        <v>4033</v>
      </c>
      <c r="H3328" s="1" t="s">
        <v>4034</v>
      </c>
      <c r="I3328" s="1" t="s">
        <v>19</v>
      </c>
      <c r="J3328" s="1" t="s">
        <v>6</v>
      </c>
      <c r="K3328" s="1" t="s">
        <v>24</v>
      </c>
      <c r="L3328" s="1">
        <v>1513759</v>
      </c>
      <c r="M3328" s="2">
        <v>42942</v>
      </c>
      <c r="N3328" s="1" t="s">
        <v>8</v>
      </c>
      <c r="O3328" s="2">
        <v>44038</v>
      </c>
    </row>
    <row r="3329" spans="1:15" ht="28.8" x14ac:dyDescent="0.3">
      <c r="A3329" s="1" t="s">
        <v>4035</v>
      </c>
      <c r="B3329" s="1" t="str">
        <f>"Just Air Services Ltd"</f>
        <v>Just Air Services Ltd</v>
      </c>
      <c r="C3329" s="1" t="s">
        <v>4036</v>
      </c>
      <c r="F3329" s="1" t="s">
        <v>123</v>
      </c>
      <c r="H3329" s="1" t="s">
        <v>4037</v>
      </c>
      <c r="I3329" s="1" t="s">
        <v>19</v>
      </c>
      <c r="J3329" s="1" t="s">
        <v>6</v>
      </c>
      <c r="K3329" s="1" t="s">
        <v>24</v>
      </c>
      <c r="L3329" s="1">
        <v>7984355</v>
      </c>
      <c r="M3329" s="2">
        <v>42942</v>
      </c>
      <c r="N3329" s="1" t="s">
        <v>8</v>
      </c>
      <c r="O3329" s="2">
        <v>44038</v>
      </c>
    </row>
    <row r="3330" spans="1:15" ht="28.8" x14ac:dyDescent="0.3">
      <c r="A3330" s="1" t="s">
        <v>19191</v>
      </c>
      <c r="B3330" s="1" t="str">
        <f>"Aled Edwards AE Refrigeration"</f>
        <v>Aled Edwards AE Refrigeration</v>
      </c>
      <c r="C3330" s="1" t="s">
        <v>19192</v>
      </c>
      <c r="F3330" s="1" t="s">
        <v>37</v>
      </c>
      <c r="H3330" s="1" t="s">
        <v>19193</v>
      </c>
      <c r="I3330" s="1" t="s">
        <v>5</v>
      </c>
      <c r="J3330" s="1" t="s">
        <v>6</v>
      </c>
      <c r="K3330" s="1" t="s">
        <v>24</v>
      </c>
      <c r="M3330" s="2">
        <v>42942</v>
      </c>
      <c r="N3330" s="1" t="s">
        <v>8</v>
      </c>
      <c r="O3330" s="2">
        <v>44038</v>
      </c>
    </row>
    <row r="3331" spans="1:15" ht="28.8" x14ac:dyDescent="0.3">
      <c r="A3331" s="1" t="s">
        <v>19979</v>
      </c>
      <c r="B3331" s="1" t="str">
        <f>"Rhydian Jones A R Jones"</f>
        <v>Rhydian Jones A R Jones</v>
      </c>
      <c r="C3331" s="1" t="s">
        <v>19980</v>
      </c>
      <c r="F3331" s="1" t="s">
        <v>2527</v>
      </c>
      <c r="H3331" s="1" t="s">
        <v>19981</v>
      </c>
      <c r="I3331" s="1" t="s">
        <v>5</v>
      </c>
      <c r="J3331" s="1" t="s">
        <v>6</v>
      </c>
      <c r="K3331" s="1" t="s">
        <v>24</v>
      </c>
      <c r="M3331" s="2">
        <v>42942</v>
      </c>
      <c r="N3331" s="1" t="s">
        <v>8</v>
      </c>
      <c r="O3331" s="2">
        <v>44038</v>
      </c>
    </row>
    <row r="3332" spans="1:15" ht="43.2" x14ac:dyDescent="0.3">
      <c r="A3332" s="1" t="s">
        <v>19982</v>
      </c>
      <c r="B3332" s="1" t="str">
        <f>"Eric Karklins"</f>
        <v>Eric Karklins</v>
      </c>
      <c r="C3332" s="1" t="s">
        <v>19983</v>
      </c>
      <c r="F3332" s="1" t="s">
        <v>32</v>
      </c>
      <c r="H3332" s="1" t="s">
        <v>19984</v>
      </c>
      <c r="I3332" s="1" t="s">
        <v>5</v>
      </c>
      <c r="J3332" s="1" t="s">
        <v>67</v>
      </c>
      <c r="K3332" s="1" t="s">
        <v>14</v>
      </c>
      <c r="M3332" s="2">
        <v>42942</v>
      </c>
      <c r="N3332" s="1" t="s">
        <v>8</v>
      </c>
      <c r="O3332" s="1" t="s">
        <v>68</v>
      </c>
    </row>
    <row r="3333" spans="1:15" ht="28.8" x14ac:dyDescent="0.3">
      <c r="A3333" s="1" t="s">
        <v>19985</v>
      </c>
      <c r="B3333" s="1" t="str">
        <f>"Mark Holt-Butterfill Mark Holt-Butterfill"</f>
        <v>Mark Holt-Butterfill Mark Holt-Butterfill</v>
      </c>
      <c r="C3333" s="1" t="s">
        <v>19986</v>
      </c>
      <c r="F3333" s="1" t="s">
        <v>140</v>
      </c>
      <c r="H3333" s="1" t="s">
        <v>19987</v>
      </c>
      <c r="I3333" s="1" t="s">
        <v>5</v>
      </c>
      <c r="J3333" s="1" t="s">
        <v>6</v>
      </c>
      <c r="K3333" s="1" t="s">
        <v>24</v>
      </c>
      <c r="M3333" s="2">
        <v>42942</v>
      </c>
      <c r="N3333" s="1" t="s">
        <v>8</v>
      </c>
      <c r="O3333" s="2">
        <v>44038</v>
      </c>
    </row>
    <row r="3334" spans="1:15" ht="43.2" x14ac:dyDescent="0.3">
      <c r="A3334" s="1" t="s">
        <v>4019</v>
      </c>
      <c r="B3334" s="1" t="str">
        <f>"O'Sullivan Opticians"</f>
        <v>O'Sullivan Opticians</v>
      </c>
      <c r="C3334" s="1" t="s">
        <v>4020</v>
      </c>
      <c r="F3334" s="1" t="s">
        <v>706</v>
      </c>
      <c r="H3334" s="1" t="s">
        <v>4021</v>
      </c>
      <c r="I3334" s="1" t="s">
        <v>19</v>
      </c>
      <c r="J3334" s="1" t="s">
        <v>67</v>
      </c>
      <c r="K3334" s="1" t="s">
        <v>14</v>
      </c>
      <c r="M3334" s="2">
        <v>42941</v>
      </c>
      <c r="N3334" s="1" t="s">
        <v>8</v>
      </c>
      <c r="O3334" s="1" t="s">
        <v>68</v>
      </c>
    </row>
    <row r="3335" spans="1:15" ht="28.8" x14ac:dyDescent="0.3">
      <c r="A3335" s="1" t="s">
        <v>17719</v>
      </c>
      <c r="B3335" s="1" t="str">
        <f>"D J REES DECORATING SERVICES LTD"</f>
        <v>D J REES DECORATING SERVICES LTD</v>
      </c>
      <c r="C3335" s="1" t="s">
        <v>17720</v>
      </c>
      <c r="D3335" s="1" t="s">
        <v>1705</v>
      </c>
      <c r="F3335" s="1" t="s">
        <v>556</v>
      </c>
      <c r="H3335" s="1" t="s">
        <v>1706</v>
      </c>
      <c r="I3335" s="1" t="s">
        <v>19</v>
      </c>
      <c r="J3335" s="1" t="s">
        <v>6</v>
      </c>
      <c r="K3335" s="1" t="s">
        <v>24</v>
      </c>
      <c r="L3335" s="1">
        <v>4961879</v>
      </c>
      <c r="M3335" s="2">
        <v>42941</v>
      </c>
      <c r="N3335" s="1" t="s">
        <v>8</v>
      </c>
      <c r="O3335" s="2">
        <v>44037</v>
      </c>
    </row>
    <row r="3336" spans="1:15" ht="28.8" x14ac:dyDescent="0.3">
      <c r="A3336" s="1" t="s">
        <v>17721</v>
      </c>
      <c r="B3336" s="1" t="str">
        <f>"GJ &amp; JM Williams"</f>
        <v>GJ &amp; JM Williams</v>
      </c>
      <c r="C3336" s="1" t="s">
        <v>17722</v>
      </c>
      <c r="D3336" s="1" t="s">
        <v>4301</v>
      </c>
      <c r="F3336" s="1" t="s">
        <v>585</v>
      </c>
      <c r="H3336" s="1" t="s">
        <v>17723</v>
      </c>
      <c r="I3336" s="1" t="s">
        <v>125</v>
      </c>
      <c r="J3336" s="1" t="s">
        <v>6</v>
      </c>
      <c r="K3336" s="1" t="s">
        <v>34</v>
      </c>
      <c r="M3336" s="2">
        <v>42941</v>
      </c>
      <c r="N3336" s="1" t="s">
        <v>8</v>
      </c>
      <c r="O3336" s="2">
        <v>44037</v>
      </c>
    </row>
    <row r="3337" spans="1:15" ht="43.2" x14ac:dyDescent="0.3">
      <c r="A3337" s="1" t="s">
        <v>17724</v>
      </c>
      <c r="B3337" s="1" t="str">
        <f>"GRIFFITHS WASTE SOLUTIONS (GWS) LIMITED"</f>
        <v>GRIFFITHS WASTE SOLUTIONS (GWS) LIMITED</v>
      </c>
      <c r="C3337" s="1" t="s">
        <v>17725</v>
      </c>
      <c r="F3337" s="1" t="s">
        <v>1776</v>
      </c>
      <c r="H3337" s="1" t="s">
        <v>17726</v>
      </c>
      <c r="I3337" s="1" t="s">
        <v>19</v>
      </c>
      <c r="J3337" s="1" t="s">
        <v>6</v>
      </c>
      <c r="K3337" s="1" t="s">
        <v>34</v>
      </c>
      <c r="L3337" s="1">
        <v>9052104</v>
      </c>
      <c r="M3337" s="2">
        <v>42941</v>
      </c>
      <c r="N3337" s="1" t="s">
        <v>8</v>
      </c>
      <c r="O3337" s="2">
        <v>44037</v>
      </c>
    </row>
    <row r="3338" spans="1:15" ht="43.2" x14ac:dyDescent="0.3">
      <c r="A3338" s="1" t="s">
        <v>17727</v>
      </c>
      <c r="B3338" s="1" t="str">
        <f>"NEWPORT CITY HOMES"</f>
        <v>NEWPORT CITY HOMES</v>
      </c>
      <c r="C3338" s="1" t="s">
        <v>17728</v>
      </c>
      <c r="F3338" s="1" t="s">
        <v>156</v>
      </c>
      <c r="H3338" s="1" t="s">
        <v>17729</v>
      </c>
      <c r="I3338" s="1" t="s">
        <v>1872</v>
      </c>
      <c r="J3338" s="1" t="s">
        <v>67</v>
      </c>
      <c r="K3338" s="1" t="s">
        <v>24</v>
      </c>
      <c r="M3338" s="2">
        <v>42941</v>
      </c>
      <c r="N3338" s="1" t="s">
        <v>8</v>
      </c>
      <c r="O3338" s="1" t="s">
        <v>68</v>
      </c>
    </row>
    <row r="3339" spans="1:15" ht="28.8" x14ac:dyDescent="0.3">
      <c r="A3339" s="1" t="s">
        <v>19182</v>
      </c>
      <c r="B3339" s="1" t="str">
        <f>"Barrie Farmer B &amp; B PAVING SERVICES"</f>
        <v>Barrie Farmer B &amp; B PAVING SERVICES</v>
      </c>
      <c r="C3339" s="1" t="s">
        <v>19183</v>
      </c>
      <c r="F3339" s="1" t="s">
        <v>930</v>
      </c>
      <c r="H3339" s="1" t="s">
        <v>19184</v>
      </c>
      <c r="I3339" s="1" t="s">
        <v>5</v>
      </c>
      <c r="J3339" s="1" t="s">
        <v>6</v>
      </c>
      <c r="K3339" s="1" t="s">
        <v>24</v>
      </c>
      <c r="M3339" s="2">
        <v>42941</v>
      </c>
      <c r="N3339" s="1" t="s">
        <v>8</v>
      </c>
      <c r="O3339" s="2">
        <v>44037</v>
      </c>
    </row>
    <row r="3340" spans="1:15" x14ac:dyDescent="0.3">
      <c r="A3340" s="1" t="s">
        <v>19185</v>
      </c>
      <c r="B3340" s="1" t="str">
        <f>"Glen Cooke Glen Skips"</f>
        <v>Glen Cooke Glen Skips</v>
      </c>
      <c r="C3340" s="1" t="s">
        <v>19186</v>
      </c>
      <c r="F3340" s="1" t="s">
        <v>825</v>
      </c>
      <c r="H3340" s="1" t="s">
        <v>19187</v>
      </c>
      <c r="I3340" s="1" t="s">
        <v>5</v>
      </c>
      <c r="J3340" s="1" t="s">
        <v>6</v>
      </c>
      <c r="K3340" s="1" t="s">
        <v>24</v>
      </c>
      <c r="M3340" s="2">
        <v>42941</v>
      </c>
      <c r="N3340" s="1" t="s">
        <v>8</v>
      </c>
      <c r="O3340" s="2">
        <v>44037</v>
      </c>
    </row>
    <row r="3341" spans="1:15" ht="28.8" x14ac:dyDescent="0.3">
      <c r="A3341" s="1" t="s">
        <v>19188</v>
      </c>
      <c r="B3341" s="1" t="str">
        <f>"James Gunter J G Garden Maintenance"</f>
        <v>James Gunter J G Garden Maintenance</v>
      </c>
      <c r="C3341" s="1" t="s">
        <v>19189</v>
      </c>
      <c r="F3341" s="1" t="s">
        <v>64</v>
      </c>
      <c r="H3341" s="1" t="s">
        <v>19190</v>
      </c>
      <c r="I3341" s="1" t="s">
        <v>5</v>
      </c>
      <c r="J3341" s="1" t="s">
        <v>6</v>
      </c>
      <c r="K3341" s="1" t="s">
        <v>24</v>
      </c>
      <c r="M3341" s="2">
        <v>42941</v>
      </c>
      <c r="N3341" s="1" t="s">
        <v>8</v>
      </c>
      <c r="O3341" s="2">
        <v>44037</v>
      </c>
    </row>
    <row r="3342" spans="1:15" ht="28.8" x14ac:dyDescent="0.3">
      <c r="A3342" s="1" t="s">
        <v>29462</v>
      </c>
      <c r="B3342" s="1" t="str">
        <f>"CLIFF HARWOOD CLIFF HARWOOD"</f>
        <v>CLIFF HARWOOD CLIFF HARWOOD</v>
      </c>
      <c r="C3342" s="1" t="s">
        <v>29463</v>
      </c>
      <c r="F3342" s="1" t="s">
        <v>29464</v>
      </c>
      <c r="H3342" s="1" t="s">
        <v>29465</v>
      </c>
      <c r="I3342" s="1" t="s">
        <v>5</v>
      </c>
      <c r="J3342" s="1" t="s">
        <v>6</v>
      </c>
      <c r="K3342" s="1" t="s">
        <v>24</v>
      </c>
      <c r="M3342" s="2">
        <v>42941</v>
      </c>
      <c r="N3342" s="1" t="s">
        <v>8</v>
      </c>
      <c r="O3342" s="2">
        <v>44037</v>
      </c>
    </row>
    <row r="3343" spans="1:15" ht="28.8" x14ac:dyDescent="0.3">
      <c r="A3343" s="1" t="s">
        <v>29466</v>
      </c>
      <c r="B3343" s="1" t="str">
        <f>"John Williams J W's Mini Skips &amp; Plant Hire"</f>
        <v>John Williams J W's Mini Skips &amp; Plant Hire</v>
      </c>
      <c r="C3343" s="1" t="s">
        <v>29467</v>
      </c>
      <c r="F3343" s="1" t="s">
        <v>1206</v>
      </c>
      <c r="H3343" s="1" t="s">
        <v>6501</v>
      </c>
      <c r="I3343" s="1" t="s">
        <v>5</v>
      </c>
      <c r="J3343" s="1" t="s">
        <v>6</v>
      </c>
      <c r="K3343" s="1" t="s">
        <v>24</v>
      </c>
      <c r="M3343" s="2">
        <v>42941</v>
      </c>
      <c r="N3343" s="1" t="s">
        <v>8</v>
      </c>
      <c r="O3343" s="2">
        <v>44037</v>
      </c>
    </row>
    <row r="3344" spans="1:15" ht="28.8" x14ac:dyDescent="0.3">
      <c r="A3344" s="1" t="s">
        <v>17709</v>
      </c>
      <c r="B3344" s="1" t="str">
        <f>"C.J. BIRD TRANSPORT LIMITED"</f>
        <v>C.J. BIRD TRANSPORT LIMITED</v>
      </c>
      <c r="C3344" s="1" t="s">
        <v>17710</v>
      </c>
      <c r="D3344" s="1" t="s">
        <v>17711</v>
      </c>
      <c r="F3344" s="1" t="s">
        <v>8728</v>
      </c>
      <c r="H3344" s="1" t="s">
        <v>5255</v>
      </c>
      <c r="I3344" s="1" t="s">
        <v>19</v>
      </c>
      <c r="J3344" s="1" t="s">
        <v>6</v>
      </c>
      <c r="K3344" s="1" t="s">
        <v>24</v>
      </c>
      <c r="L3344" s="1">
        <v>4110504</v>
      </c>
      <c r="M3344" s="2">
        <v>42940</v>
      </c>
      <c r="N3344" s="1" t="s">
        <v>8</v>
      </c>
      <c r="O3344" s="2">
        <v>44036</v>
      </c>
    </row>
    <row r="3345" spans="1:15" x14ac:dyDescent="0.3">
      <c r="A3345" s="1" t="s">
        <v>17712</v>
      </c>
      <c r="B3345" s="1" t="str">
        <f>"Wayne &amp; David Steed"</f>
        <v>Wayne &amp; David Steed</v>
      </c>
      <c r="C3345" s="1" t="s">
        <v>17713</v>
      </c>
      <c r="D3345" s="1" t="s">
        <v>17714</v>
      </c>
      <c r="F3345" s="1" t="s">
        <v>102</v>
      </c>
      <c r="H3345" s="1" t="s">
        <v>17715</v>
      </c>
      <c r="I3345" s="1" t="s">
        <v>125</v>
      </c>
      <c r="J3345" s="1" t="s">
        <v>6</v>
      </c>
      <c r="K3345" s="1" t="s">
        <v>24</v>
      </c>
      <c r="M3345" s="2">
        <v>42940</v>
      </c>
      <c r="N3345" s="1" t="s">
        <v>8</v>
      </c>
      <c r="O3345" s="2">
        <v>44036</v>
      </c>
    </row>
    <row r="3346" spans="1:15" ht="28.8" x14ac:dyDescent="0.3">
      <c r="A3346" s="1" t="s">
        <v>17716</v>
      </c>
      <c r="B3346" s="1" t="str">
        <f>"C S WASTE LIMITED"</f>
        <v>C S WASTE LIMITED</v>
      </c>
      <c r="C3346" s="1" t="s">
        <v>17717</v>
      </c>
      <c r="D3346" s="1" t="s">
        <v>7242</v>
      </c>
      <c r="F3346" s="1" t="s">
        <v>156</v>
      </c>
      <c r="H3346" s="1" t="s">
        <v>17718</v>
      </c>
      <c r="I3346" s="1" t="s">
        <v>19</v>
      </c>
      <c r="J3346" s="1" t="s">
        <v>6</v>
      </c>
      <c r="K3346" s="1" t="s">
        <v>24</v>
      </c>
      <c r="L3346" s="1">
        <v>4547660</v>
      </c>
      <c r="M3346" s="2">
        <v>42940</v>
      </c>
      <c r="N3346" s="1" t="s">
        <v>8</v>
      </c>
      <c r="O3346" s="2">
        <v>44036</v>
      </c>
    </row>
    <row r="3347" spans="1:15" ht="28.8" x14ac:dyDescent="0.3">
      <c r="A3347" s="1" t="s">
        <v>29446</v>
      </c>
      <c r="B3347" s="1" t="str">
        <f>"Stephen Mark Hadley"</f>
        <v>Stephen Mark Hadley</v>
      </c>
      <c r="C3347" s="1" t="s">
        <v>29447</v>
      </c>
      <c r="F3347" s="1" t="s">
        <v>64</v>
      </c>
      <c r="H3347" s="1" t="s">
        <v>29448</v>
      </c>
      <c r="I3347" s="1" t="s">
        <v>5</v>
      </c>
      <c r="J3347" s="1" t="s">
        <v>6</v>
      </c>
      <c r="K3347" s="1" t="s">
        <v>24</v>
      </c>
      <c r="M3347" s="2">
        <v>42940</v>
      </c>
      <c r="N3347" s="1" t="s">
        <v>8</v>
      </c>
      <c r="O3347" s="2">
        <v>44036</v>
      </c>
    </row>
    <row r="3348" spans="1:15" x14ac:dyDescent="0.3">
      <c r="A3348" s="1" t="s">
        <v>29449</v>
      </c>
      <c r="B3348" s="1" t="str">
        <f>"Phillip Stansfield"</f>
        <v>Phillip Stansfield</v>
      </c>
      <c r="C3348" s="1" t="s">
        <v>29450</v>
      </c>
      <c r="F3348" s="1" t="s">
        <v>277</v>
      </c>
      <c r="H3348" s="1" t="s">
        <v>29451</v>
      </c>
      <c r="I3348" s="1" t="s">
        <v>5</v>
      </c>
      <c r="J3348" s="1" t="s">
        <v>6</v>
      </c>
      <c r="K3348" s="1" t="s">
        <v>24</v>
      </c>
      <c r="M3348" s="2">
        <v>42940</v>
      </c>
      <c r="N3348" s="1" t="s">
        <v>8</v>
      </c>
      <c r="O3348" s="2">
        <v>44036</v>
      </c>
    </row>
    <row r="3349" spans="1:15" ht="43.2" x14ac:dyDescent="0.3">
      <c r="A3349" s="1" t="s">
        <v>29452</v>
      </c>
      <c r="B3349" s="1" t="str">
        <f>"Martin Bullen Dab Hand Property Maintinance "</f>
        <v xml:space="preserve">Martin Bullen Dab Hand Property Maintinance </v>
      </c>
      <c r="C3349" s="1" t="s">
        <v>29453</v>
      </c>
      <c r="F3349" s="1" t="s">
        <v>706</v>
      </c>
      <c r="H3349" s="1" t="s">
        <v>29454</v>
      </c>
      <c r="I3349" s="1" t="s">
        <v>5</v>
      </c>
      <c r="J3349" s="1" t="s">
        <v>6</v>
      </c>
      <c r="K3349" s="1" t="s">
        <v>24</v>
      </c>
      <c r="M3349" s="2">
        <v>42940</v>
      </c>
      <c r="N3349" s="1" t="s">
        <v>8</v>
      </c>
      <c r="O3349" s="2">
        <v>44036</v>
      </c>
    </row>
    <row r="3350" spans="1:15" ht="28.8" x14ac:dyDescent="0.3">
      <c r="A3350" s="1" t="s">
        <v>29455</v>
      </c>
      <c r="B3350" s="1" t="str">
        <f>"Roger Lewis Roger's Repairs &amp; Maintenance"</f>
        <v>Roger Lewis Roger's Repairs &amp; Maintenance</v>
      </c>
      <c r="C3350" s="1" t="s">
        <v>29456</v>
      </c>
      <c r="F3350" s="1" t="s">
        <v>9838</v>
      </c>
      <c r="H3350" s="1" t="s">
        <v>29457</v>
      </c>
      <c r="I3350" s="1" t="s">
        <v>5</v>
      </c>
      <c r="J3350" s="1" t="s">
        <v>6</v>
      </c>
      <c r="K3350" s="1" t="s">
        <v>34</v>
      </c>
      <c r="M3350" s="2">
        <v>42940</v>
      </c>
      <c r="N3350" s="1" t="s">
        <v>8</v>
      </c>
      <c r="O3350" s="2">
        <v>44036</v>
      </c>
    </row>
    <row r="3351" spans="1:15" ht="28.8" x14ac:dyDescent="0.3">
      <c r="A3351" s="1" t="s">
        <v>29458</v>
      </c>
      <c r="B3351" s="1" t="str">
        <f>"Philip Regan Regan waste metals"</f>
        <v>Philip Regan Regan waste metals</v>
      </c>
      <c r="C3351" s="1" t="s">
        <v>19698</v>
      </c>
      <c r="F3351" s="1" t="s">
        <v>64</v>
      </c>
      <c r="H3351" s="1" t="s">
        <v>19699</v>
      </c>
      <c r="I3351" s="1" t="s">
        <v>5</v>
      </c>
      <c r="J3351" s="1" t="s">
        <v>6</v>
      </c>
      <c r="K3351" s="1" t="s">
        <v>24</v>
      </c>
      <c r="M3351" s="2">
        <v>42940</v>
      </c>
      <c r="N3351" s="1" t="s">
        <v>8</v>
      </c>
      <c r="O3351" s="2">
        <v>44036</v>
      </c>
    </row>
    <row r="3352" spans="1:15" ht="43.2" x14ac:dyDescent="0.3">
      <c r="A3352" s="1" t="s">
        <v>29459</v>
      </c>
      <c r="B3352" s="1" t="str">
        <f>"Anthony David Roberts"</f>
        <v>Anthony David Roberts</v>
      </c>
      <c r="C3352" s="1" t="s">
        <v>29460</v>
      </c>
      <c r="F3352" s="1" t="s">
        <v>1051</v>
      </c>
      <c r="H3352" s="1" t="s">
        <v>29461</v>
      </c>
      <c r="I3352" s="1" t="s">
        <v>5</v>
      </c>
      <c r="J3352" s="1" t="s">
        <v>67</v>
      </c>
      <c r="K3352" s="1" t="s">
        <v>1859</v>
      </c>
      <c r="M3352" s="2">
        <v>42940</v>
      </c>
      <c r="N3352" s="1" t="s">
        <v>8</v>
      </c>
      <c r="O3352" s="1" t="s">
        <v>68</v>
      </c>
    </row>
    <row r="3353" spans="1:15" ht="43.2" x14ac:dyDescent="0.3">
      <c r="A3353" s="1" t="s">
        <v>29443</v>
      </c>
      <c r="B3353" s="1" t="str">
        <f>"William Basford"</f>
        <v>William Basford</v>
      </c>
      <c r="C3353" s="1" t="s">
        <v>29444</v>
      </c>
      <c r="F3353" s="1" t="s">
        <v>156</v>
      </c>
      <c r="H3353" s="1" t="s">
        <v>29445</v>
      </c>
      <c r="I3353" s="1" t="s">
        <v>5</v>
      </c>
      <c r="J3353" s="1" t="s">
        <v>67</v>
      </c>
      <c r="K3353" s="1" t="s">
        <v>14</v>
      </c>
      <c r="M3353" s="2">
        <v>42939</v>
      </c>
      <c r="N3353" s="1" t="s">
        <v>8</v>
      </c>
      <c r="O3353" s="1" t="s">
        <v>68</v>
      </c>
    </row>
    <row r="3354" spans="1:15" ht="28.8" x14ac:dyDescent="0.3">
      <c r="A3354" s="1" t="s">
        <v>28689</v>
      </c>
      <c r="B3354" s="1" t="str">
        <f>"David Dyer D W D WASTE SERVICE"</f>
        <v>David Dyer D W D WASTE SERVICE</v>
      </c>
      <c r="C3354" s="1" t="s">
        <v>28690</v>
      </c>
      <c r="D3354" s="1" t="s">
        <v>14595</v>
      </c>
      <c r="F3354" s="1" t="s">
        <v>42</v>
      </c>
      <c r="H3354" s="1" t="s">
        <v>28691</v>
      </c>
      <c r="I3354" s="1" t="s">
        <v>5</v>
      </c>
      <c r="J3354" s="1" t="s">
        <v>6</v>
      </c>
      <c r="K3354" s="1" t="s">
        <v>24</v>
      </c>
      <c r="M3354" s="2">
        <v>42938</v>
      </c>
      <c r="N3354" s="1" t="s">
        <v>8</v>
      </c>
      <c r="O3354" s="2">
        <v>44034</v>
      </c>
    </row>
    <row r="3355" spans="1:15" ht="28.8" x14ac:dyDescent="0.3">
      <c r="A3355" s="1" t="s">
        <v>28692</v>
      </c>
      <c r="B3355" s="1" t="str">
        <f>"tony reed T J REED DECORATORS"</f>
        <v>tony reed T J REED DECORATORS</v>
      </c>
      <c r="C3355" s="1" t="s">
        <v>28693</v>
      </c>
      <c r="F3355" s="1" t="s">
        <v>8341</v>
      </c>
      <c r="H3355" s="1" t="s">
        <v>28694</v>
      </c>
      <c r="I3355" s="1" t="s">
        <v>5</v>
      </c>
      <c r="J3355" s="1" t="s">
        <v>6</v>
      </c>
      <c r="K3355" s="1" t="s">
        <v>24</v>
      </c>
      <c r="M3355" s="2">
        <v>42938</v>
      </c>
      <c r="N3355" s="1" t="s">
        <v>8</v>
      </c>
      <c r="O3355" s="2">
        <v>44034</v>
      </c>
    </row>
    <row r="3356" spans="1:15" ht="43.2" x14ac:dyDescent="0.3">
      <c r="A3356" s="1" t="s">
        <v>29440</v>
      </c>
      <c r="B3356" s="1" t="str">
        <f>"Philip  Turner "</f>
        <v xml:space="preserve">Philip  Turner </v>
      </c>
      <c r="C3356" s="1" t="s">
        <v>29441</v>
      </c>
      <c r="F3356" s="1" t="s">
        <v>1093</v>
      </c>
      <c r="H3356" s="1" t="s">
        <v>29442</v>
      </c>
      <c r="I3356" s="1" t="s">
        <v>5</v>
      </c>
      <c r="J3356" s="1" t="s">
        <v>67</v>
      </c>
      <c r="K3356" s="1" t="s">
        <v>14</v>
      </c>
      <c r="M3356" s="2">
        <v>42938</v>
      </c>
      <c r="N3356" s="1" t="s">
        <v>8</v>
      </c>
      <c r="O3356" s="1" t="s">
        <v>68</v>
      </c>
    </row>
    <row r="3357" spans="1:15" ht="28.8" x14ac:dyDescent="0.3">
      <c r="A3357" s="1" t="s">
        <v>16668</v>
      </c>
      <c r="B3357" s="1" t="str">
        <f>"All Electric Contractors Ltd"</f>
        <v>All Electric Contractors Ltd</v>
      </c>
      <c r="C3357" s="1" t="s">
        <v>8145</v>
      </c>
      <c r="D3357" s="1" t="s">
        <v>10090</v>
      </c>
      <c r="F3357" s="1" t="s">
        <v>4645</v>
      </c>
      <c r="H3357" s="1" t="s">
        <v>8147</v>
      </c>
      <c r="I3357" s="1" t="s">
        <v>19</v>
      </c>
      <c r="J3357" s="1" t="s">
        <v>6</v>
      </c>
      <c r="K3357" s="1" t="s">
        <v>24</v>
      </c>
      <c r="L3357" s="1">
        <v>8670342</v>
      </c>
      <c r="M3357" s="2">
        <v>42937</v>
      </c>
      <c r="N3357" s="1" t="s">
        <v>8</v>
      </c>
      <c r="O3357" s="2">
        <v>44033</v>
      </c>
    </row>
    <row r="3358" spans="1:15" ht="43.2" x14ac:dyDescent="0.3">
      <c r="A3358" s="1" t="s">
        <v>16669</v>
      </c>
      <c r="B3358" s="1" t="str">
        <f>"Refrigeration Norwest (Llandudno) L"</f>
        <v>Refrigeration Norwest (Llandudno) L</v>
      </c>
      <c r="C3358" s="1" t="s">
        <v>11565</v>
      </c>
      <c r="F3358" s="1" t="s">
        <v>3052</v>
      </c>
      <c r="H3358" s="1" t="s">
        <v>11566</v>
      </c>
      <c r="I3358" s="1" t="s">
        <v>19</v>
      </c>
      <c r="J3358" s="1" t="s">
        <v>6</v>
      </c>
      <c r="K3358" s="1" t="s">
        <v>34</v>
      </c>
      <c r="L3358" s="1">
        <v>1343775</v>
      </c>
      <c r="M3358" s="2">
        <v>42937</v>
      </c>
      <c r="N3358" s="1" t="s">
        <v>8</v>
      </c>
      <c r="O3358" s="2">
        <v>44033</v>
      </c>
    </row>
    <row r="3359" spans="1:15" ht="28.8" x14ac:dyDescent="0.3">
      <c r="A3359" s="1" t="s">
        <v>16670</v>
      </c>
      <c r="B3359" s="1" t="str">
        <f>"JT Evans Haulage Ltd"</f>
        <v>JT Evans Haulage Ltd</v>
      </c>
      <c r="C3359" s="1" t="s">
        <v>16671</v>
      </c>
      <c r="F3359" s="1" t="s">
        <v>2434</v>
      </c>
      <c r="H3359" s="1" t="s">
        <v>8432</v>
      </c>
      <c r="I3359" s="1" t="s">
        <v>19</v>
      </c>
      <c r="J3359" s="1" t="s">
        <v>6</v>
      </c>
      <c r="K3359" s="1" t="s">
        <v>34</v>
      </c>
      <c r="L3359" s="1">
        <v>9616405</v>
      </c>
      <c r="M3359" s="2">
        <v>42937</v>
      </c>
      <c r="N3359" s="1" t="s">
        <v>8</v>
      </c>
      <c r="O3359" s="2">
        <v>44033</v>
      </c>
    </row>
    <row r="3360" spans="1:15" ht="43.2" x14ac:dyDescent="0.3">
      <c r="A3360" s="1" t="s">
        <v>27899</v>
      </c>
      <c r="B3360" s="1" t="str">
        <f>"Brian Hardaker A55 Construction &amp; water services"</f>
        <v>Brian Hardaker A55 Construction &amp; water services</v>
      </c>
      <c r="C3360" s="1" t="s">
        <v>27900</v>
      </c>
      <c r="F3360" s="1" t="s">
        <v>1321</v>
      </c>
      <c r="H3360" s="1" t="s">
        <v>27901</v>
      </c>
      <c r="I3360" s="1" t="s">
        <v>5</v>
      </c>
      <c r="J3360" s="1" t="s">
        <v>6</v>
      </c>
      <c r="K3360" s="1" t="s">
        <v>24</v>
      </c>
      <c r="M3360" s="2">
        <v>42937</v>
      </c>
      <c r="N3360" s="1" t="s">
        <v>8</v>
      </c>
      <c r="O3360" s="2">
        <v>44033</v>
      </c>
    </row>
    <row r="3361" spans="1:15" ht="28.8" x14ac:dyDescent="0.3">
      <c r="A3361" s="1" t="s">
        <v>27902</v>
      </c>
      <c r="B3361" s="1" t="str">
        <f>"David Owen Mr David Huw Owen"</f>
        <v>David Owen Mr David Huw Owen</v>
      </c>
      <c r="C3361" s="1" t="s">
        <v>27903</v>
      </c>
      <c r="F3361" s="1" t="s">
        <v>7543</v>
      </c>
      <c r="H3361" s="1" t="s">
        <v>27904</v>
      </c>
      <c r="I3361" s="1" t="s">
        <v>5</v>
      </c>
      <c r="J3361" s="1" t="s">
        <v>6</v>
      </c>
      <c r="K3361" s="1" t="s">
        <v>24</v>
      </c>
      <c r="M3361" s="2">
        <v>42937</v>
      </c>
      <c r="N3361" s="1" t="s">
        <v>8</v>
      </c>
      <c r="O3361" s="2">
        <v>44033</v>
      </c>
    </row>
    <row r="3362" spans="1:15" ht="43.2" x14ac:dyDescent="0.3">
      <c r="A3362" s="1" t="s">
        <v>28684</v>
      </c>
      <c r="B3362" s="1" t="str">
        <f>"Michael Jackson"</f>
        <v>Michael Jackson</v>
      </c>
      <c r="C3362" s="1" t="s">
        <v>28685</v>
      </c>
      <c r="F3362" s="1" t="s">
        <v>1093</v>
      </c>
      <c r="H3362" s="1" t="s">
        <v>7617</v>
      </c>
      <c r="I3362" s="1" t="s">
        <v>5</v>
      </c>
      <c r="J3362" s="1" t="s">
        <v>67</v>
      </c>
      <c r="K3362" s="1" t="s">
        <v>24</v>
      </c>
      <c r="M3362" s="2">
        <v>42937</v>
      </c>
      <c r="N3362" s="1" t="s">
        <v>8</v>
      </c>
      <c r="O3362" s="1" t="s">
        <v>68</v>
      </c>
    </row>
    <row r="3363" spans="1:15" ht="28.8" x14ac:dyDescent="0.3">
      <c r="A3363" s="1" t="s">
        <v>28686</v>
      </c>
      <c r="B3363" s="1" t="str">
        <f>"ANTHONY POWELL MR ANTHONY POWELL"</f>
        <v>ANTHONY POWELL MR ANTHONY POWELL</v>
      </c>
      <c r="C3363" s="1" t="s">
        <v>28687</v>
      </c>
      <c r="F3363" s="1" t="s">
        <v>4331</v>
      </c>
      <c r="H3363" s="1" t="s">
        <v>28688</v>
      </c>
      <c r="I3363" s="1" t="s">
        <v>5</v>
      </c>
      <c r="J3363" s="1" t="s">
        <v>6</v>
      </c>
      <c r="K3363" s="1" t="s">
        <v>24</v>
      </c>
      <c r="M3363" s="2">
        <v>42937</v>
      </c>
      <c r="N3363" s="1" t="s">
        <v>8</v>
      </c>
      <c r="O3363" s="2">
        <v>44033</v>
      </c>
    </row>
    <row r="3364" spans="1:15" ht="28.8" x14ac:dyDescent="0.3">
      <c r="A3364" s="1" t="s">
        <v>14729</v>
      </c>
      <c r="B3364" s="1" t="str">
        <f>"Nolan U P V C Ltd."</f>
        <v>Nolan U P V C Ltd.</v>
      </c>
      <c r="C3364" s="1" t="s">
        <v>14730</v>
      </c>
      <c r="D3364" s="1" t="s">
        <v>14731</v>
      </c>
      <c r="E3364" s="1" t="s">
        <v>95</v>
      </c>
      <c r="F3364" s="1" t="s">
        <v>56</v>
      </c>
      <c r="H3364" s="1" t="s">
        <v>14732</v>
      </c>
      <c r="I3364" s="1" t="s">
        <v>19</v>
      </c>
      <c r="J3364" s="1" t="s">
        <v>6</v>
      </c>
      <c r="K3364" s="1" t="s">
        <v>34</v>
      </c>
      <c r="L3364" s="1">
        <v>2539054</v>
      </c>
      <c r="M3364" s="2">
        <v>42936</v>
      </c>
      <c r="N3364" s="1" t="s">
        <v>8</v>
      </c>
      <c r="O3364" s="2">
        <v>44032</v>
      </c>
    </row>
    <row r="3365" spans="1:15" ht="28.8" x14ac:dyDescent="0.3">
      <c r="A3365" s="1" t="s">
        <v>14733</v>
      </c>
      <c r="B3365" s="1" t="str">
        <f>"Graham Metal solutions ltd"</f>
        <v>Graham Metal solutions ltd</v>
      </c>
      <c r="C3365" s="1" t="s">
        <v>5165</v>
      </c>
      <c r="F3365" s="1" t="s">
        <v>156</v>
      </c>
      <c r="H3365" s="1" t="s">
        <v>5166</v>
      </c>
      <c r="I3365" s="1" t="s">
        <v>19</v>
      </c>
      <c r="J3365" s="1" t="s">
        <v>6</v>
      </c>
      <c r="K3365" s="1" t="s">
        <v>34</v>
      </c>
      <c r="L3365" s="1">
        <v>8451705</v>
      </c>
      <c r="M3365" s="2">
        <v>42936</v>
      </c>
      <c r="N3365" s="1" t="s">
        <v>8</v>
      </c>
      <c r="O3365" s="2">
        <v>44032</v>
      </c>
    </row>
    <row r="3366" spans="1:15" ht="28.8" x14ac:dyDescent="0.3">
      <c r="A3366" s="1" t="s">
        <v>14734</v>
      </c>
      <c r="B3366" s="1" t="str">
        <f>"SHORT BROS. HOMES LTD"</f>
        <v>SHORT BROS. HOMES LTD</v>
      </c>
      <c r="C3366" s="1" t="s">
        <v>14735</v>
      </c>
      <c r="F3366" s="1" t="s">
        <v>2852</v>
      </c>
      <c r="H3366" s="1" t="s">
        <v>2366</v>
      </c>
      <c r="I3366" s="1" t="s">
        <v>19</v>
      </c>
      <c r="J3366" s="1" t="s">
        <v>6</v>
      </c>
      <c r="K3366" s="1" t="s">
        <v>24</v>
      </c>
      <c r="L3366" s="1">
        <v>9553561</v>
      </c>
      <c r="M3366" s="2">
        <v>42936</v>
      </c>
      <c r="N3366" s="1" t="s">
        <v>8</v>
      </c>
      <c r="O3366" s="2">
        <v>44032</v>
      </c>
    </row>
    <row r="3367" spans="1:15" ht="43.2" x14ac:dyDescent="0.3">
      <c r="A3367" s="1" t="s">
        <v>15646</v>
      </c>
      <c r="B3367" s="1" t="str">
        <f>"Tai Tarian Limited"</f>
        <v>Tai Tarian Limited</v>
      </c>
      <c r="C3367" s="1" t="s">
        <v>15647</v>
      </c>
      <c r="D3367" s="1" t="s">
        <v>7353</v>
      </c>
      <c r="F3367" s="1" t="s">
        <v>32</v>
      </c>
      <c r="H3367" s="1" t="s">
        <v>15648</v>
      </c>
      <c r="I3367" s="1" t="s">
        <v>1872</v>
      </c>
      <c r="J3367" s="1" t="s">
        <v>67</v>
      </c>
      <c r="K3367" s="1" t="s">
        <v>14</v>
      </c>
      <c r="M3367" s="2">
        <v>42936</v>
      </c>
      <c r="N3367" s="1" t="s">
        <v>8</v>
      </c>
      <c r="O3367" s="1" t="s">
        <v>68</v>
      </c>
    </row>
    <row r="3368" spans="1:15" ht="28.8" x14ac:dyDescent="0.3">
      <c r="A3368" s="1" t="s">
        <v>15649</v>
      </c>
      <c r="B3368" s="1" t="str">
        <f>"ASHFIELD BUILDING CONTRACTORS LTD"</f>
        <v>ASHFIELD BUILDING CONTRACTORS LTD</v>
      </c>
      <c r="C3368" s="1" t="s">
        <v>15650</v>
      </c>
      <c r="F3368" s="1" t="s">
        <v>179</v>
      </c>
      <c r="H3368" s="1" t="s">
        <v>15651</v>
      </c>
      <c r="I3368" s="1" t="s">
        <v>19</v>
      </c>
      <c r="J3368" s="1" t="s">
        <v>6</v>
      </c>
      <c r="K3368" s="1" t="s">
        <v>24</v>
      </c>
      <c r="L3368" s="1">
        <v>8736196</v>
      </c>
      <c r="M3368" s="2">
        <v>42936</v>
      </c>
      <c r="N3368" s="1" t="s">
        <v>8</v>
      </c>
      <c r="O3368" s="2">
        <v>44032</v>
      </c>
    </row>
    <row r="3369" spans="1:15" ht="43.2" x14ac:dyDescent="0.3">
      <c r="A3369" s="1" t="s">
        <v>15652</v>
      </c>
      <c r="B3369" s="1" t="str">
        <f>"cafe rio 19-21 quay street"</f>
        <v>cafe rio 19-21 quay street</v>
      </c>
      <c r="C3369" s="1" t="s">
        <v>15653</v>
      </c>
      <c r="F3369" s="1" t="s">
        <v>1776</v>
      </c>
      <c r="H3369" s="1" t="s">
        <v>15654</v>
      </c>
      <c r="I3369" s="1" t="s">
        <v>19</v>
      </c>
      <c r="J3369" s="1" t="s">
        <v>67</v>
      </c>
      <c r="K3369" s="1" t="s">
        <v>14</v>
      </c>
      <c r="M3369" s="2">
        <v>42936</v>
      </c>
      <c r="N3369" s="1" t="s">
        <v>8</v>
      </c>
      <c r="O3369" s="1" t="s">
        <v>68</v>
      </c>
    </row>
    <row r="3370" spans="1:15" ht="28.8" x14ac:dyDescent="0.3">
      <c r="A3370" s="1" t="s">
        <v>15655</v>
      </c>
      <c r="B3370" s="1" t="str">
        <f>"CMS Builders Ltd"</f>
        <v>CMS Builders Ltd</v>
      </c>
      <c r="C3370" s="1" t="s">
        <v>15656</v>
      </c>
      <c r="F3370" s="1" t="s">
        <v>1776</v>
      </c>
      <c r="H3370" s="1" t="s">
        <v>15657</v>
      </c>
      <c r="I3370" s="1" t="s">
        <v>19</v>
      </c>
      <c r="J3370" s="1" t="s">
        <v>6</v>
      </c>
      <c r="K3370" s="1" t="s">
        <v>34</v>
      </c>
      <c r="L3370" s="1">
        <v>7597870</v>
      </c>
      <c r="M3370" s="2">
        <v>42936</v>
      </c>
      <c r="N3370" s="1" t="s">
        <v>8</v>
      </c>
      <c r="O3370" s="2">
        <v>44032</v>
      </c>
    </row>
    <row r="3371" spans="1:15" x14ac:dyDescent="0.3">
      <c r="A3371" s="1" t="s">
        <v>27037</v>
      </c>
      <c r="B3371" s="1" t="str">
        <f>"Kevin Diffey K Diffey"</f>
        <v>Kevin Diffey K Diffey</v>
      </c>
      <c r="C3371" s="1" t="s">
        <v>27038</v>
      </c>
      <c r="F3371" s="1" t="s">
        <v>56</v>
      </c>
      <c r="H3371" s="1" t="s">
        <v>27039</v>
      </c>
      <c r="I3371" s="1" t="s">
        <v>5</v>
      </c>
      <c r="J3371" s="1" t="s">
        <v>6</v>
      </c>
      <c r="K3371" s="1" t="s">
        <v>24</v>
      </c>
      <c r="M3371" s="2">
        <v>42936</v>
      </c>
      <c r="N3371" s="1" t="s">
        <v>8</v>
      </c>
      <c r="O3371" s="2">
        <v>44032</v>
      </c>
    </row>
    <row r="3372" spans="1:15" ht="43.2" x14ac:dyDescent="0.3">
      <c r="A3372" s="1" t="s">
        <v>27040</v>
      </c>
      <c r="B3372" s="1" t="str">
        <f>"Malcolm Down"</f>
        <v>Malcolm Down</v>
      </c>
      <c r="C3372" s="1" t="s">
        <v>27041</v>
      </c>
      <c r="D3372" s="1" t="s">
        <v>25886</v>
      </c>
      <c r="F3372" s="1" t="s">
        <v>720</v>
      </c>
      <c r="H3372" s="1" t="s">
        <v>27042</v>
      </c>
      <c r="I3372" s="1" t="s">
        <v>5</v>
      </c>
      <c r="J3372" s="1" t="s">
        <v>67</v>
      </c>
      <c r="K3372" s="1" t="s">
        <v>14</v>
      </c>
      <c r="M3372" s="2">
        <v>42936</v>
      </c>
      <c r="N3372" s="1" t="s">
        <v>8</v>
      </c>
      <c r="O3372" s="1" t="s">
        <v>68</v>
      </c>
    </row>
    <row r="3373" spans="1:15" ht="43.2" x14ac:dyDescent="0.3">
      <c r="A3373" s="1" t="s">
        <v>27043</v>
      </c>
      <c r="B3373" s="1" t="str">
        <f>"Jonathan Cocks JMC PROPERTY MAINTENANCE"</f>
        <v>Jonathan Cocks JMC PROPERTY MAINTENANCE</v>
      </c>
      <c r="C3373" s="1" t="s">
        <v>27044</v>
      </c>
      <c r="F3373" s="1" t="s">
        <v>179</v>
      </c>
      <c r="H3373" s="1" t="s">
        <v>27045</v>
      </c>
      <c r="I3373" s="1" t="s">
        <v>5</v>
      </c>
      <c r="J3373" s="1" t="s">
        <v>6</v>
      </c>
      <c r="K3373" s="1" t="s">
        <v>24</v>
      </c>
      <c r="M3373" s="2">
        <v>42936</v>
      </c>
      <c r="N3373" s="1" t="s">
        <v>8</v>
      </c>
      <c r="O3373" s="2">
        <v>44032</v>
      </c>
    </row>
    <row r="3374" spans="1:15" ht="28.8" x14ac:dyDescent="0.3">
      <c r="A3374" s="1" t="s">
        <v>27046</v>
      </c>
      <c r="B3374" s="1" t="str">
        <f>"mark edwards mark edwards"</f>
        <v>mark edwards mark edwards</v>
      </c>
      <c r="C3374" s="1" t="s">
        <v>27047</v>
      </c>
      <c r="F3374" s="1" t="s">
        <v>1786</v>
      </c>
      <c r="H3374" s="1" t="s">
        <v>27048</v>
      </c>
      <c r="I3374" s="1" t="s">
        <v>5</v>
      </c>
      <c r="J3374" s="1" t="s">
        <v>6</v>
      </c>
      <c r="K3374" s="1" t="s">
        <v>34</v>
      </c>
      <c r="M3374" s="2">
        <v>42936</v>
      </c>
      <c r="N3374" s="1" t="s">
        <v>8</v>
      </c>
      <c r="O3374" s="2">
        <v>44032</v>
      </c>
    </row>
    <row r="3375" spans="1:15" ht="28.8" x14ac:dyDescent="0.3">
      <c r="A3375" s="1" t="s">
        <v>27049</v>
      </c>
      <c r="B3375" s="1" t="str">
        <f>"Lee  Evans  LDE Haulage"</f>
        <v>Lee  Evans  LDE Haulage</v>
      </c>
      <c r="C3375" s="1" t="s">
        <v>27050</v>
      </c>
      <c r="F3375" s="1" t="s">
        <v>364</v>
      </c>
      <c r="H3375" s="1" t="s">
        <v>27051</v>
      </c>
      <c r="I3375" s="1" t="s">
        <v>5</v>
      </c>
      <c r="J3375" s="1" t="s">
        <v>6</v>
      </c>
      <c r="K3375" s="1" t="s">
        <v>24</v>
      </c>
      <c r="M3375" s="2">
        <v>42936</v>
      </c>
      <c r="N3375" s="1" t="s">
        <v>8</v>
      </c>
      <c r="O3375" s="2">
        <v>44032</v>
      </c>
    </row>
    <row r="3376" spans="1:15" ht="28.8" x14ac:dyDescent="0.3">
      <c r="A3376" s="1" t="s">
        <v>27052</v>
      </c>
      <c r="B3376" s="1" t="str">
        <f>"martin coughlin martin coughlin"</f>
        <v>martin coughlin martin coughlin</v>
      </c>
      <c r="C3376" s="1" t="s">
        <v>27053</v>
      </c>
      <c r="F3376" s="1" t="s">
        <v>156</v>
      </c>
      <c r="H3376" s="1" t="s">
        <v>27054</v>
      </c>
      <c r="I3376" s="1" t="s">
        <v>5</v>
      </c>
      <c r="J3376" s="1" t="s">
        <v>6</v>
      </c>
      <c r="K3376" s="1" t="s">
        <v>24</v>
      </c>
      <c r="M3376" s="2">
        <v>42936</v>
      </c>
      <c r="N3376" s="1" t="s">
        <v>8</v>
      </c>
      <c r="O3376" s="2">
        <v>44032</v>
      </c>
    </row>
    <row r="3377" spans="1:15" ht="43.2" x14ac:dyDescent="0.3">
      <c r="A3377" s="1" t="s">
        <v>27890</v>
      </c>
      <c r="B3377" s="1" t="str">
        <f>"Lee Johnstone"</f>
        <v>Lee Johnstone</v>
      </c>
      <c r="C3377" s="1" t="s">
        <v>27891</v>
      </c>
      <c r="F3377" s="1" t="s">
        <v>1998</v>
      </c>
      <c r="H3377" s="1" t="s">
        <v>27892</v>
      </c>
      <c r="I3377" s="1" t="s">
        <v>5</v>
      </c>
      <c r="J3377" s="1" t="s">
        <v>67</v>
      </c>
      <c r="K3377" s="1" t="s">
        <v>14</v>
      </c>
      <c r="M3377" s="2">
        <v>42936</v>
      </c>
      <c r="N3377" s="1" t="s">
        <v>8</v>
      </c>
      <c r="O3377" s="1" t="s">
        <v>68</v>
      </c>
    </row>
    <row r="3378" spans="1:15" ht="28.8" x14ac:dyDescent="0.3">
      <c r="A3378" s="1" t="s">
        <v>27893</v>
      </c>
      <c r="B3378" s="1" t="str">
        <f>"David Williams Dai Losin Garden Services"</f>
        <v>David Williams Dai Losin Garden Services</v>
      </c>
      <c r="C3378" s="1" t="s">
        <v>27894</v>
      </c>
      <c r="F3378" s="1" t="s">
        <v>354</v>
      </c>
      <c r="H3378" s="1" t="s">
        <v>27895</v>
      </c>
      <c r="I3378" s="1" t="s">
        <v>5</v>
      </c>
      <c r="J3378" s="1" t="s">
        <v>6</v>
      </c>
      <c r="K3378" s="1" t="s">
        <v>24</v>
      </c>
      <c r="M3378" s="2">
        <v>42936</v>
      </c>
      <c r="N3378" s="1" t="s">
        <v>8</v>
      </c>
      <c r="O3378" s="2">
        <v>44032</v>
      </c>
    </row>
    <row r="3379" spans="1:15" ht="28.8" x14ac:dyDescent="0.3">
      <c r="A3379" s="1" t="s">
        <v>27896</v>
      </c>
      <c r="B3379" s="1" t="str">
        <f>"Paul Kidley P K Recycling"</f>
        <v>Paul Kidley P K Recycling</v>
      </c>
      <c r="C3379" s="1" t="s">
        <v>27897</v>
      </c>
      <c r="F3379" s="1" t="s">
        <v>1093</v>
      </c>
      <c r="H3379" s="1" t="s">
        <v>27898</v>
      </c>
      <c r="I3379" s="1" t="s">
        <v>5</v>
      </c>
      <c r="J3379" s="1" t="s">
        <v>6</v>
      </c>
      <c r="K3379" s="1" t="s">
        <v>34</v>
      </c>
      <c r="M3379" s="2">
        <v>42936</v>
      </c>
      <c r="N3379" s="1" t="s">
        <v>8</v>
      </c>
      <c r="O3379" s="2">
        <v>44032</v>
      </c>
    </row>
    <row r="3380" spans="1:15" ht="28.8" x14ac:dyDescent="0.3">
      <c r="A3380" s="1" t="s">
        <v>14713</v>
      </c>
      <c r="B3380" s="1" t="str">
        <f>"GP GLAZING LTD TA CLOUDY 2CLEARWIND"</f>
        <v>GP GLAZING LTD TA CLOUDY 2CLEARWIND</v>
      </c>
      <c r="C3380" s="1" t="s">
        <v>14714</v>
      </c>
      <c r="F3380" s="1" t="s">
        <v>767</v>
      </c>
      <c r="H3380" s="1" t="s">
        <v>14715</v>
      </c>
      <c r="I3380" s="1" t="s">
        <v>19</v>
      </c>
      <c r="J3380" s="1" t="s">
        <v>6</v>
      </c>
      <c r="K3380" s="1" t="s">
        <v>34</v>
      </c>
      <c r="L3380" s="1">
        <v>8255354</v>
      </c>
      <c r="M3380" s="2">
        <v>42935</v>
      </c>
      <c r="N3380" s="1" t="s">
        <v>8</v>
      </c>
      <c r="O3380" s="2">
        <v>44031</v>
      </c>
    </row>
    <row r="3381" spans="1:15" ht="28.8" x14ac:dyDescent="0.3">
      <c r="A3381" s="1" t="s">
        <v>14716</v>
      </c>
      <c r="B3381" s="1" t="str">
        <f>"PHIL PAGE SKIP &amp; PLANT HIRE LTD"</f>
        <v>PHIL PAGE SKIP &amp; PLANT HIRE LTD</v>
      </c>
      <c r="C3381" s="1" t="s">
        <v>14717</v>
      </c>
      <c r="F3381" s="1" t="s">
        <v>277</v>
      </c>
      <c r="H3381" s="1" t="s">
        <v>14718</v>
      </c>
      <c r="I3381" s="1" t="s">
        <v>19</v>
      </c>
      <c r="J3381" s="1" t="s">
        <v>6</v>
      </c>
      <c r="K3381" s="1" t="s">
        <v>24</v>
      </c>
      <c r="L3381" s="1">
        <v>7355495</v>
      </c>
      <c r="M3381" s="2">
        <v>42935</v>
      </c>
      <c r="N3381" s="1" t="s">
        <v>8</v>
      </c>
      <c r="O3381" s="2">
        <v>44031</v>
      </c>
    </row>
    <row r="3382" spans="1:15" x14ac:dyDescent="0.3">
      <c r="A3382" s="1" t="s">
        <v>14719</v>
      </c>
      <c r="B3382" s="1" t="str">
        <f>"Parfitt Enterprise"</f>
        <v>Parfitt Enterprise</v>
      </c>
      <c r="C3382" s="1" t="s">
        <v>14720</v>
      </c>
      <c r="D3382" s="1" t="s">
        <v>378</v>
      </c>
      <c r="F3382" s="1" t="s">
        <v>1235</v>
      </c>
      <c r="H3382" s="1" t="s">
        <v>14721</v>
      </c>
      <c r="I3382" s="1" t="s">
        <v>19</v>
      </c>
      <c r="J3382" s="1" t="s">
        <v>6</v>
      </c>
      <c r="K3382" s="1" t="s">
        <v>24</v>
      </c>
      <c r="L3382" s="1">
        <v>9266958</v>
      </c>
      <c r="M3382" s="2">
        <v>42935</v>
      </c>
      <c r="N3382" s="1" t="s">
        <v>8</v>
      </c>
      <c r="O3382" s="2">
        <v>44031</v>
      </c>
    </row>
    <row r="3383" spans="1:15" ht="43.2" x14ac:dyDescent="0.3">
      <c r="A3383" s="1" t="s">
        <v>14722</v>
      </c>
      <c r="B3383" s="1" t="str">
        <f>"G lewis building solutions limited"</f>
        <v>G lewis building solutions limited</v>
      </c>
      <c r="C3383" s="1" t="s">
        <v>14723</v>
      </c>
      <c r="F3383" s="1" t="s">
        <v>64</v>
      </c>
      <c r="H3383" s="1" t="s">
        <v>14724</v>
      </c>
      <c r="I3383" s="1" t="s">
        <v>19</v>
      </c>
      <c r="J3383" s="1" t="s">
        <v>67</v>
      </c>
      <c r="K3383" s="1" t="s">
        <v>14</v>
      </c>
      <c r="M3383" s="2">
        <v>42935</v>
      </c>
      <c r="N3383" s="1" t="s">
        <v>8</v>
      </c>
      <c r="O3383" s="1" t="s">
        <v>68</v>
      </c>
    </row>
    <row r="3384" spans="1:15" ht="43.2" x14ac:dyDescent="0.3">
      <c r="A3384" s="1" t="s">
        <v>14725</v>
      </c>
      <c r="B3384" s="1" t="str">
        <f>"HTF tyre service ltd"</f>
        <v>HTF tyre service ltd</v>
      </c>
      <c r="C3384" s="1" t="s">
        <v>14726</v>
      </c>
      <c r="F3384" s="1" t="s">
        <v>14727</v>
      </c>
      <c r="H3384" s="1" t="s">
        <v>14728</v>
      </c>
      <c r="I3384" s="1" t="s">
        <v>19</v>
      </c>
      <c r="J3384" s="1" t="s">
        <v>67</v>
      </c>
      <c r="K3384" s="1" t="s">
        <v>14</v>
      </c>
      <c r="M3384" s="2">
        <v>42935</v>
      </c>
      <c r="N3384" s="1" t="s">
        <v>8</v>
      </c>
      <c r="O3384" s="1" t="s">
        <v>68</v>
      </c>
    </row>
    <row r="3385" spans="1:15" ht="28.8" x14ac:dyDescent="0.3">
      <c r="A3385" s="1" t="s">
        <v>27026</v>
      </c>
      <c r="B3385" s="1" t="str">
        <f>"Michael  Owen  LGS"</f>
        <v>Michael  Owen  LGS</v>
      </c>
      <c r="C3385" s="1" t="s">
        <v>27027</v>
      </c>
      <c r="F3385" s="1" t="s">
        <v>64</v>
      </c>
      <c r="H3385" s="1" t="s">
        <v>27028</v>
      </c>
      <c r="I3385" s="1" t="s">
        <v>5</v>
      </c>
      <c r="J3385" s="1" t="s">
        <v>6</v>
      </c>
      <c r="K3385" s="1" t="s">
        <v>34</v>
      </c>
      <c r="M3385" s="2">
        <v>42935</v>
      </c>
      <c r="N3385" s="1" t="s">
        <v>8</v>
      </c>
      <c r="O3385" s="2">
        <v>44031</v>
      </c>
    </row>
    <row r="3386" spans="1:15" ht="43.2" x14ac:dyDescent="0.3">
      <c r="A3386" s="1" t="s">
        <v>27029</v>
      </c>
      <c r="B3386" s="1" t="str">
        <f>"Anthony Hontoir Downwood Film Productions"</f>
        <v>Anthony Hontoir Downwood Film Productions</v>
      </c>
      <c r="C3386" s="1" t="s">
        <v>27030</v>
      </c>
      <c r="F3386" s="1" t="s">
        <v>1556</v>
      </c>
      <c r="H3386" s="1" t="s">
        <v>27031</v>
      </c>
      <c r="I3386" s="1" t="s">
        <v>5</v>
      </c>
      <c r="J3386" s="1" t="s">
        <v>6</v>
      </c>
      <c r="K3386" s="1" t="s">
        <v>24</v>
      </c>
      <c r="M3386" s="2">
        <v>42935</v>
      </c>
      <c r="N3386" s="1" t="s">
        <v>8</v>
      </c>
      <c r="O3386" s="2">
        <v>44031</v>
      </c>
    </row>
    <row r="3387" spans="1:15" ht="43.2" x14ac:dyDescent="0.3">
      <c r="A3387" s="1" t="s">
        <v>27032</v>
      </c>
      <c r="B3387" s="1" t="str">
        <f>"Melfyn Gwyn Williams"</f>
        <v>Melfyn Gwyn Williams</v>
      </c>
      <c r="C3387" s="1" t="s">
        <v>27033</v>
      </c>
      <c r="F3387" s="1" t="s">
        <v>1609</v>
      </c>
      <c r="H3387" s="1" t="s">
        <v>27034</v>
      </c>
      <c r="I3387" s="1" t="s">
        <v>5</v>
      </c>
      <c r="J3387" s="1" t="s">
        <v>67</v>
      </c>
      <c r="K3387" s="1" t="s">
        <v>24</v>
      </c>
      <c r="M3387" s="2">
        <v>42935</v>
      </c>
      <c r="N3387" s="1" t="s">
        <v>8</v>
      </c>
      <c r="O3387" s="1" t="s">
        <v>68</v>
      </c>
    </row>
    <row r="3388" spans="1:15" ht="28.8" x14ac:dyDescent="0.3">
      <c r="A3388" s="1" t="s">
        <v>27035</v>
      </c>
      <c r="B3388" s="1" t="str">
        <f>"Carl Robins  Sa1 Recycling "</f>
        <v xml:space="preserve">Carl Robins  Sa1 Recycling </v>
      </c>
      <c r="C3388" s="1" t="s">
        <v>27036</v>
      </c>
      <c r="F3388" s="1" t="s">
        <v>64</v>
      </c>
      <c r="H3388" s="1" t="s">
        <v>20675</v>
      </c>
      <c r="I3388" s="1" t="s">
        <v>5</v>
      </c>
      <c r="J3388" s="1" t="s">
        <v>6</v>
      </c>
      <c r="K3388" s="1" t="s">
        <v>24</v>
      </c>
      <c r="M3388" s="2">
        <v>42935</v>
      </c>
      <c r="N3388" s="1" t="s">
        <v>8</v>
      </c>
      <c r="O3388" s="2">
        <v>44031</v>
      </c>
    </row>
    <row r="3389" spans="1:15" ht="28.8" x14ac:dyDescent="0.3">
      <c r="A3389" s="1" t="s">
        <v>13887</v>
      </c>
      <c r="B3389" s="1" t="str">
        <f>"ARENA SUPPLIES LTD"</f>
        <v>ARENA SUPPLIES LTD</v>
      </c>
      <c r="C3389" s="1" t="s">
        <v>13888</v>
      </c>
      <c r="F3389" s="1" t="s">
        <v>767</v>
      </c>
      <c r="H3389" s="1" t="s">
        <v>13889</v>
      </c>
      <c r="I3389" s="1" t="s">
        <v>19</v>
      </c>
      <c r="J3389" s="1" t="s">
        <v>6</v>
      </c>
      <c r="K3389" s="1" t="s">
        <v>34</v>
      </c>
      <c r="L3389" s="1">
        <v>2727959</v>
      </c>
      <c r="M3389" s="2">
        <v>42934</v>
      </c>
      <c r="N3389" s="1" t="s">
        <v>8</v>
      </c>
      <c r="O3389" s="2">
        <v>44030</v>
      </c>
    </row>
    <row r="3390" spans="1:15" ht="43.2" x14ac:dyDescent="0.3">
      <c r="A3390" s="1" t="s">
        <v>13890</v>
      </c>
      <c r="B3390" s="1" t="str">
        <f>"A T GREEN LTD"</f>
        <v>A T GREEN LTD</v>
      </c>
      <c r="C3390" s="1" t="s">
        <v>13891</v>
      </c>
      <c r="D3390" s="1" t="s">
        <v>7022</v>
      </c>
      <c r="F3390" s="1" t="s">
        <v>1479</v>
      </c>
      <c r="H3390" s="1" t="s">
        <v>3748</v>
      </c>
      <c r="I3390" s="1" t="s">
        <v>19</v>
      </c>
      <c r="J3390" s="1" t="s">
        <v>67</v>
      </c>
      <c r="K3390" s="1" t="s">
        <v>14</v>
      </c>
      <c r="M3390" s="2">
        <v>42934</v>
      </c>
      <c r="N3390" s="1" t="s">
        <v>8</v>
      </c>
      <c r="O3390" s="1" t="s">
        <v>68</v>
      </c>
    </row>
    <row r="3391" spans="1:15" ht="43.2" x14ac:dyDescent="0.3">
      <c r="A3391" s="1" t="s">
        <v>13892</v>
      </c>
      <c r="B3391" s="1" t="str">
        <f>"Sunnysands Caravan Park"</f>
        <v>Sunnysands Caravan Park</v>
      </c>
      <c r="C3391" s="1" t="s">
        <v>13893</v>
      </c>
      <c r="F3391" s="1" t="s">
        <v>428</v>
      </c>
      <c r="H3391" s="1" t="s">
        <v>13894</v>
      </c>
      <c r="I3391" s="1" t="s">
        <v>19</v>
      </c>
      <c r="J3391" s="1" t="s">
        <v>67</v>
      </c>
      <c r="K3391" s="1" t="s">
        <v>14</v>
      </c>
      <c r="M3391" s="2">
        <v>42934</v>
      </c>
      <c r="N3391" s="1" t="s">
        <v>8</v>
      </c>
      <c r="O3391" s="1" t="s">
        <v>68</v>
      </c>
    </row>
    <row r="3392" spans="1:15" ht="43.2" x14ac:dyDescent="0.3">
      <c r="A3392" s="1" t="s">
        <v>13895</v>
      </c>
      <c r="B3392" s="1" t="str">
        <f>"D &amp; C JONES CO LTD"</f>
        <v>D &amp; C JONES CO LTD</v>
      </c>
      <c r="C3392" s="1" t="s">
        <v>13896</v>
      </c>
      <c r="F3392" s="1" t="s">
        <v>13897</v>
      </c>
      <c r="H3392" s="1" t="s">
        <v>12165</v>
      </c>
      <c r="I3392" s="1" t="s">
        <v>19</v>
      </c>
      <c r="J3392" s="1" t="s">
        <v>6</v>
      </c>
      <c r="K3392" s="1" t="s">
        <v>34</v>
      </c>
      <c r="L3392" s="1">
        <v>5554169</v>
      </c>
      <c r="M3392" s="2">
        <v>42934</v>
      </c>
      <c r="N3392" s="1" t="s">
        <v>8</v>
      </c>
      <c r="O3392" s="2">
        <v>44030</v>
      </c>
    </row>
    <row r="3393" spans="1:15" ht="43.2" x14ac:dyDescent="0.3">
      <c r="A3393" s="1" t="s">
        <v>13898</v>
      </c>
      <c r="B3393" s="1" t="str">
        <f>"Garrick builders"</f>
        <v>Garrick builders</v>
      </c>
      <c r="C3393" s="1" t="s">
        <v>13899</v>
      </c>
      <c r="F3393" s="1" t="s">
        <v>123</v>
      </c>
      <c r="H3393" s="1" t="s">
        <v>13900</v>
      </c>
      <c r="I3393" s="1" t="s">
        <v>1872</v>
      </c>
      <c r="J3393" s="1" t="s">
        <v>67</v>
      </c>
      <c r="K3393" s="1" t="s">
        <v>24</v>
      </c>
      <c r="M3393" s="2">
        <v>42934</v>
      </c>
      <c r="N3393" s="1" t="s">
        <v>8</v>
      </c>
      <c r="O3393" s="1" t="s">
        <v>68</v>
      </c>
    </row>
    <row r="3394" spans="1:15" ht="43.2" x14ac:dyDescent="0.3">
      <c r="A3394" s="1" t="s">
        <v>26318</v>
      </c>
      <c r="B3394" s="1" t="str">
        <f>"Daniel  Sparrow  Bespoke Home &amp; Garden "</f>
        <v xml:space="preserve">Daniel  Sparrow  Bespoke Home &amp; Garden </v>
      </c>
      <c r="C3394" s="1" t="s">
        <v>26319</v>
      </c>
      <c r="F3394" s="1" t="s">
        <v>277</v>
      </c>
      <c r="H3394" s="1" t="s">
        <v>26320</v>
      </c>
      <c r="I3394" s="1" t="s">
        <v>5</v>
      </c>
      <c r="J3394" s="1" t="s">
        <v>6</v>
      </c>
      <c r="K3394" s="1" t="s">
        <v>34</v>
      </c>
      <c r="M3394" s="2">
        <v>42934</v>
      </c>
      <c r="N3394" s="1" t="s">
        <v>8</v>
      </c>
      <c r="O3394" s="2">
        <v>44030</v>
      </c>
    </row>
    <row r="3395" spans="1:15" ht="28.8" x14ac:dyDescent="0.3">
      <c r="A3395" s="1" t="s">
        <v>26321</v>
      </c>
      <c r="B3395" s="1" t="str">
        <f>"James Leeves James Leeves"</f>
        <v>James Leeves James Leeves</v>
      </c>
      <c r="C3395" s="1" t="s">
        <v>26322</v>
      </c>
      <c r="F3395" s="1" t="s">
        <v>10364</v>
      </c>
      <c r="H3395" s="1" t="s">
        <v>26323</v>
      </c>
      <c r="I3395" s="1" t="s">
        <v>5</v>
      </c>
      <c r="J3395" s="1" t="s">
        <v>6</v>
      </c>
      <c r="K3395" s="1" t="s">
        <v>24</v>
      </c>
      <c r="M3395" s="2">
        <v>42934</v>
      </c>
      <c r="N3395" s="1" t="s">
        <v>8</v>
      </c>
      <c r="O3395" s="2">
        <v>44030</v>
      </c>
    </row>
    <row r="3396" spans="1:15" ht="28.8" x14ac:dyDescent="0.3">
      <c r="A3396" s="1" t="s">
        <v>26324</v>
      </c>
      <c r="B3396" s="1" t="str">
        <f>"David Owen David Owen"</f>
        <v>David Owen David Owen</v>
      </c>
      <c r="C3396" s="1" t="s">
        <v>26325</v>
      </c>
      <c r="F3396" s="1" t="s">
        <v>37</v>
      </c>
      <c r="H3396" s="1" t="s">
        <v>26326</v>
      </c>
      <c r="I3396" s="1" t="s">
        <v>5</v>
      </c>
      <c r="J3396" s="1" t="s">
        <v>6</v>
      </c>
      <c r="K3396" s="1" t="s">
        <v>24</v>
      </c>
      <c r="M3396" s="2">
        <v>42934</v>
      </c>
      <c r="N3396" s="1" t="s">
        <v>8</v>
      </c>
      <c r="O3396" s="2">
        <v>44030</v>
      </c>
    </row>
    <row r="3397" spans="1:15" ht="28.8" x14ac:dyDescent="0.3">
      <c r="A3397" s="1" t="s">
        <v>26327</v>
      </c>
      <c r="B3397" s="1" t="str">
        <f>"Andrew Brookman Andrew Brookman"</f>
        <v>Andrew Brookman Andrew Brookman</v>
      </c>
      <c r="C3397" s="1" t="s">
        <v>26328</v>
      </c>
      <c r="F3397" s="1" t="s">
        <v>64</v>
      </c>
      <c r="H3397" s="1" t="s">
        <v>22762</v>
      </c>
      <c r="I3397" s="1" t="s">
        <v>5</v>
      </c>
      <c r="J3397" s="1" t="s">
        <v>6</v>
      </c>
      <c r="K3397" s="1" t="s">
        <v>24</v>
      </c>
      <c r="M3397" s="2">
        <v>42934</v>
      </c>
      <c r="N3397" s="1" t="s">
        <v>8</v>
      </c>
      <c r="O3397" s="2">
        <v>44030</v>
      </c>
    </row>
    <row r="3398" spans="1:15" ht="28.8" x14ac:dyDescent="0.3">
      <c r="A3398" s="1" t="s">
        <v>26329</v>
      </c>
      <c r="B3398" s="1" t="str">
        <f>"HUW CLARKE"</f>
        <v>HUW CLARKE</v>
      </c>
      <c r="C3398" s="1" t="s">
        <v>26330</v>
      </c>
      <c r="F3398" s="1" t="s">
        <v>1638</v>
      </c>
      <c r="H3398" s="1" t="s">
        <v>26331</v>
      </c>
      <c r="I3398" s="1" t="s">
        <v>5</v>
      </c>
      <c r="J3398" s="1" t="s">
        <v>6</v>
      </c>
      <c r="K3398" s="1" t="s">
        <v>34</v>
      </c>
      <c r="M3398" s="2">
        <v>42934</v>
      </c>
      <c r="N3398" s="1" t="s">
        <v>8</v>
      </c>
      <c r="O3398" s="2">
        <v>44030</v>
      </c>
    </row>
    <row r="3399" spans="1:15" ht="43.2" x14ac:dyDescent="0.3">
      <c r="A3399" s="1" t="s">
        <v>26332</v>
      </c>
      <c r="B3399" s="1" t="str">
        <f>"james barnett"</f>
        <v>james barnett</v>
      </c>
      <c r="C3399" s="1" t="s">
        <v>26333</v>
      </c>
      <c r="F3399" s="1" t="s">
        <v>1991</v>
      </c>
      <c r="H3399" s="1" t="s">
        <v>26334</v>
      </c>
      <c r="I3399" s="1" t="s">
        <v>5</v>
      </c>
      <c r="J3399" s="1" t="s">
        <v>67</v>
      </c>
      <c r="K3399" s="1" t="s">
        <v>14</v>
      </c>
      <c r="M3399" s="2">
        <v>42934</v>
      </c>
      <c r="N3399" s="1" t="s">
        <v>8</v>
      </c>
      <c r="O3399" s="1" t="s">
        <v>68</v>
      </c>
    </row>
    <row r="3400" spans="1:15" ht="28.8" x14ac:dyDescent="0.3">
      <c r="A3400" s="1" t="s">
        <v>27023</v>
      </c>
      <c r="B3400" s="1" t="str">
        <f>"lee maynard LM Recycles"</f>
        <v>lee maynard LM Recycles</v>
      </c>
      <c r="C3400" s="1" t="s">
        <v>27024</v>
      </c>
      <c r="F3400" s="1" t="s">
        <v>64</v>
      </c>
      <c r="H3400" s="1" t="s">
        <v>27025</v>
      </c>
      <c r="I3400" s="1" t="s">
        <v>5</v>
      </c>
      <c r="J3400" s="1" t="s">
        <v>6</v>
      </c>
      <c r="K3400" s="1" t="s">
        <v>24</v>
      </c>
      <c r="M3400" s="2">
        <v>42934</v>
      </c>
      <c r="N3400" s="1" t="s">
        <v>8</v>
      </c>
      <c r="O3400" s="2">
        <v>44030</v>
      </c>
    </row>
    <row r="3401" spans="1:15" ht="28.8" x14ac:dyDescent="0.3">
      <c r="A3401" s="1" t="s">
        <v>12799</v>
      </c>
      <c r="B3401" s="1" t="str">
        <f>"N J PENNY HAULAGE LIMITED"</f>
        <v>N J PENNY HAULAGE LIMITED</v>
      </c>
      <c r="C3401" s="1" t="s">
        <v>12800</v>
      </c>
      <c r="F3401" s="1" t="s">
        <v>277</v>
      </c>
      <c r="H3401" s="1" t="s">
        <v>10028</v>
      </c>
      <c r="I3401" s="1" t="s">
        <v>19</v>
      </c>
      <c r="J3401" s="1" t="s">
        <v>6</v>
      </c>
      <c r="K3401" s="1" t="s">
        <v>24</v>
      </c>
      <c r="L3401" s="1">
        <v>9434117</v>
      </c>
      <c r="M3401" s="2">
        <v>42933</v>
      </c>
      <c r="N3401" s="1" t="s">
        <v>8</v>
      </c>
      <c r="O3401" s="2">
        <v>44029</v>
      </c>
    </row>
    <row r="3402" spans="1:15" ht="43.2" x14ac:dyDescent="0.3">
      <c r="A3402" s="1" t="s">
        <v>12801</v>
      </c>
      <c r="B3402" s="1" t="str">
        <f>"Windward Renewable Energy Services"</f>
        <v>Windward Renewable Energy Services</v>
      </c>
      <c r="C3402" s="1" t="s">
        <v>12802</v>
      </c>
      <c r="F3402" s="1" t="s">
        <v>1818</v>
      </c>
      <c r="H3402" s="1" t="s">
        <v>12803</v>
      </c>
      <c r="I3402" s="1" t="s">
        <v>19</v>
      </c>
      <c r="J3402" s="1" t="s">
        <v>67</v>
      </c>
      <c r="K3402" s="1" t="s">
        <v>14</v>
      </c>
      <c r="M3402" s="2">
        <v>42933</v>
      </c>
      <c r="N3402" s="1" t="s">
        <v>8</v>
      </c>
      <c r="O3402" s="1" t="s">
        <v>68</v>
      </c>
    </row>
    <row r="3403" spans="1:15" ht="43.2" x14ac:dyDescent="0.3">
      <c r="A3403" s="1" t="s">
        <v>12804</v>
      </c>
      <c r="B3403" s="1" t="str">
        <f>"Court Electrical Services(York) Ltd"</f>
        <v>Court Electrical Services(York) Ltd</v>
      </c>
      <c r="C3403" s="1" t="s">
        <v>12805</v>
      </c>
      <c r="F3403" s="1" t="s">
        <v>9473</v>
      </c>
      <c r="H3403" s="1" t="s">
        <v>12806</v>
      </c>
      <c r="I3403" s="1" t="s">
        <v>19</v>
      </c>
      <c r="J3403" s="1" t="s">
        <v>67</v>
      </c>
      <c r="K3403" s="1" t="s">
        <v>14</v>
      </c>
      <c r="M3403" s="2">
        <v>42933</v>
      </c>
      <c r="N3403" s="1" t="s">
        <v>8</v>
      </c>
      <c r="O3403" s="1" t="s">
        <v>68</v>
      </c>
    </row>
    <row r="3404" spans="1:15" ht="43.2" x14ac:dyDescent="0.3">
      <c r="A3404" s="1" t="s">
        <v>12807</v>
      </c>
      <c r="B3404" s="1" t="str">
        <f>"Park Surgery"</f>
        <v>Park Surgery</v>
      </c>
      <c r="C3404" s="1" t="s">
        <v>10252</v>
      </c>
      <c r="F3404" s="1" t="s">
        <v>156</v>
      </c>
      <c r="H3404" s="1" t="s">
        <v>10253</v>
      </c>
      <c r="I3404" s="1" t="s">
        <v>125</v>
      </c>
      <c r="J3404" s="1" t="s">
        <v>67</v>
      </c>
      <c r="K3404" s="1" t="s">
        <v>14</v>
      </c>
      <c r="M3404" s="2">
        <v>42933</v>
      </c>
      <c r="N3404" s="1" t="s">
        <v>8</v>
      </c>
      <c r="O3404" s="1" t="s">
        <v>68</v>
      </c>
    </row>
    <row r="3405" spans="1:15" ht="28.8" x14ac:dyDescent="0.3">
      <c r="A3405" s="1" t="s">
        <v>12808</v>
      </c>
      <c r="B3405" s="1" t="str">
        <f>"Paul Jones fencing ltd"</f>
        <v>Paul Jones fencing ltd</v>
      </c>
      <c r="C3405" s="1" t="s">
        <v>12809</v>
      </c>
      <c r="F3405" s="1" t="s">
        <v>32</v>
      </c>
      <c r="H3405" s="1" t="s">
        <v>11035</v>
      </c>
      <c r="I3405" s="1" t="s">
        <v>19</v>
      </c>
      <c r="J3405" s="1" t="s">
        <v>6</v>
      </c>
      <c r="K3405" s="1" t="s">
        <v>34</v>
      </c>
      <c r="L3405" s="1">
        <v>6662991</v>
      </c>
      <c r="M3405" s="2">
        <v>42933</v>
      </c>
      <c r="N3405" s="1" t="s">
        <v>8</v>
      </c>
      <c r="O3405" s="2">
        <v>44029</v>
      </c>
    </row>
    <row r="3406" spans="1:15" ht="28.8" x14ac:dyDescent="0.3">
      <c r="A3406" s="1" t="s">
        <v>12810</v>
      </c>
      <c r="B3406" s="1" t="str">
        <f>"M H Middle Plumbing &amp; Heating Ltd."</f>
        <v>M H Middle Plumbing &amp; Heating Ltd.</v>
      </c>
      <c r="C3406" s="1" t="s">
        <v>12811</v>
      </c>
      <c r="F3406" s="1" t="s">
        <v>1058</v>
      </c>
      <c r="H3406" s="1" t="s">
        <v>12812</v>
      </c>
      <c r="I3406" s="1" t="s">
        <v>19</v>
      </c>
      <c r="J3406" s="1" t="s">
        <v>6</v>
      </c>
      <c r="K3406" s="1" t="s">
        <v>24</v>
      </c>
      <c r="L3406" s="1">
        <v>4832406</v>
      </c>
      <c r="M3406" s="2">
        <v>42933</v>
      </c>
      <c r="N3406" s="1" t="s">
        <v>8</v>
      </c>
      <c r="O3406" s="2">
        <v>44029</v>
      </c>
    </row>
    <row r="3407" spans="1:15" ht="43.2" x14ac:dyDescent="0.3">
      <c r="A3407" s="1" t="s">
        <v>25533</v>
      </c>
      <c r="B3407" s="1" t="str">
        <f>"Jason Unstead JL Unstead Bricklaying &amp; Building Contractor"</f>
        <v>Jason Unstead JL Unstead Bricklaying &amp; Building Contractor</v>
      </c>
      <c r="C3407" s="1" t="s">
        <v>25534</v>
      </c>
      <c r="F3407" s="1" t="s">
        <v>1321</v>
      </c>
      <c r="H3407" s="1" t="s">
        <v>25535</v>
      </c>
      <c r="I3407" s="1" t="s">
        <v>5</v>
      </c>
      <c r="J3407" s="1" t="s">
        <v>6</v>
      </c>
      <c r="K3407" s="1" t="s">
        <v>24</v>
      </c>
      <c r="M3407" s="2">
        <v>42933</v>
      </c>
      <c r="N3407" s="1" t="s">
        <v>8</v>
      </c>
      <c r="O3407" s="2">
        <v>44029</v>
      </c>
    </row>
    <row r="3408" spans="1:15" ht="28.8" x14ac:dyDescent="0.3">
      <c r="A3408" s="1" t="s">
        <v>25536</v>
      </c>
      <c r="B3408" s="1" t="str">
        <f>"cliff rees Cliff Rees"</f>
        <v>cliff rees Cliff Rees</v>
      </c>
      <c r="C3408" s="1" t="s">
        <v>25537</v>
      </c>
      <c r="F3408" s="1" t="s">
        <v>64</v>
      </c>
      <c r="H3408" s="1" t="s">
        <v>25538</v>
      </c>
      <c r="I3408" s="1" t="s">
        <v>5</v>
      </c>
      <c r="J3408" s="1" t="s">
        <v>6</v>
      </c>
      <c r="K3408" s="1" t="s">
        <v>24</v>
      </c>
      <c r="M3408" s="2">
        <v>42933</v>
      </c>
      <c r="N3408" s="1" t="s">
        <v>8</v>
      </c>
      <c r="O3408" s="2">
        <v>44029</v>
      </c>
    </row>
    <row r="3409" spans="1:15" ht="28.8" x14ac:dyDescent="0.3">
      <c r="A3409" s="1" t="s">
        <v>25539</v>
      </c>
      <c r="B3409" s="1" t="str">
        <f>"Mark Davison Petals Landscaping Services"</f>
        <v>Mark Davison Petals Landscaping Services</v>
      </c>
      <c r="C3409" s="1" t="s">
        <v>25540</v>
      </c>
      <c r="F3409" s="1" t="s">
        <v>665</v>
      </c>
      <c r="H3409" s="1" t="s">
        <v>25541</v>
      </c>
      <c r="I3409" s="1" t="s">
        <v>5</v>
      </c>
      <c r="J3409" s="1" t="s">
        <v>6</v>
      </c>
      <c r="K3409" s="1" t="s">
        <v>24</v>
      </c>
      <c r="M3409" s="2">
        <v>42933</v>
      </c>
      <c r="N3409" s="1" t="s">
        <v>8</v>
      </c>
      <c r="O3409" s="2">
        <v>44029</v>
      </c>
    </row>
    <row r="3410" spans="1:15" ht="43.2" x14ac:dyDescent="0.3">
      <c r="A3410" s="1" t="s">
        <v>25542</v>
      </c>
      <c r="B3410" s="1" t="str">
        <f>"Alan Blackmore"</f>
        <v>Alan Blackmore</v>
      </c>
      <c r="C3410" s="1" t="s">
        <v>25543</v>
      </c>
      <c r="D3410" s="1" t="s">
        <v>25544</v>
      </c>
      <c r="F3410" s="1" t="s">
        <v>25545</v>
      </c>
      <c r="H3410" s="1" t="s">
        <v>25546</v>
      </c>
      <c r="I3410" s="1" t="s">
        <v>5</v>
      </c>
      <c r="J3410" s="1" t="s">
        <v>67</v>
      </c>
      <c r="K3410" s="1" t="s">
        <v>14</v>
      </c>
      <c r="M3410" s="2">
        <v>42933</v>
      </c>
      <c r="N3410" s="1" t="s">
        <v>8</v>
      </c>
      <c r="O3410" s="1" t="s">
        <v>68</v>
      </c>
    </row>
    <row r="3411" spans="1:15" ht="43.2" x14ac:dyDescent="0.3">
      <c r="A3411" s="1" t="s">
        <v>25527</v>
      </c>
      <c r="B3411" s="1" t="str">
        <f>"Adam Hartup"</f>
        <v>Adam Hartup</v>
      </c>
      <c r="C3411" s="1" t="s">
        <v>25528</v>
      </c>
      <c r="F3411" s="1" t="s">
        <v>10661</v>
      </c>
      <c r="H3411" s="1" t="s">
        <v>25529</v>
      </c>
      <c r="I3411" s="1" t="s">
        <v>5</v>
      </c>
      <c r="J3411" s="1" t="s">
        <v>67</v>
      </c>
      <c r="K3411" s="1" t="s">
        <v>14</v>
      </c>
      <c r="M3411" s="2">
        <v>42932</v>
      </c>
      <c r="N3411" s="1" t="s">
        <v>8</v>
      </c>
      <c r="O3411" s="1" t="s">
        <v>68</v>
      </c>
    </row>
    <row r="3412" spans="1:15" ht="28.8" x14ac:dyDescent="0.3">
      <c r="A3412" s="1" t="s">
        <v>25530</v>
      </c>
      <c r="B3412" s="1" t="str">
        <f>"kevin edwards Kevin edwards transport"</f>
        <v>kevin edwards Kevin edwards transport</v>
      </c>
      <c r="C3412" s="1" t="s">
        <v>25531</v>
      </c>
      <c r="F3412" s="1" t="s">
        <v>1888</v>
      </c>
      <c r="H3412" s="1" t="s">
        <v>25532</v>
      </c>
      <c r="I3412" s="1" t="s">
        <v>5</v>
      </c>
      <c r="J3412" s="1" t="s">
        <v>6</v>
      </c>
      <c r="K3412" s="1" t="s">
        <v>24</v>
      </c>
      <c r="M3412" s="2">
        <v>42932</v>
      </c>
      <c r="N3412" s="1" t="s">
        <v>8</v>
      </c>
      <c r="O3412" s="2">
        <v>44028</v>
      </c>
    </row>
    <row r="3413" spans="1:15" x14ac:dyDescent="0.3">
      <c r="A3413" s="1" t="s">
        <v>12792</v>
      </c>
      <c r="B3413" s="1" t="str">
        <f>"L &amp; G FORESTRY LTD"</f>
        <v>L &amp; G FORESTRY LTD</v>
      </c>
      <c r="C3413" s="1" t="s">
        <v>12793</v>
      </c>
      <c r="F3413" s="1" t="s">
        <v>37</v>
      </c>
      <c r="H3413" s="1" t="s">
        <v>12794</v>
      </c>
      <c r="I3413" s="1" t="s">
        <v>19</v>
      </c>
      <c r="J3413" s="1" t="s">
        <v>6</v>
      </c>
      <c r="K3413" s="1" t="s">
        <v>24</v>
      </c>
      <c r="L3413" s="1">
        <v>7214253</v>
      </c>
      <c r="M3413" s="2">
        <v>42931</v>
      </c>
      <c r="N3413" s="1" t="s">
        <v>8</v>
      </c>
      <c r="O3413" s="2">
        <v>44027</v>
      </c>
    </row>
    <row r="3414" spans="1:15" ht="43.2" x14ac:dyDescent="0.3">
      <c r="A3414" s="1" t="s">
        <v>12795</v>
      </c>
      <c r="B3414" s="1" t="str">
        <f>"Shivam Store"</f>
        <v>Shivam Store</v>
      </c>
      <c r="C3414" s="1" t="s">
        <v>12796</v>
      </c>
      <c r="F3414" s="1" t="s">
        <v>12797</v>
      </c>
      <c r="H3414" s="1" t="s">
        <v>12798</v>
      </c>
      <c r="I3414" s="1" t="s">
        <v>125</v>
      </c>
      <c r="J3414" s="1" t="s">
        <v>67</v>
      </c>
      <c r="K3414" s="1" t="s">
        <v>14</v>
      </c>
      <c r="M3414" s="2">
        <v>42931</v>
      </c>
      <c r="N3414" s="1" t="s">
        <v>8</v>
      </c>
      <c r="O3414" s="1" t="s">
        <v>68</v>
      </c>
    </row>
    <row r="3415" spans="1:15" ht="43.2" x14ac:dyDescent="0.3">
      <c r="A3415" s="1" t="s">
        <v>24758</v>
      </c>
      <c r="B3415" s="1" t="str">
        <f>"Stephen Owen West cross landscapes and garden service"</f>
        <v>Stephen Owen West cross landscapes and garden service</v>
      </c>
      <c r="C3415" s="1" t="s">
        <v>24759</v>
      </c>
      <c r="F3415" s="1" t="s">
        <v>64</v>
      </c>
      <c r="H3415" s="1" t="s">
        <v>20108</v>
      </c>
      <c r="I3415" s="1" t="s">
        <v>5</v>
      </c>
      <c r="J3415" s="1" t="s">
        <v>67</v>
      </c>
      <c r="K3415" s="1" t="s">
        <v>24</v>
      </c>
      <c r="M3415" s="2">
        <v>42931</v>
      </c>
      <c r="N3415" s="1" t="s">
        <v>8</v>
      </c>
      <c r="O3415" s="1" t="s">
        <v>68</v>
      </c>
    </row>
    <row r="3416" spans="1:15" ht="28.8" x14ac:dyDescent="0.3">
      <c r="A3416" s="1" t="s">
        <v>24760</v>
      </c>
      <c r="B3416" s="1" t="str">
        <f>"John Morley John Morley electrical"</f>
        <v>John Morley John Morley electrical</v>
      </c>
      <c r="C3416" s="1" t="s">
        <v>24761</v>
      </c>
      <c r="F3416" s="1" t="s">
        <v>24762</v>
      </c>
      <c r="H3416" s="1" t="s">
        <v>24763</v>
      </c>
      <c r="I3416" s="1" t="s">
        <v>5</v>
      </c>
      <c r="J3416" s="1" t="s">
        <v>6</v>
      </c>
      <c r="K3416" s="1" t="s">
        <v>24</v>
      </c>
      <c r="M3416" s="2">
        <v>42931</v>
      </c>
      <c r="N3416" s="1" t="s">
        <v>8</v>
      </c>
      <c r="O3416" s="2">
        <v>44027</v>
      </c>
    </row>
    <row r="3417" spans="1:15" ht="43.2" x14ac:dyDescent="0.3">
      <c r="A3417" s="1" t="s">
        <v>24755</v>
      </c>
      <c r="B3417" s="1" t="str">
        <f>"Paul Lewis"</f>
        <v>Paul Lewis</v>
      </c>
      <c r="C3417" s="1" t="s">
        <v>24756</v>
      </c>
      <c r="F3417" s="1" t="s">
        <v>6400</v>
      </c>
      <c r="H3417" s="1" t="s">
        <v>24757</v>
      </c>
      <c r="I3417" s="1" t="s">
        <v>5</v>
      </c>
      <c r="J3417" s="1" t="s">
        <v>67</v>
      </c>
      <c r="K3417" s="1" t="s">
        <v>14</v>
      </c>
      <c r="M3417" s="2">
        <v>42930</v>
      </c>
      <c r="N3417" s="1" t="s">
        <v>8</v>
      </c>
      <c r="O3417" s="1" t="s">
        <v>68</v>
      </c>
    </row>
    <row r="3418" spans="1:15" ht="43.2" x14ac:dyDescent="0.3">
      <c r="A3418" s="1" t="s">
        <v>10785</v>
      </c>
      <c r="B3418" s="1" t="str">
        <f>"Dave Reed Electrical Services Ltd"</f>
        <v>Dave Reed Electrical Services Ltd</v>
      </c>
      <c r="C3418" s="1" t="s">
        <v>10786</v>
      </c>
      <c r="F3418" s="1" t="s">
        <v>457</v>
      </c>
      <c r="H3418" s="1" t="s">
        <v>10787</v>
      </c>
      <c r="I3418" s="1" t="s">
        <v>19</v>
      </c>
      <c r="J3418" s="1" t="s">
        <v>67</v>
      </c>
      <c r="K3418" s="1" t="s">
        <v>24</v>
      </c>
      <c r="L3418" s="1">
        <v>10702001</v>
      </c>
      <c r="M3418" s="2">
        <v>42929</v>
      </c>
      <c r="N3418" s="1" t="s">
        <v>8</v>
      </c>
      <c r="O3418" s="1" t="s">
        <v>68</v>
      </c>
    </row>
    <row r="3419" spans="1:15" ht="43.2" x14ac:dyDescent="0.3">
      <c r="A3419" s="1" t="s">
        <v>10788</v>
      </c>
      <c r="B3419" s="1" t="str">
        <f>"DAWNUS CONSTRUCTION HOLDINGS LIMITED"</f>
        <v>DAWNUS CONSTRUCTION HOLDINGS LIMITED</v>
      </c>
      <c r="C3419" s="1" t="s">
        <v>10789</v>
      </c>
      <c r="D3419" s="1" t="s">
        <v>10790</v>
      </c>
      <c r="E3419" s="1" t="s">
        <v>1078</v>
      </c>
      <c r="F3419" s="1" t="s">
        <v>64</v>
      </c>
      <c r="H3419" s="1" t="s">
        <v>10791</v>
      </c>
      <c r="I3419" s="1" t="s">
        <v>19</v>
      </c>
      <c r="J3419" s="1" t="s">
        <v>6</v>
      </c>
      <c r="K3419" s="1" t="s">
        <v>34</v>
      </c>
      <c r="L3419" s="1">
        <v>4230579</v>
      </c>
      <c r="M3419" s="2">
        <v>42929</v>
      </c>
      <c r="N3419" s="1" t="s">
        <v>8</v>
      </c>
      <c r="O3419" s="2">
        <v>44025</v>
      </c>
    </row>
    <row r="3420" spans="1:15" ht="43.2" x14ac:dyDescent="0.3">
      <c r="A3420" s="1" t="s">
        <v>10792</v>
      </c>
      <c r="B3420" s="1" t="str">
        <f>"mircea chiriac"</f>
        <v>mircea chiriac</v>
      </c>
      <c r="C3420" s="1" t="s">
        <v>10793</v>
      </c>
      <c r="F3420" s="1" t="s">
        <v>170</v>
      </c>
      <c r="H3420" s="1" t="s">
        <v>10794</v>
      </c>
      <c r="I3420" s="1" t="s">
        <v>188</v>
      </c>
      <c r="J3420" s="1" t="s">
        <v>67</v>
      </c>
      <c r="K3420" s="1" t="s">
        <v>14</v>
      </c>
      <c r="M3420" s="2">
        <v>42929</v>
      </c>
      <c r="N3420" s="1" t="s">
        <v>8</v>
      </c>
      <c r="O3420" s="1" t="s">
        <v>68</v>
      </c>
    </row>
    <row r="3421" spans="1:15" ht="28.8" x14ac:dyDescent="0.3">
      <c r="A3421" s="1" t="s">
        <v>10795</v>
      </c>
      <c r="B3421" s="1" t="str">
        <f>"LELO SKIP HIRE LTD"</f>
        <v>LELO SKIP HIRE LTD</v>
      </c>
      <c r="C3421" s="1" t="s">
        <v>10796</v>
      </c>
      <c r="F3421" s="1" t="s">
        <v>73</v>
      </c>
      <c r="H3421" s="1" t="s">
        <v>10797</v>
      </c>
      <c r="I3421" s="1" t="s">
        <v>19</v>
      </c>
      <c r="J3421" s="1" t="s">
        <v>6</v>
      </c>
      <c r="K3421" s="1" t="s">
        <v>24</v>
      </c>
      <c r="L3421" s="1">
        <v>5472196</v>
      </c>
      <c r="M3421" s="2">
        <v>42929</v>
      </c>
      <c r="N3421" s="1" t="s">
        <v>8</v>
      </c>
      <c r="O3421" s="2">
        <v>44025</v>
      </c>
    </row>
    <row r="3422" spans="1:15" ht="28.8" x14ac:dyDescent="0.3">
      <c r="A3422" s="1" t="s">
        <v>10798</v>
      </c>
      <c r="B3422" s="1" t="str">
        <f>"HEATING &amp; BOILERS (DYFED) LTD"</f>
        <v>HEATING &amp; BOILERS (DYFED) LTD</v>
      </c>
      <c r="C3422" s="1" t="s">
        <v>10799</v>
      </c>
      <c r="F3422" s="1" t="s">
        <v>1021</v>
      </c>
      <c r="H3422" s="1" t="s">
        <v>10800</v>
      </c>
      <c r="I3422" s="1" t="s">
        <v>19</v>
      </c>
      <c r="J3422" s="1" t="s">
        <v>6</v>
      </c>
      <c r="K3422" s="1" t="s">
        <v>24</v>
      </c>
      <c r="L3422" s="1">
        <v>1888448</v>
      </c>
      <c r="M3422" s="2">
        <v>42929</v>
      </c>
      <c r="N3422" s="1" t="s">
        <v>8</v>
      </c>
      <c r="O3422" s="2">
        <v>44025</v>
      </c>
    </row>
    <row r="3423" spans="1:15" ht="43.2" x14ac:dyDescent="0.3">
      <c r="A3423" s="1" t="s">
        <v>11803</v>
      </c>
      <c r="B3423" s="1" t="str">
        <f>"Vision Products "</f>
        <v xml:space="preserve">Vision Products </v>
      </c>
      <c r="C3423" s="1" t="s">
        <v>11804</v>
      </c>
      <c r="F3423" s="1" t="s">
        <v>767</v>
      </c>
      <c r="H3423" s="1" t="s">
        <v>11805</v>
      </c>
      <c r="I3423" s="1" t="s">
        <v>188</v>
      </c>
      <c r="J3423" s="1" t="s">
        <v>6</v>
      </c>
      <c r="K3423" s="1" t="s">
        <v>24</v>
      </c>
      <c r="M3423" s="2">
        <v>42929</v>
      </c>
      <c r="N3423" s="1" t="s">
        <v>8</v>
      </c>
      <c r="O3423" s="2">
        <v>44024</v>
      </c>
    </row>
    <row r="3424" spans="1:15" ht="43.2" x14ac:dyDescent="0.3">
      <c r="A3424" s="1" t="s">
        <v>11806</v>
      </c>
      <c r="B3424" s="1" t="str">
        <f>"beacons gas &amp; plumbing ltd"</f>
        <v>beacons gas &amp; plumbing ltd</v>
      </c>
      <c r="C3424" s="1" t="s">
        <v>11807</v>
      </c>
      <c r="F3424" s="1" t="s">
        <v>1206</v>
      </c>
      <c r="H3424" s="1" t="s">
        <v>11808</v>
      </c>
      <c r="I3424" s="1" t="s">
        <v>19</v>
      </c>
      <c r="J3424" s="1" t="s">
        <v>67</v>
      </c>
      <c r="K3424" s="1" t="s">
        <v>14</v>
      </c>
      <c r="M3424" s="2">
        <v>42929</v>
      </c>
      <c r="N3424" s="1" t="s">
        <v>8</v>
      </c>
      <c r="O3424" s="1" t="s">
        <v>68</v>
      </c>
    </row>
    <row r="3425" spans="1:15" ht="28.8" x14ac:dyDescent="0.3">
      <c r="A3425" s="1" t="s">
        <v>11809</v>
      </c>
      <c r="B3425" s="1" t="str">
        <f>"ANDREW EVANS LANDSCAPES LTD"</f>
        <v>ANDREW EVANS LANDSCAPES LTD</v>
      </c>
      <c r="C3425" s="1" t="s">
        <v>11810</v>
      </c>
      <c r="F3425" s="1" t="s">
        <v>3655</v>
      </c>
      <c r="H3425" s="1" t="s">
        <v>11811</v>
      </c>
      <c r="I3425" s="1" t="s">
        <v>19</v>
      </c>
      <c r="J3425" s="1" t="s">
        <v>6</v>
      </c>
      <c r="K3425" s="1" t="s">
        <v>24</v>
      </c>
      <c r="L3425" s="1">
        <v>10570294</v>
      </c>
      <c r="M3425" s="2">
        <v>42929</v>
      </c>
      <c r="N3425" s="1" t="s">
        <v>8</v>
      </c>
      <c r="O3425" s="2">
        <v>44025</v>
      </c>
    </row>
    <row r="3426" spans="1:15" ht="28.8" x14ac:dyDescent="0.3">
      <c r="A3426" s="1" t="s">
        <v>11812</v>
      </c>
      <c r="B3426" s="1" t="str">
        <f>"M ROBERTS &amp; SON  CONTRACTORS LTD"</f>
        <v>M ROBERTS &amp; SON  CONTRACTORS LTD</v>
      </c>
      <c r="C3426" s="1" t="s">
        <v>11813</v>
      </c>
      <c r="F3426" s="1" t="s">
        <v>72</v>
      </c>
      <c r="H3426" s="1" t="s">
        <v>11814</v>
      </c>
      <c r="I3426" s="1" t="s">
        <v>19</v>
      </c>
      <c r="J3426" s="1" t="s">
        <v>6</v>
      </c>
      <c r="K3426" s="1" t="s">
        <v>24</v>
      </c>
      <c r="L3426" s="1">
        <v>5538179</v>
      </c>
      <c r="M3426" s="2">
        <v>42929</v>
      </c>
      <c r="N3426" s="1" t="s">
        <v>8</v>
      </c>
      <c r="O3426" s="2">
        <v>44025</v>
      </c>
    </row>
    <row r="3427" spans="1:15" ht="28.8" x14ac:dyDescent="0.3">
      <c r="A3427" s="1" t="s">
        <v>11815</v>
      </c>
      <c r="B3427" s="1" t="str">
        <f>"Stuart Mills Heating Ltd"</f>
        <v>Stuart Mills Heating Ltd</v>
      </c>
      <c r="C3427" s="1" t="s">
        <v>11816</v>
      </c>
      <c r="F3427" s="1" t="s">
        <v>3242</v>
      </c>
      <c r="H3427" s="1" t="s">
        <v>11817</v>
      </c>
      <c r="I3427" s="1" t="s">
        <v>19</v>
      </c>
      <c r="J3427" s="1" t="s">
        <v>6</v>
      </c>
      <c r="K3427" s="1" t="s">
        <v>24</v>
      </c>
      <c r="L3427" s="1">
        <v>10846537</v>
      </c>
      <c r="M3427" s="2">
        <v>42929</v>
      </c>
      <c r="N3427" s="1" t="s">
        <v>8</v>
      </c>
      <c r="O3427" s="2">
        <v>44025</v>
      </c>
    </row>
    <row r="3428" spans="1:15" ht="43.2" x14ac:dyDescent="0.3">
      <c r="A3428" s="1" t="s">
        <v>23915</v>
      </c>
      <c r="B3428" s="1" t="str">
        <f>"Steven Macleod"</f>
        <v>Steven Macleod</v>
      </c>
      <c r="C3428" s="1" t="s">
        <v>23916</v>
      </c>
      <c r="F3428" s="1" t="s">
        <v>156</v>
      </c>
      <c r="H3428" s="1" t="s">
        <v>23917</v>
      </c>
      <c r="I3428" s="1" t="s">
        <v>5</v>
      </c>
      <c r="J3428" s="1" t="s">
        <v>67</v>
      </c>
      <c r="K3428" s="1" t="s">
        <v>24</v>
      </c>
      <c r="M3428" s="2">
        <v>42929</v>
      </c>
      <c r="N3428" s="1" t="s">
        <v>8</v>
      </c>
      <c r="O3428" s="1" t="s">
        <v>68</v>
      </c>
    </row>
    <row r="3429" spans="1:15" ht="43.2" x14ac:dyDescent="0.3">
      <c r="A3429" s="1" t="s">
        <v>24739</v>
      </c>
      <c r="B3429" s="1" t="str">
        <f>"Daniel Edwards"</f>
        <v>Daniel Edwards</v>
      </c>
      <c r="C3429" s="1" t="s">
        <v>24740</v>
      </c>
      <c r="F3429" s="1" t="s">
        <v>277</v>
      </c>
      <c r="H3429" s="1" t="s">
        <v>24741</v>
      </c>
      <c r="I3429" s="1" t="s">
        <v>5</v>
      </c>
      <c r="J3429" s="1" t="s">
        <v>67</v>
      </c>
      <c r="K3429" s="1" t="s">
        <v>14</v>
      </c>
      <c r="M3429" s="2">
        <v>42929</v>
      </c>
      <c r="N3429" s="1" t="s">
        <v>8</v>
      </c>
      <c r="O3429" s="1" t="s">
        <v>68</v>
      </c>
    </row>
    <row r="3430" spans="1:15" ht="43.2" x14ac:dyDescent="0.3">
      <c r="A3430" s="1" t="s">
        <v>24742</v>
      </c>
      <c r="B3430" s="1" t="str">
        <f>"Kris Davies"</f>
        <v>Kris Davies</v>
      </c>
      <c r="C3430" s="1" t="s">
        <v>24743</v>
      </c>
      <c r="D3430" s="1" t="s">
        <v>8834</v>
      </c>
      <c r="F3430" s="1" t="s">
        <v>123</v>
      </c>
      <c r="H3430" s="1" t="s">
        <v>24744</v>
      </c>
      <c r="I3430" s="1" t="s">
        <v>5</v>
      </c>
      <c r="J3430" s="1" t="s">
        <v>67</v>
      </c>
      <c r="K3430" s="1" t="s">
        <v>14</v>
      </c>
      <c r="M3430" s="2">
        <v>42929</v>
      </c>
      <c r="N3430" s="1" t="s">
        <v>8</v>
      </c>
      <c r="O3430" s="1" t="s">
        <v>68</v>
      </c>
    </row>
    <row r="3431" spans="1:15" ht="43.2" x14ac:dyDescent="0.3">
      <c r="A3431" s="1" t="s">
        <v>24745</v>
      </c>
      <c r="B3431" s="1" t="str">
        <f>"richard glyn williams"</f>
        <v>richard glyn williams</v>
      </c>
      <c r="C3431" s="1" t="s">
        <v>24746</v>
      </c>
      <c r="F3431" s="1" t="s">
        <v>532</v>
      </c>
      <c r="H3431" s="1" t="s">
        <v>24747</v>
      </c>
      <c r="I3431" s="1" t="s">
        <v>5</v>
      </c>
      <c r="J3431" s="1" t="s">
        <v>67</v>
      </c>
      <c r="K3431" s="1" t="s">
        <v>24</v>
      </c>
      <c r="M3431" s="2">
        <v>42929</v>
      </c>
      <c r="N3431" s="1" t="s">
        <v>8</v>
      </c>
      <c r="O3431" s="1" t="s">
        <v>68</v>
      </c>
    </row>
    <row r="3432" spans="1:15" ht="28.8" x14ac:dyDescent="0.3">
      <c r="A3432" s="1" t="s">
        <v>24748</v>
      </c>
      <c r="B3432" s="1" t="str">
        <f>"Paul Moore Pm property services"</f>
        <v>Paul Moore Pm property services</v>
      </c>
      <c r="C3432" s="1" t="s">
        <v>24749</v>
      </c>
      <c r="D3432" s="1" t="s">
        <v>24750</v>
      </c>
      <c r="F3432" s="1" t="s">
        <v>10806</v>
      </c>
      <c r="H3432" s="1" t="s">
        <v>24751</v>
      </c>
      <c r="I3432" s="1" t="s">
        <v>5</v>
      </c>
      <c r="J3432" s="1" t="s">
        <v>6</v>
      </c>
      <c r="K3432" s="1" t="s">
        <v>34</v>
      </c>
      <c r="M3432" s="2">
        <v>42929</v>
      </c>
      <c r="N3432" s="1" t="s">
        <v>8</v>
      </c>
      <c r="O3432" s="2">
        <v>44026</v>
      </c>
    </row>
    <row r="3433" spans="1:15" ht="28.8" x14ac:dyDescent="0.3">
      <c r="A3433" s="1" t="s">
        <v>24752</v>
      </c>
      <c r="B3433" s="1" t="str">
        <f>"Jonathan Newcombe"</f>
        <v>Jonathan Newcombe</v>
      </c>
      <c r="C3433" s="1" t="s">
        <v>24753</v>
      </c>
      <c r="F3433" s="1" t="s">
        <v>64</v>
      </c>
      <c r="H3433" s="1" t="s">
        <v>24754</v>
      </c>
      <c r="I3433" s="1" t="s">
        <v>5</v>
      </c>
      <c r="J3433" s="1" t="s">
        <v>6</v>
      </c>
      <c r="K3433" s="1" t="s">
        <v>24</v>
      </c>
      <c r="M3433" s="2">
        <v>42929</v>
      </c>
      <c r="N3433" s="1" t="s">
        <v>8</v>
      </c>
      <c r="O3433" s="2">
        <v>44025</v>
      </c>
    </row>
    <row r="3434" spans="1:15" ht="43.2" x14ac:dyDescent="0.3">
      <c r="A3434" s="1" t="s">
        <v>9762</v>
      </c>
      <c r="B3434" s="1" t="str">
        <f>"HIGHADMIT PROJECTS LIMITED"</f>
        <v>HIGHADMIT PROJECTS LIMITED</v>
      </c>
      <c r="C3434" s="1" t="s">
        <v>9763</v>
      </c>
      <c r="D3434" s="1" t="s">
        <v>3072</v>
      </c>
      <c r="F3434" s="1" t="s">
        <v>277</v>
      </c>
      <c r="H3434" s="1" t="s">
        <v>9764</v>
      </c>
      <c r="I3434" s="1" t="s">
        <v>19</v>
      </c>
      <c r="J3434" s="1" t="s">
        <v>67</v>
      </c>
      <c r="K3434" s="1" t="s">
        <v>24</v>
      </c>
      <c r="L3434" s="1">
        <v>2770746</v>
      </c>
      <c r="M3434" s="2">
        <v>42928</v>
      </c>
      <c r="N3434" s="1" t="s">
        <v>8</v>
      </c>
      <c r="O3434" s="1" t="s">
        <v>68</v>
      </c>
    </row>
    <row r="3435" spans="1:15" ht="28.8" x14ac:dyDescent="0.3">
      <c r="A3435" s="1" t="s">
        <v>9765</v>
      </c>
      <c r="B3435" s="1" t="str">
        <f>"Williams Plant Hire Services"</f>
        <v>Williams Plant Hire Services</v>
      </c>
      <c r="C3435" s="1" t="s">
        <v>9766</v>
      </c>
      <c r="D3435" s="1" t="s">
        <v>9767</v>
      </c>
      <c r="F3435" s="1" t="s">
        <v>370</v>
      </c>
      <c r="H3435" s="1" t="s">
        <v>9768</v>
      </c>
      <c r="I3435" s="1" t="s">
        <v>19</v>
      </c>
      <c r="J3435" s="1" t="s">
        <v>6</v>
      </c>
      <c r="K3435" s="1" t="s">
        <v>34</v>
      </c>
      <c r="L3435" s="1">
        <v>10621908</v>
      </c>
      <c r="M3435" s="2">
        <v>42928</v>
      </c>
      <c r="N3435" s="1" t="s">
        <v>8</v>
      </c>
      <c r="O3435" s="2">
        <v>44024</v>
      </c>
    </row>
    <row r="3436" spans="1:15" ht="28.8" x14ac:dyDescent="0.3">
      <c r="A3436" s="1" t="s">
        <v>9769</v>
      </c>
      <c r="B3436" s="1" t="str">
        <f>"CATERTECH SERVICES LTD"</f>
        <v>CATERTECH SERVICES LTD</v>
      </c>
      <c r="C3436" s="1" t="s">
        <v>9770</v>
      </c>
      <c r="F3436" s="1" t="s">
        <v>277</v>
      </c>
      <c r="H3436" s="1" t="s">
        <v>9771</v>
      </c>
      <c r="I3436" s="1" t="s">
        <v>19</v>
      </c>
      <c r="J3436" s="1" t="s">
        <v>6</v>
      </c>
      <c r="K3436" s="1" t="s">
        <v>34</v>
      </c>
      <c r="L3436" s="1">
        <v>3092136</v>
      </c>
      <c r="M3436" s="2">
        <v>42928</v>
      </c>
      <c r="N3436" s="1" t="s">
        <v>8</v>
      </c>
      <c r="O3436" s="2">
        <v>44024</v>
      </c>
    </row>
    <row r="3437" spans="1:15" ht="28.8" x14ac:dyDescent="0.3">
      <c r="A3437" s="1" t="s">
        <v>9772</v>
      </c>
      <c r="B3437" s="1" t="str">
        <f>"AUDOSTA LTD"</f>
        <v>AUDOSTA LTD</v>
      </c>
      <c r="C3437" s="1" t="s">
        <v>9773</v>
      </c>
      <c r="F3437" s="1" t="s">
        <v>156</v>
      </c>
      <c r="H3437" s="1" t="s">
        <v>9774</v>
      </c>
      <c r="I3437" s="1" t="s">
        <v>19</v>
      </c>
      <c r="J3437" s="1" t="s">
        <v>6</v>
      </c>
      <c r="K3437" s="1" t="s">
        <v>34</v>
      </c>
      <c r="L3437" s="1">
        <v>7031195</v>
      </c>
      <c r="M3437" s="2">
        <v>42928</v>
      </c>
      <c r="N3437" s="1" t="s">
        <v>8</v>
      </c>
      <c r="O3437" s="2">
        <v>44024</v>
      </c>
    </row>
    <row r="3438" spans="1:15" ht="43.2" x14ac:dyDescent="0.3">
      <c r="A3438" s="1" t="s">
        <v>9775</v>
      </c>
      <c r="B3438" s="1" t="str">
        <f>"POWELL STRUCTURES LTD"</f>
        <v>POWELL STRUCTURES LTD</v>
      </c>
      <c r="C3438" s="1" t="s">
        <v>9776</v>
      </c>
      <c r="D3438" s="1" t="s">
        <v>9777</v>
      </c>
      <c r="F3438" s="1" t="s">
        <v>457</v>
      </c>
      <c r="H3438" s="1" t="s">
        <v>9778</v>
      </c>
      <c r="I3438" s="1" t="s">
        <v>19</v>
      </c>
      <c r="J3438" s="1" t="s">
        <v>67</v>
      </c>
      <c r="K3438" s="1" t="s">
        <v>24</v>
      </c>
      <c r="L3438" s="1">
        <v>5213100</v>
      </c>
      <c r="M3438" s="2">
        <v>42928</v>
      </c>
      <c r="N3438" s="1" t="s">
        <v>8</v>
      </c>
      <c r="O3438" s="1" t="s">
        <v>68</v>
      </c>
    </row>
    <row r="3439" spans="1:15" ht="28.8" x14ac:dyDescent="0.3">
      <c r="A3439" s="1" t="s">
        <v>9779</v>
      </c>
      <c r="B3439" s="1" t="str">
        <f>"Clarkes Recovery"</f>
        <v>Clarkes Recovery</v>
      </c>
      <c r="C3439" s="1" t="s">
        <v>9780</v>
      </c>
      <c r="D3439" s="1" t="s">
        <v>9781</v>
      </c>
      <c r="E3439" s="1" t="s">
        <v>7509</v>
      </c>
      <c r="F3439" s="1" t="s">
        <v>532</v>
      </c>
      <c r="H3439" s="1" t="s">
        <v>199</v>
      </c>
      <c r="I3439" s="1" t="s">
        <v>19</v>
      </c>
      <c r="J3439" s="1" t="s">
        <v>6</v>
      </c>
      <c r="K3439" s="1" t="s">
        <v>34</v>
      </c>
      <c r="L3439" s="1">
        <v>9074669</v>
      </c>
      <c r="M3439" s="2">
        <v>42928</v>
      </c>
      <c r="N3439" s="1" t="s">
        <v>8</v>
      </c>
      <c r="O3439" s="2">
        <v>44024</v>
      </c>
    </row>
    <row r="3440" spans="1:15" ht="28.8" x14ac:dyDescent="0.3">
      <c r="A3440" s="1" t="s">
        <v>10779</v>
      </c>
      <c r="B3440" s="1" t="str">
        <f>"Universal Builders"</f>
        <v>Universal Builders</v>
      </c>
      <c r="C3440" s="1" t="s">
        <v>10780</v>
      </c>
      <c r="F3440" s="1" t="s">
        <v>532</v>
      </c>
      <c r="H3440" s="1" t="s">
        <v>10781</v>
      </c>
      <c r="I3440" s="1" t="s">
        <v>125</v>
      </c>
      <c r="J3440" s="1" t="s">
        <v>6</v>
      </c>
      <c r="K3440" s="1" t="s">
        <v>34</v>
      </c>
      <c r="M3440" s="2">
        <v>42928</v>
      </c>
      <c r="N3440" s="1" t="s">
        <v>8</v>
      </c>
      <c r="O3440" s="2">
        <v>44024</v>
      </c>
    </row>
    <row r="3441" spans="1:15" ht="43.2" x14ac:dyDescent="0.3">
      <c r="A3441" s="1" t="s">
        <v>10782</v>
      </c>
      <c r="B3441" s="1" t="str">
        <f>"Reserve Forces and Cadets Association for Wales"</f>
        <v>Reserve Forces and Cadets Association for Wales</v>
      </c>
      <c r="C3441" s="1" t="s">
        <v>10783</v>
      </c>
      <c r="F3441" s="1" t="s">
        <v>123</v>
      </c>
      <c r="H3441" s="1" t="s">
        <v>10784</v>
      </c>
      <c r="I3441" s="1" t="s">
        <v>188</v>
      </c>
      <c r="J3441" s="1" t="s">
        <v>6</v>
      </c>
      <c r="K3441" s="1" t="s">
        <v>34</v>
      </c>
      <c r="M3441" s="2">
        <v>42928</v>
      </c>
      <c r="N3441" s="1" t="s">
        <v>8</v>
      </c>
      <c r="O3441" s="2">
        <v>44024</v>
      </c>
    </row>
    <row r="3442" spans="1:15" ht="28.8" x14ac:dyDescent="0.3">
      <c r="A3442" s="1" t="s">
        <v>23089</v>
      </c>
      <c r="B3442" s="1" t="str">
        <f>"Arshid Ali MILLENIUM MOTORS"</f>
        <v>Arshid Ali MILLENIUM MOTORS</v>
      </c>
      <c r="C3442" s="1" t="s">
        <v>23090</v>
      </c>
      <c r="F3442" s="1" t="s">
        <v>156</v>
      </c>
      <c r="H3442" s="1" t="s">
        <v>23091</v>
      </c>
      <c r="I3442" s="1" t="s">
        <v>5</v>
      </c>
      <c r="J3442" s="1" t="s">
        <v>6</v>
      </c>
      <c r="K3442" s="1" t="s">
        <v>34</v>
      </c>
      <c r="M3442" s="2">
        <v>42928</v>
      </c>
      <c r="N3442" s="1" t="s">
        <v>8</v>
      </c>
      <c r="O3442" s="2">
        <v>44024</v>
      </c>
    </row>
    <row r="3443" spans="1:15" x14ac:dyDescent="0.3">
      <c r="A3443" s="1" t="s">
        <v>23092</v>
      </c>
      <c r="B3443" s="1" t="str">
        <f>"Euron Bryn Richards"</f>
        <v>Euron Bryn Richards</v>
      </c>
      <c r="C3443" s="1" t="s">
        <v>23093</v>
      </c>
      <c r="F3443" s="1" t="s">
        <v>2030</v>
      </c>
      <c r="H3443" s="1" t="s">
        <v>23094</v>
      </c>
      <c r="I3443" s="1" t="s">
        <v>5</v>
      </c>
      <c r="J3443" s="1" t="s">
        <v>6</v>
      </c>
      <c r="K3443" s="1" t="s">
        <v>24</v>
      </c>
      <c r="M3443" s="2">
        <v>42928</v>
      </c>
      <c r="N3443" s="1" t="s">
        <v>8</v>
      </c>
      <c r="O3443" s="2">
        <v>44024</v>
      </c>
    </row>
    <row r="3444" spans="1:15" x14ac:dyDescent="0.3">
      <c r="A3444" s="1" t="s">
        <v>23095</v>
      </c>
      <c r="B3444" s="1" t="str">
        <f>"David Huw Lewis"</f>
        <v>David Huw Lewis</v>
      </c>
      <c r="C3444" s="1" t="s">
        <v>23096</v>
      </c>
      <c r="D3444" s="1" t="s">
        <v>23097</v>
      </c>
      <c r="F3444" s="1" t="s">
        <v>64</v>
      </c>
      <c r="H3444" s="1" t="s">
        <v>23098</v>
      </c>
      <c r="I3444" s="1" t="s">
        <v>5</v>
      </c>
      <c r="J3444" s="1" t="s">
        <v>6</v>
      </c>
      <c r="K3444" s="1" t="s">
        <v>24</v>
      </c>
      <c r="M3444" s="2">
        <v>42928</v>
      </c>
      <c r="N3444" s="1" t="s">
        <v>8</v>
      </c>
      <c r="O3444" s="2">
        <v>44024</v>
      </c>
    </row>
    <row r="3445" spans="1:15" ht="28.8" x14ac:dyDescent="0.3">
      <c r="A3445" s="1" t="s">
        <v>23901</v>
      </c>
      <c r="B3445" s="1" t="str">
        <f>"John Kirk JK Metals"</f>
        <v>John Kirk JK Metals</v>
      </c>
      <c r="C3445" s="1" t="s">
        <v>23902</v>
      </c>
      <c r="F3445" s="1" t="s">
        <v>5409</v>
      </c>
      <c r="H3445" s="1" t="s">
        <v>23903</v>
      </c>
      <c r="I3445" s="1" t="s">
        <v>5</v>
      </c>
      <c r="J3445" s="1" t="s">
        <v>6</v>
      </c>
      <c r="K3445" s="1" t="s">
        <v>24</v>
      </c>
      <c r="M3445" s="2">
        <v>42928</v>
      </c>
      <c r="N3445" s="1" t="s">
        <v>8</v>
      </c>
      <c r="O3445" s="2">
        <v>44024</v>
      </c>
    </row>
    <row r="3446" spans="1:15" ht="28.8" x14ac:dyDescent="0.3">
      <c r="A3446" s="1" t="s">
        <v>23904</v>
      </c>
      <c r="B3446" s="1" t="str">
        <f>"John Dawson The Auction Surplus Shop"</f>
        <v>John Dawson The Auction Surplus Shop</v>
      </c>
      <c r="C3446" s="1" t="s">
        <v>23905</v>
      </c>
      <c r="D3446" s="1" t="s">
        <v>10605</v>
      </c>
      <c r="F3446" s="1" t="s">
        <v>42</v>
      </c>
      <c r="H3446" s="1" t="s">
        <v>23906</v>
      </c>
      <c r="I3446" s="1" t="s">
        <v>5</v>
      </c>
      <c r="J3446" s="1" t="s">
        <v>6</v>
      </c>
      <c r="K3446" s="1" t="s">
        <v>24</v>
      </c>
      <c r="M3446" s="2">
        <v>42928</v>
      </c>
      <c r="N3446" s="1" t="s">
        <v>8</v>
      </c>
      <c r="O3446" s="2">
        <v>44024</v>
      </c>
    </row>
    <row r="3447" spans="1:15" ht="43.2" x14ac:dyDescent="0.3">
      <c r="A3447" s="1" t="s">
        <v>23907</v>
      </c>
      <c r="B3447" s="1" t="str">
        <f>"David Williams"</f>
        <v>David Williams</v>
      </c>
      <c r="C3447" s="1" t="s">
        <v>23908</v>
      </c>
      <c r="F3447" s="1" t="s">
        <v>1321</v>
      </c>
      <c r="H3447" s="1" t="s">
        <v>14343</v>
      </c>
      <c r="I3447" s="1" t="s">
        <v>5</v>
      </c>
      <c r="J3447" s="1" t="s">
        <v>67</v>
      </c>
      <c r="K3447" s="1" t="s">
        <v>14</v>
      </c>
      <c r="M3447" s="2">
        <v>42928</v>
      </c>
      <c r="N3447" s="1" t="s">
        <v>8</v>
      </c>
      <c r="O3447" s="1" t="s">
        <v>68</v>
      </c>
    </row>
    <row r="3448" spans="1:15" ht="28.8" x14ac:dyDescent="0.3">
      <c r="A3448" s="1" t="s">
        <v>23909</v>
      </c>
      <c r="B3448" s="1" t="str">
        <f>"William Rees William Rees"</f>
        <v>William Rees William Rees</v>
      </c>
      <c r="C3448" s="1" t="s">
        <v>23910</v>
      </c>
      <c r="F3448" s="1" t="s">
        <v>1818</v>
      </c>
      <c r="H3448" s="1" t="s">
        <v>23911</v>
      </c>
      <c r="I3448" s="1" t="s">
        <v>5</v>
      </c>
      <c r="J3448" s="1" t="s">
        <v>6</v>
      </c>
      <c r="K3448" s="1" t="s">
        <v>34</v>
      </c>
      <c r="M3448" s="2">
        <v>42928</v>
      </c>
      <c r="N3448" s="1" t="s">
        <v>8</v>
      </c>
      <c r="O3448" s="2">
        <v>44025</v>
      </c>
    </row>
    <row r="3449" spans="1:15" ht="28.8" x14ac:dyDescent="0.3">
      <c r="A3449" s="1" t="s">
        <v>23912</v>
      </c>
      <c r="B3449" s="1" t="str">
        <f>"Steven  Groves GE Force"</f>
        <v>Steven  Groves GE Force</v>
      </c>
      <c r="C3449" s="1" t="s">
        <v>23913</v>
      </c>
      <c r="F3449" s="1" t="s">
        <v>123</v>
      </c>
      <c r="H3449" s="1" t="s">
        <v>23914</v>
      </c>
      <c r="I3449" s="1" t="s">
        <v>5</v>
      </c>
      <c r="J3449" s="1" t="s">
        <v>6</v>
      </c>
      <c r="K3449" s="1" t="s">
        <v>34</v>
      </c>
      <c r="M3449" s="2">
        <v>42928</v>
      </c>
      <c r="N3449" s="1" t="s">
        <v>8</v>
      </c>
      <c r="O3449" s="2">
        <v>44024</v>
      </c>
    </row>
    <row r="3450" spans="1:15" ht="28.8" x14ac:dyDescent="0.3">
      <c r="A3450" s="1" t="s">
        <v>8581</v>
      </c>
      <c r="B3450" s="1" t="str">
        <f>"DAVE BONNER JOINERY LTD"</f>
        <v>DAVE BONNER JOINERY LTD</v>
      </c>
      <c r="C3450" s="1" t="s">
        <v>8582</v>
      </c>
      <c r="F3450" s="1" t="s">
        <v>323</v>
      </c>
      <c r="H3450" s="1" t="s">
        <v>7710</v>
      </c>
      <c r="I3450" s="1" t="s">
        <v>19</v>
      </c>
      <c r="J3450" s="1" t="s">
        <v>6</v>
      </c>
      <c r="K3450" s="1" t="s">
        <v>24</v>
      </c>
      <c r="L3450" s="1">
        <v>5841291</v>
      </c>
      <c r="M3450" s="2">
        <v>42927</v>
      </c>
      <c r="N3450" s="1" t="s">
        <v>8</v>
      </c>
      <c r="O3450" s="2">
        <v>44023</v>
      </c>
    </row>
    <row r="3451" spans="1:15" ht="28.8" x14ac:dyDescent="0.3">
      <c r="A3451" s="1" t="s">
        <v>9746</v>
      </c>
      <c r="B3451" s="1" t="str">
        <f>"BSW SYSTEMS LTD"</f>
        <v>BSW SYSTEMS LTD</v>
      </c>
      <c r="C3451" s="1" t="s">
        <v>9747</v>
      </c>
      <c r="D3451" s="1" t="s">
        <v>9748</v>
      </c>
      <c r="F3451" s="1" t="s">
        <v>211</v>
      </c>
      <c r="H3451" s="1" t="s">
        <v>9749</v>
      </c>
      <c r="I3451" s="1" t="s">
        <v>19</v>
      </c>
      <c r="J3451" s="1" t="s">
        <v>6</v>
      </c>
      <c r="K3451" s="1" t="s">
        <v>24</v>
      </c>
      <c r="L3451" s="1">
        <v>1822112</v>
      </c>
      <c r="M3451" s="2">
        <v>42927</v>
      </c>
      <c r="N3451" s="1" t="s">
        <v>8</v>
      </c>
      <c r="O3451" s="2">
        <v>44023</v>
      </c>
    </row>
    <row r="3452" spans="1:15" ht="28.8" x14ac:dyDescent="0.3">
      <c r="A3452" s="1" t="s">
        <v>9750</v>
      </c>
      <c r="B3452" s="1" t="str">
        <f>"Roger Jones &amp; Sons"</f>
        <v>Roger Jones &amp; Sons</v>
      </c>
      <c r="C3452" s="1" t="s">
        <v>9751</v>
      </c>
      <c r="D3452" s="1" t="s">
        <v>1676</v>
      </c>
      <c r="F3452" s="1" t="s">
        <v>1341</v>
      </c>
      <c r="H3452" s="1" t="s">
        <v>9752</v>
      </c>
      <c r="I3452" s="1" t="s">
        <v>125</v>
      </c>
      <c r="J3452" s="1" t="s">
        <v>6</v>
      </c>
      <c r="K3452" s="1" t="s">
        <v>24</v>
      </c>
      <c r="M3452" s="2">
        <v>42927</v>
      </c>
      <c r="N3452" s="1" t="s">
        <v>8</v>
      </c>
      <c r="O3452" s="2">
        <v>44023</v>
      </c>
    </row>
    <row r="3453" spans="1:15" ht="43.2" x14ac:dyDescent="0.3">
      <c r="A3453" s="1" t="s">
        <v>9753</v>
      </c>
      <c r="B3453" s="1" t="str">
        <f>"WILLIAMS CARPENTRY &amp; BUILDING CONTRACTORS LTD"</f>
        <v>WILLIAMS CARPENTRY &amp; BUILDING CONTRACTORS LTD</v>
      </c>
      <c r="C3453" s="1" t="s">
        <v>9754</v>
      </c>
      <c r="F3453" s="1" t="s">
        <v>6400</v>
      </c>
      <c r="H3453" s="1" t="s">
        <v>9755</v>
      </c>
      <c r="I3453" s="1" t="s">
        <v>19</v>
      </c>
      <c r="J3453" s="1" t="s">
        <v>6</v>
      </c>
      <c r="K3453" s="1" t="s">
        <v>24</v>
      </c>
      <c r="L3453" s="1">
        <v>6372314</v>
      </c>
      <c r="M3453" s="2">
        <v>42927</v>
      </c>
      <c r="N3453" s="1" t="s">
        <v>8</v>
      </c>
      <c r="O3453" s="2">
        <v>44023</v>
      </c>
    </row>
    <row r="3454" spans="1:15" ht="28.8" x14ac:dyDescent="0.3">
      <c r="A3454" s="1" t="s">
        <v>9756</v>
      </c>
      <c r="B3454" s="1" t="str">
        <f>"j a jones"</f>
        <v>j a jones</v>
      </c>
      <c r="C3454" s="1" t="s">
        <v>9757</v>
      </c>
      <c r="F3454" s="1" t="s">
        <v>665</v>
      </c>
      <c r="H3454" s="1" t="s">
        <v>9758</v>
      </c>
      <c r="I3454" s="1" t="s">
        <v>125</v>
      </c>
      <c r="J3454" s="1" t="s">
        <v>6</v>
      </c>
      <c r="K3454" s="1" t="s">
        <v>34</v>
      </c>
      <c r="M3454" s="2">
        <v>42927</v>
      </c>
      <c r="N3454" s="1" t="s">
        <v>8</v>
      </c>
      <c r="O3454" s="2">
        <v>44023</v>
      </c>
    </row>
    <row r="3455" spans="1:15" ht="43.2" x14ac:dyDescent="0.3">
      <c r="A3455" s="1" t="s">
        <v>9759</v>
      </c>
      <c r="B3455" s="1" t="str">
        <f>"MONOLITHIC ENVIRONMENTAL SERVICES LTD"</f>
        <v>MONOLITHIC ENVIRONMENTAL SERVICES LTD</v>
      </c>
      <c r="C3455" s="1" t="s">
        <v>9760</v>
      </c>
      <c r="D3455" s="1" t="s">
        <v>5169</v>
      </c>
      <c r="F3455" s="1" t="s">
        <v>32</v>
      </c>
      <c r="H3455" s="1" t="s">
        <v>9761</v>
      </c>
      <c r="I3455" s="1" t="s">
        <v>19</v>
      </c>
      <c r="J3455" s="1" t="s">
        <v>6</v>
      </c>
      <c r="K3455" s="1" t="s">
        <v>34</v>
      </c>
      <c r="L3455" s="1">
        <v>5190510</v>
      </c>
      <c r="M3455" s="2">
        <v>42927</v>
      </c>
      <c r="N3455" s="1" t="s">
        <v>8</v>
      </c>
      <c r="O3455" s="2">
        <v>44023</v>
      </c>
    </row>
    <row r="3456" spans="1:15" ht="28.8" x14ac:dyDescent="0.3">
      <c r="A3456" s="1" t="s">
        <v>22386</v>
      </c>
      <c r="B3456" s="1" t="str">
        <f>"Alan Townsend Townsend (Stonework)"</f>
        <v>Alan Townsend Townsend (Stonework)</v>
      </c>
      <c r="C3456" s="1" t="s">
        <v>22387</v>
      </c>
      <c r="D3456" s="1" t="s">
        <v>22388</v>
      </c>
      <c r="F3456" s="1" t="s">
        <v>243</v>
      </c>
      <c r="H3456" s="1" t="s">
        <v>22389</v>
      </c>
      <c r="I3456" s="1" t="s">
        <v>5</v>
      </c>
      <c r="J3456" s="1" t="s">
        <v>6</v>
      </c>
      <c r="K3456" s="1" t="s">
        <v>24</v>
      </c>
      <c r="M3456" s="2">
        <v>42927</v>
      </c>
      <c r="N3456" s="1" t="s">
        <v>8</v>
      </c>
      <c r="O3456" s="2">
        <v>44023</v>
      </c>
    </row>
    <row r="3457" spans="1:15" ht="28.8" x14ac:dyDescent="0.3">
      <c r="A3457" s="1" t="s">
        <v>22390</v>
      </c>
      <c r="B3457" s="1" t="str">
        <f>"Terry Howells Terry's Gardening Services"</f>
        <v>Terry Howells Terry's Gardening Services</v>
      </c>
      <c r="C3457" s="1" t="s">
        <v>22391</v>
      </c>
      <c r="F3457" s="1" t="s">
        <v>179</v>
      </c>
      <c r="H3457" s="1" t="s">
        <v>22392</v>
      </c>
      <c r="I3457" s="1" t="s">
        <v>5</v>
      </c>
      <c r="J3457" s="1" t="s">
        <v>6</v>
      </c>
      <c r="K3457" s="1" t="s">
        <v>24</v>
      </c>
      <c r="M3457" s="2">
        <v>42927</v>
      </c>
      <c r="N3457" s="1" t="s">
        <v>8</v>
      </c>
      <c r="O3457" s="2">
        <v>44023</v>
      </c>
    </row>
    <row r="3458" spans="1:15" ht="28.8" x14ac:dyDescent="0.3">
      <c r="A3458" s="1" t="s">
        <v>22393</v>
      </c>
      <c r="B3458" s="1" t="str">
        <f>"vaughan roberts V L Roberts"</f>
        <v>vaughan roberts V L Roberts</v>
      </c>
      <c r="C3458" s="1" t="s">
        <v>22394</v>
      </c>
      <c r="F3458" s="1" t="s">
        <v>156</v>
      </c>
      <c r="H3458" s="1" t="s">
        <v>22395</v>
      </c>
      <c r="I3458" s="1" t="s">
        <v>5</v>
      </c>
      <c r="J3458" s="1" t="s">
        <v>6</v>
      </c>
      <c r="K3458" s="1" t="s">
        <v>24</v>
      </c>
      <c r="M3458" s="2">
        <v>42927</v>
      </c>
      <c r="N3458" s="1" t="s">
        <v>8</v>
      </c>
      <c r="O3458" s="2">
        <v>44023</v>
      </c>
    </row>
    <row r="3459" spans="1:15" ht="28.8" x14ac:dyDescent="0.3">
      <c r="A3459" s="1" t="s">
        <v>22396</v>
      </c>
      <c r="B3459" s="1" t="str">
        <f>"Richard Thomas Jmr gardening services"</f>
        <v>Richard Thomas Jmr gardening services</v>
      </c>
      <c r="C3459" s="1" t="s">
        <v>22397</v>
      </c>
      <c r="F3459" s="1" t="s">
        <v>156</v>
      </c>
      <c r="H3459" s="1" t="s">
        <v>22398</v>
      </c>
      <c r="I3459" s="1" t="s">
        <v>5</v>
      </c>
      <c r="J3459" s="1" t="s">
        <v>6</v>
      </c>
      <c r="K3459" s="1" t="s">
        <v>34</v>
      </c>
      <c r="M3459" s="2">
        <v>42927</v>
      </c>
      <c r="N3459" s="1" t="s">
        <v>8</v>
      </c>
      <c r="O3459" s="2">
        <v>44023</v>
      </c>
    </row>
    <row r="3460" spans="1:15" ht="43.2" x14ac:dyDescent="0.3">
      <c r="A3460" s="1" t="s">
        <v>22399</v>
      </c>
      <c r="B3460" s="1" t="str">
        <f>"david jones"</f>
        <v>david jones</v>
      </c>
      <c r="C3460" s="1" t="s">
        <v>22400</v>
      </c>
      <c r="F3460" s="1" t="s">
        <v>18640</v>
      </c>
      <c r="H3460" s="1" t="s">
        <v>22401</v>
      </c>
      <c r="I3460" s="1" t="s">
        <v>5</v>
      </c>
      <c r="J3460" s="1" t="s">
        <v>67</v>
      </c>
      <c r="K3460" s="1" t="s">
        <v>14</v>
      </c>
      <c r="M3460" s="2">
        <v>42927</v>
      </c>
      <c r="N3460" s="1" t="s">
        <v>8</v>
      </c>
      <c r="O3460" s="1" t="s">
        <v>68</v>
      </c>
    </row>
    <row r="3461" spans="1:15" ht="28.8" x14ac:dyDescent="0.3">
      <c r="A3461" s="1" t="s">
        <v>23086</v>
      </c>
      <c r="B3461" s="1" t="str">
        <f>"Don DeAbreu DD Windows Cardiff"</f>
        <v>Don DeAbreu DD Windows Cardiff</v>
      </c>
      <c r="C3461" s="1" t="s">
        <v>23087</v>
      </c>
      <c r="F3461" s="1" t="s">
        <v>123</v>
      </c>
      <c r="H3461" s="1" t="s">
        <v>23088</v>
      </c>
      <c r="I3461" s="1" t="s">
        <v>5</v>
      </c>
      <c r="J3461" s="1" t="s">
        <v>6</v>
      </c>
      <c r="K3461" s="1" t="s">
        <v>24</v>
      </c>
      <c r="M3461" s="2">
        <v>42927</v>
      </c>
      <c r="N3461" s="1" t="s">
        <v>8</v>
      </c>
      <c r="O3461" s="2">
        <v>44023</v>
      </c>
    </row>
    <row r="3462" spans="1:15" x14ac:dyDescent="0.3">
      <c r="A3462" s="1" t="s">
        <v>8554</v>
      </c>
      <c r="B3462" s="1" t="str">
        <f>"Purchase Direct Ltd"</f>
        <v>Purchase Direct Ltd</v>
      </c>
      <c r="C3462" s="1" t="s">
        <v>8555</v>
      </c>
      <c r="D3462" s="1" t="s">
        <v>8556</v>
      </c>
      <c r="F3462" s="1" t="s">
        <v>8557</v>
      </c>
      <c r="H3462" s="1" t="s">
        <v>8558</v>
      </c>
      <c r="I3462" s="1" t="s">
        <v>19</v>
      </c>
      <c r="J3462" s="1" t="s">
        <v>6</v>
      </c>
      <c r="K3462" s="1" t="s">
        <v>1859</v>
      </c>
      <c r="L3462" s="1">
        <v>3090591</v>
      </c>
      <c r="M3462" s="2">
        <v>42926</v>
      </c>
      <c r="N3462" s="1" t="s">
        <v>8</v>
      </c>
      <c r="O3462" s="2">
        <v>44022</v>
      </c>
    </row>
    <row r="3463" spans="1:15" ht="28.8" x14ac:dyDescent="0.3">
      <c r="A3463" s="1" t="s">
        <v>8559</v>
      </c>
      <c r="B3463" s="1" t="str">
        <f>"CW Facilities Management"</f>
        <v>CW Facilities Management</v>
      </c>
      <c r="C3463" s="1" t="s">
        <v>8560</v>
      </c>
      <c r="D3463" s="1" t="s">
        <v>1329</v>
      </c>
      <c r="F3463" s="1" t="s">
        <v>706</v>
      </c>
      <c r="H3463" s="1" t="s">
        <v>966</v>
      </c>
      <c r="I3463" s="1" t="s">
        <v>125</v>
      </c>
      <c r="J3463" s="1" t="s">
        <v>6</v>
      </c>
      <c r="K3463" s="1" t="s">
        <v>24</v>
      </c>
      <c r="M3463" s="2">
        <v>42926</v>
      </c>
      <c r="N3463" s="1" t="s">
        <v>8</v>
      </c>
      <c r="O3463" s="2">
        <v>44022</v>
      </c>
    </row>
    <row r="3464" spans="1:15" ht="43.2" x14ac:dyDescent="0.3">
      <c r="A3464" s="1" t="s">
        <v>8561</v>
      </c>
      <c r="B3464" s="1" t="str">
        <f>"Grawen Arms"</f>
        <v>Grawen Arms</v>
      </c>
      <c r="C3464" s="1" t="s">
        <v>8562</v>
      </c>
      <c r="F3464" s="1" t="s">
        <v>556</v>
      </c>
      <c r="H3464" s="1" t="s">
        <v>8563</v>
      </c>
      <c r="I3464" s="1" t="s">
        <v>125</v>
      </c>
      <c r="J3464" s="1" t="s">
        <v>67</v>
      </c>
      <c r="K3464" s="1" t="s">
        <v>14</v>
      </c>
      <c r="M3464" s="2">
        <v>42926</v>
      </c>
      <c r="N3464" s="1" t="s">
        <v>8</v>
      </c>
      <c r="O3464" s="1" t="s">
        <v>68</v>
      </c>
    </row>
    <row r="3465" spans="1:15" ht="28.8" x14ac:dyDescent="0.3">
      <c r="A3465" s="1" t="s">
        <v>8564</v>
      </c>
      <c r="B3465" s="1" t="str">
        <f>"Knightmovers Removal &amp; Storage Ltd"</f>
        <v>Knightmovers Removal &amp; Storage Ltd</v>
      </c>
      <c r="C3465" s="1" t="s">
        <v>3468</v>
      </c>
      <c r="F3465" s="1" t="s">
        <v>2030</v>
      </c>
      <c r="H3465" s="1" t="s">
        <v>8565</v>
      </c>
      <c r="I3465" s="1" t="s">
        <v>19</v>
      </c>
      <c r="J3465" s="1" t="s">
        <v>6</v>
      </c>
      <c r="K3465" s="1" t="s">
        <v>24</v>
      </c>
      <c r="L3465" s="1">
        <v>7794968</v>
      </c>
      <c r="M3465" s="2">
        <v>42926</v>
      </c>
      <c r="N3465" s="1" t="s">
        <v>8</v>
      </c>
      <c r="O3465" s="2">
        <v>44047</v>
      </c>
    </row>
    <row r="3466" spans="1:15" ht="28.8" x14ac:dyDescent="0.3">
      <c r="A3466" s="1" t="s">
        <v>8566</v>
      </c>
      <c r="B3466" s="1" t="str">
        <f>"Advanced Hydration Technology Limit"</f>
        <v>Advanced Hydration Technology Limit</v>
      </c>
      <c r="C3466" s="1" t="s">
        <v>8567</v>
      </c>
      <c r="D3466" s="1" t="s">
        <v>7427</v>
      </c>
      <c r="F3466" s="1" t="s">
        <v>22</v>
      </c>
      <c r="H3466" s="1" t="s">
        <v>8568</v>
      </c>
      <c r="I3466" s="1" t="s">
        <v>19</v>
      </c>
      <c r="J3466" s="1" t="s">
        <v>6</v>
      </c>
      <c r="K3466" s="1" t="s">
        <v>34</v>
      </c>
      <c r="L3466" s="1">
        <v>10469483</v>
      </c>
      <c r="M3466" s="2">
        <v>42926</v>
      </c>
      <c r="N3466" s="1" t="s">
        <v>8</v>
      </c>
      <c r="O3466" s="2">
        <v>44022</v>
      </c>
    </row>
    <row r="3467" spans="1:15" ht="28.8" x14ac:dyDescent="0.3">
      <c r="A3467" s="1" t="s">
        <v>8569</v>
      </c>
      <c r="B3467" s="1" t="str">
        <f>"PJ &amp; AM Alexander"</f>
        <v>PJ &amp; AM Alexander</v>
      </c>
      <c r="C3467" s="1" t="s">
        <v>8570</v>
      </c>
      <c r="F3467" s="1" t="s">
        <v>64</v>
      </c>
      <c r="H3467" s="1" t="s">
        <v>8571</v>
      </c>
      <c r="I3467" s="1" t="s">
        <v>125</v>
      </c>
      <c r="J3467" s="1" t="s">
        <v>6</v>
      </c>
      <c r="K3467" s="1" t="s">
        <v>34</v>
      </c>
      <c r="M3467" s="2">
        <v>42926</v>
      </c>
      <c r="N3467" s="1" t="s">
        <v>8</v>
      </c>
      <c r="O3467" s="2">
        <v>44022</v>
      </c>
    </row>
    <row r="3468" spans="1:15" ht="28.8" x14ac:dyDescent="0.3">
      <c r="A3468" s="1" t="s">
        <v>8572</v>
      </c>
      <c r="B3468" s="1" t="str">
        <f>"Oakhome Construction "</f>
        <v xml:space="preserve">Oakhome Construction </v>
      </c>
      <c r="C3468" s="1" t="s">
        <v>8573</v>
      </c>
      <c r="F3468" s="1" t="s">
        <v>476</v>
      </c>
      <c r="H3468" s="1" t="s">
        <v>8574</v>
      </c>
      <c r="I3468" s="1" t="s">
        <v>19</v>
      </c>
      <c r="J3468" s="1" t="s">
        <v>6</v>
      </c>
      <c r="K3468" s="1" t="s">
        <v>24</v>
      </c>
      <c r="L3468" s="1">
        <v>8929521</v>
      </c>
      <c r="M3468" s="2">
        <v>42926</v>
      </c>
      <c r="N3468" s="1" t="s">
        <v>8</v>
      </c>
      <c r="O3468" s="2">
        <v>44022</v>
      </c>
    </row>
    <row r="3469" spans="1:15" ht="28.8" x14ac:dyDescent="0.3">
      <c r="A3469" s="1" t="s">
        <v>8575</v>
      </c>
      <c r="B3469" s="1" t="str">
        <f>"Morgan specialised transport Ltd "</f>
        <v xml:space="preserve">Morgan specialised transport Ltd </v>
      </c>
      <c r="C3469" s="1" t="s">
        <v>8576</v>
      </c>
      <c r="F3469" s="1" t="s">
        <v>323</v>
      </c>
      <c r="H3469" s="1" t="s">
        <v>8577</v>
      </c>
      <c r="I3469" s="1" t="s">
        <v>19</v>
      </c>
      <c r="J3469" s="1" t="s">
        <v>6</v>
      </c>
      <c r="K3469" s="1" t="s">
        <v>24</v>
      </c>
      <c r="L3469" s="1">
        <v>8475921</v>
      </c>
      <c r="M3469" s="2">
        <v>42926</v>
      </c>
      <c r="N3469" s="1" t="s">
        <v>8</v>
      </c>
      <c r="O3469" s="2">
        <v>44022</v>
      </c>
    </row>
    <row r="3470" spans="1:15" ht="28.8" x14ac:dyDescent="0.3">
      <c r="A3470" s="1" t="s">
        <v>8578</v>
      </c>
      <c r="B3470" s="1" t="str">
        <f>"M Hughes &amp; Son Ltd"</f>
        <v>M Hughes &amp; Son Ltd</v>
      </c>
      <c r="C3470" s="1" t="s">
        <v>8579</v>
      </c>
      <c r="D3470" s="1" t="s">
        <v>1336</v>
      </c>
      <c r="F3470" s="1" t="s">
        <v>1321</v>
      </c>
      <c r="H3470" s="1" t="s">
        <v>8580</v>
      </c>
      <c r="I3470" s="1" t="s">
        <v>19</v>
      </c>
      <c r="J3470" s="1" t="s">
        <v>6</v>
      </c>
      <c r="K3470" s="1" t="s">
        <v>24</v>
      </c>
      <c r="L3470" s="1">
        <v>9165619</v>
      </c>
      <c r="M3470" s="2">
        <v>42926</v>
      </c>
      <c r="N3470" s="1" t="s">
        <v>8</v>
      </c>
      <c r="O3470" s="2">
        <v>44022</v>
      </c>
    </row>
    <row r="3471" spans="1:15" ht="43.2" x14ac:dyDescent="0.3">
      <c r="A3471" s="1" t="s">
        <v>22371</v>
      </c>
      <c r="B3471" s="1" t="str">
        <f>"kathleen seagrave"</f>
        <v>kathleen seagrave</v>
      </c>
      <c r="C3471" s="1" t="s">
        <v>22372</v>
      </c>
      <c r="F3471" s="1" t="s">
        <v>42</v>
      </c>
      <c r="H3471" s="1" t="s">
        <v>22373</v>
      </c>
      <c r="I3471" s="1" t="s">
        <v>5</v>
      </c>
      <c r="J3471" s="1" t="s">
        <v>67</v>
      </c>
      <c r="K3471" s="1" t="s">
        <v>14</v>
      </c>
      <c r="M3471" s="2">
        <v>42926</v>
      </c>
      <c r="N3471" s="1" t="s">
        <v>8</v>
      </c>
      <c r="O3471" s="1" t="s">
        <v>68</v>
      </c>
    </row>
    <row r="3472" spans="1:15" ht="43.2" x14ac:dyDescent="0.3">
      <c r="A3472" s="1" t="s">
        <v>22374</v>
      </c>
      <c r="B3472" s="1" t="str">
        <f>"andrew hooper man and a van and garden services"</f>
        <v>andrew hooper man and a van and garden services</v>
      </c>
      <c r="C3472" s="1" t="s">
        <v>22375</v>
      </c>
      <c r="F3472" s="1" t="s">
        <v>665</v>
      </c>
      <c r="H3472" s="1" t="s">
        <v>22376</v>
      </c>
      <c r="I3472" s="1" t="s">
        <v>5</v>
      </c>
      <c r="J3472" s="1" t="s">
        <v>6</v>
      </c>
      <c r="K3472" s="1" t="s">
        <v>24</v>
      </c>
      <c r="M3472" s="2">
        <v>42926</v>
      </c>
      <c r="N3472" s="1" t="s">
        <v>8</v>
      </c>
      <c r="O3472" s="2">
        <v>44022</v>
      </c>
    </row>
    <row r="3473" spans="1:15" ht="28.8" x14ac:dyDescent="0.3">
      <c r="A3473" s="1" t="s">
        <v>22377</v>
      </c>
      <c r="B3473" s="1" t="str">
        <f>"phillip mark henwood pmhenwood"</f>
        <v>phillip mark henwood pmhenwood</v>
      </c>
      <c r="C3473" s="1" t="s">
        <v>22378</v>
      </c>
      <c r="F3473" s="1" t="s">
        <v>64</v>
      </c>
      <c r="H3473" s="1" t="s">
        <v>22379</v>
      </c>
      <c r="I3473" s="1" t="s">
        <v>5</v>
      </c>
      <c r="J3473" s="1" t="s">
        <v>6</v>
      </c>
      <c r="K3473" s="1" t="s">
        <v>24</v>
      </c>
      <c r="M3473" s="2">
        <v>42926</v>
      </c>
      <c r="N3473" s="1" t="s">
        <v>8</v>
      </c>
      <c r="O3473" s="2">
        <v>44022</v>
      </c>
    </row>
    <row r="3474" spans="1:15" ht="28.8" x14ac:dyDescent="0.3">
      <c r="A3474" s="1" t="s">
        <v>22380</v>
      </c>
      <c r="B3474" s="1" t="str">
        <f>"Peter Austin Morgan Rhys Roberts"</f>
        <v>Peter Austin Morgan Rhys Roberts</v>
      </c>
      <c r="C3474" s="1" t="s">
        <v>22381</v>
      </c>
      <c r="F3474" s="1" t="s">
        <v>476</v>
      </c>
      <c r="H3474" s="1" t="s">
        <v>22382</v>
      </c>
      <c r="I3474" s="1" t="s">
        <v>5</v>
      </c>
      <c r="J3474" s="1" t="s">
        <v>6</v>
      </c>
      <c r="K3474" s="1" t="s">
        <v>34</v>
      </c>
      <c r="M3474" s="2">
        <v>42926</v>
      </c>
      <c r="N3474" s="1" t="s">
        <v>8</v>
      </c>
      <c r="O3474" s="2">
        <v>44022</v>
      </c>
    </row>
    <row r="3475" spans="1:15" ht="57.6" x14ac:dyDescent="0.3">
      <c r="A3475" s="1" t="s">
        <v>22383</v>
      </c>
      <c r="B3475" s="1" t="str">
        <f>"carl righton C R BUILDING &amp; MAINTENANCE SERVICES"</f>
        <v>carl righton C R BUILDING &amp; MAINTENANCE SERVICES</v>
      </c>
      <c r="C3475" s="1" t="s">
        <v>22384</v>
      </c>
      <c r="F3475" s="1" t="s">
        <v>665</v>
      </c>
      <c r="H3475" s="1" t="s">
        <v>22385</v>
      </c>
      <c r="I3475" s="1" t="s">
        <v>5</v>
      </c>
      <c r="J3475" s="1" t="s">
        <v>6</v>
      </c>
      <c r="K3475" s="1" t="s">
        <v>34</v>
      </c>
      <c r="M3475" s="2">
        <v>42926</v>
      </c>
      <c r="N3475" s="1" t="s">
        <v>8</v>
      </c>
      <c r="O3475" s="2">
        <v>44022</v>
      </c>
    </row>
    <row r="3476" spans="1:15" ht="43.2" x14ac:dyDescent="0.3">
      <c r="A3476" s="1" t="s">
        <v>8550</v>
      </c>
      <c r="B3476" s="1" t="str">
        <f>"andrew kay"</f>
        <v>andrew kay</v>
      </c>
      <c r="C3476" s="1" t="s">
        <v>8551</v>
      </c>
      <c r="D3476" s="1" t="s">
        <v>8552</v>
      </c>
      <c r="F3476" s="1" t="s">
        <v>5145</v>
      </c>
      <c r="H3476" s="1" t="s">
        <v>8553</v>
      </c>
      <c r="I3476" s="1" t="s">
        <v>188</v>
      </c>
      <c r="J3476" s="1" t="s">
        <v>67</v>
      </c>
      <c r="K3476" s="1" t="s">
        <v>14</v>
      </c>
      <c r="M3476" s="2">
        <v>42925</v>
      </c>
      <c r="N3476" s="1" t="s">
        <v>8</v>
      </c>
      <c r="O3476" s="1" t="s">
        <v>68</v>
      </c>
    </row>
    <row r="3477" spans="1:15" ht="28.8" x14ac:dyDescent="0.3">
      <c r="A3477" s="1" t="s">
        <v>22368</v>
      </c>
      <c r="B3477" s="1" t="str">
        <f>"emyr isaac Isaac waste management"</f>
        <v>emyr isaac Isaac waste management</v>
      </c>
      <c r="C3477" s="1" t="s">
        <v>22369</v>
      </c>
      <c r="F3477" s="1" t="s">
        <v>4867</v>
      </c>
      <c r="H3477" s="1" t="s">
        <v>22370</v>
      </c>
      <c r="I3477" s="1" t="s">
        <v>5</v>
      </c>
      <c r="J3477" s="1" t="s">
        <v>6</v>
      </c>
      <c r="K3477" s="1" t="s">
        <v>24</v>
      </c>
      <c r="M3477" s="2">
        <v>42925</v>
      </c>
      <c r="N3477" s="1" t="s">
        <v>8</v>
      </c>
      <c r="O3477" s="2">
        <v>44021</v>
      </c>
    </row>
    <row r="3478" spans="1:15" ht="28.8" x14ac:dyDescent="0.3">
      <c r="A3478" s="1" t="s">
        <v>21560</v>
      </c>
      <c r="B3478" s="1" t="str">
        <f>"Peter Lyn Davies"</f>
        <v>Peter Lyn Davies</v>
      </c>
      <c r="C3478" s="1" t="s">
        <v>21561</v>
      </c>
      <c r="F3478" s="1" t="s">
        <v>1021</v>
      </c>
      <c r="H3478" s="1" t="s">
        <v>21562</v>
      </c>
      <c r="I3478" s="1" t="s">
        <v>5</v>
      </c>
      <c r="J3478" s="1" t="s">
        <v>6</v>
      </c>
      <c r="K3478" s="1" t="s">
        <v>24</v>
      </c>
      <c r="M3478" s="2">
        <v>42924</v>
      </c>
      <c r="N3478" s="1" t="s">
        <v>8</v>
      </c>
      <c r="O3478" s="2">
        <v>44020</v>
      </c>
    </row>
    <row r="3479" spans="1:15" ht="28.8" x14ac:dyDescent="0.3">
      <c r="A3479" s="1" t="s">
        <v>7429</v>
      </c>
      <c r="B3479" s="1" t="str">
        <f>"LH Jones &amp; Co LTD"</f>
        <v>LH Jones &amp; Co LTD</v>
      </c>
      <c r="C3479" s="1" t="s">
        <v>7430</v>
      </c>
      <c r="F3479" s="1" t="s">
        <v>1206</v>
      </c>
      <c r="H3479" s="1" t="s">
        <v>7431</v>
      </c>
      <c r="I3479" s="1" t="s">
        <v>19</v>
      </c>
      <c r="J3479" s="1" t="s">
        <v>6</v>
      </c>
      <c r="K3479" s="1" t="s">
        <v>24</v>
      </c>
      <c r="L3479" s="1">
        <v>9797238</v>
      </c>
      <c r="M3479" s="2">
        <v>42923</v>
      </c>
      <c r="N3479" s="1" t="s">
        <v>8</v>
      </c>
      <c r="O3479" s="2">
        <v>44019</v>
      </c>
    </row>
    <row r="3480" spans="1:15" ht="43.2" x14ac:dyDescent="0.3">
      <c r="A3480" s="1" t="s">
        <v>7432</v>
      </c>
      <c r="B3480" s="1" t="str">
        <f>"newhope"</f>
        <v>newhope</v>
      </c>
      <c r="C3480" s="1" t="s">
        <v>7433</v>
      </c>
      <c r="F3480" s="1" t="s">
        <v>7434</v>
      </c>
      <c r="H3480" s="1" t="s">
        <v>7435</v>
      </c>
      <c r="I3480" s="1" t="s">
        <v>1872</v>
      </c>
      <c r="J3480" s="1" t="s">
        <v>67</v>
      </c>
      <c r="K3480" s="1" t="s">
        <v>14</v>
      </c>
      <c r="M3480" s="2">
        <v>42923</v>
      </c>
      <c r="N3480" s="1" t="s">
        <v>8</v>
      </c>
      <c r="O3480" s="1" t="s">
        <v>68</v>
      </c>
    </row>
    <row r="3481" spans="1:15" ht="28.8" x14ac:dyDescent="0.3">
      <c r="A3481" s="1" t="s">
        <v>21555</v>
      </c>
      <c r="B3481" s="1" t="str">
        <f>"Ian john pugh jones"</f>
        <v>Ian john pugh jones</v>
      </c>
      <c r="C3481" s="1" t="s">
        <v>21556</v>
      </c>
      <c r="D3481" s="1" t="s">
        <v>2652</v>
      </c>
      <c r="F3481" s="1" t="s">
        <v>374</v>
      </c>
      <c r="H3481" s="1" t="s">
        <v>21557</v>
      </c>
      <c r="I3481" s="1" t="s">
        <v>5</v>
      </c>
      <c r="J3481" s="1" t="s">
        <v>6</v>
      </c>
      <c r="K3481" s="1" t="s">
        <v>24</v>
      </c>
      <c r="M3481" s="2">
        <v>42923</v>
      </c>
      <c r="N3481" s="1" t="s">
        <v>8</v>
      </c>
      <c r="O3481" s="2">
        <v>44019</v>
      </c>
    </row>
    <row r="3482" spans="1:15" x14ac:dyDescent="0.3">
      <c r="A3482" s="1" t="s">
        <v>21558</v>
      </c>
      <c r="B3482" s="1" t="str">
        <f>"Griffith John Phillips"</f>
        <v>Griffith John Phillips</v>
      </c>
      <c r="C3482" s="1" t="s">
        <v>21559</v>
      </c>
      <c r="F3482" s="1" t="s">
        <v>64</v>
      </c>
      <c r="H3482" s="1" t="s">
        <v>19629</v>
      </c>
      <c r="I3482" s="1" t="s">
        <v>5</v>
      </c>
      <c r="J3482" s="1" t="s">
        <v>6</v>
      </c>
      <c r="K3482" s="1" t="s">
        <v>24</v>
      </c>
      <c r="M3482" s="2">
        <v>42923</v>
      </c>
      <c r="N3482" s="1" t="s">
        <v>8</v>
      </c>
      <c r="O3482" s="2">
        <v>44019</v>
      </c>
    </row>
    <row r="3483" spans="1:15" ht="28.8" x14ac:dyDescent="0.3">
      <c r="A3483" s="1" t="s">
        <v>7404</v>
      </c>
      <c r="B3483" s="1" t="str">
        <f>"Wales &amp; West Utilities Ltd."</f>
        <v>Wales &amp; West Utilities Ltd.</v>
      </c>
      <c r="C3483" s="1" t="s">
        <v>7405</v>
      </c>
      <c r="D3483" s="1" t="s">
        <v>7406</v>
      </c>
      <c r="F3483" s="1" t="s">
        <v>156</v>
      </c>
      <c r="H3483" s="1" t="s">
        <v>7407</v>
      </c>
      <c r="I3483" s="1" t="s">
        <v>19</v>
      </c>
      <c r="J3483" s="1" t="s">
        <v>6</v>
      </c>
      <c r="K3483" s="1" t="s">
        <v>34</v>
      </c>
      <c r="L3483" s="1">
        <v>5046791</v>
      </c>
      <c r="M3483" s="2">
        <v>42922</v>
      </c>
      <c r="N3483" s="1" t="s">
        <v>8</v>
      </c>
      <c r="O3483" s="2">
        <v>44018</v>
      </c>
    </row>
    <row r="3484" spans="1:15" ht="28.8" x14ac:dyDescent="0.3">
      <c r="A3484" s="1" t="s">
        <v>7408</v>
      </c>
      <c r="B3484" s="1" t="str">
        <f>"Total Truck Exports &amp; Recovery Ltd"</f>
        <v>Total Truck Exports &amp; Recovery Ltd</v>
      </c>
      <c r="C3484" s="1" t="s">
        <v>7409</v>
      </c>
      <c r="D3484" s="1" t="s">
        <v>6825</v>
      </c>
      <c r="F3484" s="1" t="s">
        <v>7410</v>
      </c>
      <c r="H3484" s="1" t="s">
        <v>7411</v>
      </c>
      <c r="I3484" s="1" t="s">
        <v>19</v>
      </c>
      <c r="J3484" s="1" t="s">
        <v>6</v>
      </c>
      <c r="K3484" s="1" t="s">
        <v>34</v>
      </c>
      <c r="L3484" s="1">
        <v>10646532</v>
      </c>
      <c r="M3484" s="2">
        <v>42922</v>
      </c>
      <c r="N3484" s="1" t="s">
        <v>8</v>
      </c>
      <c r="O3484" s="2">
        <v>44018</v>
      </c>
    </row>
    <row r="3485" spans="1:15" ht="28.8" x14ac:dyDescent="0.3">
      <c r="A3485" s="1" t="s">
        <v>7412</v>
      </c>
      <c r="B3485" s="1" t="str">
        <f>"UBE Service"</f>
        <v>UBE Service</v>
      </c>
      <c r="C3485" s="1" t="s">
        <v>7413</v>
      </c>
      <c r="F3485" s="1" t="s">
        <v>2961</v>
      </c>
      <c r="H3485" s="1" t="s">
        <v>5488</v>
      </c>
      <c r="I3485" s="1" t="s">
        <v>125</v>
      </c>
      <c r="J3485" s="1" t="s">
        <v>6</v>
      </c>
      <c r="K3485" s="1" t="s">
        <v>34</v>
      </c>
      <c r="M3485" s="2">
        <v>42922</v>
      </c>
      <c r="N3485" s="1" t="s">
        <v>8</v>
      </c>
      <c r="O3485" s="2">
        <v>44018</v>
      </c>
    </row>
    <row r="3486" spans="1:15" ht="57.6" x14ac:dyDescent="0.3">
      <c r="A3486" s="1" t="s">
        <v>7414</v>
      </c>
      <c r="B3486" s="1" t="str">
        <f>"Property Environmental Maintenance and Building Services Ltd"</f>
        <v>Property Environmental Maintenance and Building Services Ltd</v>
      </c>
      <c r="C3486" s="1" t="s">
        <v>7415</v>
      </c>
      <c r="F3486" s="1" t="s">
        <v>1776</v>
      </c>
      <c r="H3486" s="1" t="s">
        <v>7416</v>
      </c>
      <c r="I3486" s="1" t="s">
        <v>19</v>
      </c>
      <c r="J3486" s="1" t="s">
        <v>6</v>
      </c>
      <c r="K3486" s="1" t="s">
        <v>24</v>
      </c>
      <c r="L3486" s="1">
        <v>6710949</v>
      </c>
      <c r="M3486" s="2">
        <v>42922</v>
      </c>
      <c r="N3486" s="1" t="s">
        <v>8</v>
      </c>
      <c r="O3486" s="2">
        <v>44018</v>
      </c>
    </row>
    <row r="3487" spans="1:15" ht="28.8" x14ac:dyDescent="0.3">
      <c r="A3487" s="1" t="s">
        <v>7417</v>
      </c>
      <c r="B3487" s="1" t="str">
        <f>"Panda Electrical"</f>
        <v>Panda Electrical</v>
      </c>
      <c r="C3487" s="1" t="s">
        <v>7418</v>
      </c>
      <c r="F3487" s="1" t="s">
        <v>1093</v>
      </c>
      <c r="H3487" s="1" t="s">
        <v>7419</v>
      </c>
      <c r="I3487" s="1" t="s">
        <v>19</v>
      </c>
      <c r="J3487" s="1" t="s">
        <v>6</v>
      </c>
      <c r="K3487" s="1" t="s">
        <v>34</v>
      </c>
      <c r="L3487" s="1">
        <v>5623576</v>
      </c>
      <c r="M3487" s="2">
        <v>42922</v>
      </c>
      <c r="N3487" s="1" t="s">
        <v>8</v>
      </c>
      <c r="O3487" s="2">
        <v>44018</v>
      </c>
    </row>
    <row r="3488" spans="1:15" ht="43.2" x14ac:dyDescent="0.3">
      <c r="A3488" s="1" t="s">
        <v>7420</v>
      </c>
      <c r="B3488" s="1" t="str">
        <f>"MEE GLAZED PRODUCTS LIMITED"</f>
        <v>MEE GLAZED PRODUCTS LIMITED</v>
      </c>
      <c r="C3488" s="1" t="s">
        <v>7421</v>
      </c>
      <c r="D3488" s="1" t="s">
        <v>2825</v>
      </c>
      <c r="E3488" s="1" t="s">
        <v>500</v>
      </c>
      <c r="F3488" s="1" t="s">
        <v>123</v>
      </c>
      <c r="H3488" s="1" t="s">
        <v>4027</v>
      </c>
      <c r="I3488" s="1" t="s">
        <v>19</v>
      </c>
      <c r="J3488" s="1" t="s">
        <v>67</v>
      </c>
      <c r="K3488" s="1" t="s">
        <v>24</v>
      </c>
      <c r="L3488" s="1">
        <v>8881330</v>
      </c>
      <c r="M3488" s="2">
        <v>42922</v>
      </c>
      <c r="N3488" s="1" t="s">
        <v>8</v>
      </c>
      <c r="O3488" s="1" t="s">
        <v>68</v>
      </c>
    </row>
    <row r="3489" spans="1:15" x14ac:dyDescent="0.3">
      <c r="A3489" s="1" t="s">
        <v>7422</v>
      </c>
      <c r="B3489" s="1" t="str">
        <f>"Go Panda moves"</f>
        <v>Go Panda moves</v>
      </c>
      <c r="C3489" s="1" t="s">
        <v>7423</v>
      </c>
      <c r="F3489" s="1" t="s">
        <v>123</v>
      </c>
      <c r="H3489" s="1" t="s">
        <v>7424</v>
      </c>
      <c r="I3489" s="1" t="s">
        <v>19</v>
      </c>
      <c r="J3489" s="1" t="s">
        <v>6</v>
      </c>
      <c r="K3489" s="1" t="s">
        <v>24</v>
      </c>
      <c r="L3489" s="1">
        <v>9164853</v>
      </c>
      <c r="M3489" s="2">
        <v>42922</v>
      </c>
      <c r="N3489" s="1" t="s">
        <v>8</v>
      </c>
      <c r="O3489" s="2">
        <v>44018</v>
      </c>
    </row>
    <row r="3490" spans="1:15" ht="28.8" x14ac:dyDescent="0.3">
      <c r="A3490" s="1" t="s">
        <v>7425</v>
      </c>
      <c r="B3490" s="1" t="str">
        <f>"Impressive Creations Ltd"</f>
        <v>Impressive Creations Ltd</v>
      </c>
      <c r="C3490" s="1" t="s">
        <v>7426</v>
      </c>
      <c r="D3490" s="1" t="s">
        <v>7427</v>
      </c>
      <c r="F3490" s="1" t="s">
        <v>22</v>
      </c>
      <c r="H3490" s="1" t="s">
        <v>7428</v>
      </c>
      <c r="I3490" s="1" t="s">
        <v>19</v>
      </c>
      <c r="J3490" s="1" t="s">
        <v>6</v>
      </c>
      <c r="K3490" s="1" t="s">
        <v>24</v>
      </c>
      <c r="L3490" s="1">
        <v>7528501</v>
      </c>
      <c r="M3490" s="2">
        <v>42922</v>
      </c>
      <c r="N3490" s="1" t="s">
        <v>8</v>
      </c>
      <c r="O3490" s="2">
        <v>44018</v>
      </c>
    </row>
    <row r="3491" spans="1:15" ht="28.8" x14ac:dyDescent="0.3">
      <c r="A3491" s="1" t="s">
        <v>21543</v>
      </c>
      <c r="B3491" s="1" t="str">
        <f>"Alex Young Merlin Property Maintenance"</f>
        <v>Alex Young Merlin Property Maintenance</v>
      </c>
      <c r="C3491" s="1" t="s">
        <v>21544</v>
      </c>
      <c r="F3491" s="1" t="s">
        <v>56</v>
      </c>
      <c r="H3491" s="1" t="s">
        <v>21545</v>
      </c>
      <c r="I3491" s="1" t="s">
        <v>5</v>
      </c>
      <c r="J3491" s="1" t="s">
        <v>6</v>
      </c>
      <c r="K3491" s="1" t="s">
        <v>24</v>
      </c>
      <c r="M3491" s="2">
        <v>42922</v>
      </c>
      <c r="N3491" s="1" t="s">
        <v>8</v>
      </c>
      <c r="O3491" s="2">
        <v>44018</v>
      </c>
    </row>
    <row r="3492" spans="1:15" ht="28.8" x14ac:dyDescent="0.3">
      <c r="A3492" s="1" t="s">
        <v>21546</v>
      </c>
      <c r="B3492" s="1" t="str">
        <f>"kevin Fogarty John Fogarty &amp; Son"</f>
        <v>kevin Fogarty John Fogarty &amp; Son</v>
      </c>
      <c r="C3492" s="1" t="s">
        <v>21547</v>
      </c>
      <c r="F3492" s="1" t="s">
        <v>1479</v>
      </c>
      <c r="H3492" s="1" t="s">
        <v>21548</v>
      </c>
      <c r="I3492" s="1" t="s">
        <v>5</v>
      </c>
      <c r="J3492" s="1" t="s">
        <v>6</v>
      </c>
      <c r="K3492" s="1" t="s">
        <v>24</v>
      </c>
      <c r="M3492" s="2">
        <v>42922</v>
      </c>
      <c r="N3492" s="1" t="s">
        <v>8</v>
      </c>
      <c r="O3492" s="2">
        <v>44018</v>
      </c>
    </row>
    <row r="3493" spans="1:15" ht="43.2" x14ac:dyDescent="0.3">
      <c r="A3493" s="1" t="s">
        <v>21549</v>
      </c>
      <c r="B3493" s="1" t="str">
        <f>"Amanda George"</f>
        <v>Amanda George</v>
      </c>
      <c r="C3493" s="1" t="s">
        <v>21550</v>
      </c>
      <c r="F3493" s="1" t="s">
        <v>64</v>
      </c>
      <c r="H3493" s="1" t="s">
        <v>21551</v>
      </c>
      <c r="I3493" s="1" t="s">
        <v>5</v>
      </c>
      <c r="J3493" s="1" t="s">
        <v>67</v>
      </c>
      <c r="K3493" s="1" t="s">
        <v>14</v>
      </c>
      <c r="M3493" s="2">
        <v>42922</v>
      </c>
      <c r="N3493" s="1" t="s">
        <v>8</v>
      </c>
      <c r="O3493" s="1" t="s">
        <v>68</v>
      </c>
    </row>
    <row r="3494" spans="1:15" ht="28.8" x14ac:dyDescent="0.3">
      <c r="A3494" s="1" t="s">
        <v>21552</v>
      </c>
      <c r="B3494" s="1" t="str">
        <f>"Adam Wood Adam Wood Property Builder"</f>
        <v>Adam Wood Adam Wood Property Builder</v>
      </c>
      <c r="C3494" s="1" t="s">
        <v>21553</v>
      </c>
      <c r="F3494" s="1" t="s">
        <v>11562</v>
      </c>
      <c r="H3494" s="1" t="s">
        <v>21554</v>
      </c>
      <c r="I3494" s="1" t="s">
        <v>5</v>
      </c>
      <c r="J3494" s="1" t="s">
        <v>6</v>
      </c>
      <c r="K3494" s="1" t="s">
        <v>24</v>
      </c>
      <c r="M3494" s="2">
        <v>42922</v>
      </c>
      <c r="N3494" s="1" t="s">
        <v>8</v>
      </c>
      <c r="O3494" s="2">
        <v>44018</v>
      </c>
    </row>
    <row r="3495" spans="1:15" ht="43.2" x14ac:dyDescent="0.3">
      <c r="A3495" s="1" t="s">
        <v>5151</v>
      </c>
      <c r="B3495" s="1" t="str">
        <f>"N KHAN AWAL &amp; ASSOCIATES LIMITED"</f>
        <v>N KHAN AWAL &amp; ASSOCIATES LIMITED</v>
      </c>
      <c r="C3495" s="1" t="s">
        <v>5152</v>
      </c>
      <c r="F3495" s="1" t="s">
        <v>277</v>
      </c>
      <c r="H3495" s="1" t="s">
        <v>5153</v>
      </c>
      <c r="I3495" s="1" t="s">
        <v>19</v>
      </c>
      <c r="J3495" s="1" t="s">
        <v>67</v>
      </c>
      <c r="K3495" s="1" t="s">
        <v>14</v>
      </c>
      <c r="M3495" s="2">
        <v>42921</v>
      </c>
      <c r="N3495" s="1" t="s">
        <v>8</v>
      </c>
      <c r="O3495" s="1" t="s">
        <v>68</v>
      </c>
    </row>
    <row r="3496" spans="1:15" ht="28.8" x14ac:dyDescent="0.3">
      <c r="A3496" s="1" t="s">
        <v>5154</v>
      </c>
      <c r="B3496" s="1" t="str">
        <f>"SL Comms (Solutions) Ltd "</f>
        <v xml:space="preserve">SL Comms (Solutions) Ltd </v>
      </c>
      <c r="C3496" s="1" t="s">
        <v>5155</v>
      </c>
      <c r="D3496" s="1" t="s">
        <v>5156</v>
      </c>
      <c r="F3496" s="1" t="s">
        <v>3864</v>
      </c>
      <c r="H3496" s="1" t="s">
        <v>5157</v>
      </c>
      <c r="I3496" s="1" t="s">
        <v>19</v>
      </c>
      <c r="J3496" s="1" t="s">
        <v>6</v>
      </c>
      <c r="K3496" s="1" t="s">
        <v>24</v>
      </c>
      <c r="L3496" s="1">
        <v>10375553</v>
      </c>
      <c r="M3496" s="2">
        <v>42921</v>
      </c>
      <c r="N3496" s="1" t="s">
        <v>8</v>
      </c>
      <c r="O3496" s="2">
        <v>44017</v>
      </c>
    </row>
    <row r="3497" spans="1:15" ht="43.2" x14ac:dyDescent="0.3">
      <c r="A3497" s="1" t="s">
        <v>6320</v>
      </c>
      <c r="B3497" s="1" t="str">
        <f>"CHC WASTE FACILITIES MANAGEMENT LTD"</f>
        <v>CHC WASTE FACILITIES MANAGEMENT LTD</v>
      </c>
      <c r="C3497" s="1" t="s">
        <v>6321</v>
      </c>
      <c r="F3497" s="1" t="s">
        <v>2</v>
      </c>
      <c r="H3497" s="1" t="s">
        <v>6322</v>
      </c>
      <c r="I3497" s="1" t="s">
        <v>19</v>
      </c>
      <c r="J3497" s="1" t="s">
        <v>6</v>
      </c>
      <c r="K3497" s="1" t="s">
        <v>34</v>
      </c>
      <c r="L3497" s="1">
        <v>5511315</v>
      </c>
      <c r="M3497" s="2">
        <v>42921</v>
      </c>
      <c r="N3497" s="1" t="s">
        <v>8</v>
      </c>
      <c r="O3497" s="2">
        <v>44017</v>
      </c>
    </row>
    <row r="3498" spans="1:15" ht="28.8" x14ac:dyDescent="0.3">
      <c r="A3498" s="1" t="s">
        <v>6323</v>
      </c>
      <c r="B3498" s="1" t="str">
        <f>"FPT FIRE PROTECTION LTD"</f>
        <v>FPT FIRE PROTECTION LTD</v>
      </c>
      <c r="C3498" s="1" t="s">
        <v>6324</v>
      </c>
      <c r="F3498" s="1" t="s">
        <v>665</v>
      </c>
      <c r="H3498" s="1" t="s">
        <v>2163</v>
      </c>
      <c r="I3498" s="1" t="s">
        <v>19</v>
      </c>
      <c r="J3498" s="1" t="s">
        <v>6</v>
      </c>
      <c r="K3498" s="1" t="s">
        <v>34</v>
      </c>
      <c r="L3498" s="1">
        <v>10359885</v>
      </c>
      <c r="M3498" s="2">
        <v>42921</v>
      </c>
      <c r="N3498" s="1" t="s">
        <v>8</v>
      </c>
      <c r="O3498" s="2">
        <v>44017</v>
      </c>
    </row>
    <row r="3499" spans="1:15" ht="43.2" x14ac:dyDescent="0.3">
      <c r="A3499" s="1" t="s">
        <v>6325</v>
      </c>
      <c r="B3499" s="1" t="str">
        <f>"Celestia Retail Limited"</f>
        <v>Celestia Retail Limited</v>
      </c>
      <c r="C3499" s="1" t="s">
        <v>6326</v>
      </c>
      <c r="D3499" s="1" t="s">
        <v>6327</v>
      </c>
      <c r="F3499" s="1" t="s">
        <v>706</v>
      </c>
      <c r="H3499" s="1" t="s">
        <v>6328</v>
      </c>
      <c r="I3499" s="1" t="s">
        <v>19</v>
      </c>
      <c r="J3499" s="1" t="s">
        <v>67</v>
      </c>
      <c r="K3499" s="1" t="s">
        <v>14</v>
      </c>
      <c r="M3499" s="2">
        <v>42921</v>
      </c>
      <c r="N3499" s="1" t="s">
        <v>8</v>
      </c>
      <c r="O3499" s="1" t="s">
        <v>68</v>
      </c>
    </row>
    <row r="3500" spans="1:15" ht="43.2" x14ac:dyDescent="0.3">
      <c r="A3500" s="1" t="s">
        <v>6329</v>
      </c>
      <c r="B3500" s="1" t="str">
        <f>"Celestia Retail Limited"</f>
        <v>Celestia Retail Limited</v>
      </c>
      <c r="C3500" s="1" t="s">
        <v>6330</v>
      </c>
      <c r="F3500" s="1" t="s">
        <v>930</v>
      </c>
      <c r="H3500" s="1" t="s">
        <v>6331</v>
      </c>
      <c r="I3500" s="1" t="s">
        <v>19</v>
      </c>
      <c r="J3500" s="1" t="s">
        <v>67</v>
      </c>
      <c r="K3500" s="1" t="s">
        <v>14</v>
      </c>
      <c r="M3500" s="2">
        <v>42921</v>
      </c>
      <c r="N3500" s="1" t="s">
        <v>8</v>
      </c>
      <c r="O3500" s="1" t="s">
        <v>68</v>
      </c>
    </row>
    <row r="3501" spans="1:15" ht="28.8" x14ac:dyDescent="0.3">
      <c r="A3501" s="1" t="s">
        <v>6332</v>
      </c>
      <c r="B3501" s="1" t="str">
        <f>"PHILLIPS PRICE SERVICES LTD"</f>
        <v>PHILLIPS PRICE SERVICES LTD</v>
      </c>
      <c r="C3501" s="1" t="s">
        <v>6333</v>
      </c>
      <c r="D3501" s="1" t="s">
        <v>420</v>
      </c>
      <c r="E3501" s="1" t="s">
        <v>6334</v>
      </c>
      <c r="F3501" s="1" t="s">
        <v>123</v>
      </c>
      <c r="H3501" s="1" t="s">
        <v>6335</v>
      </c>
      <c r="I3501" s="1" t="s">
        <v>19</v>
      </c>
      <c r="J3501" s="1" t="s">
        <v>6</v>
      </c>
      <c r="K3501" s="1" t="s">
        <v>34</v>
      </c>
      <c r="L3501" s="1">
        <v>7124442</v>
      </c>
      <c r="M3501" s="2">
        <v>42921</v>
      </c>
      <c r="N3501" s="1" t="s">
        <v>8</v>
      </c>
      <c r="O3501" s="2">
        <v>44016</v>
      </c>
    </row>
    <row r="3502" spans="1:15" ht="43.2" x14ac:dyDescent="0.3">
      <c r="A3502" s="1" t="s">
        <v>6336</v>
      </c>
      <c r="B3502" s="1" t="str">
        <f>"HALL &amp; ROCHE LOGISTICS LIMITED"</f>
        <v>HALL &amp; ROCHE LOGISTICS LIMITED</v>
      </c>
      <c r="C3502" s="1" t="s">
        <v>6337</v>
      </c>
      <c r="D3502" s="1" t="s">
        <v>6338</v>
      </c>
      <c r="E3502" s="1" t="s">
        <v>2041</v>
      </c>
      <c r="F3502" s="1" t="s">
        <v>64</v>
      </c>
      <c r="H3502" s="1" t="s">
        <v>6339</v>
      </c>
      <c r="I3502" s="1" t="s">
        <v>19</v>
      </c>
      <c r="J3502" s="1" t="s">
        <v>67</v>
      </c>
      <c r="K3502" s="1" t="s">
        <v>24</v>
      </c>
      <c r="L3502" s="1">
        <v>523787</v>
      </c>
      <c r="M3502" s="2">
        <v>42921</v>
      </c>
      <c r="N3502" s="1" t="s">
        <v>8</v>
      </c>
      <c r="O3502" s="1" t="s">
        <v>68</v>
      </c>
    </row>
    <row r="3503" spans="1:15" ht="28.8" x14ac:dyDescent="0.3">
      <c r="A3503" s="1" t="s">
        <v>6340</v>
      </c>
      <c r="B3503" s="1" t="str">
        <f>"JJ MORRIS LTD"</f>
        <v>JJ MORRIS LTD</v>
      </c>
      <c r="C3503" s="1" t="s">
        <v>6341</v>
      </c>
      <c r="F3503" s="1" t="s">
        <v>1991</v>
      </c>
      <c r="H3503" s="1" t="s">
        <v>6342</v>
      </c>
      <c r="I3503" s="1" t="s">
        <v>19</v>
      </c>
      <c r="J3503" s="1" t="s">
        <v>6</v>
      </c>
      <c r="K3503" s="1" t="s">
        <v>34</v>
      </c>
      <c r="L3503" s="1">
        <v>5100550</v>
      </c>
      <c r="M3503" s="2">
        <v>42921</v>
      </c>
      <c r="N3503" s="1" t="s">
        <v>8</v>
      </c>
      <c r="O3503" s="2">
        <v>44024</v>
      </c>
    </row>
    <row r="3504" spans="1:15" ht="28.8" x14ac:dyDescent="0.3">
      <c r="A3504" s="1" t="s">
        <v>6343</v>
      </c>
      <c r="B3504" s="1" t="str">
        <f>"cheeseman haulage limited"</f>
        <v>cheeseman haulage limited</v>
      </c>
      <c r="C3504" s="1" t="s">
        <v>6344</v>
      </c>
      <c r="F3504" s="1" t="s">
        <v>401</v>
      </c>
      <c r="H3504" s="1" t="s">
        <v>3481</v>
      </c>
      <c r="I3504" s="1" t="s">
        <v>19</v>
      </c>
      <c r="J3504" s="1" t="s">
        <v>6</v>
      </c>
      <c r="K3504" s="1" t="s">
        <v>24</v>
      </c>
      <c r="L3504" s="1">
        <v>9880933</v>
      </c>
      <c r="M3504" s="2">
        <v>42921</v>
      </c>
      <c r="N3504" s="1" t="s">
        <v>8</v>
      </c>
      <c r="O3504" s="2">
        <v>44017</v>
      </c>
    </row>
    <row r="3505" spans="1:15" ht="28.8" x14ac:dyDescent="0.3">
      <c r="A3505" s="1" t="s">
        <v>6345</v>
      </c>
      <c r="B3505" s="1" t="str">
        <f>"RADNOR RANGE LIMITED"</f>
        <v>RADNOR RANGE LIMITED</v>
      </c>
      <c r="C3505" s="1" t="s">
        <v>6346</v>
      </c>
      <c r="F3505" s="1" t="s">
        <v>6347</v>
      </c>
      <c r="H3505" s="1" t="s">
        <v>6348</v>
      </c>
      <c r="I3505" s="1" t="s">
        <v>19</v>
      </c>
      <c r="J3505" s="1" t="s">
        <v>6</v>
      </c>
      <c r="K3505" s="1" t="s">
        <v>1859</v>
      </c>
      <c r="L3505" s="1">
        <v>5639696</v>
      </c>
      <c r="M3505" s="2">
        <v>42921</v>
      </c>
      <c r="N3505" s="1" t="s">
        <v>8</v>
      </c>
      <c r="O3505" s="2">
        <v>44017</v>
      </c>
    </row>
    <row r="3506" spans="1:15" ht="43.2" x14ac:dyDescent="0.3">
      <c r="A3506" s="1" t="s">
        <v>6349</v>
      </c>
      <c r="B3506" s="1" t="str">
        <f>"PETWISE AQUATICS LTD"</f>
        <v>PETWISE AQUATICS LTD</v>
      </c>
      <c r="C3506" s="1" t="s">
        <v>6350</v>
      </c>
      <c r="D3506" s="1" t="s">
        <v>3029</v>
      </c>
      <c r="F3506" s="1" t="s">
        <v>277</v>
      </c>
      <c r="H3506" s="1" t="s">
        <v>4653</v>
      </c>
      <c r="I3506" s="1" t="s">
        <v>19</v>
      </c>
      <c r="J3506" s="1" t="s">
        <v>67</v>
      </c>
      <c r="K3506" s="1" t="s">
        <v>24</v>
      </c>
      <c r="L3506" s="1">
        <v>5871708</v>
      </c>
      <c r="M3506" s="2">
        <v>42921</v>
      </c>
      <c r="N3506" s="1" t="s">
        <v>8</v>
      </c>
      <c r="O3506" s="1" t="s">
        <v>68</v>
      </c>
    </row>
    <row r="3507" spans="1:15" ht="28.8" x14ac:dyDescent="0.3">
      <c r="A3507" s="1" t="s">
        <v>6351</v>
      </c>
      <c r="B3507" s="1" t="str">
        <f>"V. GABICA &amp; CO. LIMITED"</f>
        <v>V. GABICA &amp; CO. LIMITED</v>
      </c>
      <c r="C3507" s="1" t="s">
        <v>6352</v>
      </c>
      <c r="D3507" s="1" t="s">
        <v>6353</v>
      </c>
      <c r="F3507" s="1" t="s">
        <v>401</v>
      </c>
      <c r="H3507" s="1" t="s">
        <v>6354</v>
      </c>
      <c r="I3507" s="1" t="s">
        <v>19</v>
      </c>
      <c r="J3507" s="1" t="s">
        <v>6</v>
      </c>
      <c r="K3507" s="1" t="s">
        <v>24</v>
      </c>
      <c r="L3507" s="1">
        <v>1141594</v>
      </c>
      <c r="M3507" s="2">
        <v>42921</v>
      </c>
      <c r="N3507" s="1" t="s">
        <v>8</v>
      </c>
      <c r="O3507" s="2">
        <v>44017</v>
      </c>
    </row>
    <row r="3508" spans="1:15" ht="28.8" x14ac:dyDescent="0.3">
      <c r="A3508" s="1" t="s">
        <v>6355</v>
      </c>
      <c r="B3508" s="1" t="str">
        <f>"ANDREW ROBERTS LTD"</f>
        <v>ANDREW ROBERTS LTD</v>
      </c>
      <c r="C3508" s="1" t="s">
        <v>6356</v>
      </c>
      <c r="F3508" s="1" t="s">
        <v>710</v>
      </c>
      <c r="H3508" s="1" t="s">
        <v>6357</v>
      </c>
      <c r="I3508" s="1" t="s">
        <v>19</v>
      </c>
      <c r="J3508" s="1" t="s">
        <v>6</v>
      </c>
      <c r="K3508" s="1" t="s">
        <v>34</v>
      </c>
      <c r="L3508" s="1">
        <v>2809127</v>
      </c>
      <c r="M3508" s="2">
        <v>42921</v>
      </c>
      <c r="N3508" s="1" t="s">
        <v>8</v>
      </c>
      <c r="O3508" s="2">
        <v>44017</v>
      </c>
    </row>
    <row r="3509" spans="1:15" ht="43.2" x14ac:dyDescent="0.3">
      <c r="A3509" s="1" t="s">
        <v>6358</v>
      </c>
      <c r="B3509" s="1" t="str">
        <f>"ALG home Services LTD"</f>
        <v>ALG home Services LTD</v>
      </c>
      <c r="C3509" s="1" t="s">
        <v>6359</v>
      </c>
      <c r="D3509" s="1" t="s">
        <v>5030</v>
      </c>
      <c r="F3509" s="1" t="s">
        <v>2686</v>
      </c>
      <c r="H3509" s="1" t="s">
        <v>4508</v>
      </c>
      <c r="I3509" s="1" t="s">
        <v>19</v>
      </c>
      <c r="J3509" s="1" t="s">
        <v>67</v>
      </c>
      <c r="K3509" s="1" t="s">
        <v>14</v>
      </c>
      <c r="M3509" s="2">
        <v>42921</v>
      </c>
      <c r="N3509" s="1" t="s">
        <v>8</v>
      </c>
      <c r="O3509" s="1" t="s">
        <v>68</v>
      </c>
    </row>
    <row r="3510" spans="1:15" ht="43.2" x14ac:dyDescent="0.3">
      <c r="A3510" s="1" t="s">
        <v>6360</v>
      </c>
      <c r="B3510" s="1" t="str">
        <f>"Premier"</f>
        <v>Premier</v>
      </c>
      <c r="C3510" s="1" t="s">
        <v>6361</v>
      </c>
      <c r="F3510" s="1" t="s">
        <v>6362</v>
      </c>
      <c r="H3510" s="1" t="s">
        <v>6363</v>
      </c>
      <c r="I3510" s="1" t="s">
        <v>19</v>
      </c>
      <c r="J3510" s="1" t="s">
        <v>67</v>
      </c>
      <c r="K3510" s="1" t="s">
        <v>14</v>
      </c>
      <c r="M3510" s="2">
        <v>42921</v>
      </c>
      <c r="N3510" s="1" t="s">
        <v>8</v>
      </c>
      <c r="O3510" s="1" t="s">
        <v>68</v>
      </c>
    </row>
    <row r="3511" spans="1:15" ht="43.2" x14ac:dyDescent="0.3">
      <c r="A3511" s="1" t="s">
        <v>7400</v>
      </c>
      <c r="B3511" s="1" t="str">
        <f>"Cumbria Construction LTD"</f>
        <v>Cumbria Construction LTD</v>
      </c>
      <c r="C3511" s="1" t="s">
        <v>7401</v>
      </c>
      <c r="F3511" s="1" t="s">
        <v>7402</v>
      </c>
      <c r="H3511" s="1" t="s">
        <v>7403</v>
      </c>
      <c r="I3511" s="1" t="s">
        <v>19</v>
      </c>
      <c r="J3511" s="1" t="s">
        <v>67</v>
      </c>
      <c r="K3511" s="1" t="s">
        <v>14</v>
      </c>
      <c r="M3511" s="2">
        <v>42921</v>
      </c>
      <c r="N3511" s="1" t="s">
        <v>8</v>
      </c>
      <c r="O3511" s="1" t="s">
        <v>68</v>
      </c>
    </row>
    <row r="3512" spans="1:15" ht="43.2" x14ac:dyDescent="0.3">
      <c r="A3512" s="1" t="s">
        <v>20769</v>
      </c>
      <c r="B3512" s="1" t="str">
        <f>"Nigel Phillips"</f>
        <v>Nigel Phillips</v>
      </c>
      <c r="C3512" s="1" t="s">
        <v>20770</v>
      </c>
      <c r="F3512" s="1" t="s">
        <v>317</v>
      </c>
      <c r="H3512" s="1" t="s">
        <v>20771</v>
      </c>
      <c r="I3512" s="1" t="s">
        <v>5</v>
      </c>
      <c r="J3512" s="1" t="s">
        <v>67</v>
      </c>
      <c r="K3512" s="1" t="s">
        <v>14</v>
      </c>
      <c r="M3512" s="2">
        <v>42921</v>
      </c>
      <c r="N3512" s="1" t="s">
        <v>8</v>
      </c>
      <c r="O3512" s="1" t="s">
        <v>68</v>
      </c>
    </row>
    <row r="3513" spans="1:15" x14ac:dyDescent="0.3">
      <c r="A3513" s="1" t="s">
        <v>21540</v>
      </c>
      <c r="B3513" s="1" t="str">
        <f>"Christopher Walker"</f>
        <v>Christopher Walker</v>
      </c>
      <c r="C3513" s="1" t="s">
        <v>21541</v>
      </c>
      <c r="F3513" s="1" t="s">
        <v>532</v>
      </c>
      <c r="H3513" s="1" t="s">
        <v>21542</v>
      </c>
      <c r="I3513" s="1" t="s">
        <v>5</v>
      </c>
      <c r="J3513" s="1" t="s">
        <v>6</v>
      </c>
      <c r="K3513" s="1" t="s">
        <v>24</v>
      </c>
      <c r="M3513" s="2">
        <v>42921</v>
      </c>
      <c r="N3513" s="1" t="s">
        <v>8</v>
      </c>
      <c r="O3513" s="2">
        <v>44017</v>
      </c>
    </row>
    <row r="3514" spans="1:15" ht="28.8" x14ac:dyDescent="0.3">
      <c r="A3514" s="1" t="s">
        <v>5122</v>
      </c>
      <c r="B3514" s="1" t="str">
        <f>"M&amp;P Property Developers Ltd."</f>
        <v>M&amp;P Property Developers Ltd.</v>
      </c>
      <c r="C3514" s="1" t="s">
        <v>5123</v>
      </c>
      <c r="F3514" s="1" t="s">
        <v>123</v>
      </c>
      <c r="H3514" s="1" t="s">
        <v>5124</v>
      </c>
      <c r="I3514" s="1" t="s">
        <v>19</v>
      </c>
      <c r="J3514" s="1" t="s">
        <v>6</v>
      </c>
      <c r="K3514" s="1" t="s">
        <v>24</v>
      </c>
      <c r="L3514" s="1">
        <v>5402104</v>
      </c>
      <c r="M3514" s="2">
        <v>42920</v>
      </c>
      <c r="N3514" s="1" t="s">
        <v>8</v>
      </c>
      <c r="O3514" s="2">
        <v>44016</v>
      </c>
    </row>
    <row r="3515" spans="1:15" ht="28.8" x14ac:dyDescent="0.3">
      <c r="A3515" s="1" t="s">
        <v>5125</v>
      </c>
      <c r="B3515" s="1" t="str">
        <f>"RK Aggarwal"</f>
        <v>RK Aggarwal</v>
      </c>
      <c r="C3515" s="1" t="s">
        <v>5126</v>
      </c>
      <c r="D3515" s="1" t="s">
        <v>560</v>
      </c>
      <c r="F3515" s="1" t="s">
        <v>123</v>
      </c>
      <c r="H3515" s="1" t="s">
        <v>5127</v>
      </c>
      <c r="I3515" s="1" t="s">
        <v>19</v>
      </c>
      <c r="J3515" s="1" t="s">
        <v>6</v>
      </c>
      <c r="K3515" s="1" t="s">
        <v>24</v>
      </c>
      <c r="L3515" s="1">
        <v>2031097</v>
      </c>
      <c r="M3515" s="2">
        <v>42920</v>
      </c>
      <c r="N3515" s="1" t="s">
        <v>8</v>
      </c>
      <c r="O3515" s="2">
        <v>44016</v>
      </c>
    </row>
    <row r="3516" spans="1:15" ht="43.2" x14ac:dyDescent="0.3">
      <c r="A3516" s="1" t="s">
        <v>5128</v>
      </c>
      <c r="B3516" s="1" t="str">
        <f>"HANBURY CONSTRUCTION (TORFAEN) LTD"</f>
        <v>HANBURY CONSTRUCTION (TORFAEN) LTD</v>
      </c>
      <c r="C3516" s="1" t="s">
        <v>5129</v>
      </c>
      <c r="F3516" s="1" t="s">
        <v>1058</v>
      </c>
      <c r="H3516" s="1" t="s">
        <v>5130</v>
      </c>
      <c r="I3516" s="1" t="s">
        <v>19</v>
      </c>
      <c r="J3516" s="1" t="s">
        <v>6</v>
      </c>
      <c r="K3516" s="1" t="s">
        <v>24</v>
      </c>
      <c r="L3516" s="1">
        <v>4707587</v>
      </c>
      <c r="M3516" s="2">
        <v>42920</v>
      </c>
      <c r="N3516" s="1" t="s">
        <v>8</v>
      </c>
      <c r="O3516" s="2">
        <v>44016</v>
      </c>
    </row>
    <row r="3517" spans="1:15" ht="28.8" x14ac:dyDescent="0.3">
      <c r="A3517" s="1" t="s">
        <v>5131</v>
      </c>
      <c r="B3517" s="1" t="str">
        <f>"Humphreys Waste Recycling Ltd"</f>
        <v>Humphreys Waste Recycling Ltd</v>
      </c>
      <c r="C3517" s="1" t="s">
        <v>5132</v>
      </c>
      <c r="F3517" s="1" t="s">
        <v>1108</v>
      </c>
      <c r="H3517" s="1" t="s">
        <v>5133</v>
      </c>
      <c r="I3517" s="1" t="s">
        <v>19</v>
      </c>
      <c r="J3517" s="1" t="s">
        <v>6</v>
      </c>
      <c r="K3517" s="1" t="s">
        <v>34</v>
      </c>
      <c r="L3517" s="1">
        <v>9820292</v>
      </c>
      <c r="M3517" s="2">
        <v>42920</v>
      </c>
      <c r="N3517" s="1" t="s">
        <v>8</v>
      </c>
      <c r="O3517" s="2">
        <v>44016</v>
      </c>
    </row>
    <row r="3518" spans="1:15" ht="28.8" x14ac:dyDescent="0.3">
      <c r="A3518" s="1" t="s">
        <v>5134</v>
      </c>
      <c r="B3518" s="1" t="str">
        <f>"Gary Jones &amp; Graham Jones &amp; Garry Roberts"</f>
        <v>Gary Jones &amp; Graham Jones &amp; Garry Roberts</v>
      </c>
      <c r="C3518" s="1" t="s">
        <v>5135</v>
      </c>
      <c r="F3518" s="1" t="s">
        <v>2686</v>
      </c>
      <c r="G3518" s="1" t="s">
        <v>324</v>
      </c>
      <c r="H3518" s="1" t="s">
        <v>5136</v>
      </c>
      <c r="I3518" s="1" t="s">
        <v>125</v>
      </c>
      <c r="J3518" s="1" t="s">
        <v>6</v>
      </c>
      <c r="K3518" s="1" t="s">
        <v>24</v>
      </c>
      <c r="M3518" s="2">
        <v>42920</v>
      </c>
      <c r="N3518" s="1" t="s">
        <v>8</v>
      </c>
      <c r="O3518" s="2">
        <v>44014</v>
      </c>
    </row>
    <row r="3519" spans="1:15" ht="43.2" x14ac:dyDescent="0.3">
      <c r="A3519" s="1" t="s">
        <v>5137</v>
      </c>
      <c r="B3519" s="1" t="str">
        <f>"dr Doolittles pet products"</f>
        <v>dr Doolittles pet products</v>
      </c>
      <c r="C3519" s="1" t="s">
        <v>5138</v>
      </c>
      <c r="F3519" s="1" t="s">
        <v>541</v>
      </c>
      <c r="H3519" s="1" t="s">
        <v>5139</v>
      </c>
      <c r="I3519" s="1" t="s">
        <v>19</v>
      </c>
      <c r="J3519" s="1" t="s">
        <v>67</v>
      </c>
      <c r="K3519" s="1" t="s">
        <v>14</v>
      </c>
      <c r="M3519" s="2">
        <v>42920</v>
      </c>
      <c r="N3519" s="1" t="s">
        <v>8</v>
      </c>
      <c r="O3519" s="1" t="s">
        <v>68</v>
      </c>
    </row>
    <row r="3520" spans="1:15" ht="28.8" x14ac:dyDescent="0.3">
      <c r="A3520" s="1" t="s">
        <v>5140</v>
      </c>
      <c r="B3520" s="1" t="str">
        <f>"R T ELECTRICS LTD"</f>
        <v>R T ELECTRICS LTD</v>
      </c>
      <c r="C3520" s="1" t="s">
        <v>5141</v>
      </c>
      <c r="F3520" s="1" t="s">
        <v>42</v>
      </c>
      <c r="H3520" s="1" t="s">
        <v>5142</v>
      </c>
      <c r="I3520" s="1" t="s">
        <v>19</v>
      </c>
      <c r="J3520" s="1" t="s">
        <v>6</v>
      </c>
      <c r="K3520" s="1" t="s">
        <v>34</v>
      </c>
      <c r="L3520" s="1">
        <v>3636157</v>
      </c>
      <c r="M3520" s="2">
        <v>42920</v>
      </c>
      <c r="N3520" s="1" t="s">
        <v>8</v>
      </c>
      <c r="O3520" s="2">
        <v>44016</v>
      </c>
    </row>
    <row r="3521" spans="1:15" ht="28.8" x14ac:dyDescent="0.3">
      <c r="A3521" s="1" t="s">
        <v>5143</v>
      </c>
      <c r="B3521" s="1" t="str">
        <f>"WD Building Ltd "</f>
        <v xml:space="preserve">WD Building Ltd </v>
      </c>
      <c r="C3521" s="1" t="s">
        <v>5144</v>
      </c>
      <c r="F3521" s="1" t="s">
        <v>5145</v>
      </c>
      <c r="H3521" s="1" t="s">
        <v>5146</v>
      </c>
      <c r="I3521" s="1" t="s">
        <v>19</v>
      </c>
      <c r="J3521" s="1" t="s">
        <v>6</v>
      </c>
      <c r="K3521" s="1" t="s">
        <v>34</v>
      </c>
      <c r="L3521" s="1">
        <v>7887559</v>
      </c>
      <c r="M3521" s="2">
        <v>42920</v>
      </c>
      <c r="N3521" s="1" t="s">
        <v>8</v>
      </c>
      <c r="O3521" s="2">
        <v>44016</v>
      </c>
    </row>
    <row r="3522" spans="1:15" ht="28.8" x14ac:dyDescent="0.3">
      <c r="A3522" s="1" t="s">
        <v>5147</v>
      </c>
      <c r="B3522" s="1" t="str">
        <f>"laidlaw 2010"</f>
        <v>laidlaw 2010</v>
      </c>
      <c r="C3522" s="1" t="s">
        <v>5148</v>
      </c>
      <c r="F3522" s="1" t="s">
        <v>5149</v>
      </c>
      <c r="H3522" s="1" t="s">
        <v>5150</v>
      </c>
      <c r="I3522" s="1" t="s">
        <v>19</v>
      </c>
      <c r="J3522" s="1" t="s">
        <v>6</v>
      </c>
      <c r="K3522" s="1" t="s">
        <v>24</v>
      </c>
      <c r="L3522" s="1">
        <v>7362368</v>
      </c>
      <c r="M3522" s="2">
        <v>42920</v>
      </c>
      <c r="N3522" s="1" t="s">
        <v>8</v>
      </c>
      <c r="O3522" s="2">
        <v>44016</v>
      </c>
    </row>
    <row r="3523" spans="1:15" ht="28.8" x14ac:dyDescent="0.3">
      <c r="A3523" s="1" t="s">
        <v>19967</v>
      </c>
      <c r="B3523" s="1" t="str">
        <f>"Ashley Mardon Been &amp; Gone Clearance"</f>
        <v>Ashley Mardon Been &amp; Gone Clearance</v>
      </c>
      <c r="C3523" s="1" t="s">
        <v>19968</v>
      </c>
      <c r="F3523" s="1" t="s">
        <v>3068</v>
      </c>
      <c r="H3523" s="1" t="s">
        <v>19969</v>
      </c>
      <c r="I3523" s="1" t="s">
        <v>5</v>
      </c>
      <c r="J3523" s="1" t="s">
        <v>6</v>
      </c>
      <c r="K3523" s="1" t="s">
        <v>24</v>
      </c>
      <c r="M3523" s="2">
        <v>42920</v>
      </c>
      <c r="N3523" s="1" t="s">
        <v>8</v>
      </c>
      <c r="O3523" s="2">
        <v>44016</v>
      </c>
    </row>
    <row r="3524" spans="1:15" ht="28.8" x14ac:dyDescent="0.3">
      <c r="A3524" s="1" t="s">
        <v>19970</v>
      </c>
      <c r="B3524" s="1" t="str">
        <f>"colin boyle colin boyle and sons"</f>
        <v>colin boyle colin boyle and sons</v>
      </c>
      <c r="C3524" s="1" t="s">
        <v>19971</v>
      </c>
      <c r="F3524" s="1" t="s">
        <v>374</v>
      </c>
      <c r="H3524" s="1" t="s">
        <v>19972</v>
      </c>
      <c r="I3524" s="1" t="s">
        <v>5</v>
      </c>
      <c r="J3524" s="1" t="s">
        <v>6</v>
      </c>
      <c r="K3524" s="1" t="s">
        <v>34</v>
      </c>
      <c r="M3524" s="2">
        <v>42920</v>
      </c>
      <c r="N3524" s="1" t="s">
        <v>8</v>
      </c>
      <c r="O3524" s="2">
        <v>44016</v>
      </c>
    </row>
    <row r="3525" spans="1:15" ht="43.2" x14ac:dyDescent="0.3">
      <c r="A3525" s="1" t="s">
        <v>19973</v>
      </c>
      <c r="B3525" s="1" t="str">
        <f>"Stephen Lightfoot"</f>
        <v>Stephen Lightfoot</v>
      </c>
      <c r="C3525" s="1" t="s">
        <v>19974</v>
      </c>
      <c r="F3525" s="1" t="s">
        <v>156</v>
      </c>
      <c r="H3525" s="1" t="s">
        <v>19975</v>
      </c>
      <c r="I3525" s="1" t="s">
        <v>5</v>
      </c>
      <c r="J3525" s="1" t="s">
        <v>67</v>
      </c>
      <c r="K3525" s="1" t="s">
        <v>14</v>
      </c>
      <c r="M3525" s="2">
        <v>42920</v>
      </c>
      <c r="N3525" s="1" t="s">
        <v>8</v>
      </c>
      <c r="O3525" s="1" t="s">
        <v>68</v>
      </c>
    </row>
    <row r="3526" spans="1:15" ht="28.8" x14ac:dyDescent="0.3">
      <c r="A3526" s="1" t="s">
        <v>19976</v>
      </c>
      <c r="B3526" s="1" t="str">
        <f>"Paul Hughes Paddock Oil"</f>
        <v>Paul Hughes Paddock Oil</v>
      </c>
      <c r="C3526" s="1" t="s">
        <v>19977</v>
      </c>
      <c r="F3526" s="1" t="s">
        <v>4645</v>
      </c>
      <c r="H3526" s="1" t="s">
        <v>19978</v>
      </c>
      <c r="I3526" s="1" t="s">
        <v>5</v>
      </c>
      <c r="J3526" s="1" t="s">
        <v>6</v>
      </c>
      <c r="K3526" s="1" t="s">
        <v>24</v>
      </c>
      <c r="M3526" s="2">
        <v>42920</v>
      </c>
      <c r="N3526" s="1" t="s">
        <v>8</v>
      </c>
      <c r="O3526" s="2">
        <v>44016</v>
      </c>
    </row>
    <row r="3527" spans="1:15" ht="43.2" x14ac:dyDescent="0.3">
      <c r="A3527" s="1" t="s">
        <v>3985</v>
      </c>
      <c r="B3527" s="1" t="str">
        <f>"Trevethin Matters Community Group"</f>
        <v>Trevethin Matters Community Group</v>
      </c>
      <c r="C3527" s="1" t="s">
        <v>3986</v>
      </c>
      <c r="D3527" s="1" t="s">
        <v>3987</v>
      </c>
      <c r="E3527" s="1" t="s">
        <v>3988</v>
      </c>
      <c r="F3527" s="1" t="s">
        <v>1058</v>
      </c>
      <c r="H3527" s="1" t="s">
        <v>3989</v>
      </c>
      <c r="I3527" s="1" t="s">
        <v>1872</v>
      </c>
      <c r="J3527" s="1" t="s">
        <v>67</v>
      </c>
      <c r="K3527" s="1" t="s">
        <v>14</v>
      </c>
      <c r="M3527" s="2">
        <v>42919</v>
      </c>
      <c r="N3527" s="1" t="s">
        <v>8</v>
      </c>
      <c r="O3527" s="1" t="s">
        <v>68</v>
      </c>
    </row>
    <row r="3528" spans="1:15" ht="28.8" x14ac:dyDescent="0.3">
      <c r="A3528" s="1" t="s">
        <v>3990</v>
      </c>
      <c r="B3528" s="1" t="str">
        <f>"Country valley construction ltd"</f>
        <v>Country valley construction ltd</v>
      </c>
      <c r="C3528" s="1" t="s">
        <v>3991</v>
      </c>
      <c r="F3528" s="1" t="s">
        <v>3992</v>
      </c>
      <c r="H3528" s="1" t="s">
        <v>3993</v>
      </c>
      <c r="I3528" s="1" t="s">
        <v>19</v>
      </c>
      <c r="J3528" s="1" t="s">
        <v>6</v>
      </c>
      <c r="K3528" s="1" t="s">
        <v>34</v>
      </c>
      <c r="L3528" s="1">
        <v>10797495</v>
      </c>
      <c r="M3528" s="2">
        <v>42919</v>
      </c>
      <c r="N3528" s="1" t="s">
        <v>8</v>
      </c>
      <c r="O3528" s="2">
        <v>44015</v>
      </c>
    </row>
    <row r="3529" spans="1:15" x14ac:dyDescent="0.3">
      <c r="A3529" s="1" t="s">
        <v>3994</v>
      </c>
      <c r="B3529" s="1" t="str">
        <f>"t.a.j.hughes&amp;co"</f>
        <v>t.a.j.hughes&amp;co</v>
      </c>
      <c r="C3529" s="1" t="s">
        <v>3995</v>
      </c>
      <c r="F3529" s="1" t="s">
        <v>2459</v>
      </c>
      <c r="H3529" s="1" t="s">
        <v>3996</v>
      </c>
      <c r="I3529" s="1" t="s">
        <v>125</v>
      </c>
      <c r="J3529" s="1" t="s">
        <v>6</v>
      </c>
      <c r="K3529" s="1" t="s">
        <v>24</v>
      </c>
      <c r="M3529" s="2">
        <v>42919</v>
      </c>
      <c r="N3529" s="1" t="s">
        <v>8</v>
      </c>
      <c r="O3529" s="2">
        <v>44015</v>
      </c>
    </row>
    <row r="3530" spans="1:15" ht="28.8" x14ac:dyDescent="0.3">
      <c r="A3530" s="1" t="s">
        <v>3997</v>
      </c>
      <c r="B3530" s="1" t="str">
        <f>"GOWER PLANT HIRE LTD"</f>
        <v>GOWER PLANT HIRE LTD</v>
      </c>
      <c r="C3530" s="1" t="s">
        <v>3998</v>
      </c>
      <c r="D3530" s="1" t="s">
        <v>3999</v>
      </c>
      <c r="F3530" s="1" t="s">
        <v>64</v>
      </c>
      <c r="H3530" s="1" t="s">
        <v>4000</v>
      </c>
      <c r="I3530" s="1" t="s">
        <v>19</v>
      </c>
      <c r="J3530" s="1" t="s">
        <v>6</v>
      </c>
      <c r="K3530" s="1" t="s">
        <v>34</v>
      </c>
      <c r="L3530" s="1">
        <v>3186726</v>
      </c>
      <c r="M3530" s="2">
        <v>42919</v>
      </c>
      <c r="N3530" s="1" t="s">
        <v>8</v>
      </c>
      <c r="O3530" s="2">
        <v>44015</v>
      </c>
    </row>
    <row r="3531" spans="1:15" ht="28.8" x14ac:dyDescent="0.3">
      <c r="A3531" s="1" t="s">
        <v>4001</v>
      </c>
      <c r="B3531" s="1" t="str">
        <f>"Polymer Extrusions Ltd."</f>
        <v>Polymer Extrusions Ltd.</v>
      </c>
      <c r="C3531" s="1" t="s">
        <v>4002</v>
      </c>
      <c r="D3531" s="1" t="s">
        <v>1676</v>
      </c>
      <c r="F3531" s="1" t="s">
        <v>1341</v>
      </c>
      <c r="H3531" s="1" t="s">
        <v>4003</v>
      </c>
      <c r="I3531" s="1" t="s">
        <v>19</v>
      </c>
      <c r="J3531" s="1" t="s">
        <v>6</v>
      </c>
      <c r="K3531" s="1" t="s">
        <v>34</v>
      </c>
      <c r="L3531" s="1">
        <v>5949544</v>
      </c>
      <c r="M3531" s="2">
        <v>42919</v>
      </c>
      <c r="N3531" s="1" t="s">
        <v>8</v>
      </c>
      <c r="O3531" s="2">
        <v>44015</v>
      </c>
    </row>
    <row r="3532" spans="1:15" x14ac:dyDescent="0.3">
      <c r="A3532" s="1" t="s">
        <v>4004</v>
      </c>
      <c r="B3532" s="1" t="str">
        <f>"DALE VAUGHAN LTD"</f>
        <v>DALE VAUGHAN LTD</v>
      </c>
      <c r="C3532" s="1" t="s">
        <v>4005</v>
      </c>
      <c r="F3532" s="1" t="s">
        <v>2200</v>
      </c>
      <c r="H3532" s="1" t="s">
        <v>4006</v>
      </c>
      <c r="I3532" s="1" t="s">
        <v>19</v>
      </c>
      <c r="J3532" s="1" t="s">
        <v>6</v>
      </c>
      <c r="K3532" s="1" t="s">
        <v>24</v>
      </c>
      <c r="L3532" s="1">
        <v>6217430</v>
      </c>
      <c r="M3532" s="2">
        <v>42919</v>
      </c>
      <c r="N3532" s="1" t="s">
        <v>8</v>
      </c>
      <c r="O3532" s="2">
        <v>44015</v>
      </c>
    </row>
    <row r="3533" spans="1:15" ht="28.8" x14ac:dyDescent="0.3">
      <c r="A3533" s="1" t="s">
        <v>4007</v>
      </c>
      <c r="B3533" s="1" t="str">
        <f>"ROBINSON RECYCLING LTD"</f>
        <v>ROBINSON RECYCLING LTD</v>
      </c>
      <c r="C3533" s="1" t="s">
        <v>4008</v>
      </c>
      <c r="D3533" s="1" t="s">
        <v>4009</v>
      </c>
      <c r="F3533" s="1" t="s">
        <v>1720</v>
      </c>
      <c r="H3533" s="1" t="s">
        <v>4010</v>
      </c>
      <c r="I3533" s="1" t="s">
        <v>19</v>
      </c>
      <c r="J3533" s="1" t="s">
        <v>6</v>
      </c>
      <c r="K3533" s="1" t="s">
        <v>34</v>
      </c>
      <c r="L3533" s="1">
        <v>4847973</v>
      </c>
      <c r="M3533" s="2">
        <v>42919</v>
      </c>
      <c r="N3533" s="1" t="s">
        <v>8</v>
      </c>
      <c r="O3533" s="2">
        <v>44015</v>
      </c>
    </row>
    <row r="3534" spans="1:15" ht="43.2" x14ac:dyDescent="0.3">
      <c r="A3534" s="1" t="s">
        <v>4011</v>
      </c>
      <c r="B3534" s="1" t="str">
        <f>"Alcumus Group Limited"</f>
        <v>Alcumus Group Limited</v>
      </c>
      <c r="C3534" s="1" t="s">
        <v>4012</v>
      </c>
      <c r="D3534" s="1" t="s">
        <v>4013</v>
      </c>
      <c r="E3534" s="1" t="s">
        <v>916</v>
      </c>
      <c r="F3534" s="1" t="s">
        <v>123</v>
      </c>
      <c r="H3534" s="1" t="s">
        <v>4014</v>
      </c>
      <c r="I3534" s="1" t="s">
        <v>19</v>
      </c>
      <c r="J3534" s="1" t="s">
        <v>67</v>
      </c>
      <c r="K3534" s="1" t="s">
        <v>14</v>
      </c>
      <c r="M3534" s="2">
        <v>42919</v>
      </c>
      <c r="N3534" s="1" t="s">
        <v>8</v>
      </c>
      <c r="O3534" s="1" t="s">
        <v>68</v>
      </c>
    </row>
    <row r="3535" spans="1:15" ht="28.8" x14ac:dyDescent="0.3">
      <c r="A3535" s="1" t="s">
        <v>4015</v>
      </c>
      <c r="B3535" s="1" t="str">
        <f>"Insulation extraction specialists"</f>
        <v>Insulation extraction specialists</v>
      </c>
      <c r="C3535" s="1" t="s">
        <v>4016</v>
      </c>
      <c r="F3535" s="1" t="s">
        <v>4017</v>
      </c>
      <c r="H3535" s="1" t="s">
        <v>4018</v>
      </c>
      <c r="I3535" s="1" t="s">
        <v>19</v>
      </c>
      <c r="J3535" s="1" t="s">
        <v>6</v>
      </c>
      <c r="K3535" s="1" t="s">
        <v>24</v>
      </c>
      <c r="L3535" s="1">
        <v>9515218</v>
      </c>
      <c r="M3535" s="2">
        <v>42919</v>
      </c>
      <c r="N3535" s="1" t="s">
        <v>8</v>
      </c>
      <c r="O3535" s="2">
        <v>44015</v>
      </c>
    </row>
    <row r="3536" spans="1:15" ht="43.2" x14ac:dyDescent="0.3">
      <c r="A3536" s="1" t="s">
        <v>5118</v>
      </c>
      <c r="B3536" s="1" t="str">
        <f>"TUDOR DAVIES &amp; SONS LTD"</f>
        <v>TUDOR DAVIES &amp; SONS LTD</v>
      </c>
      <c r="C3536" s="1" t="s">
        <v>5119</v>
      </c>
      <c r="D3536" s="1" t="s">
        <v>108</v>
      </c>
      <c r="F3536" s="1" t="s">
        <v>64</v>
      </c>
      <c r="H3536" s="1" t="s">
        <v>5120</v>
      </c>
      <c r="I3536" s="1" t="s">
        <v>19</v>
      </c>
      <c r="J3536" s="1" t="s">
        <v>67</v>
      </c>
      <c r="K3536" s="1" t="s">
        <v>14</v>
      </c>
      <c r="M3536" s="2">
        <v>42919</v>
      </c>
      <c r="N3536" s="1" t="s">
        <v>8</v>
      </c>
      <c r="O3536" s="1" t="s">
        <v>68</v>
      </c>
    </row>
    <row r="3537" spans="1:15" ht="28.8" x14ac:dyDescent="0.3">
      <c r="A3537" s="1" t="s">
        <v>5121</v>
      </c>
      <c r="B3537" s="1" t="str">
        <f>"TUDOR DAVIES &amp; SONS LTD"</f>
        <v>TUDOR DAVIES &amp; SONS LTD</v>
      </c>
      <c r="C3537" s="1" t="s">
        <v>5119</v>
      </c>
      <c r="D3537" s="1" t="s">
        <v>108</v>
      </c>
      <c r="F3537" s="1" t="s">
        <v>64</v>
      </c>
      <c r="H3537" s="1" t="s">
        <v>5120</v>
      </c>
      <c r="I3537" s="1" t="s">
        <v>19</v>
      </c>
      <c r="J3537" s="1" t="s">
        <v>6</v>
      </c>
      <c r="K3537" s="1" t="s">
        <v>34</v>
      </c>
      <c r="L3537" s="1">
        <v>10605857</v>
      </c>
      <c r="M3537" s="2">
        <v>42919</v>
      </c>
      <c r="N3537" s="1" t="s">
        <v>8</v>
      </c>
      <c r="O3537" s="2">
        <v>44015</v>
      </c>
    </row>
    <row r="3538" spans="1:15" ht="28.8" x14ac:dyDescent="0.3">
      <c r="A3538" s="1" t="s">
        <v>19168</v>
      </c>
      <c r="B3538" s="1" t="str">
        <f>"peter ridley I LIKE TO MOVE IT MOVE IT"</f>
        <v>peter ridley I LIKE TO MOVE IT MOVE IT</v>
      </c>
      <c r="C3538" s="1" t="s">
        <v>19169</v>
      </c>
      <c r="F3538" s="1" t="s">
        <v>1776</v>
      </c>
      <c r="H3538" s="1" t="s">
        <v>19170</v>
      </c>
      <c r="I3538" s="1" t="s">
        <v>5</v>
      </c>
      <c r="J3538" s="1" t="s">
        <v>6</v>
      </c>
      <c r="K3538" s="1" t="s">
        <v>24</v>
      </c>
      <c r="M3538" s="2">
        <v>42919</v>
      </c>
      <c r="N3538" s="1" t="s">
        <v>8</v>
      </c>
      <c r="O3538" s="2">
        <v>44015</v>
      </c>
    </row>
    <row r="3539" spans="1:15" ht="43.2" x14ac:dyDescent="0.3">
      <c r="A3539" s="1" t="s">
        <v>19171</v>
      </c>
      <c r="B3539" s="1" t="str">
        <f>"Anthony  James B M James Grounds and Graves"</f>
        <v>Anthony  James B M James Grounds and Graves</v>
      </c>
      <c r="C3539" s="1" t="s">
        <v>19172</v>
      </c>
      <c r="F3539" s="1" t="s">
        <v>156</v>
      </c>
      <c r="H3539" s="1" t="s">
        <v>19173</v>
      </c>
      <c r="I3539" s="1" t="s">
        <v>5</v>
      </c>
      <c r="J3539" s="1" t="s">
        <v>6</v>
      </c>
      <c r="K3539" s="1" t="s">
        <v>34</v>
      </c>
      <c r="M3539" s="2">
        <v>42919</v>
      </c>
      <c r="N3539" s="1" t="s">
        <v>8</v>
      </c>
      <c r="O3539" s="2">
        <v>44015</v>
      </c>
    </row>
    <row r="3540" spans="1:15" ht="43.2" x14ac:dyDescent="0.3">
      <c r="A3540" s="1" t="s">
        <v>19174</v>
      </c>
      <c r="B3540" s="1" t="str">
        <f>"Justin Quinn"</f>
        <v>Justin Quinn</v>
      </c>
      <c r="C3540" s="1" t="s">
        <v>19175</v>
      </c>
      <c r="F3540" s="1" t="s">
        <v>64</v>
      </c>
      <c r="H3540" s="1" t="s">
        <v>19176</v>
      </c>
      <c r="I3540" s="1" t="s">
        <v>5</v>
      </c>
      <c r="J3540" s="1" t="s">
        <v>67</v>
      </c>
      <c r="K3540" s="1" t="s">
        <v>14</v>
      </c>
      <c r="M3540" s="2">
        <v>42919</v>
      </c>
      <c r="N3540" s="1" t="s">
        <v>8</v>
      </c>
      <c r="O3540" s="1" t="s">
        <v>68</v>
      </c>
    </row>
    <row r="3541" spans="1:15" ht="43.2" x14ac:dyDescent="0.3">
      <c r="A3541" s="1" t="s">
        <v>19177</v>
      </c>
      <c r="B3541" s="1" t="str">
        <f>"Blair Mcrobbie"</f>
        <v>Blair Mcrobbie</v>
      </c>
      <c r="C3541" s="1" t="s">
        <v>19178</v>
      </c>
      <c r="F3541" s="1" t="s">
        <v>4867</v>
      </c>
      <c r="H3541" s="1" t="s">
        <v>19179</v>
      </c>
      <c r="I3541" s="1" t="s">
        <v>5</v>
      </c>
      <c r="J3541" s="1" t="s">
        <v>67</v>
      </c>
      <c r="K3541" s="1" t="s">
        <v>14</v>
      </c>
      <c r="M3541" s="2">
        <v>42919</v>
      </c>
      <c r="N3541" s="1" t="s">
        <v>8</v>
      </c>
      <c r="O3541" s="1" t="s">
        <v>68</v>
      </c>
    </row>
    <row r="3542" spans="1:15" ht="28.8" x14ac:dyDescent="0.3">
      <c r="A3542" s="1" t="s">
        <v>19180</v>
      </c>
      <c r="B3542" s="1" t="str">
        <f>"ben crockett bwc groundworks"</f>
        <v>ben crockett bwc groundworks</v>
      </c>
      <c r="C3542" s="1" t="s">
        <v>19181</v>
      </c>
      <c r="D3542" s="1" t="s">
        <v>1744</v>
      </c>
      <c r="F3542" s="1" t="s">
        <v>1239</v>
      </c>
      <c r="H3542" s="1" t="s">
        <v>1745</v>
      </c>
      <c r="I3542" s="1" t="s">
        <v>5</v>
      </c>
      <c r="J3542" s="1" t="s">
        <v>6</v>
      </c>
      <c r="K3542" s="1" t="s">
        <v>34</v>
      </c>
      <c r="M3542" s="2">
        <v>42919</v>
      </c>
      <c r="N3542" s="1" t="s">
        <v>8</v>
      </c>
      <c r="O3542" s="2">
        <v>44015</v>
      </c>
    </row>
    <row r="3543" spans="1:15" ht="28.8" x14ac:dyDescent="0.3">
      <c r="A3543" s="1" t="s">
        <v>19964</v>
      </c>
      <c r="B3543" s="1" t="str">
        <f>"russell thomas SES GROUNDWORKS"</f>
        <v>russell thomas SES GROUNDWORKS</v>
      </c>
      <c r="C3543" s="1" t="s">
        <v>19965</v>
      </c>
      <c r="F3543" s="1" t="s">
        <v>123</v>
      </c>
      <c r="H3543" s="1" t="s">
        <v>19966</v>
      </c>
      <c r="I3543" s="1" t="s">
        <v>5</v>
      </c>
      <c r="J3543" s="1" t="s">
        <v>6</v>
      </c>
      <c r="K3543" s="1" t="s">
        <v>24</v>
      </c>
      <c r="M3543" s="2">
        <v>42919</v>
      </c>
      <c r="N3543" s="1" t="s">
        <v>8</v>
      </c>
      <c r="O3543" s="2">
        <v>44015</v>
      </c>
    </row>
    <row r="3544" spans="1:15" ht="43.2" x14ac:dyDescent="0.3">
      <c r="A3544" s="1" t="s">
        <v>29482</v>
      </c>
      <c r="B3544" s="1" t="str">
        <f>"Louise Shepphard Shepphard Electrical"</f>
        <v>Louise Shepphard Shepphard Electrical</v>
      </c>
      <c r="C3544" s="1" t="s">
        <v>29483</v>
      </c>
      <c r="F3544" s="1" t="s">
        <v>1058</v>
      </c>
      <c r="H3544" s="1" t="s">
        <v>3989</v>
      </c>
      <c r="I3544" s="1" t="s">
        <v>5</v>
      </c>
      <c r="J3544" s="1" t="s">
        <v>67</v>
      </c>
      <c r="K3544" s="1" t="s">
        <v>34</v>
      </c>
      <c r="M3544" s="2">
        <v>42918</v>
      </c>
      <c r="N3544" s="1" t="s">
        <v>8</v>
      </c>
      <c r="O3544" s="1" t="s">
        <v>68</v>
      </c>
    </row>
    <row r="3545" spans="1:15" ht="28.8" x14ac:dyDescent="0.3">
      <c r="A3545" s="1" t="s">
        <v>17730</v>
      </c>
      <c r="B3545" s="1" t="str">
        <f>"ELBE Industrial Tyres Ltd"</f>
        <v>ELBE Industrial Tyres Ltd</v>
      </c>
      <c r="C3545" s="1" t="s">
        <v>17731</v>
      </c>
      <c r="D3545" s="1" t="s">
        <v>17732</v>
      </c>
      <c r="E3545" s="1" t="s">
        <v>17733</v>
      </c>
      <c r="F3545" s="1" t="s">
        <v>767</v>
      </c>
      <c r="H3545" s="1" t="s">
        <v>17734</v>
      </c>
      <c r="I3545" s="1" t="s">
        <v>19</v>
      </c>
      <c r="J3545" s="1" t="s">
        <v>6</v>
      </c>
      <c r="K3545" s="1" t="s">
        <v>24</v>
      </c>
      <c r="L3545" s="1">
        <v>7731095</v>
      </c>
      <c r="M3545" s="2">
        <v>42916</v>
      </c>
      <c r="N3545" s="1" t="s">
        <v>8</v>
      </c>
      <c r="O3545" s="2">
        <v>44026</v>
      </c>
    </row>
    <row r="3546" spans="1:15" ht="43.2" x14ac:dyDescent="0.3">
      <c r="A3546" s="1" t="s">
        <v>17735</v>
      </c>
      <c r="B3546" s="1" t="str">
        <f>"GWYNEDD SKIP AND PLANT HIRE LTD"</f>
        <v>GWYNEDD SKIP AND PLANT HIRE LTD</v>
      </c>
      <c r="C3546" s="1" t="s">
        <v>17736</v>
      </c>
      <c r="D3546" s="1" t="s">
        <v>17737</v>
      </c>
      <c r="F3546" s="1" t="s">
        <v>710</v>
      </c>
      <c r="H3546" s="1" t="s">
        <v>12618</v>
      </c>
      <c r="I3546" s="1" t="s">
        <v>19</v>
      </c>
      <c r="J3546" s="1" t="s">
        <v>6</v>
      </c>
      <c r="K3546" s="1" t="s">
        <v>34</v>
      </c>
      <c r="L3546" s="1">
        <v>7701603</v>
      </c>
      <c r="M3546" s="2">
        <v>42916</v>
      </c>
      <c r="N3546" s="1" t="s">
        <v>8</v>
      </c>
      <c r="O3546" s="2">
        <v>44012</v>
      </c>
    </row>
    <row r="3547" spans="1:15" ht="43.2" x14ac:dyDescent="0.3">
      <c r="A3547" s="1" t="s">
        <v>17738</v>
      </c>
      <c r="B3547" s="1" t="str">
        <f>"A.J. Pugh Butchers"</f>
        <v>A.J. Pugh Butchers</v>
      </c>
      <c r="C3547" s="1" t="s">
        <v>17739</v>
      </c>
      <c r="F3547" s="1" t="s">
        <v>1986</v>
      </c>
      <c r="H3547" s="1" t="s">
        <v>17740</v>
      </c>
      <c r="I3547" s="1" t="s">
        <v>125</v>
      </c>
      <c r="J3547" s="1" t="s">
        <v>67</v>
      </c>
      <c r="K3547" s="1" t="s">
        <v>14</v>
      </c>
      <c r="M3547" s="2">
        <v>42916</v>
      </c>
      <c r="N3547" s="1" t="s">
        <v>8</v>
      </c>
      <c r="O3547" s="1" t="s">
        <v>68</v>
      </c>
    </row>
    <row r="3548" spans="1:15" ht="28.8" x14ac:dyDescent="0.3">
      <c r="A3548" s="1" t="s">
        <v>17741</v>
      </c>
      <c r="B3548" s="1" t="str">
        <f>"Eiran Civil Engineering"</f>
        <v>Eiran Civil Engineering</v>
      </c>
      <c r="C3548" s="1" t="s">
        <v>17742</v>
      </c>
      <c r="D3548" s="1" t="s">
        <v>17743</v>
      </c>
      <c r="E3548" s="1" t="s">
        <v>5491</v>
      </c>
      <c r="F3548" s="1" t="s">
        <v>1058</v>
      </c>
      <c r="H3548" s="1" t="s">
        <v>2995</v>
      </c>
      <c r="I3548" s="1" t="s">
        <v>19</v>
      </c>
      <c r="J3548" s="1" t="s">
        <v>6</v>
      </c>
      <c r="K3548" s="1" t="s">
        <v>34</v>
      </c>
      <c r="L3548" s="1">
        <v>2868770</v>
      </c>
      <c r="M3548" s="2">
        <v>42916</v>
      </c>
      <c r="N3548" s="1" t="s">
        <v>8</v>
      </c>
      <c r="O3548" s="2">
        <v>44012</v>
      </c>
    </row>
    <row r="3549" spans="1:15" ht="43.2" x14ac:dyDescent="0.3">
      <c r="A3549" s="1" t="s">
        <v>17744</v>
      </c>
      <c r="B3549" s="1" t="str">
        <f>"United Mobility Training"</f>
        <v>United Mobility Training</v>
      </c>
      <c r="C3549" s="1" t="s">
        <v>17745</v>
      </c>
      <c r="D3549" s="1" t="s">
        <v>12009</v>
      </c>
      <c r="F3549" s="1" t="s">
        <v>1093</v>
      </c>
      <c r="H3549" s="1" t="s">
        <v>7955</v>
      </c>
      <c r="I3549" s="1" t="s">
        <v>1872</v>
      </c>
      <c r="J3549" s="1" t="s">
        <v>67</v>
      </c>
      <c r="K3549" s="1" t="s">
        <v>14</v>
      </c>
      <c r="M3549" s="2">
        <v>42916</v>
      </c>
      <c r="N3549" s="1" t="s">
        <v>8</v>
      </c>
      <c r="O3549" s="1" t="s">
        <v>68</v>
      </c>
    </row>
    <row r="3550" spans="1:15" ht="28.8" x14ac:dyDescent="0.3">
      <c r="A3550" s="1" t="s">
        <v>17746</v>
      </c>
      <c r="B3550" s="1" t="str">
        <f>"SJW Carpentry and Building Ltd"</f>
        <v>SJW Carpentry and Building Ltd</v>
      </c>
      <c r="C3550" s="1" t="s">
        <v>17747</v>
      </c>
      <c r="F3550" s="1" t="s">
        <v>556</v>
      </c>
      <c r="H3550" s="1" t="s">
        <v>17748</v>
      </c>
      <c r="I3550" s="1" t="s">
        <v>19</v>
      </c>
      <c r="J3550" s="1" t="s">
        <v>6</v>
      </c>
      <c r="K3550" s="1" t="s">
        <v>34</v>
      </c>
      <c r="L3550" s="1">
        <v>9517817</v>
      </c>
      <c r="M3550" s="2">
        <v>42916</v>
      </c>
      <c r="N3550" s="1" t="s">
        <v>8</v>
      </c>
      <c r="O3550" s="2">
        <v>44012</v>
      </c>
    </row>
    <row r="3551" spans="1:15" ht="28.8" x14ac:dyDescent="0.3">
      <c r="A3551" s="1" t="s">
        <v>17749</v>
      </c>
      <c r="B3551" s="1" t="str">
        <f>"Rubber roofs ltd"</f>
        <v>Rubber roofs ltd</v>
      </c>
      <c r="C3551" s="1" t="s">
        <v>17750</v>
      </c>
      <c r="D3551" s="1" t="s">
        <v>9554</v>
      </c>
      <c r="E3551" s="1" t="s">
        <v>2236</v>
      </c>
      <c r="F3551" s="1" t="s">
        <v>476</v>
      </c>
      <c r="H3551" s="1" t="s">
        <v>8574</v>
      </c>
      <c r="I3551" s="1" t="s">
        <v>19</v>
      </c>
      <c r="J3551" s="1" t="s">
        <v>6</v>
      </c>
      <c r="K3551" s="1" t="s">
        <v>24</v>
      </c>
      <c r="L3551" s="1">
        <v>8708962</v>
      </c>
      <c r="M3551" s="2">
        <v>42916</v>
      </c>
      <c r="N3551" s="1" t="s">
        <v>8</v>
      </c>
      <c r="O3551" s="2">
        <v>44012</v>
      </c>
    </row>
    <row r="3552" spans="1:15" ht="43.2" x14ac:dyDescent="0.3">
      <c r="A3552" s="1" t="s">
        <v>28718</v>
      </c>
      <c r="B3552" s="1" t="str">
        <f>"Paul Stroud"</f>
        <v>Paul Stroud</v>
      </c>
      <c r="C3552" s="1" t="s">
        <v>7138</v>
      </c>
      <c r="F3552" s="1" t="s">
        <v>123</v>
      </c>
      <c r="H3552" s="1" t="s">
        <v>7139</v>
      </c>
      <c r="I3552" s="1" t="s">
        <v>5</v>
      </c>
      <c r="J3552" s="1" t="s">
        <v>67</v>
      </c>
      <c r="K3552" s="1" t="s">
        <v>14</v>
      </c>
      <c r="M3552" s="2">
        <v>42916</v>
      </c>
      <c r="N3552" s="1" t="s">
        <v>8</v>
      </c>
      <c r="O3552" s="1" t="s">
        <v>68</v>
      </c>
    </row>
    <row r="3553" spans="1:15" ht="43.2" x14ac:dyDescent="0.3">
      <c r="A3553" s="1" t="s">
        <v>29468</v>
      </c>
      <c r="B3553" s="1" t="str">
        <f>"Glyn Warren"</f>
        <v>Glyn Warren</v>
      </c>
      <c r="C3553" s="1" t="s">
        <v>29469</v>
      </c>
      <c r="F3553" s="1" t="s">
        <v>123</v>
      </c>
      <c r="H3553" s="1" t="s">
        <v>29470</v>
      </c>
      <c r="I3553" s="1" t="s">
        <v>5</v>
      </c>
      <c r="J3553" s="1" t="s">
        <v>67</v>
      </c>
      <c r="K3553" s="1" t="s">
        <v>14</v>
      </c>
      <c r="M3553" s="2">
        <v>42916</v>
      </c>
      <c r="N3553" s="1" t="s">
        <v>8</v>
      </c>
      <c r="O3553" s="1" t="s">
        <v>68</v>
      </c>
    </row>
    <row r="3554" spans="1:15" ht="28.8" x14ac:dyDescent="0.3">
      <c r="A3554" s="1" t="s">
        <v>29471</v>
      </c>
      <c r="B3554" s="1" t="str">
        <f>"Ian Whitworth I R W Plumbing &amp; Heating"</f>
        <v>Ian Whitworth I R W Plumbing &amp; Heating</v>
      </c>
      <c r="C3554" s="1" t="s">
        <v>29472</v>
      </c>
      <c r="F3554" s="1" t="s">
        <v>1776</v>
      </c>
      <c r="H3554" s="1" t="s">
        <v>2715</v>
      </c>
      <c r="I3554" s="1" t="s">
        <v>5</v>
      </c>
      <c r="J3554" s="1" t="s">
        <v>6</v>
      </c>
      <c r="K3554" s="1" t="s">
        <v>24</v>
      </c>
      <c r="M3554" s="2">
        <v>42916</v>
      </c>
      <c r="N3554" s="1" t="s">
        <v>8</v>
      </c>
      <c r="O3554" s="2">
        <v>44012</v>
      </c>
    </row>
    <row r="3555" spans="1:15" ht="43.2" x14ac:dyDescent="0.3">
      <c r="A3555" s="1" t="s">
        <v>29473</v>
      </c>
      <c r="B3555" s="1" t="str">
        <f>"David Morris Deeside House Clearances also ADK"</f>
        <v>David Morris Deeside House Clearances also ADK</v>
      </c>
      <c r="C3555" s="1" t="s">
        <v>29474</v>
      </c>
      <c r="F3555" s="1" t="s">
        <v>323</v>
      </c>
      <c r="H3555" s="1" t="s">
        <v>29475</v>
      </c>
      <c r="I3555" s="1" t="s">
        <v>5</v>
      </c>
      <c r="J3555" s="1" t="s">
        <v>6</v>
      </c>
      <c r="K3555" s="1" t="s">
        <v>24</v>
      </c>
      <c r="M3555" s="2">
        <v>42916</v>
      </c>
      <c r="N3555" s="1" t="s">
        <v>8</v>
      </c>
      <c r="O3555" s="2">
        <v>44012</v>
      </c>
    </row>
    <row r="3556" spans="1:15" ht="28.8" x14ac:dyDescent="0.3">
      <c r="A3556" s="1" t="s">
        <v>29476</v>
      </c>
      <c r="B3556" s="1" t="str">
        <f>"frank davies frank davies"</f>
        <v>frank davies frank davies</v>
      </c>
      <c r="C3556" s="1" t="s">
        <v>29477</v>
      </c>
      <c r="F3556" s="1" t="s">
        <v>64</v>
      </c>
      <c r="H3556" s="1" t="s">
        <v>29478</v>
      </c>
      <c r="I3556" s="1" t="s">
        <v>5</v>
      </c>
      <c r="J3556" s="1" t="s">
        <v>6</v>
      </c>
      <c r="K3556" s="1" t="s">
        <v>24</v>
      </c>
      <c r="M3556" s="2">
        <v>42916</v>
      </c>
      <c r="N3556" s="1" t="s">
        <v>8</v>
      </c>
      <c r="O3556" s="2">
        <v>44012</v>
      </c>
    </row>
    <row r="3557" spans="1:15" ht="28.8" x14ac:dyDescent="0.3">
      <c r="A3557" s="1" t="s">
        <v>29479</v>
      </c>
      <c r="B3557" s="1" t="str">
        <f>"Terry Woodham Meadow services"</f>
        <v>Terry Woodham Meadow services</v>
      </c>
      <c r="C3557" s="1" t="s">
        <v>29480</v>
      </c>
      <c r="F3557" s="1" t="s">
        <v>179</v>
      </c>
      <c r="H3557" s="1" t="s">
        <v>29481</v>
      </c>
      <c r="I3557" s="1" t="s">
        <v>5</v>
      </c>
      <c r="J3557" s="1" t="s">
        <v>6</v>
      </c>
      <c r="K3557" s="1" t="s">
        <v>24</v>
      </c>
      <c r="M3557" s="2">
        <v>42916</v>
      </c>
      <c r="N3557" s="1" t="s">
        <v>8</v>
      </c>
      <c r="O3557" s="2">
        <v>44012</v>
      </c>
    </row>
    <row r="3558" spans="1:15" ht="28.8" x14ac:dyDescent="0.3">
      <c r="A3558" s="1" t="s">
        <v>16672</v>
      </c>
      <c r="B3558" s="1" t="str">
        <f>"LANDCRAFT PROJECTS LTD"</f>
        <v>LANDCRAFT PROJECTS LTD</v>
      </c>
      <c r="C3558" s="1" t="s">
        <v>16673</v>
      </c>
      <c r="D3558" s="1" t="s">
        <v>16674</v>
      </c>
      <c r="E3558" s="1" t="s">
        <v>16675</v>
      </c>
      <c r="F3558" s="1" t="s">
        <v>123</v>
      </c>
      <c r="H3558" s="1" t="s">
        <v>6088</v>
      </c>
      <c r="I3558" s="1" t="s">
        <v>19</v>
      </c>
      <c r="J3558" s="1" t="s">
        <v>6</v>
      </c>
      <c r="K3558" s="1" t="s">
        <v>24</v>
      </c>
      <c r="L3558" s="1">
        <v>2701013</v>
      </c>
      <c r="M3558" s="2">
        <v>42915</v>
      </c>
      <c r="N3558" s="1" t="s">
        <v>8</v>
      </c>
      <c r="O3558" s="2">
        <v>44011</v>
      </c>
    </row>
    <row r="3559" spans="1:15" ht="43.2" x14ac:dyDescent="0.3">
      <c r="A3559" s="1" t="s">
        <v>16676</v>
      </c>
      <c r="B3559" s="1" t="str">
        <f>"A &amp; M GENERATORS LTD"</f>
        <v>A &amp; M GENERATORS LTD</v>
      </c>
      <c r="C3559" s="1" t="s">
        <v>9844</v>
      </c>
      <c r="F3559" s="1" t="s">
        <v>2342</v>
      </c>
      <c r="H3559" s="1" t="s">
        <v>9845</v>
      </c>
      <c r="I3559" s="1" t="s">
        <v>19</v>
      </c>
      <c r="J3559" s="1" t="s">
        <v>67</v>
      </c>
      <c r="K3559" s="1" t="s">
        <v>24</v>
      </c>
      <c r="L3559" s="1">
        <v>5733938</v>
      </c>
      <c r="M3559" s="2">
        <v>42915</v>
      </c>
      <c r="N3559" s="1" t="s">
        <v>8</v>
      </c>
      <c r="O3559" s="1" t="s">
        <v>68</v>
      </c>
    </row>
    <row r="3560" spans="1:15" ht="28.8" x14ac:dyDescent="0.3">
      <c r="A3560" s="1" t="s">
        <v>16677</v>
      </c>
      <c r="B3560" s="1" t="str">
        <f>"Heath Windows &amp; Doors Ltd"</f>
        <v>Heath Windows &amp; Doors Ltd</v>
      </c>
      <c r="C3560" s="1" t="s">
        <v>16678</v>
      </c>
      <c r="F3560" s="1" t="s">
        <v>123</v>
      </c>
      <c r="H3560" s="1" t="s">
        <v>7587</v>
      </c>
      <c r="I3560" s="1" t="s">
        <v>19</v>
      </c>
      <c r="J3560" s="1" t="s">
        <v>6</v>
      </c>
      <c r="K3560" s="1" t="s">
        <v>24</v>
      </c>
      <c r="L3560" s="1">
        <v>7762081</v>
      </c>
      <c r="M3560" s="2">
        <v>42915</v>
      </c>
      <c r="N3560" s="1" t="s">
        <v>8</v>
      </c>
      <c r="O3560" s="2">
        <v>44011</v>
      </c>
    </row>
    <row r="3561" spans="1:15" ht="43.2" x14ac:dyDescent="0.3">
      <c r="A3561" s="1" t="s">
        <v>16679</v>
      </c>
      <c r="B3561" s="1" t="str">
        <f>"1ST COMMUNICATIONS LTD"</f>
        <v>1ST COMMUNICATIONS LTD</v>
      </c>
      <c r="C3561" s="1" t="s">
        <v>16680</v>
      </c>
      <c r="F3561" s="1" t="s">
        <v>930</v>
      </c>
      <c r="H3561" s="1" t="s">
        <v>16681</v>
      </c>
      <c r="I3561" s="1" t="s">
        <v>19</v>
      </c>
      <c r="J3561" s="1" t="s">
        <v>6</v>
      </c>
      <c r="K3561" s="1" t="s">
        <v>34</v>
      </c>
      <c r="L3561" s="1">
        <v>6460086</v>
      </c>
      <c r="M3561" s="2">
        <v>42915</v>
      </c>
      <c r="N3561" s="1" t="s">
        <v>8</v>
      </c>
      <c r="O3561" s="2">
        <v>44011</v>
      </c>
    </row>
    <row r="3562" spans="1:15" ht="43.2" x14ac:dyDescent="0.3">
      <c r="A3562" s="1" t="s">
        <v>16682</v>
      </c>
      <c r="B3562" s="1" t="str">
        <f>"The Qube Restaurant Ltd"</f>
        <v>The Qube Restaurant Ltd</v>
      </c>
      <c r="C3562" s="1" t="s">
        <v>16683</v>
      </c>
      <c r="F3562" s="1" t="s">
        <v>1063</v>
      </c>
      <c r="H3562" s="1" t="s">
        <v>16684</v>
      </c>
      <c r="I3562" s="1" t="s">
        <v>19</v>
      </c>
      <c r="J3562" s="1" t="s">
        <v>67</v>
      </c>
      <c r="K3562" s="1" t="s">
        <v>14</v>
      </c>
      <c r="M3562" s="2">
        <v>42915</v>
      </c>
      <c r="N3562" s="1" t="s">
        <v>8</v>
      </c>
      <c r="O3562" s="1" t="s">
        <v>68</v>
      </c>
    </row>
    <row r="3563" spans="1:15" ht="43.2" x14ac:dyDescent="0.3">
      <c r="A3563" s="1" t="s">
        <v>16685</v>
      </c>
      <c r="B3563" s="1" t="str">
        <f>"The Cove Tenby Ltd"</f>
        <v>The Cove Tenby Ltd</v>
      </c>
      <c r="C3563" s="1" t="s">
        <v>16686</v>
      </c>
      <c r="F3563" s="1" t="s">
        <v>1063</v>
      </c>
      <c r="H3563" s="1" t="s">
        <v>16687</v>
      </c>
      <c r="I3563" s="1" t="s">
        <v>19</v>
      </c>
      <c r="J3563" s="1" t="s">
        <v>67</v>
      </c>
      <c r="K3563" s="1" t="s">
        <v>14</v>
      </c>
      <c r="M3563" s="2">
        <v>42915</v>
      </c>
      <c r="N3563" s="1" t="s">
        <v>8</v>
      </c>
      <c r="O3563" s="1" t="s">
        <v>68</v>
      </c>
    </row>
    <row r="3564" spans="1:15" ht="28.8" x14ac:dyDescent="0.3">
      <c r="A3564" s="1" t="s">
        <v>16688</v>
      </c>
      <c r="B3564" s="1" t="str">
        <f>"MCDYER CONTROL SYSTEMS LTD"</f>
        <v>MCDYER CONTROL SYSTEMS LTD</v>
      </c>
      <c r="C3564" s="1" t="s">
        <v>16689</v>
      </c>
      <c r="F3564" s="1" t="s">
        <v>32</v>
      </c>
      <c r="H3564" s="1" t="s">
        <v>16690</v>
      </c>
      <c r="I3564" s="1" t="s">
        <v>19</v>
      </c>
      <c r="J3564" s="1" t="s">
        <v>6</v>
      </c>
      <c r="K3564" s="1" t="s">
        <v>24</v>
      </c>
      <c r="L3564" s="1">
        <v>6877073</v>
      </c>
      <c r="M3564" s="2">
        <v>42915</v>
      </c>
      <c r="N3564" s="1" t="s">
        <v>8</v>
      </c>
      <c r="O3564" s="2">
        <v>44011</v>
      </c>
    </row>
    <row r="3565" spans="1:15" x14ac:dyDescent="0.3">
      <c r="A3565" s="1" t="s">
        <v>16691</v>
      </c>
      <c r="B3565" s="1" t="str">
        <f>"DJ UPVC UK LTD"</f>
        <v>DJ UPVC UK LTD</v>
      </c>
      <c r="C3565" s="1" t="s">
        <v>16692</v>
      </c>
      <c r="F3565" s="1" t="s">
        <v>354</v>
      </c>
      <c r="H3565" s="1" t="s">
        <v>16693</v>
      </c>
      <c r="I3565" s="1" t="s">
        <v>19</v>
      </c>
      <c r="J3565" s="1" t="s">
        <v>6</v>
      </c>
      <c r="K3565" s="1" t="s">
        <v>24</v>
      </c>
      <c r="L3565" s="1">
        <v>8762180</v>
      </c>
      <c r="M3565" s="2">
        <v>42915</v>
      </c>
      <c r="N3565" s="1" t="s">
        <v>8</v>
      </c>
      <c r="O3565" s="2">
        <v>44011</v>
      </c>
    </row>
    <row r="3566" spans="1:15" x14ac:dyDescent="0.3">
      <c r="A3566" s="1" t="s">
        <v>27921</v>
      </c>
      <c r="B3566" s="1" t="str">
        <f>"Steven John Miller"</f>
        <v>Steven John Miller</v>
      </c>
      <c r="C3566" s="1" t="s">
        <v>27922</v>
      </c>
      <c r="F3566" s="1" t="s">
        <v>706</v>
      </c>
      <c r="H3566" s="1" t="s">
        <v>27923</v>
      </c>
      <c r="I3566" s="1" t="s">
        <v>5</v>
      </c>
      <c r="J3566" s="1" t="s">
        <v>6</v>
      </c>
      <c r="K3566" s="1" t="s">
        <v>24</v>
      </c>
      <c r="M3566" s="2">
        <v>42915</v>
      </c>
      <c r="N3566" s="1" t="s">
        <v>8</v>
      </c>
      <c r="O3566" s="2">
        <v>44011</v>
      </c>
    </row>
    <row r="3567" spans="1:15" ht="43.2" x14ac:dyDescent="0.3">
      <c r="A3567" s="1" t="s">
        <v>28695</v>
      </c>
      <c r="B3567" s="1" t="str">
        <f>"Martyn  Williams "</f>
        <v xml:space="preserve">Martyn  Williams </v>
      </c>
      <c r="C3567" s="1" t="s">
        <v>28696</v>
      </c>
      <c r="F3567" s="1" t="s">
        <v>6400</v>
      </c>
      <c r="H3567" s="1" t="s">
        <v>15675</v>
      </c>
      <c r="I3567" s="1" t="s">
        <v>5</v>
      </c>
      <c r="J3567" s="1" t="s">
        <v>67</v>
      </c>
      <c r="K3567" s="1" t="s">
        <v>14</v>
      </c>
      <c r="M3567" s="2">
        <v>42915</v>
      </c>
      <c r="N3567" s="1" t="s">
        <v>8</v>
      </c>
      <c r="O3567" s="1" t="s">
        <v>68</v>
      </c>
    </row>
    <row r="3568" spans="1:15" ht="28.8" x14ac:dyDescent="0.3">
      <c r="A3568" s="1" t="s">
        <v>28697</v>
      </c>
      <c r="B3568" s="1" t="str">
        <f>"Adrian Phillips Adrian Phillips"</f>
        <v>Adrian Phillips Adrian Phillips</v>
      </c>
      <c r="C3568" s="1" t="s">
        <v>28698</v>
      </c>
      <c r="F3568" s="1" t="s">
        <v>678</v>
      </c>
      <c r="H3568" s="1" t="s">
        <v>28699</v>
      </c>
      <c r="I3568" s="1" t="s">
        <v>5</v>
      </c>
      <c r="J3568" s="1" t="s">
        <v>6</v>
      </c>
      <c r="K3568" s="1" t="s">
        <v>24</v>
      </c>
      <c r="M3568" s="2">
        <v>42915</v>
      </c>
      <c r="N3568" s="1" t="s">
        <v>8</v>
      </c>
      <c r="O3568" s="2">
        <v>44011</v>
      </c>
    </row>
    <row r="3569" spans="1:15" ht="28.8" x14ac:dyDescent="0.3">
      <c r="A3569" s="1" t="s">
        <v>28700</v>
      </c>
      <c r="B3569" s="1" t="str">
        <f>"Michael Chugg Michael Chugg"</f>
        <v>Michael Chugg Michael Chugg</v>
      </c>
      <c r="C3569" s="1" t="s">
        <v>28701</v>
      </c>
      <c r="F3569" s="1" t="s">
        <v>123</v>
      </c>
      <c r="H3569" s="1" t="s">
        <v>28702</v>
      </c>
      <c r="I3569" s="1" t="s">
        <v>5</v>
      </c>
      <c r="J3569" s="1" t="s">
        <v>6</v>
      </c>
      <c r="K3569" s="1" t="s">
        <v>24</v>
      </c>
      <c r="M3569" s="2">
        <v>42915</v>
      </c>
      <c r="N3569" s="1" t="s">
        <v>8</v>
      </c>
      <c r="O3569" s="2">
        <v>44011</v>
      </c>
    </row>
    <row r="3570" spans="1:15" ht="28.8" x14ac:dyDescent="0.3">
      <c r="A3570" s="1" t="s">
        <v>28703</v>
      </c>
      <c r="B3570" s="1" t="str">
        <f>"Michael Price Michael Price"</f>
        <v>Michael Price Michael Price</v>
      </c>
      <c r="C3570" s="1" t="s">
        <v>28704</v>
      </c>
      <c r="F3570" s="1" t="s">
        <v>22</v>
      </c>
      <c r="H3570" s="1" t="s">
        <v>28705</v>
      </c>
      <c r="I3570" s="1" t="s">
        <v>5</v>
      </c>
      <c r="J3570" s="1" t="s">
        <v>6</v>
      </c>
      <c r="K3570" s="1" t="s">
        <v>24</v>
      </c>
      <c r="M3570" s="2">
        <v>42915</v>
      </c>
      <c r="N3570" s="1" t="s">
        <v>8</v>
      </c>
      <c r="O3570" s="2">
        <v>44011</v>
      </c>
    </row>
    <row r="3571" spans="1:15" ht="43.2" x14ac:dyDescent="0.3">
      <c r="A3571" s="1" t="s">
        <v>28706</v>
      </c>
      <c r="B3571" s="1" t="str">
        <f>"David Clouting"</f>
        <v>David Clouting</v>
      </c>
      <c r="C3571" s="1" t="s">
        <v>28707</v>
      </c>
      <c r="F3571" s="1" t="s">
        <v>6647</v>
      </c>
      <c r="H3571" s="1" t="s">
        <v>28708</v>
      </c>
      <c r="I3571" s="1" t="s">
        <v>5</v>
      </c>
      <c r="J3571" s="1" t="s">
        <v>67</v>
      </c>
      <c r="K3571" s="1" t="s">
        <v>14</v>
      </c>
      <c r="M3571" s="2">
        <v>42915</v>
      </c>
      <c r="N3571" s="1" t="s">
        <v>8</v>
      </c>
      <c r="O3571" s="1" t="s">
        <v>68</v>
      </c>
    </row>
    <row r="3572" spans="1:15" ht="28.8" x14ac:dyDescent="0.3">
      <c r="A3572" s="1" t="s">
        <v>28709</v>
      </c>
      <c r="B3572" s="1" t="str">
        <f>"STEVE LANNEN AWARD BUILDING"</f>
        <v>STEVE LANNEN AWARD BUILDING</v>
      </c>
      <c r="C3572" s="1" t="s">
        <v>28710</v>
      </c>
      <c r="F3572" s="1" t="s">
        <v>64</v>
      </c>
      <c r="H3572" s="1" t="s">
        <v>28711</v>
      </c>
      <c r="I3572" s="1" t="s">
        <v>5</v>
      </c>
      <c r="J3572" s="1" t="s">
        <v>6</v>
      </c>
      <c r="K3572" s="1" t="s">
        <v>34</v>
      </c>
      <c r="M3572" s="2">
        <v>42915</v>
      </c>
      <c r="N3572" s="1" t="s">
        <v>8</v>
      </c>
      <c r="O3572" s="2">
        <v>44011</v>
      </c>
    </row>
    <row r="3573" spans="1:15" ht="43.2" x14ac:dyDescent="0.3">
      <c r="A3573" s="1" t="s">
        <v>28712</v>
      </c>
      <c r="B3573" s="1" t="str">
        <f>"Clifford  Roberts "</f>
        <v xml:space="preserve">Clifford  Roberts </v>
      </c>
      <c r="C3573" s="1" t="s">
        <v>28713</v>
      </c>
      <c r="F3573" s="1" t="s">
        <v>2</v>
      </c>
      <c r="H3573" s="1" t="s">
        <v>28714</v>
      </c>
      <c r="I3573" s="1" t="s">
        <v>5</v>
      </c>
      <c r="J3573" s="1" t="s">
        <v>67</v>
      </c>
      <c r="K3573" s="1" t="s">
        <v>14</v>
      </c>
      <c r="M3573" s="2">
        <v>42915</v>
      </c>
      <c r="N3573" s="1" t="s">
        <v>8</v>
      </c>
      <c r="O3573" s="1" t="s">
        <v>68</v>
      </c>
    </row>
    <row r="3574" spans="1:15" ht="28.8" x14ac:dyDescent="0.3">
      <c r="A3574" s="1" t="s">
        <v>28715</v>
      </c>
      <c r="B3574" s="1" t="str">
        <f>"Hywel Jones HRJ Carpentry"</f>
        <v>Hywel Jones HRJ Carpentry</v>
      </c>
      <c r="C3574" s="1" t="s">
        <v>28716</v>
      </c>
      <c r="F3574" s="1" t="s">
        <v>42</v>
      </c>
      <c r="H3574" s="1" t="s">
        <v>28717</v>
      </c>
      <c r="I3574" s="1" t="s">
        <v>5</v>
      </c>
      <c r="J3574" s="1" t="s">
        <v>6</v>
      </c>
      <c r="K3574" s="1" t="s">
        <v>24</v>
      </c>
      <c r="M3574" s="2">
        <v>42915</v>
      </c>
      <c r="N3574" s="1" t="s">
        <v>8</v>
      </c>
      <c r="O3574" s="2">
        <v>44011</v>
      </c>
    </row>
    <row r="3575" spans="1:15" ht="28.8" x14ac:dyDescent="0.3">
      <c r="A3575" s="1" t="s">
        <v>15658</v>
      </c>
      <c r="B3575" s="1" t="str">
        <f>"GPC SERVICES LTD"</f>
        <v>GPC SERVICES LTD</v>
      </c>
      <c r="C3575" s="1" t="s">
        <v>15659</v>
      </c>
      <c r="F3575" s="1" t="s">
        <v>123</v>
      </c>
      <c r="H3575" s="1" t="s">
        <v>9265</v>
      </c>
      <c r="I3575" s="1" t="s">
        <v>19</v>
      </c>
      <c r="J3575" s="1" t="s">
        <v>6</v>
      </c>
      <c r="K3575" s="1" t="s">
        <v>34</v>
      </c>
      <c r="L3575" s="1">
        <v>4253701</v>
      </c>
      <c r="M3575" s="2">
        <v>42914</v>
      </c>
      <c r="N3575" s="1" t="s">
        <v>8</v>
      </c>
      <c r="O3575" s="2">
        <v>44010</v>
      </c>
    </row>
    <row r="3576" spans="1:15" ht="28.8" x14ac:dyDescent="0.3">
      <c r="A3576" s="1" t="s">
        <v>15660</v>
      </c>
      <c r="B3576" s="1" t="str">
        <f>"G.A. PARKS  &amp;  ASSOCIATES LTD"</f>
        <v>G.A. PARKS  &amp;  ASSOCIATES LTD</v>
      </c>
      <c r="C3576" s="1" t="s">
        <v>15661</v>
      </c>
      <c r="D3576" s="1" t="s">
        <v>1174</v>
      </c>
      <c r="F3576" s="1" t="s">
        <v>1058</v>
      </c>
      <c r="H3576" s="1" t="s">
        <v>15662</v>
      </c>
      <c r="I3576" s="1" t="s">
        <v>19</v>
      </c>
      <c r="J3576" s="1" t="s">
        <v>6</v>
      </c>
      <c r="K3576" s="1" t="s">
        <v>34</v>
      </c>
      <c r="L3576" s="1">
        <v>5940891</v>
      </c>
      <c r="M3576" s="2">
        <v>42914</v>
      </c>
      <c r="N3576" s="1" t="s">
        <v>8</v>
      </c>
      <c r="O3576" s="2">
        <v>44010</v>
      </c>
    </row>
    <row r="3577" spans="1:15" ht="43.2" x14ac:dyDescent="0.3">
      <c r="A3577" s="1" t="s">
        <v>15663</v>
      </c>
      <c r="B3577" s="1" t="str">
        <f>"Cardiff Eng &amp; Fabs Ltd"</f>
        <v>Cardiff Eng &amp; Fabs Ltd</v>
      </c>
      <c r="C3577" s="1" t="s">
        <v>15664</v>
      </c>
      <c r="D3577" s="1" t="s">
        <v>15665</v>
      </c>
      <c r="F3577" s="1" t="s">
        <v>277</v>
      </c>
      <c r="H3577" s="1" t="s">
        <v>15666</v>
      </c>
      <c r="I3577" s="1" t="s">
        <v>19</v>
      </c>
      <c r="J3577" s="1" t="s">
        <v>67</v>
      </c>
      <c r="K3577" s="1" t="s">
        <v>14</v>
      </c>
      <c r="M3577" s="2">
        <v>42914</v>
      </c>
      <c r="N3577" s="1" t="s">
        <v>8</v>
      </c>
      <c r="O3577" s="1" t="s">
        <v>68</v>
      </c>
    </row>
    <row r="3578" spans="1:15" ht="43.2" x14ac:dyDescent="0.3">
      <c r="A3578" s="1" t="s">
        <v>15667</v>
      </c>
      <c r="B3578" s="1" t="str">
        <f>"The Quay Surgery"</f>
        <v>The Quay Surgery</v>
      </c>
      <c r="C3578" s="1" t="s">
        <v>15668</v>
      </c>
      <c r="D3578" s="1" t="s">
        <v>15669</v>
      </c>
      <c r="F3578" s="1" t="s">
        <v>15670</v>
      </c>
      <c r="H3578" s="1" t="s">
        <v>15671</v>
      </c>
      <c r="I3578" s="1" t="s">
        <v>125</v>
      </c>
      <c r="J3578" s="1" t="s">
        <v>67</v>
      </c>
      <c r="K3578" s="1" t="s">
        <v>14</v>
      </c>
      <c r="M3578" s="2">
        <v>42914</v>
      </c>
      <c r="N3578" s="1" t="s">
        <v>8</v>
      </c>
      <c r="O3578" s="1" t="s">
        <v>68</v>
      </c>
    </row>
    <row r="3579" spans="1:15" ht="28.8" x14ac:dyDescent="0.3">
      <c r="A3579" s="1" t="s">
        <v>15672</v>
      </c>
      <c r="B3579" s="1" t="str">
        <f>"ENVIRONMENTAL WASTE SERVICES LTD"</f>
        <v>ENVIRONMENTAL WASTE SERVICES LTD</v>
      </c>
      <c r="C3579" s="1" t="s">
        <v>15344</v>
      </c>
      <c r="F3579" s="1" t="s">
        <v>156</v>
      </c>
      <c r="H3579" s="1" t="s">
        <v>15345</v>
      </c>
      <c r="I3579" s="1" t="s">
        <v>19</v>
      </c>
      <c r="J3579" s="1" t="s">
        <v>6</v>
      </c>
      <c r="K3579" s="1" t="s">
        <v>24</v>
      </c>
      <c r="L3579" s="1">
        <v>10795320</v>
      </c>
      <c r="M3579" s="2">
        <v>42914</v>
      </c>
      <c r="N3579" s="1" t="s">
        <v>8</v>
      </c>
      <c r="O3579" s="2">
        <v>44010</v>
      </c>
    </row>
    <row r="3580" spans="1:15" ht="43.2" x14ac:dyDescent="0.3">
      <c r="A3580" s="1" t="s">
        <v>15673</v>
      </c>
      <c r="B3580" s="1" t="str">
        <f>"Mr John Williams and Mr Matthew Williams"</f>
        <v>Mr John Williams and Mr Matthew Williams</v>
      </c>
      <c r="C3580" s="1" t="s">
        <v>15674</v>
      </c>
      <c r="F3580" s="1" t="s">
        <v>6400</v>
      </c>
      <c r="H3580" s="1" t="s">
        <v>15675</v>
      </c>
      <c r="I3580" s="1" t="s">
        <v>125</v>
      </c>
      <c r="J3580" s="1" t="s">
        <v>67</v>
      </c>
      <c r="K3580" s="1" t="s">
        <v>24</v>
      </c>
      <c r="M3580" s="2">
        <v>42914</v>
      </c>
      <c r="N3580" s="1" t="s">
        <v>8</v>
      </c>
      <c r="O3580" s="1" t="s">
        <v>68</v>
      </c>
    </row>
    <row r="3581" spans="1:15" ht="43.2" x14ac:dyDescent="0.3">
      <c r="A3581" s="1" t="s">
        <v>27069</v>
      </c>
      <c r="B3581" s="1" t="str">
        <f>"James Banham"</f>
        <v>James Banham</v>
      </c>
      <c r="C3581" s="1" t="s">
        <v>27070</v>
      </c>
      <c r="F3581" s="1" t="s">
        <v>20320</v>
      </c>
      <c r="H3581" s="1" t="s">
        <v>27071</v>
      </c>
      <c r="I3581" s="1" t="s">
        <v>5</v>
      </c>
      <c r="J3581" s="1" t="s">
        <v>67</v>
      </c>
      <c r="K3581" s="1" t="s">
        <v>14</v>
      </c>
      <c r="M3581" s="2">
        <v>42914</v>
      </c>
      <c r="N3581" s="1" t="s">
        <v>8</v>
      </c>
      <c r="O3581" s="1" t="s">
        <v>68</v>
      </c>
    </row>
    <row r="3582" spans="1:15" ht="28.8" x14ac:dyDescent="0.3">
      <c r="A3582" s="1" t="s">
        <v>27072</v>
      </c>
      <c r="B3582" s="1" t="str">
        <f>"James Martin Thomas"</f>
        <v>James Martin Thomas</v>
      </c>
      <c r="C3582" s="1" t="s">
        <v>27073</v>
      </c>
      <c r="D3582" s="1" t="s">
        <v>6139</v>
      </c>
      <c r="F3582" s="1" t="s">
        <v>556</v>
      </c>
      <c r="H3582" s="1" t="s">
        <v>27074</v>
      </c>
      <c r="I3582" s="1" t="s">
        <v>5</v>
      </c>
      <c r="J3582" s="1" t="s">
        <v>6</v>
      </c>
      <c r="K3582" s="1" t="s">
        <v>24</v>
      </c>
      <c r="M3582" s="2">
        <v>42914</v>
      </c>
      <c r="N3582" s="1" t="s">
        <v>8</v>
      </c>
      <c r="O3582" s="2">
        <v>44010</v>
      </c>
    </row>
    <row r="3583" spans="1:15" ht="28.8" x14ac:dyDescent="0.3">
      <c r="A3583" s="1" t="s">
        <v>27905</v>
      </c>
      <c r="B3583" s="1" t="str">
        <f>"Roger Cotterill "</f>
        <v xml:space="preserve">Roger Cotterill </v>
      </c>
      <c r="C3583" s="1" t="s">
        <v>27906</v>
      </c>
      <c r="D3583" s="1" t="s">
        <v>27907</v>
      </c>
      <c r="F3583" s="1" t="s">
        <v>1776</v>
      </c>
      <c r="H3583" s="1" t="s">
        <v>27908</v>
      </c>
      <c r="I3583" s="1" t="s">
        <v>5</v>
      </c>
      <c r="J3583" s="1" t="s">
        <v>6</v>
      </c>
      <c r="K3583" s="1" t="s">
        <v>24</v>
      </c>
      <c r="M3583" s="2">
        <v>42914</v>
      </c>
      <c r="N3583" s="1" t="s">
        <v>8</v>
      </c>
      <c r="O3583" s="2">
        <v>44010</v>
      </c>
    </row>
    <row r="3584" spans="1:15" ht="28.8" x14ac:dyDescent="0.3">
      <c r="A3584" s="1" t="s">
        <v>27909</v>
      </c>
      <c r="B3584" s="1" t="str">
        <f>"JOHN ROWLAND JBR CARPENTRY"</f>
        <v>JOHN ROWLAND JBR CARPENTRY</v>
      </c>
      <c r="C3584" s="1" t="s">
        <v>27910</v>
      </c>
      <c r="F3584" s="1" t="s">
        <v>64</v>
      </c>
      <c r="H3584" s="1" t="s">
        <v>27911</v>
      </c>
      <c r="I3584" s="1" t="s">
        <v>5</v>
      </c>
      <c r="J3584" s="1" t="s">
        <v>6</v>
      </c>
      <c r="K3584" s="1" t="s">
        <v>34</v>
      </c>
      <c r="M3584" s="2">
        <v>42914</v>
      </c>
      <c r="N3584" s="1" t="s">
        <v>8</v>
      </c>
      <c r="O3584" s="2">
        <v>44010</v>
      </c>
    </row>
    <row r="3585" spans="1:15" ht="28.8" x14ac:dyDescent="0.3">
      <c r="A3585" s="1" t="s">
        <v>27912</v>
      </c>
      <c r="B3585" s="1" t="str">
        <f>"Vasile Eustatiu Vasile Eustatiu"</f>
        <v>Vasile Eustatiu Vasile Eustatiu</v>
      </c>
      <c r="C3585" s="1" t="s">
        <v>27913</v>
      </c>
      <c r="F3585" s="1" t="s">
        <v>513</v>
      </c>
      <c r="H3585" s="1" t="s">
        <v>27914</v>
      </c>
      <c r="I3585" s="1" t="s">
        <v>5</v>
      </c>
      <c r="J3585" s="1" t="s">
        <v>6</v>
      </c>
      <c r="K3585" s="1" t="s">
        <v>24</v>
      </c>
      <c r="M3585" s="2">
        <v>42914</v>
      </c>
      <c r="N3585" s="1" t="s">
        <v>8</v>
      </c>
      <c r="O3585" s="2">
        <v>44010</v>
      </c>
    </row>
    <row r="3586" spans="1:15" ht="28.8" x14ac:dyDescent="0.3">
      <c r="A3586" s="1" t="s">
        <v>27915</v>
      </c>
      <c r="B3586" s="1" t="str">
        <f>"Tom Robertson TWR Metal Recycling"</f>
        <v>Tom Robertson TWR Metal Recycling</v>
      </c>
      <c r="C3586" s="1" t="s">
        <v>27916</v>
      </c>
      <c r="F3586" s="1" t="s">
        <v>653</v>
      </c>
      <c r="H3586" s="1" t="s">
        <v>27917</v>
      </c>
      <c r="I3586" s="1" t="s">
        <v>5</v>
      </c>
      <c r="J3586" s="1" t="s">
        <v>6</v>
      </c>
      <c r="K3586" s="1" t="s">
        <v>24</v>
      </c>
      <c r="M3586" s="2">
        <v>42914</v>
      </c>
      <c r="N3586" s="1" t="s">
        <v>8</v>
      </c>
      <c r="O3586" s="2">
        <v>44010</v>
      </c>
    </row>
    <row r="3587" spans="1:15" ht="28.8" x14ac:dyDescent="0.3">
      <c r="A3587" s="1" t="s">
        <v>27918</v>
      </c>
      <c r="B3587" s="1" t="str">
        <f>"Dafydd Davies Rd carpentry and building "</f>
        <v xml:space="preserve">Dafydd Davies Rd carpentry and building </v>
      </c>
      <c r="C3587" s="1" t="s">
        <v>27919</v>
      </c>
      <c r="F3587" s="1" t="s">
        <v>665</v>
      </c>
      <c r="H3587" s="1" t="s">
        <v>27920</v>
      </c>
      <c r="I3587" s="1" t="s">
        <v>5</v>
      </c>
      <c r="J3587" s="1" t="s">
        <v>6</v>
      </c>
      <c r="K3587" s="1" t="s">
        <v>24</v>
      </c>
      <c r="M3587" s="2">
        <v>42914</v>
      </c>
      <c r="N3587" s="1" t="s">
        <v>8</v>
      </c>
      <c r="O3587" s="2">
        <v>44010</v>
      </c>
    </row>
    <row r="3588" spans="1:15" ht="28.8" x14ac:dyDescent="0.3">
      <c r="A3588" s="1" t="s">
        <v>14736</v>
      </c>
      <c r="B3588" s="1" t="str">
        <f>"W H Salusbury &amp; Son"</f>
        <v>W H Salusbury &amp; Son</v>
      </c>
      <c r="C3588" s="1" t="s">
        <v>14737</v>
      </c>
      <c r="D3588" s="1" t="s">
        <v>14738</v>
      </c>
      <c r="F3588" s="1" t="s">
        <v>922</v>
      </c>
      <c r="H3588" s="1" t="s">
        <v>14739</v>
      </c>
      <c r="I3588" s="1" t="s">
        <v>125</v>
      </c>
      <c r="J3588" s="1" t="s">
        <v>6</v>
      </c>
      <c r="K3588" s="1" t="s">
        <v>24</v>
      </c>
      <c r="M3588" s="2">
        <v>42913</v>
      </c>
      <c r="N3588" s="1" t="s">
        <v>8</v>
      </c>
      <c r="O3588" s="2">
        <v>44009</v>
      </c>
    </row>
    <row r="3589" spans="1:15" ht="43.2" x14ac:dyDescent="0.3">
      <c r="A3589" s="1" t="s">
        <v>14740</v>
      </c>
      <c r="B3589" s="1" t="str">
        <f>"W.E Price &amp; Son"</f>
        <v>W.E Price &amp; Son</v>
      </c>
      <c r="C3589" s="1" t="s">
        <v>14741</v>
      </c>
      <c r="F3589" s="1" t="s">
        <v>1986</v>
      </c>
      <c r="H3589" s="1" t="s">
        <v>14742</v>
      </c>
      <c r="I3589" s="1" t="s">
        <v>125</v>
      </c>
      <c r="J3589" s="1" t="s">
        <v>67</v>
      </c>
      <c r="K3589" s="1" t="s">
        <v>14</v>
      </c>
      <c r="M3589" s="2">
        <v>42913</v>
      </c>
      <c r="N3589" s="1" t="s">
        <v>8</v>
      </c>
      <c r="O3589" s="1" t="s">
        <v>68</v>
      </c>
    </row>
    <row r="3590" spans="1:15" ht="43.2" x14ac:dyDescent="0.3">
      <c r="A3590" s="1" t="s">
        <v>14743</v>
      </c>
      <c r="B3590" s="1" t="str">
        <f>"Timbek Ltd"</f>
        <v>Timbek Ltd</v>
      </c>
      <c r="C3590" s="1" t="s">
        <v>10746</v>
      </c>
      <c r="D3590" s="1" t="s">
        <v>14744</v>
      </c>
      <c r="F3590" s="1" t="s">
        <v>156</v>
      </c>
      <c r="H3590" s="1" t="s">
        <v>14745</v>
      </c>
      <c r="I3590" s="1" t="s">
        <v>19</v>
      </c>
      <c r="J3590" s="1" t="s">
        <v>67</v>
      </c>
      <c r="K3590" s="1" t="s">
        <v>14</v>
      </c>
      <c r="M3590" s="2">
        <v>42913</v>
      </c>
      <c r="N3590" s="1" t="s">
        <v>8</v>
      </c>
      <c r="O3590" s="1" t="s">
        <v>68</v>
      </c>
    </row>
    <row r="3591" spans="1:15" ht="43.2" x14ac:dyDescent="0.3">
      <c r="A3591" s="1" t="s">
        <v>14746</v>
      </c>
      <c r="B3591" s="1" t="str">
        <f>"Brevedon Ltd"</f>
        <v>Brevedon Ltd</v>
      </c>
      <c r="C3591" s="1" t="s">
        <v>14747</v>
      </c>
      <c r="F3591" s="1" t="s">
        <v>706</v>
      </c>
      <c r="H3591" s="1" t="s">
        <v>14748</v>
      </c>
      <c r="I3591" s="1" t="s">
        <v>19</v>
      </c>
      <c r="J3591" s="1" t="s">
        <v>67</v>
      </c>
      <c r="K3591" s="1" t="s">
        <v>14</v>
      </c>
      <c r="M3591" s="2">
        <v>42913</v>
      </c>
      <c r="N3591" s="1" t="s">
        <v>8</v>
      </c>
      <c r="O3591" s="1" t="s">
        <v>68</v>
      </c>
    </row>
    <row r="3592" spans="1:15" ht="43.2" x14ac:dyDescent="0.3">
      <c r="A3592" s="1" t="s">
        <v>14749</v>
      </c>
      <c r="B3592" s="1" t="str">
        <f>"d f williams&amp; partners"</f>
        <v>d f williams&amp; partners</v>
      </c>
      <c r="C3592" s="1" t="s">
        <v>14750</v>
      </c>
      <c r="D3592" s="1" t="s">
        <v>12790</v>
      </c>
      <c r="F3592" s="1" t="s">
        <v>720</v>
      </c>
      <c r="H3592" s="1" t="s">
        <v>14751</v>
      </c>
      <c r="I3592" s="1" t="s">
        <v>125</v>
      </c>
      <c r="J3592" s="1" t="s">
        <v>67</v>
      </c>
      <c r="K3592" s="1" t="s">
        <v>24</v>
      </c>
      <c r="M3592" s="2">
        <v>42913</v>
      </c>
      <c r="N3592" s="1" t="s">
        <v>8</v>
      </c>
      <c r="O3592" s="1" t="s">
        <v>68</v>
      </c>
    </row>
    <row r="3593" spans="1:15" ht="28.8" x14ac:dyDescent="0.3">
      <c r="A3593" s="1" t="s">
        <v>14752</v>
      </c>
      <c r="B3593" s="1" t="str">
        <f>"Ryan Jones Plant Hire Ltd."</f>
        <v>Ryan Jones Plant Hire Ltd.</v>
      </c>
      <c r="C3593" s="1" t="s">
        <v>14753</v>
      </c>
      <c r="F3593" s="1" t="s">
        <v>277</v>
      </c>
      <c r="H3593" s="1" t="s">
        <v>14754</v>
      </c>
      <c r="I3593" s="1" t="s">
        <v>19</v>
      </c>
      <c r="J3593" s="1" t="s">
        <v>6</v>
      </c>
      <c r="K3593" s="1" t="s">
        <v>24</v>
      </c>
      <c r="L3593" s="1">
        <v>2968375</v>
      </c>
      <c r="M3593" s="2">
        <v>42913</v>
      </c>
      <c r="N3593" s="1" t="s">
        <v>8</v>
      </c>
      <c r="O3593" s="2">
        <v>44009</v>
      </c>
    </row>
    <row r="3594" spans="1:15" ht="28.8" x14ac:dyDescent="0.3">
      <c r="A3594" s="1" t="s">
        <v>14755</v>
      </c>
      <c r="B3594" s="1" t="str">
        <f>"TME ELECTRICAL CONTRACTING LTD"</f>
        <v>TME ELECTRICAL CONTRACTING LTD</v>
      </c>
      <c r="C3594" s="1" t="s">
        <v>14756</v>
      </c>
      <c r="D3594" s="1" t="s">
        <v>14757</v>
      </c>
      <c r="E3594" s="1" t="s">
        <v>878</v>
      </c>
      <c r="F3594" s="1" t="s">
        <v>37</v>
      </c>
      <c r="H3594" s="1" t="s">
        <v>9437</v>
      </c>
      <c r="I3594" s="1" t="s">
        <v>19</v>
      </c>
      <c r="J3594" s="1" t="s">
        <v>6</v>
      </c>
      <c r="K3594" s="1" t="s">
        <v>24</v>
      </c>
      <c r="L3594" s="1">
        <v>4612725</v>
      </c>
      <c r="M3594" s="2">
        <v>42913</v>
      </c>
      <c r="N3594" s="1" t="s">
        <v>8</v>
      </c>
      <c r="O3594" s="2">
        <v>44009</v>
      </c>
    </row>
    <row r="3595" spans="1:15" ht="28.8" x14ac:dyDescent="0.3">
      <c r="A3595" s="1" t="s">
        <v>14758</v>
      </c>
      <c r="B3595" s="1" t="str">
        <f>"Dinas WindowsLtd"</f>
        <v>Dinas WindowsLtd</v>
      </c>
      <c r="C3595" s="1" t="s">
        <v>14759</v>
      </c>
      <c r="D3595" s="1" t="s">
        <v>14760</v>
      </c>
      <c r="F3595" s="1" t="s">
        <v>123</v>
      </c>
      <c r="H3595" s="1" t="s">
        <v>14761</v>
      </c>
      <c r="I3595" s="1" t="s">
        <v>19</v>
      </c>
      <c r="J3595" s="1" t="s">
        <v>6</v>
      </c>
      <c r="K3595" s="1" t="s">
        <v>34</v>
      </c>
      <c r="L3595" s="1">
        <v>2273324</v>
      </c>
      <c r="M3595" s="2">
        <v>42913</v>
      </c>
      <c r="N3595" s="1" t="s">
        <v>8</v>
      </c>
      <c r="O3595" s="2">
        <v>44009</v>
      </c>
    </row>
    <row r="3596" spans="1:15" ht="43.2" x14ac:dyDescent="0.3">
      <c r="A3596" s="1" t="s">
        <v>14762</v>
      </c>
      <c r="B3596" s="1" t="str">
        <f>"South Wales UPVC Recycling Ltd"</f>
        <v>South Wales UPVC Recycling Ltd</v>
      </c>
      <c r="C3596" s="1" t="s">
        <v>14763</v>
      </c>
      <c r="D3596" s="1" t="s">
        <v>14764</v>
      </c>
      <c r="F3596" s="1" t="s">
        <v>14765</v>
      </c>
      <c r="H3596" s="1" t="s">
        <v>390</v>
      </c>
      <c r="I3596" s="1" t="s">
        <v>19</v>
      </c>
      <c r="J3596" s="1" t="s">
        <v>6</v>
      </c>
      <c r="K3596" s="1" t="s">
        <v>34</v>
      </c>
      <c r="L3596" s="1">
        <v>9437269</v>
      </c>
      <c r="M3596" s="2">
        <v>42913</v>
      </c>
      <c r="N3596" s="1" t="s">
        <v>8</v>
      </c>
      <c r="O3596" s="2">
        <v>44009</v>
      </c>
    </row>
    <row r="3597" spans="1:15" ht="43.2" x14ac:dyDescent="0.3">
      <c r="A3597" s="1" t="s">
        <v>27055</v>
      </c>
      <c r="B3597" s="1" t="str">
        <f>"colin edrop"</f>
        <v>colin edrop</v>
      </c>
      <c r="C3597" s="1" t="s">
        <v>27056</v>
      </c>
      <c r="F3597" s="1" t="s">
        <v>767</v>
      </c>
      <c r="H3597" s="1" t="s">
        <v>27057</v>
      </c>
      <c r="I3597" s="1" t="s">
        <v>5</v>
      </c>
      <c r="J3597" s="1" t="s">
        <v>67</v>
      </c>
      <c r="K3597" s="1" t="s">
        <v>14</v>
      </c>
      <c r="M3597" s="2">
        <v>42913</v>
      </c>
      <c r="N3597" s="1" t="s">
        <v>8</v>
      </c>
      <c r="O3597" s="1" t="s">
        <v>68</v>
      </c>
    </row>
    <row r="3598" spans="1:15" ht="43.2" x14ac:dyDescent="0.3">
      <c r="A3598" s="1" t="s">
        <v>27058</v>
      </c>
      <c r="B3598" s="1" t="str">
        <f>"JILL MATHEWS"</f>
        <v>JILL MATHEWS</v>
      </c>
      <c r="C3598" s="1" t="s">
        <v>27059</v>
      </c>
      <c r="F3598" s="1" t="s">
        <v>706</v>
      </c>
      <c r="H3598" s="1" t="s">
        <v>27060</v>
      </c>
      <c r="I3598" s="1" t="s">
        <v>5</v>
      </c>
      <c r="J3598" s="1" t="s">
        <v>67</v>
      </c>
      <c r="K3598" s="1" t="s">
        <v>14</v>
      </c>
      <c r="M3598" s="2">
        <v>42913</v>
      </c>
      <c r="N3598" s="1" t="s">
        <v>8</v>
      </c>
      <c r="O3598" s="1" t="s">
        <v>68</v>
      </c>
    </row>
    <row r="3599" spans="1:15" ht="28.8" x14ac:dyDescent="0.3">
      <c r="A3599" s="1" t="s">
        <v>27061</v>
      </c>
      <c r="B3599" s="1" t="str">
        <f>"Gail Brusch A Way with Clutter"</f>
        <v>Gail Brusch A Way with Clutter</v>
      </c>
      <c r="C3599" s="1" t="s">
        <v>27062</v>
      </c>
      <c r="F3599" s="1" t="s">
        <v>1239</v>
      </c>
      <c r="H3599" s="1" t="s">
        <v>27063</v>
      </c>
      <c r="I3599" s="1" t="s">
        <v>5</v>
      </c>
      <c r="J3599" s="1" t="s">
        <v>6</v>
      </c>
      <c r="K3599" s="1" t="s">
        <v>34</v>
      </c>
      <c r="M3599" s="2">
        <v>42913</v>
      </c>
      <c r="N3599" s="1" t="s">
        <v>8</v>
      </c>
      <c r="O3599" s="2">
        <v>44009</v>
      </c>
    </row>
    <row r="3600" spans="1:15" x14ac:dyDescent="0.3">
      <c r="A3600" s="1" t="s">
        <v>27064</v>
      </c>
      <c r="B3600" s="1" t="str">
        <f>"Owen Jones Cwm Logs"</f>
        <v>Owen Jones Cwm Logs</v>
      </c>
      <c r="C3600" s="1" t="s">
        <v>27065</v>
      </c>
      <c r="F3600" s="1" t="s">
        <v>710</v>
      </c>
      <c r="H3600" s="1" t="s">
        <v>27066</v>
      </c>
      <c r="I3600" s="1" t="s">
        <v>5</v>
      </c>
      <c r="J3600" s="1" t="s">
        <v>6</v>
      </c>
      <c r="K3600" s="1" t="s">
        <v>24</v>
      </c>
      <c r="M3600" s="2">
        <v>42913</v>
      </c>
      <c r="N3600" s="1" t="s">
        <v>8</v>
      </c>
      <c r="O3600" s="2">
        <v>44009</v>
      </c>
    </row>
    <row r="3601" spans="1:15" ht="28.8" x14ac:dyDescent="0.3">
      <c r="A3601" s="1" t="s">
        <v>27067</v>
      </c>
      <c r="B3601" s="1" t="str">
        <f>"Aled Bowden Aled Huw Bowden"</f>
        <v>Aled Bowden Aled Huw Bowden</v>
      </c>
      <c r="C3601" s="1" t="s">
        <v>27068</v>
      </c>
      <c r="F3601" s="1" t="s">
        <v>32</v>
      </c>
      <c r="H3601" s="1" t="s">
        <v>14352</v>
      </c>
      <c r="I3601" s="1" t="s">
        <v>5</v>
      </c>
      <c r="J3601" s="1" t="s">
        <v>6</v>
      </c>
      <c r="K3601" s="1" t="s">
        <v>24</v>
      </c>
      <c r="M3601" s="2">
        <v>42913</v>
      </c>
      <c r="N3601" s="1" t="s">
        <v>8</v>
      </c>
      <c r="O3601" s="2">
        <v>44009</v>
      </c>
    </row>
    <row r="3602" spans="1:15" ht="43.2" x14ac:dyDescent="0.3">
      <c r="A3602" s="1" t="s">
        <v>6312</v>
      </c>
      <c r="B3602" s="1" t="str">
        <f>"Evolution car and commercial"</f>
        <v>Evolution car and commercial</v>
      </c>
      <c r="C3602" s="1" t="s">
        <v>6313</v>
      </c>
      <c r="F3602" s="1" t="s">
        <v>179</v>
      </c>
      <c r="H3602" s="1" t="s">
        <v>6314</v>
      </c>
      <c r="I3602" s="1" t="s">
        <v>19</v>
      </c>
      <c r="J3602" s="1" t="s">
        <v>67</v>
      </c>
      <c r="K3602" s="1" t="s">
        <v>24</v>
      </c>
      <c r="L3602" s="1">
        <v>6521145</v>
      </c>
      <c r="M3602" s="2">
        <v>42912</v>
      </c>
      <c r="N3602" s="1" t="s">
        <v>8</v>
      </c>
      <c r="O3602" s="1" t="s">
        <v>68</v>
      </c>
    </row>
    <row r="3603" spans="1:15" ht="43.2" x14ac:dyDescent="0.3">
      <c r="A3603" s="1" t="s">
        <v>6315</v>
      </c>
      <c r="B3603" s="1" t="str">
        <f>"Eye Art Garden Ltd"</f>
        <v>Eye Art Garden Ltd</v>
      </c>
      <c r="C3603" s="1" t="s">
        <v>6316</v>
      </c>
      <c r="D3603" s="1" t="s">
        <v>6317</v>
      </c>
      <c r="F3603" s="1" t="s">
        <v>6318</v>
      </c>
      <c r="H3603" s="1" t="s">
        <v>6319</v>
      </c>
      <c r="I3603" s="1" t="s">
        <v>19</v>
      </c>
      <c r="J3603" s="1" t="s">
        <v>67</v>
      </c>
      <c r="K3603" s="1" t="s">
        <v>14</v>
      </c>
      <c r="M3603" s="2">
        <v>42912</v>
      </c>
      <c r="N3603" s="1" t="s">
        <v>8</v>
      </c>
      <c r="O3603" s="1" t="s">
        <v>68</v>
      </c>
    </row>
    <row r="3604" spans="1:15" ht="28.8" x14ac:dyDescent="0.3">
      <c r="A3604" s="1" t="s">
        <v>7377</v>
      </c>
      <c r="B3604" s="1" t="str">
        <f>"ELECTRICAL SUPPLIES (ANGLESEY) LTD"</f>
        <v>ELECTRICAL SUPPLIES (ANGLESEY) LTD</v>
      </c>
      <c r="C3604" s="1" t="s">
        <v>7378</v>
      </c>
      <c r="F3604" s="1" t="s">
        <v>678</v>
      </c>
      <c r="H3604" s="1" t="s">
        <v>7379</v>
      </c>
      <c r="I3604" s="1" t="s">
        <v>19</v>
      </c>
      <c r="J3604" s="1" t="s">
        <v>6</v>
      </c>
      <c r="K3604" s="1" t="s">
        <v>24</v>
      </c>
      <c r="L3604" s="1">
        <v>1076833</v>
      </c>
      <c r="M3604" s="2">
        <v>42912</v>
      </c>
      <c r="N3604" s="1" t="s">
        <v>8</v>
      </c>
      <c r="O3604" s="2">
        <v>44008</v>
      </c>
    </row>
    <row r="3605" spans="1:15" ht="28.8" x14ac:dyDescent="0.3">
      <c r="A3605" s="1" t="s">
        <v>7380</v>
      </c>
      <c r="B3605" s="1" t="str">
        <f>"Heart of Wales Property Services"</f>
        <v>Heart of Wales Property Services</v>
      </c>
      <c r="C3605" s="1" t="s">
        <v>7381</v>
      </c>
      <c r="D3605" s="1" t="s">
        <v>7382</v>
      </c>
      <c r="F3605" s="1" t="s">
        <v>3465</v>
      </c>
      <c r="H3605" s="1" t="s">
        <v>7383</v>
      </c>
      <c r="I3605" s="1" t="s">
        <v>19</v>
      </c>
      <c r="J3605" s="1" t="s">
        <v>6</v>
      </c>
      <c r="K3605" s="1" t="s">
        <v>34</v>
      </c>
      <c r="L3605" s="1">
        <v>10688295</v>
      </c>
      <c r="M3605" s="2">
        <v>42912</v>
      </c>
      <c r="N3605" s="1" t="s">
        <v>8</v>
      </c>
      <c r="O3605" s="2">
        <v>44008</v>
      </c>
    </row>
    <row r="3606" spans="1:15" ht="28.8" x14ac:dyDescent="0.3">
      <c r="A3606" s="1" t="s">
        <v>7384</v>
      </c>
      <c r="B3606" s="1" t="str">
        <f>"Hill Brothers"</f>
        <v>Hill Brothers</v>
      </c>
      <c r="C3606" s="1" t="s">
        <v>7385</v>
      </c>
      <c r="F3606" s="1" t="s">
        <v>3465</v>
      </c>
      <c r="H3606" s="1" t="s">
        <v>7386</v>
      </c>
      <c r="I3606" s="1" t="s">
        <v>125</v>
      </c>
      <c r="J3606" s="1" t="s">
        <v>6</v>
      </c>
      <c r="K3606" s="1" t="s">
        <v>24</v>
      </c>
      <c r="M3606" s="2">
        <v>42912</v>
      </c>
      <c r="N3606" s="1" t="s">
        <v>8</v>
      </c>
      <c r="O3606" s="2">
        <v>44008</v>
      </c>
    </row>
    <row r="3607" spans="1:15" x14ac:dyDescent="0.3">
      <c r="A3607" s="1" t="s">
        <v>7387</v>
      </c>
      <c r="B3607" s="1" t="str">
        <f>"t d rogers"</f>
        <v>t d rogers</v>
      </c>
      <c r="C3607" s="1" t="s">
        <v>7388</v>
      </c>
      <c r="F3607" s="1" t="s">
        <v>2459</v>
      </c>
      <c r="H3607" s="1" t="s">
        <v>7389</v>
      </c>
      <c r="I3607" s="1" t="s">
        <v>125</v>
      </c>
      <c r="J3607" s="1" t="s">
        <v>6</v>
      </c>
      <c r="K3607" s="1" t="s">
        <v>24</v>
      </c>
      <c r="M3607" s="2">
        <v>42912</v>
      </c>
      <c r="N3607" s="1" t="s">
        <v>8</v>
      </c>
      <c r="O3607" s="2">
        <v>44008</v>
      </c>
    </row>
    <row r="3608" spans="1:15" ht="43.2" x14ac:dyDescent="0.3">
      <c r="A3608" s="1" t="s">
        <v>7390</v>
      </c>
      <c r="B3608" s="1" t="str">
        <f>"Waggon and Horses"</f>
        <v>Waggon and Horses</v>
      </c>
      <c r="C3608" s="1" t="s">
        <v>7391</v>
      </c>
      <c r="F3608" s="1" t="s">
        <v>3465</v>
      </c>
      <c r="H3608" s="1" t="s">
        <v>7392</v>
      </c>
      <c r="I3608" s="1" t="s">
        <v>19</v>
      </c>
      <c r="J3608" s="1" t="s">
        <v>67</v>
      </c>
      <c r="K3608" s="1" t="s">
        <v>14</v>
      </c>
      <c r="M3608" s="2">
        <v>42912</v>
      </c>
      <c r="N3608" s="1" t="s">
        <v>8</v>
      </c>
      <c r="O3608" s="1" t="s">
        <v>68</v>
      </c>
    </row>
    <row r="3609" spans="1:15" ht="28.8" x14ac:dyDescent="0.3">
      <c r="A3609" s="1" t="s">
        <v>7393</v>
      </c>
      <c r="B3609" s="1" t="str">
        <f>"Stepside Agricultural Contractors"</f>
        <v>Stepside Agricultural Contractors</v>
      </c>
      <c r="C3609" s="1" t="s">
        <v>7394</v>
      </c>
      <c r="F3609" s="1" t="s">
        <v>1991</v>
      </c>
      <c r="H3609" s="1" t="s">
        <v>7395</v>
      </c>
      <c r="I3609" s="1" t="s">
        <v>125</v>
      </c>
      <c r="J3609" s="1" t="s">
        <v>6</v>
      </c>
      <c r="K3609" s="1" t="s">
        <v>34</v>
      </c>
      <c r="M3609" s="2">
        <v>42912</v>
      </c>
      <c r="N3609" s="1" t="s">
        <v>8</v>
      </c>
      <c r="O3609" s="2">
        <v>44008</v>
      </c>
    </row>
    <row r="3610" spans="1:15" ht="28.8" x14ac:dyDescent="0.3">
      <c r="A3610" s="1" t="s">
        <v>7396</v>
      </c>
      <c r="B3610" s="1" t="str">
        <f>"Woodstyle Joinery(Cumbria) Ltd"</f>
        <v>Woodstyle Joinery(Cumbria) Ltd</v>
      </c>
      <c r="C3610" s="1" t="s">
        <v>7397</v>
      </c>
      <c r="F3610" s="1" t="s">
        <v>7398</v>
      </c>
      <c r="H3610" s="1" t="s">
        <v>7399</v>
      </c>
      <c r="I3610" s="1" t="s">
        <v>19</v>
      </c>
      <c r="J3610" s="1" t="s">
        <v>6</v>
      </c>
      <c r="K3610" s="1" t="s">
        <v>24</v>
      </c>
      <c r="L3610" s="1">
        <v>6330846</v>
      </c>
      <c r="M3610" s="2">
        <v>42912</v>
      </c>
      <c r="N3610" s="1" t="s">
        <v>8</v>
      </c>
      <c r="O3610" s="2">
        <v>44008</v>
      </c>
    </row>
    <row r="3611" spans="1:15" ht="28.8" x14ac:dyDescent="0.3">
      <c r="A3611" s="1" t="s">
        <v>8544</v>
      </c>
      <c r="B3611" s="1" t="str">
        <f>"Roger Bullivant LTD"</f>
        <v>Roger Bullivant LTD</v>
      </c>
      <c r="C3611" s="1" t="s">
        <v>8545</v>
      </c>
      <c r="D3611" s="1" t="s">
        <v>8546</v>
      </c>
      <c r="F3611" s="1" t="s">
        <v>1351</v>
      </c>
      <c r="H3611" s="1" t="s">
        <v>2628</v>
      </c>
      <c r="I3611" s="1" t="s">
        <v>19</v>
      </c>
      <c r="J3611" s="1" t="s">
        <v>6</v>
      </c>
      <c r="K3611" s="1" t="s">
        <v>24</v>
      </c>
      <c r="L3611" s="1">
        <v>7681731</v>
      </c>
      <c r="M3611" s="2">
        <v>42912</v>
      </c>
      <c r="N3611" s="1" t="s">
        <v>8</v>
      </c>
      <c r="O3611" s="2">
        <v>44008</v>
      </c>
    </row>
    <row r="3612" spans="1:15" ht="43.2" x14ac:dyDescent="0.3">
      <c r="A3612" s="1" t="s">
        <v>8547</v>
      </c>
      <c r="B3612" s="1" t="str">
        <f>"CIMELLI HEATING LTD"</f>
        <v>CIMELLI HEATING LTD</v>
      </c>
      <c r="C3612" s="1" t="s">
        <v>8548</v>
      </c>
      <c r="F3612" s="1" t="s">
        <v>214</v>
      </c>
      <c r="H3612" s="1" t="s">
        <v>8549</v>
      </c>
      <c r="I3612" s="1" t="s">
        <v>19</v>
      </c>
      <c r="J3612" s="1" t="s">
        <v>67</v>
      </c>
      <c r="K3612" s="1" t="s">
        <v>34</v>
      </c>
      <c r="L3612" s="1">
        <v>8632172</v>
      </c>
      <c r="M3612" s="2">
        <v>42912</v>
      </c>
      <c r="N3612" s="1" t="s">
        <v>8</v>
      </c>
      <c r="O3612" s="1" t="s">
        <v>68</v>
      </c>
    </row>
    <row r="3613" spans="1:15" ht="28.8" x14ac:dyDescent="0.3">
      <c r="A3613" s="1" t="s">
        <v>21537</v>
      </c>
      <c r="B3613" s="1" t="str">
        <f>"Edward Jones Edward Jones"</f>
        <v>Edward Jones Edward Jones</v>
      </c>
      <c r="C3613" s="1" t="s">
        <v>21538</v>
      </c>
      <c r="F3613" s="1" t="s">
        <v>1058</v>
      </c>
      <c r="H3613" s="1" t="s">
        <v>21539</v>
      </c>
      <c r="I3613" s="1" t="s">
        <v>5</v>
      </c>
      <c r="J3613" s="1" t="s">
        <v>6</v>
      </c>
      <c r="K3613" s="1" t="s">
        <v>24</v>
      </c>
      <c r="M3613" s="2">
        <v>42912</v>
      </c>
      <c r="N3613" s="1" t="s">
        <v>8</v>
      </c>
      <c r="O3613" s="2">
        <v>44008</v>
      </c>
    </row>
    <row r="3614" spans="1:15" ht="43.2" x14ac:dyDescent="0.3">
      <c r="A3614" s="1" t="s">
        <v>22356</v>
      </c>
      <c r="B3614" s="1" t="str">
        <f>"mathew bull"</f>
        <v>mathew bull</v>
      </c>
      <c r="C3614" s="1" t="s">
        <v>22357</v>
      </c>
      <c r="F3614" s="1" t="s">
        <v>5291</v>
      </c>
      <c r="H3614" s="1" t="s">
        <v>22358</v>
      </c>
      <c r="I3614" s="1" t="s">
        <v>5</v>
      </c>
      <c r="J3614" s="1" t="s">
        <v>67</v>
      </c>
      <c r="K3614" s="1" t="s">
        <v>14</v>
      </c>
      <c r="M3614" s="2">
        <v>42912</v>
      </c>
      <c r="N3614" s="1" t="s">
        <v>8</v>
      </c>
      <c r="O3614" s="1" t="s">
        <v>68</v>
      </c>
    </row>
    <row r="3615" spans="1:15" ht="43.2" x14ac:dyDescent="0.3">
      <c r="A3615" s="1" t="s">
        <v>22359</v>
      </c>
      <c r="B3615" s="1" t="str">
        <f>"HELEN HUGGINS"</f>
        <v>HELEN HUGGINS</v>
      </c>
      <c r="C3615" s="1" t="s">
        <v>22360</v>
      </c>
      <c r="F3615" s="1" t="s">
        <v>706</v>
      </c>
      <c r="H3615" s="1" t="s">
        <v>22361</v>
      </c>
      <c r="I3615" s="1" t="s">
        <v>5</v>
      </c>
      <c r="J3615" s="1" t="s">
        <v>67</v>
      </c>
      <c r="K3615" s="1" t="s">
        <v>14</v>
      </c>
      <c r="M3615" s="2">
        <v>42912</v>
      </c>
      <c r="N3615" s="1" t="s">
        <v>8</v>
      </c>
      <c r="O3615" s="1" t="s">
        <v>68</v>
      </c>
    </row>
    <row r="3616" spans="1:15" ht="43.2" x14ac:dyDescent="0.3">
      <c r="A3616" s="1" t="s">
        <v>22362</v>
      </c>
      <c r="B3616" s="1" t="str">
        <f>"Linda Boey"</f>
        <v>Linda Boey</v>
      </c>
      <c r="C3616" s="1" t="s">
        <v>22363</v>
      </c>
      <c r="F3616" s="1" t="s">
        <v>380</v>
      </c>
      <c r="H3616" s="1" t="s">
        <v>22364</v>
      </c>
      <c r="I3616" s="1" t="s">
        <v>5</v>
      </c>
      <c r="J3616" s="1" t="s">
        <v>67</v>
      </c>
      <c r="K3616" s="1" t="s">
        <v>14</v>
      </c>
      <c r="M3616" s="2">
        <v>42912</v>
      </c>
      <c r="N3616" s="1" t="s">
        <v>8</v>
      </c>
      <c r="O3616" s="1" t="s">
        <v>68</v>
      </c>
    </row>
    <row r="3617" spans="1:15" ht="43.2" x14ac:dyDescent="0.3">
      <c r="A3617" s="1" t="s">
        <v>22365</v>
      </c>
      <c r="B3617" s="1" t="str">
        <f>"nicholas burt"</f>
        <v>nicholas burt</v>
      </c>
      <c r="C3617" s="1" t="s">
        <v>22366</v>
      </c>
      <c r="D3617" s="1" t="s">
        <v>2006</v>
      </c>
      <c r="F3617" s="1" t="s">
        <v>123</v>
      </c>
      <c r="H3617" s="1" t="s">
        <v>22367</v>
      </c>
      <c r="I3617" s="1" t="s">
        <v>5</v>
      </c>
      <c r="J3617" s="1" t="s">
        <v>67</v>
      </c>
      <c r="K3617" s="1" t="s">
        <v>14</v>
      </c>
      <c r="M3617" s="2">
        <v>42912</v>
      </c>
      <c r="N3617" s="1" t="s">
        <v>8</v>
      </c>
      <c r="O3617" s="1" t="s">
        <v>68</v>
      </c>
    </row>
    <row r="3618" spans="1:15" ht="28.8" x14ac:dyDescent="0.3">
      <c r="A3618" s="1" t="s">
        <v>6309</v>
      </c>
      <c r="B3618" s="1" t="str">
        <f>"ALAN HAWKINS GAS SERVICES LTD"</f>
        <v>ALAN HAWKINS GAS SERVICES LTD</v>
      </c>
      <c r="C3618" s="1" t="s">
        <v>6310</v>
      </c>
      <c r="F3618" s="1" t="s">
        <v>214</v>
      </c>
      <c r="H3618" s="1" t="s">
        <v>6311</v>
      </c>
      <c r="I3618" s="1" t="s">
        <v>19</v>
      </c>
      <c r="J3618" s="1" t="s">
        <v>6</v>
      </c>
      <c r="K3618" s="1" t="s">
        <v>34</v>
      </c>
      <c r="L3618" s="1">
        <v>10821029</v>
      </c>
      <c r="M3618" s="2">
        <v>42911</v>
      </c>
      <c r="N3618" s="1" t="s">
        <v>8</v>
      </c>
      <c r="O3618" s="2">
        <v>44007</v>
      </c>
    </row>
    <row r="3619" spans="1:15" ht="43.2" x14ac:dyDescent="0.3">
      <c r="A3619" s="1" t="s">
        <v>20766</v>
      </c>
      <c r="B3619" s="1" t="str">
        <f>"Ashley Marriott"</f>
        <v>Ashley Marriott</v>
      </c>
      <c r="C3619" s="1" t="s">
        <v>20767</v>
      </c>
      <c r="F3619" s="1" t="s">
        <v>16590</v>
      </c>
      <c r="H3619" s="1" t="s">
        <v>20768</v>
      </c>
      <c r="I3619" s="1" t="s">
        <v>5</v>
      </c>
      <c r="J3619" s="1" t="s">
        <v>67</v>
      </c>
      <c r="K3619" s="1" t="s">
        <v>14</v>
      </c>
      <c r="M3619" s="2">
        <v>42911</v>
      </c>
      <c r="N3619" s="1" t="s">
        <v>8</v>
      </c>
      <c r="O3619" s="1" t="s">
        <v>68</v>
      </c>
    </row>
    <row r="3620" spans="1:15" ht="28.8" x14ac:dyDescent="0.3">
      <c r="A3620" s="1" t="s">
        <v>5107</v>
      </c>
      <c r="B3620" s="1" t="str">
        <f>"Tidbury Stone Limited"</f>
        <v>Tidbury Stone Limited</v>
      </c>
      <c r="C3620" s="1" t="s">
        <v>5108</v>
      </c>
      <c r="D3620" s="1" t="s">
        <v>5109</v>
      </c>
      <c r="F3620" s="1" t="s">
        <v>5110</v>
      </c>
      <c r="H3620" s="1" t="s">
        <v>5111</v>
      </c>
      <c r="I3620" s="1" t="s">
        <v>19</v>
      </c>
      <c r="J3620" s="1" t="s">
        <v>6</v>
      </c>
      <c r="K3620" s="1" t="s">
        <v>34</v>
      </c>
      <c r="L3620" s="1">
        <v>10717238</v>
      </c>
      <c r="M3620" s="2">
        <v>42910</v>
      </c>
      <c r="N3620" s="1" t="s">
        <v>8</v>
      </c>
      <c r="O3620" s="2">
        <v>44006</v>
      </c>
    </row>
    <row r="3621" spans="1:15" x14ac:dyDescent="0.3">
      <c r="A3621" s="1" t="s">
        <v>5112</v>
      </c>
      <c r="B3621" s="1" t="str">
        <f>"CHOICE FACILITIES LTD"</f>
        <v>CHOICE FACILITIES LTD</v>
      </c>
      <c r="C3621" s="1" t="s">
        <v>5113</v>
      </c>
      <c r="F3621" s="1" t="s">
        <v>123</v>
      </c>
      <c r="H3621" s="1" t="s">
        <v>5114</v>
      </c>
      <c r="I3621" s="1" t="s">
        <v>19</v>
      </c>
      <c r="J3621" s="1" t="s">
        <v>6</v>
      </c>
      <c r="K3621" s="1" t="s">
        <v>24</v>
      </c>
      <c r="L3621" s="1">
        <v>7690915</v>
      </c>
      <c r="M3621" s="2">
        <v>42910</v>
      </c>
      <c r="N3621" s="1" t="s">
        <v>8</v>
      </c>
      <c r="O3621" s="2">
        <v>44006</v>
      </c>
    </row>
    <row r="3622" spans="1:15" ht="28.8" x14ac:dyDescent="0.3">
      <c r="A3622" s="1" t="s">
        <v>5115</v>
      </c>
      <c r="B3622" s="1" t="str">
        <f>"Bayside Enterprise Ltd"</f>
        <v>Bayside Enterprise Ltd</v>
      </c>
      <c r="C3622" s="1" t="s">
        <v>5116</v>
      </c>
      <c r="F3622" s="1" t="s">
        <v>123</v>
      </c>
      <c r="H3622" s="1" t="s">
        <v>5117</v>
      </c>
      <c r="I3622" s="1" t="s">
        <v>19</v>
      </c>
      <c r="J3622" s="1" t="s">
        <v>6</v>
      </c>
      <c r="K3622" s="1" t="s">
        <v>24</v>
      </c>
      <c r="L3622" s="1">
        <v>6770080</v>
      </c>
      <c r="M3622" s="2">
        <v>42910</v>
      </c>
      <c r="N3622" s="1" t="s">
        <v>8</v>
      </c>
      <c r="O3622" s="2">
        <v>44006</v>
      </c>
    </row>
    <row r="3623" spans="1:15" x14ac:dyDescent="0.3">
      <c r="A3623" s="1" t="s">
        <v>19958</v>
      </c>
      <c r="B3623" s="1" t="str">
        <f>"Phil Parton Phil Parton"</f>
        <v>Phil Parton Phil Parton</v>
      </c>
      <c r="C3623" s="1" t="s">
        <v>19959</v>
      </c>
      <c r="F3623" s="1" t="s">
        <v>2</v>
      </c>
      <c r="H3623" s="1" t="s">
        <v>19960</v>
      </c>
      <c r="I3623" s="1" t="s">
        <v>5</v>
      </c>
      <c r="J3623" s="1" t="s">
        <v>6</v>
      </c>
      <c r="K3623" s="1" t="s">
        <v>24</v>
      </c>
      <c r="M3623" s="2">
        <v>42910</v>
      </c>
      <c r="N3623" s="1" t="s">
        <v>8</v>
      </c>
      <c r="O3623" s="2">
        <v>44006</v>
      </c>
    </row>
    <row r="3624" spans="1:15" ht="43.2" x14ac:dyDescent="0.3">
      <c r="A3624" s="1" t="s">
        <v>19961</v>
      </c>
      <c r="B3624" s="1" t="str">
        <f>"David Roberts D R Landscape Building Services "</f>
        <v xml:space="preserve">David Roberts D R Landscape Building Services </v>
      </c>
      <c r="C3624" s="1" t="s">
        <v>19962</v>
      </c>
      <c r="F3624" s="1" t="s">
        <v>123</v>
      </c>
      <c r="H3624" s="1" t="s">
        <v>19963</v>
      </c>
      <c r="I3624" s="1" t="s">
        <v>5</v>
      </c>
      <c r="J3624" s="1" t="s">
        <v>6</v>
      </c>
      <c r="K3624" s="1" t="s">
        <v>24</v>
      </c>
      <c r="M3624" s="2">
        <v>42910</v>
      </c>
      <c r="N3624" s="1" t="s">
        <v>8</v>
      </c>
      <c r="O3624" s="2">
        <v>44006</v>
      </c>
    </row>
    <row r="3625" spans="1:15" ht="43.2" x14ac:dyDescent="0.3">
      <c r="A3625" s="1" t="s">
        <v>20763</v>
      </c>
      <c r="B3625" s="1" t="str">
        <f>"Terry Richards Terlyn Plastering and Home Improvem"</f>
        <v>Terry Richards Terlyn Plastering and Home Improvem</v>
      </c>
      <c r="C3625" s="1" t="s">
        <v>20764</v>
      </c>
      <c r="F3625" s="1" t="s">
        <v>42</v>
      </c>
      <c r="H3625" s="1" t="s">
        <v>20765</v>
      </c>
      <c r="I3625" s="1" t="s">
        <v>5</v>
      </c>
      <c r="J3625" s="1" t="s">
        <v>6</v>
      </c>
      <c r="K3625" s="1" t="s">
        <v>34</v>
      </c>
      <c r="M3625" s="2">
        <v>42910</v>
      </c>
      <c r="N3625" s="1" t="s">
        <v>8</v>
      </c>
      <c r="O3625" s="2">
        <v>44006</v>
      </c>
    </row>
    <row r="3626" spans="1:15" ht="28.8" x14ac:dyDescent="0.3">
      <c r="A3626" s="1" t="s">
        <v>3962</v>
      </c>
      <c r="B3626" s="1" t="str">
        <f>"SPRING SUPPLIES LTD"</f>
        <v>SPRING SUPPLIES LTD</v>
      </c>
      <c r="C3626" s="1" t="s">
        <v>3963</v>
      </c>
      <c r="F3626" s="1" t="s">
        <v>64</v>
      </c>
      <c r="H3626" s="1" t="s">
        <v>3964</v>
      </c>
      <c r="I3626" s="1" t="s">
        <v>19</v>
      </c>
      <c r="J3626" s="1" t="s">
        <v>6</v>
      </c>
      <c r="K3626" s="1" t="s">
        <v>34</v>
      </c>
      <c r="L3626" s="1">
        <v>2659373</v>
      </c>
      <c r="M3626" s="2">
        <v>42909</v>
      </c>
      <c r="N3626" s="1" t="s">
        <v>8</v>
      </c>
      <c r="O3626" s="2">
        <v>44005</v>
      </c>
    </row>
    <row r="3627" spans="1:15" ht="28.8" x14ac:dyDescent="0.3">
      <c r="A3627" s="1" t="s">
        <v>3965</v>
      </c>
      <c r="B3627" s="1" t="str">
        <f>"F  Lloyd (Penley) Ltd."</f>
        <v>F  Lloyd (Penley) Ltd.</v>
      </c>
      <c r="C3627" s="1" t="s">
        <v>3966</v>
      </c>
      <c r="F3627" s="1" t="s">
        <v>532</v>
      </c>
      <c r="H3627" s="1" t="s">
        <v>3967</v>
      </c>
      <c r="I3627" s="1" t="s">
        <v>19</v>
      </c>
      <c r="J3627" s="1" t="s">
        <v>6</v>
      </c>
      <c r="K3627" s="1" t="s">
        <v>24</v>
      </c>
      <c r="L3627" s="1">
        <v>1219185</v>
      </c>
      <c r="M3627" s="2">
        <v>42909</v>
      </c>
      <c r="N3627" s="1" t="s">
        <v>8</v>
      </c>
      <c r="O3627" s="2">
        <v>44005</v>
      </c>
    </row>
    <row r="3628" spans="1:15" ht="28.8" x14ac:dyDescent="0.3">
      <c r="A3628" s="1" t="s">
        <v>3968</v>
      </c>
      <c r="B3628" s="1" t="str">
        <f>"SUNHILL TRANSPORT LTD"</f>
        <v>SUNHILL TRANSPORT LTD</v>
      </c>
      <c r="C3628" s="1" t="s">
        <v>3969</v>
      </c>
      <c r="D3628" s="1" t="s">
        <v>3970</v>
      </c>
      <c r="F3628" s="1" t="s">
        <v>323</v>
      </c>
      <c r="H3628" s="1" t="s">
        <v>3971</v>
      </c>
      <c r="I3628" s="1" t="s">
        <v>19</v>
      </c>
      <c r="J3628" s="1" t="s">
        <v>6</v>
      </c>
      <c r="K3628" s="1" t="s">
        <v>24</v>
      </c>
      <c r="L3628" s="1">
        <v>8035955</v>
      </c>
      <c r="M3628" s="2">
        <v>42909</v>
      </c>
      <c r="N3628" s="1" t="s">
        <v>8</v>
      </c>
      <c r="O3628" s="2">
        <v>44005</v>
      </c>
    </row>
    <row r="3629" spans="1:15" ht="28.8" x14ac:dyDescent="0.3">
      <c r="A3629" s="1" t="s">
        <v>3972</v>
      </c>
      <c r="B3629" s="1" t="str">
        <f>"climate(cardiff)ltd"</f>
        <v>climate(cardiff)ltd</v>
      </c>
      <c r="C3629" s="1" t="s">
        <v>3973</v>
      </c>
      <c r="F3629" s="1" t="s">
        <v>123</v>
      </c>
      <c r="H3629" s="1" t="s">
        <v>3974</v>
      </c>
      <c r="I3629" s="1" t="s">
        <v>19</v>
      </c>
      <c r="J3629" s="1" t="s">
        <v>6</v>
      </c>
      <c r="K3629" s="1" t="s">
        <v>34</v>
      </c>
      <c r="L3629" s="1">
        <v>5458503</v>
      </c>
      <c r="M3629" s="2">
        <v>42909</v>
      </c>
      <c r="N3629" s="1" t="s">
        <v>8</v>
      </c>
      <c r="O3629" s="2">
        <v>44005</v>
      </c>
    </row>
    <row r="3630" spans="1:15" ht="28.8" x14ac:dyDescent="0.3">
      <c r="A3630" s="1" t="s">
        <v>3975</v>
      </c>
      <c r="B3630" s="1" t="str">
        <f>"H.J. &amp; D. WEBB &amp; SONS LTD"</f>
        <v>H.J. &amp; D. WEBB &amp; SONS LTD</v>
      </c>
      <c r="C3630" s="1" t="s">
        <v>3976</v>
      </c>
      <c r="F3630" s="1" t="s">
        <v>2580</v>
      </c>
      <c r="H3630" s="1" t="s">
        <v>3977</v>
      </c>
      <c r="I3630" s="1" t="s">
        <v>19</v>
      </c>
      <c r="J3630" s="1" t="s">
        <v>6</v>
      </c>
      <c r="K3630" s="1" t="s">
        <v>24</v>
      </c>
      <c r="L3630" s="1">
        <v>5768588</v>
      </c>
      <c r="M3630" s="2">
        <v>42909</v>
      </c>
      <c r="N3630" s="1" t="s">
        <v>8</v>
      </c>
      <c r="O3630" s="2">
        <v>44005</v>
      </c>
    </row>
    <row r="3631" spans="1:15" ht="28.8" x14ac:dyDescent="0.3">
      <c r="A3631" s="1" t="s">
        <v>3978</v>
      </c>
      <c r="B3631" s="1" t="str">
        <f>"Tom chamlet Builders Ltd"</f>
        <v>Tom chamlet Builders Ltd</v>
      </c>
      <c r="C3631" s="1" t="s">
        <v>3979</v>
      </c>
      <c r="F3631" s="1" t="s">
        <v>3980</v>
      </c>
      <c r="H3631" s="1" t="s">
        <v>3981</v>
      </c>
      <c r="I3631" s="1" t="s">
        <v>19</v>
      </c>
      <c r="J3631" s="1" t="s">
        <v>6</v>
      </c>
      <c r="K3631" s="1" t="s">
        <v>34</v>
      </c>
      <c r="L3631" s="1">
        <v>8179342</v>
      </c>
      <c r="M3631" s="2">
        <v>42909</v>
      </c>
      <c r="N3631" s="1" t="s">
        <v>8</v>
      </c>
      <c r="O3631" s="2">
        <v>44005</v>
      </c>
    </row>
    <row r="3632" spans="1:15" ht="28.8" x14ac:dyDescent="0.3">
      <c r="A3632" s="1" t="s">
        <v>3982</v>
      </c>
      <c r="B3632" s="1" t="str">
        <f>"C.J.N. ENGINEERING LTD"</f>
        <v>C.J.N. ENGINEERING LTD</v>
      </c>
      <c r="C3632" s="1" t="s">
        <v>3983</v>
      </c>
      <c r="F3632" s="1" t="s">
        <v>156</v>
      </c>
      <c r="H3632" s="1" t="s">
        <v>3984</v>
      </c>
      <c r="I3632" s="1" t="s">
        <v>19</v>
      </c>
      <c r="J3632" s="1" t="s">
        <v>6</v>
      </c>
      <c r="K3632" s="1" t="s">
        <v>34</v>
      </c>
      <c r="L3632" s="1">
        <v>4177002</v>
      </c>
      <c r="M3632" s="2">
        <v>42909</v>
      </c>
      <c r="N3632" s="1" t="s">
        <v>8</v>
      </c>
      <c r="O3632" s="2">
        <v>44005</v>
      </c>
    </row>
    <row r="3633" spans="1:15" ht="28.8" x14ac:dyDescent="0.3">
      <c r="A3633" s="1" t="s">
        <v>5101</v>
      </c>
      <c r="B3633" s="1" t="str">
        <f>"L J Reynolds"</f>
        <v>L J Reynolds</v>
      </c>
      <c r="C3633" s="1" t="s">
        <v>5102</v>
      </c>
      <c r="F3633" s="1" t="s">
        <v>37</v>
      </c>
      <c r="H3633" s="1" t="s">
        <v>5103</v>
      </c>
      <c r="I3633" s="1" t="s">
        <v>125</v>
      </c>
      <c r="J3633" s="1" t="s">
        <v>6</v>
      </c>
      <c r="K3633" s="1" t="s">
        <v>34</v>
      </c>
      <c r="M3633" s="2">
        <v>42909</v>
      </c>
      <c r="N3633" s="1" t="s">
        <v>8</v>
      </c>
      <c r="O3633" s="2">
        <v>44005</v>
      </c>
    </row>
    <row r="3634" spans="1:15" ht="28.8" x14ac:dyDescent="0.3">
      <c r="A3634" s="1" t="s">
        <v>5104</v>
      </c>
      <c r="B3634" s="1" t="str">
        <f>"Camklen LTD"</f>
        <v>Camklen LTD</v>
      </c>
      <c r="C3634" s="1" t="s">
        <v>5105</v>
      </c>
      <c r="F3634" s="1" t="s">
        <v>123</v>
      </c>
      <c r="H3634" s="1" t="s">
        <v>5106</v>
      </c>
      <c r="I3634" s="1" t="s">
        <v>19</v>
      </c>
      <c r="J3634" s="1" t="s">
        <v>6</v>
      </c>
      <c r="K3634" s="1" t="s">
        <v>24</v>
      </c>
      <c r="L3634" s="1">
        <v>9628310</v>
      </c>
      <c r="M3634" s="2">
        <v>42909</v>
      </c>
      <c r="N3634" s="1" t="s">
        <v>8</v>
      </c>
      <c r="O3634" s="2">
        <v>44005</v>
      </c>
    </row>
    <row r="3635" spans="1:15" ht="43.2" x14ac:dyDescent="0.3">
      <c r="A3635" s="1" t="s">
        <v>19165</v>
      </c>
      <c r="B3635" s="1" t="str">
        <f>"Gareth  Griffiths"</f>
        <v>Gareth  Griffiths</v>
      </c>
      <c r="C3635" s="1" t="s">
        <v>19166</v>
      </c>
      <c r="F3635" s="1" t="s">
        <v>380</v>
      </c>
      <c r="H3635" s="1" t="s">
        <v>19167</v>
      </c>
      <c r="I3635" s="1" t="s">
        <v>5</v>
      </c>
      <c r="J3635" s="1" t="s">
        <v>67</v>
      </c>
      <c r="K3635" s="1" t="s">
        <v>14</v>
      </c>
      <c r="M3635" s="2">
        <v>42909</v>
      </c>
      <c r="N3635" s="1" t="s">
        <v>8</v>
      </c>
      <c r="O3635" s="1" t="s">
        <v>68</v>
      </c>
    </row>
    <row r="3636" spans="1:15" ht="43.2" x14ac:dyDescent="0.3">
      <c r="A3636" s="1" t="s">
        <v>19950</v>
      </c>
      <c r="B3636" s="1" t="str">
        <f>"Gareth Griffiths"</f>
        <v>Gareth Griffiths</v>
      </c>
      <c r="C3636" s="1" t="s">
        <v>19166</v>
      </c>
      <c r="F3636" s="1" t="s">
        <v>380</v>
      </c>
      <c r="H3636" s="1" t="s">
        <v>19167</v>
      </c>
      <c r="I3636" s="1" t="s">
        <v>5</v>
      </c>
      <c r="J3636" s="1" t="s">
        <v>67</v>
      </c>
      <c r="K3636" s="1" t="s">
        <v>14</v>
      </c>
      <c r="M3636" s="2">
        <v>42909</v>
      </c>
      <c r="N3636" s="1" t="s">
        <v>8</v>
      </c>
      <c r="O3636" s="1" t="s">
        <v>68</v>
      </c>
    </row>
    <row r="3637" spans="1:15" ht="43.2" x14ac:dyDescent="0.3">
      <c r="A3637" s="1" t="s">
        <v>19951</v>
      </c>
      <c r="B3637" s="1" t="str">
        <f>"DEAN CLARKE"</f>
        <v>DEAN CLARKE</v>
      </c>
      <c r="C3637" s="1" t="s">
        <v>19952</v>
      </c>
      <c r="F3637" s="1" t="s">
        <v>19953</v>
      </c>
      <c r="H3637" s="1" t="s">
        <v>19954</v>
      </c>
      <c r="I3637" s="1" t="s">
        <v>5</v>
      </c>
      <c r="J3637" s="1" t="s">
        <v>67</v>
      </c>
      <c r="K3637" s="1" t="s">
        <v>14</v>
      </c>
      <c r="M3637" s="2">
        <v>42909</v>
      </c>
      <c r="N3637" s="1" t="s">
        <v>8</v>
      </c>
      <c r="O3637" s="1" t="s">
        <v>68</v>
      </c>
    </row>
    <row r="3638" spans="1:15" ht="28.8" x14ac:dyDescent="0.3">
      <c r="A3638" s="1" t="s">
        <v>19955</v>
      </c>
      <c r="B3638" s="1" t="str">
        <f>"Neil  Roberts"</f>
        <v>Neil  Roberts</v>
      </c>
      <c r="C3638" s="1" t="s">
        <v>19956</v>
      </c>
      <c r="F3638" s="1" t="s">
        <v>1063</v>
      </c>
      <c r="H3638" s="1" t="s">
        <v>19957</v>
      </c>
      <c r="I3638" s="1" t="s">
        <v>5</v>
      </c>
      <c r="J3638" s="1" t="s">
        <v>6</v>
      </c>
      <c r="K3638" s="1" t="s">
        <v>34</v>
      </c>
      <c r="M3638" s="2">
        <v>42909</v>
      </c>
      <c r="N3638" s="1" t="s">
        <v>8</v>
      </c>
      <c r="O3638" s="2">
        <v>44005</v>
      </c>
    </row>
    <row r="3639" spans="1:15" ht="28.8" x14ac:dyDescent="0.3">
      <c r="A3639" s="1" t="s">
        <v>3956</v>
      </c>
      <c r="B3639" s="1" t="str">
        <f>"BARRIE THOMAS BUILDERS LTD"</f>
        <v>BARRIE THOMAS BUILDERS LTD</v>
      </c>
      <c r="C3639" s="1" t="s">
        <v>3957</v>
      </c>
      <c r="F3639" s="1" t="s">
        <v>114</v>
      </c>
      <c r="H3639" s="1" t="s">
        <v>3958</v>
      </c>
      <c r="I3639" s="1" t="s">
        <v>19</v>
      </c>
      <c r="J3639" s="1" t="s">
        <v>6</v>
      </c>
      <c r="K3639" s="1" t="s">
        <v>34</v>
      </c>
      <c r="L3639" s="1">
        <v>9138413</v>
      </c>
      <c r="M3639" s="2">
        <v>42908</v>
      </c>
      <c r="N3639" s="1" t="s">
        <v>8</v>
      </c>
      <c r="O3639" s="2">
        <v>44004</v>
      </c>
    </row>
    <row r="3640" spans="1:15" ht="28.8" x14ac:dyDescent="0.3">
      <c r="A3640" s="1" t="s">
        <v>3959</v>
      </c>
      <c r="B3640" s="1" t="str">
        <f>"Kudos"</f>
        <v>Kudos</v>
      </c>
      <c r="C3640" s="1" t="s">
        <v>3960</v>
      </c>
      <c r="F3640" s="1" t="s">
        <v>32</v>
      </c>
      <c r="H3640" s="1" t="s">
        <v>3961</v>
      </c>
      <c r="I3640" s="1" t="s">
        <v>125</v>
      </c>
      <c r="J3640" s="1" t="s">
        <v>6</v>
      </c>
      <c r="K3640" s="1" t="s">
        <v>34</v>
      </c>
      <c r="M3640" s="2">
        <v>42908</v>
      </c>
      <c r="N3640" s="1" t="s">
        <v>8</v>
      </c>
      <c r="O3640" s="2">
        <v>44004</v>
      </c>
    </row>
    <row r="3641" spans="1:15" ht="43.2" x14ac:dyDescent="0.3">
      <c r="A3641" s="1" t="s">
        <v>17695</v>
      </c>
      <c r="B3641" s="1" t="str">
        <f>"KENDALL DEVELOPMENTS (BRIDGEND) LTD"</f>
        <v>KENDALL DEVELOPMENTS (BRIDGEND) LTD</v>
      </c>
      <c r="C3641" s="1" t="s">
        <v>17696</v>
      </c>
      <c r="F3641" s="1" t="s">
        <v>179</v>
      </c>
      <c r="H3641" s="1" t="s">
        <v>17697</v>
      </c>
      <c r="I3641" s="1" t="s">
        <v>19</v>
      </c>
      <c r="J3641" s="1" t="s">
        <v>6</v>
      </c>
      <c r="K3641" s="1" t="s">
        <v>24</v>
      </c>
      <c r="L3641" s="1">
        <v>6624743</v>
      </c>
      <c r="M3641" s="2">
        <v>42908</v>
      </c>
      <c r="N3641" s="1" t="s">
        <v>8</v>
      </c>
      <c r="O3641" s="2">
        <v>44004</v>
      </c>
    </row>
    <row r="3642" spans="1:15" ht="28.8" x14ac:dyDescent="0.3">
      <c r="A3642" s="1" t="s">
        <v>17698</v>
      </c>
      <c r="B3642" s="1" t="str">
        <f>"Simpson Construction"</f>
        <v>Simpson Construction</v>
      </c>
      <c r="C3642" s="1" t="s">
        <v>17699</v>
      </c>
      <c r="F3642" s="1" t="s">
        <v>17700</v>
      </c>
      <c r="H3642" s="1" t="s">
        <v>17701</v>
      </c>
      <c r="I3642" s="1" t="s">
        <v>125</v>
      </c>
      <c r="J3642" s="1" t="s">
        <v>6</v>
      </c>
      <c r="K3642" s="1" t="s">
        <v>24</v>
      </c>
      <c r="M3642" s="2">
        <v>42908</v>
      </c>
      <c r="N3642" s="1" t="s">
        <v>8</v>
      </c>
      <c r="O3642" s="2">
        <v>44004</v>
      </c>
    </row>
    <row r="3643" spans="1:15" ht="28.8" x14ac:dyDescent="0.3">
      <c r="A3643" s="1" t="s">
        <v>17702</v>
      </c>
      <c r="B3643" s="1" t="str">
        <f>"PENTRAETH FIRE AND SECURITY LIMITED"</f>
        <v>PENTRAETH FIRE AND SECURITY LIMITED</v>
      </c>
      <c r="C3643" s="1" t="s">
        <v>17703</v>
      </c>
      <c r="F3643" s="1" t="s">
        <v>5534</v>
      </c>
      <c r="H3643" s="1" t="s">
        <v>5908</v>
      </c>
      <c r="I3643" s="1" t="s">
        <v>19</v>
      </c>
      <c r="J3643" s="1" t="s">
        <v>6</v>
      </c>
      <c r="K3643" s="1" t="s">
        <v>34</v>
      </c>
      <c r="L3643" s="1">
        <v>8087468</v>
      </c>
      <c r="M3643" s="2">
        <v>42908</v>
      </c>
      <c r="N3643" s="1" t="s">
        <v>8</v>
      </c>
      <c r="O3643" s="2">
        <v>44004</v>
      </c>
    </row>
    <row r="3644" spans="1:15" ht="28.8" x14ac:dyDescent="0.3">
      <c r="A3644" s="1" t="s">
        <v>17704</v>
      </c>
      <c r="B3644" s="1" t="str">
        <f>"METAL FABRICATION CO (CARDIFF) LTD"</f>
        <v>METAL FABRICATION CO (CARDIFF) LTD</v>
      </c>
      <c r="C3644" s="1" t="s">
        <v>17705</v>
      </c>
      <c r="F3644" s="1" t="s">
        <v>123</v>
      </c>
      <c r="H3644" s="1" t="s">
        <v>16054</v>
      </c>
      <c r="I3644" s="1" t="s">
        <v>19</v>
      </c>
      <c r="J3644" s="1" t="s">
        <v>6</v>
      </c>
      <c r="K3644" s="1" t="s">
        <v>1859</v>
      </c>
      <c r="L3644" s="1">
        <v>552565</v>
      </c>
      <c r="M3644" s="2">
        <v>42908</v>
      </c>
      <c r="N3644" s="1" t="s">
        <v>8</v>
      </c>
      <c r="O3644" s="2">
        <v>44004</v>
      </c>
    </row>
    <row r="3645" spans="1:15" ht="43.2" x14ac:dyDescent="0.3">
      <c r="A3645" s="1" t="s">
        <v>17706</v>
      </c>
      <c r="B3645" s="1" t="str">
        <f>"Daisy Group Ltd"</f>
        <v>Daisy Group Ltd</v>
      </c>
      <c r="C3645" s="1" t="s">
        <v>17707</v>
      </c>
      <c r="F3645" s="1" t="s">
        <v>4135</v>
      </c>
      <c r="H3645" s="1" t="s">
        <v>17708</v>
      </c>
      <c r="I3645" s="1" t="s">
        <v>19</v>
      </c>
      <c r="J3645" s="1" t="s">
        <v>67</v>
      </c>
      <c r="K3645" s="1" t="s">
        <v>14</v>
      </c>
      <c r="M3645" s="2">
        <v>42908</v>
      </c>
      <c r="N3645" s="1" t="s">
        <v>8</v>
      </c>
      <c r="O3645" s="1" t="s">
        <v>68</v>
      </c>
    </row>
    <row r="3646" spans="1:15" ht="28.8" x14ac:dyDescent="0.3">
      <c r="A3646" s="1" t="s">
        <v>29423</v>
      </c>
      <c r="B3646" s="1" t="str">
        <f>"Amos Jones Amos Jones"</f>
        <v>Amos Jones Amos Jones</v>
      </c>
      <c r="C3646" s="1" t="s">
        <v>29424</v>
      </c>
      <c r="D3646" s="1" t="s">
        <v>29425</v>
      </c>
      <c r="F3646" s="1" t="s">
        <v>1058</v>
      </c>
      <c r="H3646" s="1" t="s">
        <v>21539</v>
      </c>
      <c r="I3646" s="1" t="s">
        <v>5</v>
      </c>
      <c r="J3646" s="1" t="s">
        <v>6</v>
      </c>
      <c r="K3646" s="1" t="s">
        <v>24</v>
      </c>
      <c r="M3646" s="2">
        <v>42908</v>
      </c>
      <c r="N3646" s="1" t="s">
        <v>8</v>
      </c>
      <c r="O3646" s="2">
        <v>44004</v>
      </c>
    </row>
    <row r="3647" spans="1:15" x14ac:dyDescent="0.3">
      <c r="A3647" s="1" t="s">
        <v>29426</v>
      </c>
      <c r="B3647" s="1" t="str">
        <f>"Liam Jones Liam Jones"</f>
        <v>Liam Jones Liam Jones</v>
      </c>
      <c r="C3647" s="1" t="s">
        <v>29427</v>
      </c>
      <c r="F3647" s="1" t="s">
        <v>706</v>
      </c>
      <c r="H3647" s="1" t="s">
        <v>29428</v>
      </c>
      <c r="I3647" s="1" t="s">
        <v>5</v>
      </c>
      <c r="J3647" s="1" t="s">
        <v>6</v>
      </c>
      <c r="K3647" s="1" t="s">
        <v>24</v>
      </c>
      <c r="M3647" s="2">
        <v>42908</v>
      </c>
      <c r="N3647" s="1" t="s">
        <v>8</v>
      </c>
      <c r="O3647" s="2">
        <v>44004</v>
      </c>
    </row>
    <row r="3648" spans="1:15" ht="43.2" x14ac:dyDescent="0.3">
      <c r="A3648" s="1" t="s">
        <v>29429</v>
      </c>
      <c r="B3648" s="1" t="str">
        <f>"philip robinson"</f>
        <v>philip robinson</v>
      </c>
      <c r="C3648" s="1" t="s">
        <v>29430</v>
      </c>
      <c r="F3648" s="1" t="s">
        <v>2459</v>
      </c>
      <c r="H3648" s="1" t="s">
        <v>29431</v>
      </c>
      <c r="I3648" s="1" t="s">
        <v>5</v>
      </c>
      <c r="J3648" s="1" t="s">
        <v>67</v>
      </c>
      <c r="K3648" s="1" t="s">
        <v>14</v>
      </c>
      <c r="M3648" s="2">
        <v>42908</v>
      </c>
      <c r="N3648" s="1" t="s">
        <v>8</v>
      </c>
      <c r="O3648" s="1" t="s">
        <v>68</v>
      </c>
    </row>
    <row r="3649" spans="1:15" ht="28.8" x14ac:dyDescent="0.3">
      <c r="A3649" s="1" t="s">
        <v>29432</v>
      </c>
      <c r="B3649" s="1" t="str">
        <f>"ROBERT ROBERTS GBS ENVIRONMENTAL"</f>
        <v>ROBERT ROBERTS GBS ENVIRONMENTAL</v>
      </c>
      <c r="C3649" s="1" t="s">
        <v>29433</v>
      </c>
      <c r="F3649" s="1" t="s">
        <v>151</v>
      </c>
      <c r="H3649" s="1" t="s">
        <v>29434</v>
      </c>
      <c r="I3649" s="1" t="s">
        <v>5</v>
      </c>
      <c r="J3649" s="1" t="s">
        <v>6</v>
      </c>
      <c r="K3649" s="1" t="s">
        <v>34</v>
      </c>
      <c r="M3649" s="2">
        <v>42908</v>
      </c>
      <c r="N3649" s="1" t="s">
        <v>8</v>
      </c>
      <c r="O3649" s="2">
        <v>44004</v>
      </c>
    </row>
    <row r="3650" spans="1:15" ht="43.2" x14ac:dyDescent="0.3">
      <c r="A3650" s="1" t="s">
        <v>29435</v>
      </c>
      <c r="B3650" s="1" t="str">
        <f>"Simon Jones"</f>
        <v>Simon Jones</v>
      </c>
      <c r="C3650" s="1" t="s">
        <v>29436</v>
      </c>
      <c r="F3650" s="1" t="s">
        <v>56</v>
      </c>
      <c r="H3650" s="1" t="s">
        <v>14932</v>
      </c>
      <c r="I3650" s="1" t="s">
        <v>5</v>
      </c>
      <c r="J3650" s="1" t="s">
        <v>67</v>
      </c>
      <c r="K3650" s="1" t="s">
        <v>14</v>
      </c>
      <c r="M3650" s="2">
        <v>42908</v>
      </c>
      <c r="N3650" s="1" t="s">
        <v>8</v>
      </c>
      <c r="O3650" s="1" t="s">
        <v>68</v>
      </c>
    </row>
    <row r="3651" spans="1:15" ht="43.2" x14ac:dyDescent="0.3">
      <c r="A3651" s="1" t="s">
        <v>29437</v>
      </c>
      <c r="B3651" s="1" t="str">
        <f>"Christopher Chappell"</f>
        <v>Christopher Chappell</v>
      </c>
      <c r="C3651" s="1" t="s">
        <v>29438</v>
      </c>
      <c r="F3651" s="1" t="s">
        <v>42</v>
      </c>
      <c r="H3651" s="1" t="s">
        <v>29439</v>
      </c>
      <c r="I3651" s="1" t="s">
        <v>5</v>
      </c>
      <c r="J3651" s="1" t="s">
        <v>67</v>
      </c>
      <c r="K3651" s="1" t="s">
        <v>14</v>
      </c>
      <c r="M3651" s="2">
        <v>42908</v>
      </c>
      <c r="N3651" s="1" t="s">
        <v>8</v>
      </c>
      <c r="O3651" s="1" t="s">
        <v>68</v>
      </c>
    </row>
    <row r="3652" spans="1:15" ht="28.8" x14ac:dyDescent="0.3">
      <c r="A3652" s="1" t="s">
        <v>16659</v>
      </c>
      <c r="B3652" s="1" t="str">
        <f>"MJW ELECTRICAL (UK) LTD"</f>
        <v>MJW ELECTRICAL (UK) LTD</v>
      </c>
      <c r="C3652" s="1" t="s">
        <v>16660</v>
      </c>
      <c r="D3652" s="1" t="s">
        <v>1350</v>
      </c>
      <c r="F3652" s="1" t="s">
        <v>1351</v>
      </c>
      <c r="H3652" s="1" t="s">
        <v>2628</v>
      </c>
      <c r="I3652" s="1" t="s">
        <v>19</v>
      </c>
      <c r="J3652" s="1" t="s">
        <v>6</v>
      </c>
      <c r="K3652" s="1" t="s">
        <v>24</v>
      </c>
      <c r="L3652" s="1">
        <v>7070260</v>
      </c>
      <c r="M3652" s="2">
        <v>42907</v>
      </c>
      <c r="N3652" s="1" t="s">
        <v>8</v>
      </c>
      <c r="O3652" s="2">
        <v>44003</v>
      </c>
    </row>
    <row r="3653" spans="1:15" ht="28.8" x14ac:dyDescent="0.3">
      <c r="A3653" s="1" t="s">
        <v>16661</v>
      </c>
      <c r="B3653" s="1" t="str">
        <f>"COOKS CARPETS &amp; FURNISHING LTD"</f>
        <v>COOKS CARPETS &amp; FURNISHING LTD</v>
      </c>
      <c r="C3653" s="1" t="s">
        <v>16662</v>
      </c>
      <c r="D3653" s="1" t="s">
        <v>16663</v>
      </c>
      <c r="E3653" s="1" t="s">
        <v>5827</v>
      </c>
      <c r="F3653" s="1" t="s">
        <v>720</v>
      </c>
      <c r="H3653" s="1" t="s">
        <v>10353</v>
      </c>
      <c r="I3653" s="1" t="s">
        <v>19</v>
      </c>
      <c r="J3653" s="1" t="s">
        <v>6</v>
      </c>
      <c r="K3653" s="1" t="s">
        <v>24</v>
      </c>
      <c r="L3653" s="1">
        <v>4254698</v>
      </c>
      <c r="M3653" s="2">
        <v>42907</v>
      </c>
      <c r="N3653" s="1" t="s">
        <v>8</v>
      </c>
      <c r="O3653" s="2">
        <v>44003</v>
      </c>
    </row>
    <row r="3654" spans="1:15" ht="28.8" x14ac:dyDescent="0.3">
      <c r="A3654" s="1" t="s">
        <v>16664</v>
      </c>
      <c r="B3654" s="1" t="str">
        <f>"ERECYCLER LIMITED"</f>
        <v>ERECYCLER LIMITED</v>
      </c>
      <c r="C3654" s="1" t="s">
        <v>16665</v>
      </c>
      <c r="D3654" s="1" t="s">
        <v>626</v>
      </c>
      <c r="F3654" s="1" t="s">
        <v>156</v>
      </c>
      <c r="H3654" s="1" t="s">
        <v>627</v>
      </c>
      <c r="I3654" s="1" t="s">
        <v>19</v>
      </c>
      <c r="J3654" s="1" t="s">
        <v>6</v>
      </c>
      <c r="K3654" s="1" t="s">
        <v>34</v>
      </c>
      <c r="L3654" s="1">
        <v>9070061</v>
      </c>
      <c r="M3654" s="2">
        <v>42907</v>
      </c>
      <c r="N3654" s="1" t="s">
        <v>8</v>
      </c>
      <c r="O3654" s="2">
        <v>44003</v>
      </c>
    </row>
    <row r="3655" spans="1:15" ht="43.2" x14ac:dyDescent="0.3">
      <c r="A3655" s="1" t="s">
        <v>16666</v>
      </c>
      <c r="B3655" s="1" t="str">
        <f>"FTM Materials Handling Ltd"</f>
        <v>FTM Materials Handling Ltd</v>
      </c>
      <c r="C3655" s="1" t="s">
        <v>16667</v>
      </c>
      <c r="F3655" s="1" t="s">
        <v>179</v>
      </c>
      <c r="H3655" s="1" t="s">
        <v>3556</v>
      </c>
      <c r="I3655" s="1" t="s">
        <v>19</v>
      </c>
      <c r="J3655" s="1" t="s">
        <v>67</v>
      </c>
      <c r="K3655" s="1" t="s">
        <v>24</v>
      </c>
      <c r="L3655" s="1">
        <v>2007156</v>
      </c>
      <c r="M3655" s="2">
        <v>42907</v>
      </c>
      <c r="N3655" s="1" t="s">
        <v>8</v>
      </c>
      <c r="O3655" s="1" t="s">
        <v>68</v>
      </c>
    </row>
    <row r="3656" spans="1:15" ht="43.2" x14ac:dyDescent="0.3">
      <c r="A3656" s="1" t="s">
        <v>17689</v>
      </c>
      <c r="B3656" s="1" t="str">
        <f>"The Avenue"</f>
        <v>The Avenue</v>
      </c>
      <c r="C3656" s="1" t="s">
        <v>17690</v>
      </c>
      <c r="F3656" s="1" t="s">
        <v>1341</v>
      </c>
      <c r="H3656" s="1" t="s">
        <v>17691</v>
      </c>
      <c r="I3656" s="1" t="s">
        <v>19</v>
      </c>
      <c r="J3656" s="1" t="s">
        <v>67</v>
      </c>
      <c r="K3656" s="1" t="s">
        <v>14</v>
      </c>
      <c r="M3656" s="2">
        <v>42907</v>
      </c>
      <c r="N3656" s="1" t="s">
        <v>8</v>
      </c>
      <c r="O3656" s="1" t="s">
        <v>68</v>
      </c>
    </row>
    <row r="3657" spans="1:15" ht="28.8" x14ac:dyDescent="0.3">
      <c r="A3657" s="1" t="s">
        <v>17692</v>
      </c>
      <c r="B3657" s="1" t="str">
        <f>"Ignis Services Limited"</f>
        <v>Ignis Services Limited</v>
      </c>
      <c r="C3657" s="1" t="s">
        <v>17693</v>
      </c>
      <c r="F3657" s="1" t="s">
        <v>37</v>
      </c>
      <c r="H3657" s="1" t="s">
        <v>17694</v>
      </c>
      <c r="I3657" s="1" t="s">
        <v>19</v>
      </c>
      <c r="J3657" s="1" t="s">
        <v>6</v>
      </c>
      <c r="K3657" s="1" t="s">
        <v>34</v>
      </c>
      <c r="L3657" s="1">
        <v>10099624</v>
      </c>
      <c r="M3657" s="2">
        <v>42907</v>
      </c>
      <c r="N3657" s="1" t="s">
        <v>8</v>
      </c>
      <c r="O3657" s="2">
        <v>44003</v>
      </c>
    </row>
    <row r="3658" spans="1:15" ht="43.2" x14ac:dyDescent="0.3">
      <c r="A3658" s="1" t="s">
        <v>28678</v>
      </c>
      <c r="B3658" s="1" t="str">
        <f>"Martin Oare"</f>
        <v>Martin Oare</v>
      </c>
      <c r="C3658" s="1" t="s">
        <v>28679</v>
      </c>
      <c r="F3658" s="1" t="s">
        <v>4645</v>
      </c>
      <c r="H3658" s="1" t="s">
        <v>28680</v>
      </c>
      <c r="I3658" s="1" t="s">
        <v>5</v>
      </c>
      <c r="J3658" s="1" t="s">
        <v>67</v>
      </c>
      <c r="K3658" s="1" t="s">
        <v>14</v>
      </c>
      <c r="M3658" s="2">
        <v>42907</v>
      </c>
      <c r="N3658" s="1" t="s">
        <v>8</v>
      </c>
      <c r="O3658" s="1" t="s">
        <v>68</v>
      </c>
    </row>
    <row r="3659" spans="1:15" ht="43.2" x14ac:dyDescent="0.3">
      <c r="A3659" s="1" t="s">
        <v>28681</v>
      </c>
      <c r="B3659" s="1" t="str">
        <f>"Michael Davies"</f>
        <v>Michael Davies</v>
      </c>
      <c r="C3659" s="1" t="s">
        <v>28682</v>
      </c>
      <c r="F3659" s="1" t="s">
        <v>798</v>
      </c>
      <c r="H3659" s="1" t="s">
        <v>28683</v>
      </c>
      <c r="I3659" s="1" t="s">
        <v>5</v>
      </c>
      <c r="J3659" s="1" t="s">
        <v>67</v>
      </c>
      <c r="K3659" s="1" t="s">
        <v>14</v>
      </c>
      <c r="M3659" s="2">
        <v>42907</v>
      </c>
      <c r="N3659" s="1" t="s">
        <v>8</v>
      </c>
      <c r="O3659" s="1" t="s">
        <v>68</v>
      </c>
    </row>
    <row r="3660" spans="1:15" ht="28.8" x14ac:dyDescent="0.3">
      <c r="A3660" s="1" t="s">
        <v>16644</v>
      </c>
      <c r="B3660" s="1" t="str">
        <f>"w e blackwell ltd"</f>
        <v>w e blackwell ltd</v>
      </c>
      <c r="C3660" s="1" t="s">
        <v>16645</v>
      </c>
      <c r="D3660" s="1" t="s">
        <v>13063</v>
      </c>
      <c r="F3660" s="1" t="s">
        <v>720</v>
      </c>
      <c r="H3660" s="1" t="s">
        <v>13064</v>
      </c>
      <c r="I3660" s="1" t="s">
        <v>19</v>
      </c>
      <c r="J3660" s="1" t="s">
        <v>6</v>
      </c>
      <c r="K3660" s="1" t="s">
        <v>34</v>
      </c>
      <c r="L3660" s="1">
        <v>3974566</v>
      </c>
      <c r="M3660" s="2">
        <v>42906</v>
      </c>
      <c r="N3660" s="1" t="s">
        <v>8</v>
      </c>
      <c r="O3660" s="2">
        <v>44002</v>
      </c>
    </row>
    <row r="3661" spans="1:15" x14ac:dyDescent="0.3">
      <c r="A3661" s="1" t="s">
        <v>16646</v>
      </c>
      <c r="B3661" s="1" t="str">
        <f>"Mark Franks Ltd."</f>
        <v>Mark Franks Ltd.</v>
      </c>
      <c r="C3661" s="1" t="s">
        <v>16647</v>
      </c>
      <c r="D3661" s="1" t="s">
        <v>2169</v>
      </c>
      <c r="F3661" s="1" t="s">
        <v>179</v>
      </c>
      <c r="H3661" s="1" t="s">
        <v>16648</v>
      </c>
      <c r="I3661" s="1" t="s">
        <v>19</v>
      </c>
      <c r="J3661" s="1" t="s">
        <v>6</v>
      </c>
      <c r="K3661" s="1" t="s">
        <v>24</v>
      </c>
      <c r="L3661" s="1">
        <v>5724391</v>
      </c>
      <c r="M3661" s="2">
        <v>42906</v>
      </c>
      <c r="N3661" s="1" t="s">
        <v>8</v>
      </c>
      <c r="O3661" s="2">
        <v>44002</v>
      </c>
    </row>
    <row r="3662" spans="1:15" ht="28.8" x14ac:dyDescent="0.3">
      <c r="A3662" s="1" t="s">
        <v>16649</v>
      </c>
      <c r="B3662" s="1" t="str">
        <f>"Rhino Electrical Services Limited"</f>
        <v>Rhino Electrical Services Limited</v>
      </c>
      <c r="C3662" s="1" t="s">
        <v>16650</v>
      </c>
      <c r="D3662" s="1" t="s">
        <v>934</v>
      </c>
      <c r="F3662" s="1" t="s">
        <v>767</v>
      </c>
      <c r="H3662" s="1" t="s">
        <v>16651</v>
      </c>
      <c r="I3662" s="1" t="s">
        <v>19</v>
      </c>
      <c r="J3662" s="1" t="s">
        <v>6</v>
      </c>
      <c r="K3662" s="1" t="s">
        <v>24</v>
      </c>
      <c r="L3662" s="1">
        <v>10248526</v>
      </c>
      <c r="M3662" s="2">
        <v>42906</v>
      </c>
      <c r="N3662" s="1" t="s">
        <v>8</v>
      </c>
      <c r="O3662" s="2">
        <v>44002</v>
      </c>
    </row>
    <row r="3663" spans="1:15" ht="28.8" x14ac:dyDescent="0.3">
      <c r="A3663" s="1" t="s">
        <v>16652</v>
      </c>
      <c r="B3663" s="1" t="str">
        <f>"CAD Services Ltd"</f>
        <v>CAD Services Ltd</v>
      </c>
      <c r="C3663" s="1" t="s">
        <v>16653</v>
      </c>
      <c r="D3663" s="1" t="s">
        <v>9059</v>
      </c>
      <c r="E3663" s="1" t="s">
        <v>6518</v>
      </c>
      <c r="F3663" s="1" t="s">
        <v>179</v>
      </c>
      <c r="H3663" s="1" t="s">
        <v>16654</v>
      </c>
      <c r="I3663" s="1" t="s">
        <v>19</v>
      </c>
      <c r="J3663" s="1" t="s">
        <v>6</v>
      </c>
      <c r="K3663" s="1" t="s">
        <v>34</v>
      </c>
      <c r="L3663" s="1">
        <v>4533535</v>
      </c>
      <c r="M3663" s="2">
        <v>42906</v>
      </c>
      <c r="N3663" s="1" t="s">
        <v>8</v>
      </c>
      <c r="O3663" s="2">
        <v>44002</v>
      </c>
    </row>
    <row r="3664" spans="1:15" ht="28.8" x14ac:dyDescent="0.3">
      <c r="A3664" s="1" t="s">
        <v>16655</v>
      </c>
      <c r="B3664" s="1" t="str">
        <f>"BEBBINGTON &amp; WILSON LTD"</f>
        <v>BEBBINGTON &amp; WILSON LTD</v>
      </c>
      <c r="C3664" s="1" t="s">
        <v>16656</v>
      </c>
      <c r="D3664" s="1" t="s">
        <v>16657</v>
      </c>
      <c r="F3664" s="1" t="s">
        <v>214</v>
      </c>
      <c r="H3664" s="1" t="s">
        <v>16658</v>
      </c>
      <c r="I3664" s="1" t="s">
        <v>19</v>
      </c>
      <c r="J3664" s="1" t="s">
        <v>6</v>
      </c>
      <c r="K3664" s="1" t="s">
        <v>24</v>
      </c>
      <c r="L3664" s="1">
        <v>5171130</v>
      </c>
      <c r="M3664" s="2">
        <v>42906</v>
      </c>
      <c r="N3664" s="1" t="s">
        <v>8</v>
      </c>
      <c r="O3664" s="2">
        <v>44002</v>
      </c>
    </row>
    <row r="3665" spans="1:15" ht="28.8" x14ac:dyDescent="0.3">
      <c r="A3665" s="1" t="s">
        <v>28666</v>
      </c>
      <c r="B3665" s="1" t="str">
        <f>"Stephen May Stephen May"</f>
        <v>Stephen May Stephen May</v>
      </c>
      <c r="C3665" s="1" t="s">
        <v>28667</v>
      </c>
      <c r="F3665" s="1" t="s">
        <v>930</v>
      </c>
      <c r="H3665" s="1" t="s">
        <v>28668</v>
      </c>
      <c r="I3665" s="1" t="s">
        <v>5</v>
      </c>
      <c r="J3665" s="1" t="s">
        <v>6</v>
      </c>
      <c r="K3665" s="1" t="s">
        <v>34</v>
      </c>
      <c r="M3665" s="2">
        <v>42906</v>
      </c>
      <c r="N3665" s="1" t="s">
        <v>8</v>
      </c>
      <c r="O3665" s="2">
        <v>44002</v>
      </c>
    </row>
    <row r="3666" spans="1:15" ht="43.2" x14ac:dyDescent="0.3">
      <c r="A3666" s="1" t="s">
        <v>28669</v>
      </c>
      <c r="B3666" s="1" t="str">
        <f>"Steven Press"</f>
        <v>Steven Press</v>
      </c>
      <c r="C3666" s="1" t="s">
        <v>28670</v>
      </c>
      <c r="F3666" s="1" t="s">
        <v>930</v>
      </c>
      <c r="H3666" s="1" t="s">
        <v>28671</v>
      </c>
      <c r="I3666" s="1" t="s">
        <v>5</v>
      </c>
      <c r="J3666" s="1" t="s">
        <v>67</v>
      </c>
      <c r="K3666" s="1" t="s">
        <v>14</v>
      </c>
      <c r="M3666" s="2">
        <v>42906</v>
      </c>
      <c r="N3666" s="1" t="s">
        <v>8</v>
      </c>
      <c r="O3666" s="1" t="s">
        <v>68</v>
      </c>
    </row>
    <row r="3667" spans="1:15" ht="28.8" x14ac:dyDescent="0.3">
      <c r="A3667" s="1" t="s">
        <v>28672</v>
      </c>
      <c r="B3667" s="1" t="str">
        <f>"JOE LAMB MR JOE LAMB"</f>
        <v>JOE LAMB MR JOE LAMB</v>
      </c>
      <c r="C3667" s="1" t="s">
        <v>28673</v>
      </c>
      <c r="F3667" s="1" t="s">
        <v>556</v>
      </c>
      <c r="H3667" s="1" t="s">
        <v>28674</v>
      </c>
      <c r="I3667" s="1" t="s">
        <v>5</v>
      </c>
      <c r="J3667" s="1" t="s">
        <v>6</v>
      </c>
      <c r="K3667" s="1" t="s">
        <v>34</v>
      </c>
      <c r="M3667" s="2">
        <v>42906</v>
      </c>
      <c r="N3667" s="1" t="s">
        <v>8</v>
      </c>
      <c r="O3667" s="2">
        <v>44002</v>
      </c>
    </row>
    <row r="3668" spans="1:15" ht="43.2" x14ac:dyDescent="0.3">
      <c r="A3668" s="1" t="s">
        <v>28675</v>
      </c>
      <c r="B3668" s="1" t="str">
        <f>"edward wilding"</f>
        <v>edward wilding</v>
      </c>
      <c r="C3668" s="1" t="s">
        <v>28676</v>
      </c>
      <c r="F3668" s="1" t="s">
        <v>2859</v>
      </c>
      <c r="H3668" s="1" t="s">
        <v>28677</v>
      </c>
      <c r="I3668" s="1" t="s">
        <v>5</v>
      </c>
      <c r="J3668" s="1" t="s">
        <v>67</v>
      </c>
      <c r="K3668" s="1" t="s">
        <v>14</v>
      </c>
      <c r="M3668" s="2">
        <v>42906</v>
      </c>
      <c r="N3668" s="1" t="s">
        <v>8</v>
      </c>
      <c r="O3668" s="1" t="s">
        <v>68</v>
      </c>
    </row>
    <row r="3669" spans="1:15" ht="43.2" x14ac:dyDescent="0.3">
      <c r="A3669" s="1" t="s">
        <v>14701</v>
      </c>
      <c r="B3669" s="1" t="str">
        <f>"Forest Traffic Services Ltd."</f>
        <v>Forest Traffic Services Ltd.</v>
      </c>
      <c r="C3669" s="1" t="s">
        <v>14702</v>
      </c>
      <c r="D3669" s="1" t="s">
        <v>626</v>
      </c>
      <c r="F3669" s="1" t="s">
        <v>156</v>
      </c>
      <c r="H3669" s="1" t="s">
        <v>5755</v>
      </c>
      <c r="I3669" s="1" t="s">
        <v>19</v>
      </c>
      <c r="J3669" s="1" t="s">
        <v>67</v>
      </c>
      <c r="K3669" s="1" t="s">
        <v>24</v>
      </c>
      <c r="L3669" s="1">
        <v>1664145</v>
      </c>
      <c r="M3669" s="2">
        <v>42905</v>
      </c>
      <c r="N3669" s="1" t="s">
        <v>8</v>
      </c>
      <c r="O3669" s="1" t="s">
        <v>68</v>
      </c>
    </row>
    <row r="3670" spans="1:15" ht="28.8" x14ac:dyDescent="0.3">
      <c r="A3670" s="1" t="s">
        <v>14703</v>
      </c>
      <c r="B3670" s="1" t="str">
        <f>"Harris Construction (Penarth) Ltd"</f>
        <v>Harris Construction (Penarth) Ltd</v>
      </c>
      <c r="C3670" s="1" t="s">
        <v>14704</v>
      </c>
      <c r="F3670" s="1" t="s">
        <v>930</v>
      </c>
      <c r="H3670" s="1" t="s">
        <v>14705</v>
      </c>
      <c r="I3670" s="1" t="s">
        <v>19</v>
      </c>
      <c r="J3670" s="1" t="s">
        <v>6</v>
      </c>
      <c r="K3670" s="1" t="s">
        <v>24</v>
      </c>
      <c r="L3670" s="1">
        <v>9157791</v>
      </c>
      <c r="M3670" s="2">
        <v>42905</v>
      </c>
      <c r="N3670" s="1" t="s">
        <v>8</v>
      </c>
      <c r="O3670" s="2">
        <v>44001</v>
      </c>
    </row>
    <row r="3671" spans="1:15" ht="43.2" x14ac:dyDescent="0.3">
      <c r="A3671" s="1" t="s">
        <v>14706</v>
      </c>
      <c r="B3671" s="1" t="str">
        <f>"Ted Hopkins Ltd."</f>
        <v>Ted Hopkins Ltd.</v>
      </c>
      <c r="C3671" s="1" t="s">
        <v>14707</v>
      </c>
      <c r="F3671" s="1" t="s">
        <v>156</v>
      </c>
      <c r="H3671" s="1" t="s">
        <v>406</v>
      </c>
      <c r="I3671" s="1" t="s">
        <v>19</v>
      </c>
      <c r="J3671" s="1" t="s">
        <v>67</v>
      </c>
      <c r="K3671" s="1" t="s">
        <v>24</v>
      </c>
      <c r="L3671" s="1">
        <v>2344944</v>
      </c>
      <c r="M3671" s="2">
        <v>42905</v>
      </c>
      <c r="N3671" s="1" t="s">
        <v>8</v>
      </c>
      <c r="O3671" s="1" t="s">
        <v>68</v>
      </c>
    </row>
    <row r="3672" spans="1:15" ht="28.8" x14ac:dyDescent="0.3">
      <c r="A3672" s="1" t="s">
        <v>14708</v>
      </c>
      <c r="B3672" s="1" t="str">
        <f>"Hooper &amp; James Building Contractors"</f>
        <v>Hooper &amp; James Building Contractors</v>
      </c>
      <c r="C3672" s="1" t="s">
        <v>14709</v>
      </c>
      <c r="F3672" s="1" t="s">
        <v>930</v>
      </c>
      <c r="H3672" s="1" t="s">
        <v>14710</v>
      </c>
      <c r="I3672" s="1" t="s">
        <v>19</v>
      </c>
      <c r="J3672" s="1" t="s">
        <v>6</v>
      </c>
      <c r="K3672" s="1" t="s">
        <v>34</v>
      </c>
      <c r="L3672" s="1">
        <v>9470664</v>
      </c>
      <c r="M3672" s="2">
        <v>42905</v>
      </c>
      <c r="N3672" s="1" t="s">
        <v>8</v>
      </c>
      <c r="O3672" s="2">
        <v>44001</v>
      </c>
    </row>
    <row r="3673" spans="1:15" ht="28.8" x14ac:dyDescent="0.3">
      <c r="A3673" s="1" t="s">
        <v>14711</v>
      </c>
      <c r="B3673" s="1" t="str">
        <f>"S L RECYCLING LIMITED"</f>
        <v>S L RECYCLING LIMITED</v>
      </c>
      <c r="C3673" s="1" t="s">
        <v>14712</v>
      </c>
      <c r="D3673" s="1" t="s">
        <v>3302</v>
      </c>
      <c r="E3673" s="1" t="s">
        <v>523</v>
      </c>
      <c r="F3673" s="1" t="s">
        <v>364</v>
      </c>
      <c r="H3673" s="1" t="s">
        <v>3303</v>
      </c>
      <c r="I3673" s="1" t="s">
        <v>19</v>
      </c>
      <c r="J3673" s="1" t="s">
        <v>6</v>
      </c>
      <c r="K3673" s="1" t="s">
        <v>34</v>
      </c>
      <c r="L3673" s="1">
        <v>8864255</v>
      </c>
      <c r="M3673" s="2">
        <v>42905</v>
      </c>
      <c r="N3673" s="1" t="s">
        <v>8</v>
      </c>
      <c r="O3673" s="2">
        <v>44001</v>
      </c>
    </row>
    <row r="3674" spans="1:15" ht="28.8" x14ac:dyDescent="0.3">
      <c r="A3674" s="1" t="s">
        <v>15640</v>
      </c>
      <c r="B3674" s="1" t="str">
        <f>"Baynes &amp; Son Haulage Ltd."</f>
        <v>Baynes &amp; Son Haulage Ltd.</v>
      </c>
      <c r="C3674" s="1" t="s">
        <v>15641</v>
      </c>
      <c r="F3674" s="1" t="s">
        <v>1321</v>
      </c>
      <c r="H3674" s="1" t="s">
        <v>2763</v>
      </c>
      <c r="I3674" s="1" t="s">
        <v>19</v>
      </c>
      <c r="J3674" s="1" t="s">
        <v>6</v>
      </c>
      <c r="K3674" s="1" t="s">
        <v>24</v>
      </c>
      <c r="L3674" s="1">
        <v>4631776</v>
      </c>
      <c r="M3674" s="2">
        <v>42905</v>
      </c>
      <c r="N3674" s="1" t="s">
        <v>8</v>
      </c>
      <c r="O3674" s="2">
        <v>44001</v>
      </c>
    </row>
    <row r="3675" spans="1:15" ht="28.8" x14ac:dyDescent="0.3">
      <c r="A3675" s="1" t="s">
        <v>15642</v>
      </c>
      <c r="B3675" s="1" t="str">
        <f>"National gas servicing limited"</f>
        <v>National gas servicing limited</v>
      </c>
      <c r="C3675" s="1" t="s">
        <v>15643</v>
      </c>
      <c r="F3675" s="1" t="s">
        <v>15644</v>
      </c>
      <c r="H3675" s="1" t="s">
        <v>15645</v>
      </c>
      <c r="I3675" s="1" t="s">
        <v>19</v>
      </c>
      <c r="J3675" s="1" t="s">
        <v>6</v>
      </c>
      <c r="K3675" s="1" t="s">
        <v>24</v>
      </c>
      <c r="L3675" s="1">
        <v>10708345</v>
      </c>
      <c r="M3675" s="2">
        <v>42905</v>
      </c>
      <c r="N3675" s="1" t="s">
        <v>8</v>
      </c>
      <c r="O3675" s="2">
        <v>44001</v>
      </c>
    </row>
    <row r="3676" spans="1:15" x14ac:dyDescent="0.3">
      <c r="A3676" s="1" t="s">
        <v>27013</v>
      </c>
      <c r="B3676" s="1" t="str">
        <f>"Alex Cotter Alex Cotter"</f>
        <v>Alex Cotter Alex Cotter</v>
      </c>
      <c r="C3676" s="1" t="s">
        <v>27014</v>
      </c>
      <c r="F3676" s="1" t="s">
        <v>4279</v>
      </c>
      <c r="H3676" s="1" t="s">
        <v>27015</v>
      </c>
      <c r="I3676" s="1" t="s">
        <v>5</v>
      </c>
      <c r="J3676" s="1" t="s">
        <v>6</v>
      </c>
      <c r="K3676" s="1" t="s">
        <v>24</v>
      </c>
      <c r="M3676" s="2">
        <v>42905</v>
      </c>
      <c r="N3676" s="1" t="s">
        <v>8</v>
      </c>
      <c r="O3676" s="2">
        <v>44001</v>
      </c>
    </row>
    <row r="3677" spans="1:15" ht="28.8" x14ac:dyDescent="0.3">
      <c r="A3677" s="1" t="s">
        <v>27016</v>
      </c>
      <c r="B3677" s="1" t="str">
        <f>"Kyle Davies Kyles Recovery"</f>
        <v>Kyle Davies Kyles Recovery</v>
      </c>
      <c r="C3677" s="1" t="s">
        <v>27017</v>
      </c>
      <c r="F3677" s="1" t="s">
        <v>1351</v>
      </c>
      <c r="H3677" s="1" t="s">
        <v>27018</v>
      </c>
      <c r="I3677" s="1" t="s">
        <v>5</v>
      </c>
      <c r="J3677" s="1" t="s">
        <v>6</v>
      </c>
      <c r="K3677" s="1" t="s">
        <v>34</v>
      </c>
      <c r="M3677" s="2">
        <v>42905</v>
      </c>
      <c r="N3677" s="1" t="s">
        <v>8</v>
      </c>
      <c r="O3677" s="2">
        <v>44001</v>
      </c>
    </row>
    <row r="3678" spans="1:15" ht="28.8" x14ac:dyDescent="0.3">
      <c r="A3678" s="1" t="s">
        <v>27019</v>
      </c>
      <c r="B3678" s="1" t="str">
        <f>"Raymond Jones Raymond Jones"</f>
        <v>Raymond Jones Raymond Jones</v>
      </c>
      <c r="C3678" s="1" t="s">
        <v>27020</v>
      </c>
      <c r="F3678" s="1" t="s">
        <v>678</v>
      </c>
      <c r="H3678" s="1" t="s">
        <v>27021</v>
      </c>
      <c r="I3678" s="1" t="s">
        <v>5</v>
      </c>
      <c r="J3678" s="1" t="s">
        <v>6</v>
      </c>
      <c r="K3678" s="1" t="s">
        <v>24</v>
      </c>
      <c r="M3678" s="2">
        <v>42905</v>
      </c>
      <c r="N3678" s="1" t="s">
        <v>8</v>
      </c>
      <c r="O3678" s="2">
        <v>44001</v>
      </c>
    </row>
    <row r="3679" spans="1:15" ht="28.8" x14ac:dyDescent="0.3">
      <c r="A3679" s="1" t="s">
        <v>27022</v>
      </c>
      <c r="B3679" s="1" t="str">
        <f>"cemlyn williams cemlyn williams"</f>
        <v>cemlyn williams cemlyn williams</v>
      </c>
      <c r="C3679" s="1" t="s">
        <v>21309</v>
      </c>
      <c r="F3679" s="1" t="s">
        <v>710</v>
      </c>
      <c r="H3679" s="1" t="s">
        <v>21310</v>
      </c>
      <c r="I3679" s="1" t="s">
        <v>5</v>
      </c>
      <c r="J3679" s="1" t="s">
        <v>6</v>
      </c>
      <c r="K3679" s="1" t="s">
        <v>24</v>
      </c>
      <c r="M3679" s="2">
        <v>42905</v>
      </c>
      <c r="N3679" s="1" t="s">
        <v>8</v>
      </c>
      <c r="O3679" s="2">
        <v>44001</v>
      </c>
    </row>
    <row r="3680" spans="1:15" ht="28.8" x14ac:dyDescent="0.3">
      <c r="A3680" s="1" t="s">
        <v>27879</v>
      </c>
      <c r="B3680" s="1" t="str">
        <f>"Joe Sutton Js skips "</f>
        <v xml:space="preserve">Joe Sutton Js skips </v>
      </c>
      <c r="C3680" s="1" t="s">
        <v>27880</v>
      </c>
      <c r="F3680" s="1" t="s">
        <v>11900</v>
      </c>
      <c r="H3680" s="1" t="s">
        <v>27881</v>
      </c>
      <c r="I3680" s="1" t="s">
        <v>5</v>
      </c>
      <c r="J3680" s="1" t="s">
        <v>6</v>
      </c>
      <c r="K3680" s="1" t="s">
        <v>24</v>
      </c>
      <c r="M3680" s="2">
        <v>42905</v>
      </c>
      <c r="N3680" s="1" t="s">
        <v>8</v>
      </c>
      <c r="O3680" s="2">
        <v>44001</v>
      </c>
    </row>
    <row r="3681" spans="1:15" ht="28.8" x14ac:dyDescent="0.3">
      <c r="A3681" s="1" t="s">
        <v>27882</v>
      </c>
      <c r="B3681" s="1" t="str">
        <f>"Robert Goodman Robert Goodman"</f>
        <v>Robert Goodman Robert Goodman</v>
      </c>
      <c r="C3681" s="1" t="s">
        <v>27883</v>
      </c>
      <c r="F3681" s="1" t="s">
        <v>56</v>
      </c>
      <c r="H3681" s="1" t="s">
        <v>6683</v>
      </c>
      <c r="I3681" s="1" t="s">
        <v>5</v>
      </c>
      <c r="J3681" s="1" t="s">
        <v>6</v>
      </c>
      <c r="K3681" s="1" t="s">
        <v>24</v>
      </c>
      <c r="M3681" s="2">
        <v>42905</v>
      </c>
      <c r="N3681" s="1" t="s">
        <v>8</v>
      </c>
      <c r="O3681" s="2">
        <v>44002</v>
      </c>
    </row>
    <row r="3682" spans="1:15" ht="43.2" x14ac:dyDescent="0.3">
      <c r="A3682" s="1" t="s">
        <v>27884</v>
      </c>
      <c r="B3682" s="1" t="str">
        <f>"David Davies"</f>
        <v>David Davies</v>
      </c>
      <c r="C3682" s="1" t="s">
        <v>27885</v>
      </c>
      <c r="F3682" s="1" t="s">
        <v>513</v>
      </c>
      <c r="H3682" s="1" t="s">
        <v>27886</v>
      </c>
      <c r="I3682" s="1" t="s">
        <v>5</v>
      </c>
      <c r="J3682" s="1" t="s">
        <v>67</v>
      </c>
      <c r="K3682" s="1" t="s">
        <v>14</v>
      </c>
      <c r="M3682" s="2">
        <v>42905</v>
      </c>
      <c r="N3682" s="1" t="s">
        <v>8</v>
      </c>
      <c r="O3682" s="1" t="s">
        <v>68</v>
      </c>
    </row>
    <row r="3683" spans="1:15" ht="43.2" x14ac:dyDescent="0.3">
      <c r="A3683" s="1" t="s">
        <v>27887</v>
      </c>
      <c r="B3683" s="1" t="str">
        <f>"Mathew Rees"</f>
        <v>Mathew Rees</v>
      </c>
      <c r="C3683" s="1" t="s">
        <v>27888</v>
      </c>
      <c r="F3683" s="1" t="s">
        <v>42</v>
      </c>
      <c r="H3683" s="1" t="s">
        <v>27889</v>
      </c>
      <c r="I3683" s="1" t="s">
        <v>5</v>
      </c>
      <c r="J3683" s="1" t="s">
        <v>67</v>
      </c>
      <c r="K3683" s="1" t="s">
        <v>14</v>
      </c>
      <c r="M3683" s="2">
        <v>42905</v>
      </c>
      <c r="N3683" s="1" t="s">
        <v>8</v>
      </c>
      <c r="O3683" s="1" t="s">
        <v>68</v>
      </c>
    </row>
    <row r="3684" spans="1:15" ht="43.2" x14ac:dyDescent="0.3">
      <c r="A3684" s="1" t="s">
        <v>13884</v>
      </c>
      <c r="B3684" s="1" t="str">
        <f>"BPH Plant &amp; Professional Groundcare"</f>
        <v>BPH Plant &amp; Professional Groundcare</v>
      </c>
      <c r="C3684" s="1" t="s">
        <v>13885</v>
      </c>
      <c r="F3684" s="1" t="s">
        <v>4645</v>
      </c>
      <c r="H3684" s="1" t="s">
        <v>13886</v>
      </c>
      <c r="I3684" s="1" t="s">
        <v>125</v>
      </c>
      <c r="J3684" s="1" t="s">
        <v>67</v>
      </c>
      <c r="K3684" s="1" t="s">
        <v>14</v>
      </c>
      <c r="M3684" s="2">
        <v>42904</v>
      </c>
      <c r="N3684" s="1" t="s">
        <v>8</v>
      </c>
      <c r="O3684" s="1" t="s">
        <v>68</v>
      </c>
    </row>
    <row r="3685" spans="1:15" ht="28.8" x14ac:dyDescent="0.3">
      <c r="A3685" s="1" t="s">
        <v>26312</v>
      </c>
      <c r="B3685" s="1" t="str">
        <f>"David  Thomas  T&amp;G construction "</f>
        <v xml:space="preserve">David  Thomas  T&amp;G construction </v>
      </c>
      <c r="C3685" s="1" t="s">
        <v>26313</v>
      </c>
      <c r="F3685" s="1" t="s">
        <v>825</v>
      </c>
      <c r="H3685" s="1" t="s">
        <v>26314</v>
      </c>
      <c r="I3685" s="1" t="s">
        <v>5</v>
      </c>
      <c r="J3685" s="1" t="s">
        <v>6</v>
      </c>
      <c r="K3685" s="1" t="s">
        <v>24</v>
      </c>
      <c r="M3685" s="2">
        <v>42903</v>
      </c>
      <c r="N3685" s="1" t="s">
        <v>8</v>
      </c>
      <c r="O3685" s="2">
        <v>43999</v>
      </c>
    </row>
    <row r="3686" spans="1:15" ht="28.8" x14ac:dyDescent="0.3">
      <c r="A3686" s="1" t="s">
        <v>26315</v>
      </c>
      <c r="B3686" s="1" t="str">
        <f>"paul challenger D&amp;D Hire"</f>
        <v>paul challenger D&amp;D Hire</v>
      </c>
      <c r="C3686" s="1" t="s">
        <v>26316</v>
      </c>
      <c r="D3686" s="1" t="s">
        <v>31</v>
      </c>
      <c r="F3686" s="1" t="s">
        <v>32</v>
      </c>
      <c r="H3686" s="1" t="s">
        <v>26317</v>
      </c>
      <c r="I3686" s="1" t="s">
        <v>5</v>
      </c>
      <c r="J3686" s="1" t="s">
        <v>6</v>
      </c>
      <c r="K3686" s="1" t="s">
        <v>24</v>
      </c>
      <c r="M3686" s="2">
        <v>42903</v>
      </c>
      <c r="N3686" s="1" t="s">
        <v>8</v>
      </c>
      <c r="O3686" s="2">
        <v>44005</v>
      </c>
    </row>
    <row r="3687" spans="1:15" ht="43.2" x14ac:dyDescent="0.3">
      <c r="A3687" s="1" t="s">
        <v>13871</v>
      </c>
      <c r="B3687" s="1" t="str">
        <f>"Gas On"</f>
        <v>Gas On</v>
      </c>
      <c r="C3687" s="1" t="s">
        <v>13872</v>
      </c>
      <c r="F3687" s="1" t="s">
        <v>156</v>
      </c>
      <c r="H3687" s="1" t="s">
        <v>2775</v>
      </c>
      <c r="I3687" s="1" t="s">
        <v>19</v>
      </c>
      <c r="J3687" s="1" t="s">
        <v>67</v>
      </c>
      <c r="K3687" s="1" t="s">
        <v>14</v>
      </c>
      <c r="M3687" s="2">
        <v>42902</v>
      </c>
      <c r="N3687" s="1" t="s">
        <v>8</v>
      </c>
      <c r="O3687" s="1" t="s">
        <v>68</v>
      </c>
    </row>
    <row r="3688" spans="1:15" ht="43.2" x14ac:dyDescent="0.3">
      <c r="A3688" s="1" t="s">
        <v>13873</v>
      </c>
      <c r="B3688" s="1" t="str">
        <f>"BETSI CADWALADR UHB"</f>
        <v>BETSI CADWALADR UHB</v>
      </c>
      <c r="C3688" s="1" t="s">
        <v>13874</v>
      </c>
      <c r="F3688" s="1" t="s">
        <v>13875</v>
      </c>
      <c r="H3688" s="1" t="s">
        <v>13876</v>
      </c>
      <c r="I3688" s="1" t="s">
        <v>188</v>
      </c>
      <c r="J3688" s="1" t="s">
        <v>67</v>
      </c>
      <c r="K3688" s="1" t="s">
        <v>14</v>
      </c>
      <c r="M3688" s="2">
        <v>42902</v>
      </c>
      <c r="N3688" s="1" t="s">
        <v>8</v>
      </c>
      <c r="O3688" s="1" t="s">
        <v>68</v>
      </c>
    </row>
    <row r="3689" spans="1:15" ht="43.2" x14ac:dyDescent="0.3">
      <c r="A3689" s="1" t="s">
        <v>13877</v>
      </c>
      <c r="B3689" s="1" t="str">
        <f>"Mid Wales Incineration Ltd"</f>
        <v>Mid Wales Incineration Ltd</v>
      </c>
      <c r="C3689" s="1" t="s">
        <v>13878</v>
      </c>
      <c r="F3689" s="1" t="s">
        <v>798</v>
      </c>
      <c r="H3689" s="1" t="s">
        <v>13879</v>
      </c>
      <c r="I3689" s="1" t="s">
        <v>19</v>
      </c>
      <c r="J3689" s="1" t="s">
        <v>67</v>
      </c>
      <c r="K3689" s="1" t="s">
        <v>14</v>
      </c>
      <c r="M3689" s="2">
        <v>42902</v>
      </c>
      <c r="N3689" s="1" t="s">
        <v>8</v>
      </c>
      <c r="O3689" s="1" t="s">
        <v>68</v>
      </c>
    </row>
    <row r="3690" spans="1:15" ht="43.2" x14ac:dyDescent="0.3">
      <c r="A3690" s="1" t="s">
        <v>13880</v>
      </c>
      <c r="B3690" s="1" t="str">
        <f>"Mid Wales Incineration Ltd"</f>
        <v>Mid Wales Incineration Ltd</v>
      </c>
      <c r="C3690" s="1" t="s">
        <v>13878</v>
      </c>
      <c r="F3690" s="1" t="s">
        <v>798</v>
      </c>
      <c r="H3690" s="1" t="s">
        <v>13879</v>
      </c>
      <c r="I3690" s="1" t="s">
        <v>19</v>
      </c>
      <c r="J3690" s="1" t="s">
        <v>67</v>
      </c>
      <c r="K3690" s="1" t="s">
        <v>14</v>
      </c>
      <c r="M3690" s="2">
        <v>42902</v>
      </c>
      <c r="N3690" s="1" t="s">
        <v>8</v>
      </c>
      <c r="O3690" s="1" t="s">
        <v>68</v>
      </c>
    </row>
    <row r="3691" spans="1:15" ht="43.2" x14ac:dyDescent="0.3">
      <c r="A3691" s="1" t="s">
        <v>13881</v>
      </c>
      <c r="B3691" s="1" t="str">
        <f>"The Vale Of Neath Practice"</f>
        <v>The Vale Of Neath Practice</v>
      </c>
      <c r="C3691" s="1" t="s">
        <v>13882</v>
      </c>
      <c r="D3691" s="1" t="s">
        <v>31</v>
      </c>
      <c r="F3691" s="1" t="s">
        <v>32</v>
      </c>
      <c r="H3691" s="1" t="s">
        <v>13883</v>
      </c>
      <c r="I3691" s="1" t="s">
        <v>125</v>
      </c>
      <c r="J3691" s="1" t="s">
        <v>67</v>
      </c>
      <c r="K3691" s="1" t="s">
        <v>14</v>
      </c>
      <c r="M3691" s="2">
        <v>42902</v>
      </c>
      <c r="N3691" s="1" t="s">
        <v>8</v>
      </c>
      <c r="O3691" s="1" t="s">
        <v>68</v>
      </c>
    </row>
    <row r="3692" spans="1:15" ht="43.2" x14ac:dyDescent="0.3">
      <c r="A3692" s="1" t="s">
        <v>26303</v>
      </c>
      <c r="B3692" s="1" t="str">
        <f>"s wyatt"</f>
        <v>s wyatt</v>
      </c>
      <c r="C3692" s="1" t="s">
        <v>26304</v>
      </c>
      <c r="F3692" s="1" t="s">
        <v>5459</v>
      </c>
      <c r="H3692" s="1" t="s">
        <v>26305</v>
      </c>
      <c r="I3692" s="1" t="s">
        <v>5</v>
      </c>
      <c r="J3692" s="1" t="s">
        <v>67</v>
      </c>
      <c r="K3692" s="1" t="s">
        <v>14</v>
      </c>
      <c r="M3692" s="2">
        <v>42902</v>
      </c>
      <c r="N3692" s="1" t="s">
        <v>8</v>
      </c>
      <c r="O3692" s="1" t="s">
        <v>68</v>
      </c>
    </row>
    <row r="3693" spans="1:15" ht="28.8" x14ac:dyDescent="0.3">
      <c r="A3693" s="1" t="s">
        <v>26306</v>
      </c>
      <c r="B3693" s="1" t="str">
        <f>"JOHN MCHUGH JOHN MCHUGH"</f>
        <v>JOHN MCHUGH JOHN MCHUGH</v>
      </c>
      <c r="C3693" s="1" t="s">
        <v>26307</v>
      </c>
      <c r="F3693" s="1" t="s">
        <v>1776</v>
      </c>
      <c r="H3693" s="1" t="s">
        <v>26308</v>
      </c>
      <c r="I3693" s="1" t="s">
        <v>5</v>
      </c>
      <c r="J3693" s="1" t="s">
        <v>6</v>
      </c>
      <c r="K3693" s="1" t="s">
        <v>24</v>
      </c>
      <c r="M3693" s="2">
        <v>42902</v>
      </c>
      <c r="N3693" s="1" t="s">
        <v>8</v>
      </c>
      <c r="O3693" s="2">
        <v>43998</v>
      </c>
    </row>
    <row r="3694" spans="1:15" ht="28.8" x14ac:dyDescent="0.3">
      <c r="A3694" s="1" t="s">
        <v>26309</v>
      </c>
      <c r="B3694" s="1" t="str">
        <f>"Craig Morgan C.R.Morgan"</f>
        <v>Craig Morgan C.R.Morgan</v>
      </c>
      <c r="C3694" s="1" t="s">
        <v>26310</v>
      </c>
      <c r="F3694" s="1" t="s">
        <v>64</v>
      </c>
      <c r="H3694" s="1" t="s">
        <v>26311</v>
      </c>
      <c r="I3694" s="1" t="s">
        <v>5</v>
      </c>
      <c r="J3694" s="1" t="s">
        <v>6</v>
      </c>
      <c r="K3694" s="1" t="s">
        <v>34</v>
      </c>
      <c r="M3694" s="2">
        <v>42902</v>
      </c>
      <c r="N3694" s="1" t="s">
        <v>8</v>
      </c>
      <c r="O3694" s="2">
        <v>44032</v>
      </c>
    </row>
    <row r="3695" spans="1:15" ht="28.8" x14ac:dyDescent="0.3">
      <c r="A3695" s="1" t="s">
        <v>12788</v>
      </c>
      <c r="B3695" s="1" t="str">
        <f>"Ecoskips UK"</f>
        <v>Ecoskips UK</v>
      </c>
      <c r="C3695" s="1" t="s">
        <v>12789</v>
      </c>
      <c r="D3695" s="1" t="s">
        <v>12790</v>
      </c>
      <c r="F3695" s="1" t="s">
        <v>720</v>
      </c>
      <c r="H3695" s="1" t="s">
        <v>12791</v>
      </c>
      <c r="I3695" s="1" t="s">
        <v>125</v>
      </c>
      <c r="J3695" s="1" t="s">
        <v>6</v>
      </c>
      <c r="K3695" s="1" t="s">
        <v>24</v>
      </c>
      <c r="M3695" s="2">
        <v>42901</v>
      </c>
      <c r="N3695" s="1" t="s">
        <v>8</v>
      </c>
      <c r="O3695" s="2">
        <v>43997</v>
      </c>
    </row>
    <row r="3696" spans="1:15" ht="28.8" x14ac:dyDescent="0.3">
      <c r="A3696" s="1" t="s">
        <v>13859</v>
      </c>
      <c r="B3696" s="1" t="str">
        <f>"A B Glass (Doors &amp; Windows) Ltd"</f>
        <v>A B Glass (Doors &amp; Windows) Ltd</v>
      </c>
      <c r="C3696" s="1" t="s">
        <v>13860</v>
      </c>
      <c r="D3696" s="1" t="s">
        <v>2041</v>
      </c>
      <c r="F3696" s="1" t="s">
        <v>64</v>
      </c>
      <c r="H3696" s="1" t="s">
        <v>9858</v>
      </c>
      <c r="I3696" s="1" t="s">
        <v>19</v>
      </c>
      <c r="J3696" s="1" t="s">
        <v>6</v>
      </c>
      <c r="K3696" s="1" t="s">
        <v>1859</v>
      </c>
      <c r="L3696" s="1">
        <v>4182831</v>
      </c>
      <c r="M3696" s="2">
        <v>42901</v>
      </c>
      <c r="N3696" s="1" t="s">
        <v>8</v>
      </c>
      <c r="O3696" s="2">
        <v>43997</v>
      </c>
    </row>
    <row r="3697" spans="1:15" ht="43.2" x14ac:dyDescent="0.3">
      <c r="A3697" s="1" t="s">
        <v>13861</v>
      </c>
      <c r="B3697" s="1" t="str">
        <f>"Pestforce Cardiff"</f>
        <v>Pestforce Cardiff</v>
      </c>
      <c r="C3697" s="1" t="s">
        <v>13862</v>
      </c>
      <c r="F3697" s="1" t="s">
        <v>11055</v>
      </c>
      <c r="H3697" s="1" t="s">
        <v>13863</v>
      </c>
      <c r="I3697" s="1" t="s">
        <v>19</v>
      </c>
      <c r="J3697" s="1" t="s">
        <v>67</v>
      </c>
      <c r="K3697" s="1" t="s">
        <v>14</v>
      </c>
      <c r="M3697" s="2">
        <v>42901</v>
      </c>
      <c r="N3697" s="1" t="s">
        <v>8</v>
      </c>
      <c r="O3697" s="1" t="s">
        <v>68</v>
      </c>
    </row>
    <row r="3698" spans="1:15" ht="43.2" x14ac:dyDescent="0.3">
      <c r="A3698" s="1" t="s">
        <v>13864</v>
      </c>
      <c r="B3698" s="1" t="str">
        <f>"Hydroline (Wales) Limited"</f>
        <v>Hydroline (Wales) Limited</v>
      </c>
      <c r="C3698" s="1" t="s">
        <v>13865</v>
      </c>
      <c r="D3698" s="1" t="s">
        <v>13866</v>
      </c>
      <c r="F3698" s="1" t="s">
        <v>825</v>
      </c>
      <c r="H3698" s="1" t="s">
        <v>13867</v>
      </c>
      <c r="I3698" s="1" t="s">
        <v>19</v>
      </c>
      <c r="J3698" s="1" t="s">
        <v>6</v>
      </c>
      <c r="K3698" s="1" t="s">
        <v>24</v>
      </c>
      <c r="L3698" s="1">
        <v>5987506</v>
      </c>
      <c r="M3698" s="2">
        <v>42901</v>
      </c>
      <c r="N3698" s="1" t="s">
        <v>8</v>
      </c>
      <c r="O3698" s="2">
        <v>43997</v>
      </c>
    </row>
    <row r="3699" spans="1:15" ht="28.8" x14ac:dyDescent="0.3">
      <c r="A3699" s="1" t="s">
        <v>13868</v>
      </c>
      <c r="B3699" s="1" t="str">
        <f>"N&amp;S Air Conditioning"</f>
        <v>N&amp;S Air Conditioning</v>
      </c>
      <c r="C3699" s="1" t="s">
        <v>13869</v>
      </c>
      <c r="F3699" s="1" t="s">
        <v>1503</v>
      </c>
      <c r="H3699" s="1" t="s">
        <v>13870</v>
      </c>
      <c r="I3699" s="1" t="s">
        <v>19</v>
      </c>
      <c r="J3699" s="1" t="s">
        <v>6</v>
      </c>
      <c r="K3699" s="1" t="s">
        <v>34</v>
      </c>
      <c r="L3699" s="1">
        <v>10809606</v>
      </c>
      <c r="M3699" s="2">
        <v>42901</v>
      </c>
      <c r="N3699" s="1" t="s">
        <v>8</v>
      </c>
      <c r="O3699" s="2">
        <v>43997</v>
      </c>
    </row>
    <row r="3700" spans="1:15" ht="43.2" x14ac:dyDescent="0.3">
      <c r="A3700" s="1" t="s">
        <v>25520</v>
      </c>
      <c r="B3700" s="1" t="str">
        <f>"darren parker"</f>
        <v>darren parker</v>
      </c>
      <c r="C3700" s="1" t="s">
        <v>25521</v>
      </c>
      <c r="F3700" s="1" t="s">
        <v>123</v>
      </c>
      <c r="H3700" s="1" t="s">
        <v>25522</v>
      </c>
      <c r="I3700" s="1" t="s">
        <v>5</v>
      </c>
      <c r="J3700" s="1" t="s">
        <v>67</v>
      </c>
      <c r="K3700" s="1" t="s">
        <v>24</v>
      </c>
      <c r="M3700" s="2">
        <v>42901</v>
      </c>
      <c r="N3700" s="1" t="s">
        <v>8</v>
      </c>
      <c r="O3700" s="1" t="s">
        <v>68</v>
      </c>
    </row>
    <row r="3701" spans="1:15" ht="43.2" x14ac:dyDescent="0.3">
      <c r="A3701" s="1" t="s">
        <v>25523</v>
      </c>
      <c r="B3701" s="1" t="str">
        <f>"Glyn Powell"</f>
        <v>Glyn Powell</v>
      </c>
      <c r="C3701" s="1" t="s">
        <v>25524</v>
      </c>
      <c r="F3701" s="1" t="s">
        <v>7844</v>
      </c>
      <c r="H3701" s="1" t="s">
        <v>24320</v>
      </c>
      <c r="I3701" s="1" t="s">
        <v>5</v>
      </c>
      <c r="J3701" s="1" t="s">
        <v>67</v>
      </c>
      <c r="K3701" s="1" t="s">
        <v>14</v>
      </c>
      <c r="M3701" s="2">
        <v>42901</v>
      </c>
      <c r="N3701" s="1" t="s">
        <v>8</v>
      </c>
      <c r="O3701" s="1" t="s">
        <v>68</v>
      </c>
    </row>
    <row r="3702" spans="1:15" ht="28.8" x14ac:dyDescent="0.3">
      <c r="A3702" s="1" t="s">
        <v>25525</v>
      </c>
      <c r="B3702" s="1" t="str">
        <f>"Fredrick Jones"</f>
        <v>Fredrick Jones</v>
      </c>
      <c r="C3702" s="1" t="s">
        <v>25526</v>
      </c>
      <c r="F3702" s="1" t="s">
        <v>1240</v>
      </c>
      <c r="H3702" s="1" t="s">
        <v>21539</v>
      </c>
      <c r="I3702" s="1" t="s">
        <v>5</v>
      </c>
      <c r="J3702" s="1" t="s">
        <v>6</v>
      </c>
      <c r="K3702" s="1" t="s">
        <v>24</v>
      </c>
      <c r="M3702" s="2">
        <v>42901</v>
      </c>
      <c r="N3702" s="1" t="s">
        <v>8</v>
      </c>
      <c r="O3702" s="2">
        <v>43997</v>
      </c>
    </row>
    <row r="3703" spans="1:15" ht="28.8" x14ac:dyDescent="0.3">
      <c r="A3703" s="1" t="s">
        <v>26300</v>
      </c>
      <c r="B3703" s="1" t="str">
        <f>"Gary Hopkins S&amp;K Landscapes"</f>
        <v>Gary Hopkins S&amp;K Landscapes</v>
      </c>
      <c r="C3703" s="1" t="s">
        <v>26301</v>
      </c>
      <c r="F3703" s="1" t="s">
        <v>1093</v>
      </c>
      <c r="H3703" s="1" t="s">
        <v>26302</v>
      </c>
      <c r="I3703" s="1" t="s">
        <v>5</v>
      </c>
      <c r="J3703" s="1" t="s">
        <v>6</v>
      </c>
      <c r="K3703" s="1" t="s">
        <v>24</v>
      </c>
      <c r="M3703" s="2">
        <v>42901</v>
      </c>
      <c r="N3703" s="1" t="s">
        <v>8</v>
      </c>
      <c r="O3703" s="2">
        <v>43997</v>
      </c>
    </row>
    <row r="3704" spans="1:15" ht="43.2" x14ac:dyDescent="0.3">
      <c r="A3704" s="1" t="s">
        <v>12774</v>
      </c>
      <c r="B3704" s="1" t="str">
        <f>"Vertigo Trampoline Park Ltd"</f>
        <v>Vertigo Trampoline Park Ltd</v>
      </c>
      <c r="C3704" s="1" t="s">
        <v>12775</v>
      </c>
      <c r="F3704" s="1" t="s">
        <v>556</v>
      </c>
      <c r="H3704" s="1" t="s">
        <v>9577</v>
      </c>
      <c r="I3704" s="1" t="s">
        <v>19</v>
      </c>
      <c r="J3704" s="1" t="s">
        <v>67</v>
      </c>
      <c r="K3704" s="1" t="s">
        <v>14</v>
      </c>
      <c r="M3704" s="2">
        <v>42900</v>
      </c>
      <c r="N3704" s="1" t="s">
        <v>8</v>
      </c>
      <c r="O3704" s="1" t="s">
        <v>68</v>
      </c>
    </row>
    <row r="3705" spans="1:15" ht="28.8" x14ac:dyDescent="0.3">
      <c r="A3705" s="1" t="s">
        <v>12776</v>
      </c>
      <c r="B3705" s="1" t="str">
        <f>"massey metals limited"</f>
        <v>massey metals limited</v>
      </c>
      <c r="C3705" s="1" t="s">
        <v>12777</v>
      </c>
      <c r="F3705" s="1" t="s">
        <v>585</v>
      </c>
      <c r="H3705" s="1" t="s">
        <v>12778</v>
      </c>
      <c r="I3705" s="1" t="s">
        <v>19</v>
      </c>
      <c r="J3705" s="1" t="s">
        <v>6</v>
      </c>
      <c r="K3705" s="1" t="s">
        <v>34</v>
      </c>
      <c r="L3705" s="1">
        <v>10300747</v>
      </c>
      <c r="M3705" s="2">
        <v>42900</v>
      </c>
      <c r="N3705" s="1" t="s">
        <v>8</v>
      </c>
      <c r="O3705" s="2">
        <v>43996</v>
      </c>
    </row>
    <row r="3706" spans="1:15" ht="43.2" x14ac:dyDescent="0.3">
      <c r="A3706" s="1" t="s">
        <v>12779</v>
      </c>
      <c r="B3706" s="1" t="str">
        <f>"WYN BISHOP LTD"</f>
        <v>WYN BISHOP LTD</v>
      </c>
      <c r="C3706" s="1" t="s">
        <v>12780</v>
      </c>
      <c r="F3706" s="1" t="s">
        <v>42</v>
      </c>
      <c r="H3706" s="1" t="s">
        <v>12781</v>
      </c>
      <c r="I3706" s="1" t="s">
        <v>19</v>
      </c>
      <c r="J3706" s="1" t="s">
        <v>67</v>
      </c>
      <c r="K3706" s="1" t="s">
        <v>24</v>
      </c>
      <c r="L3706" s="1">
        <v>8713519</v>
      </c>
      <c r="M3706" s="2">
        <v>42900</v>
      </c>
      <c r="N3706" s="1" t="s">
        <v>8</v>
      </c>
      <c r="O3706" s="1" t="s">
        <v>68</v>
      </c>
    </row>
    <row r="3707" spans="1:15" ht="43.2" x14ac:dyDescent="0.3">
      <c r="A3707" s="1" t="s">
        <v>12782</v>
      </c>
      <c r="B3707" s="1" t="str">
        <f>"Tee Time Clothing "</f>
        <v xml:space="preserve">Tee Time Clothing </v>
      </c>
      <c r="C3707" s="1" t="s">
        <v>12783</v>
      </c>
      <c r="F3707" s="1" t="s">
        <v>64</v>
      </c>
      <c r="H3707" s="1" t="s">
        <v>12784</v>
      </c>
      <c r="I3707" s="1" t="s">
        <v>19</v>
      </c>
      <c r="J3707" s="1" t="s">
        <v>67</v>
      </c>
      <c r="K3707" s="1" t="s">
        <v>14</v>
      </c>
      <c r="M3707" s="2">
        <v>42900</v>
      </c>
      <c r="N3707" s="1" t="s">
        <v>8</v>
      </c>
      <c r="O3707" s="1" t="s">
        <v>68</v>
      </c>
    </row>
    <row r="3708" spans="1:15" ht="28.8" x14ac:dyDescent="0.3">
      <c r="A3708" s="1" t="s">
        <v>12785</v>
      </c>
      <c r="B3708" s="1" t="str">
        <f>"K &amp; S Valley Removals Limited"</f>
        <v>K &amp; S Valley Removals Limited</v>
      </c>
      <c r="C3708" s="1" t="s">
        <v>12786</v>
      </c>
      <c r="F3708" s="1" t="s">
        <v>555</v>
      </c>
      <c r="H3708" s="1" t="s">
        <v>12787</v>
      </c>
      <c r="I3708" s="1" t="s">
        <v>19</v>
      </c>
      <c r="J3708" s="1" t="s">
        <v>6</v>
      </c>
      <c r="K3708" s="1" t="s">
        <v>24</v>
      </c>
      <c r="L3708" s="1">
        <v>10663117</v>
      </c>
      <c r="M3708" s="2">
        <v>42900</v>
      </c>
      <c r="N3708" s="1" t="s">
        <v>8</v>
      </c>
      <c r="O3708" s="2">
        <v>43996</v>
      </c>
    </row>
    <row r="3709" spans="1:15" ht="28.8" x14ac:dyDescent="0.3">
      <c r="A3709" s="1" t="s">
        <v>25514</v>
      </c>
      <c r="B3709" s="1" t="str">
        <f>"Martin Northey Martin gardening services"</f>
        <v>Martin Northey Martin gardening services</v>
      </c>
      <c r="C3709" s="1" t="s">
        <v>25515</v>
      </c>
      <c r="F3709" s="1" t="s">
        <v>888</v>
      </c>
      <c r="H3709" s="1" t="s">
        <v>25516</v>
      </c>
      <c r="I3709" s="1" t="s">
        <v>5</v>
      </c>
      <c r="J3709" s="1" t="s">
        <v>6</v>
      </c>
      <c r="K3709" s="1" t="s">
        <v>24</v>
      </c>
      <c r="M3709" s="2">
        <v>42900</v>
      </c>
      <c r="N3709" s="1" t="s">
        <v>8</v>
      </c>
      <c r="O3709" s="2">
        <v>43996</v>
      </c>
    </row>
    <row r="3710" spans="1:15" ht="43.2" x14ac:dyDescent="0.3">
      <c r="A3710" s="1" t="s">
        <v>25517</v>
      </c>
      <c r="B3710" s="1" t="str">
        <f>"christopher perring"</f>
        <v>christopher perring</v>
      </c>
      <c r="C3710" s="1" t="s">
        <v>25518</v>
      </c>
      <c r="F3710" s="1" t="s">
        <v>179</v>
      </c>
      <c r="H3710" s="1" t="s">
        <v>25519</v>
      </c>
      <c r="I3710" s="1" t="s">
        <v>5</v>
      </c>
      <c r="J3710" s="1" t="s">
        <v>67</v>
      </c>
      <c r="K3710" s="1" t="s">
        <v>14</v>
      </c>
      <c r="M3710" s="2">
        <v>42900</v>
      </c>
      <c r="N3710" s="1" t="s">
        <v>8</v>
      </c>
      <c r="O3710" s="1" t="s">
        <v>68</v>
      </c>
    </row>
    <row r="3711" spans="1:15" ht="28.8" x14ac:dyDescent="0.3">
      <c r="A3711" s="1" t="s">
        <v>10776</v>
      </c>
      <c r="B3711" s="1" t="str">
        <f>"Y Lle Tan - The Fire-Works"</f>
        <v>Y Lle Tan - The Fire-Works</v>
      </c>
      <c r="C3711" s="1" t="s">
        <v>10777</v>
      </c>
      <c r="F3711" s="1" t="s">
        <v>678</v>
      </c>
      <c r="H3711" s="1" t="s">
        <v>10778</v>
      </c>
      <c r="I3711" s="1" t="s">
        <v>125</v>
      </c>
      <c r="J3711" s="1" t="s">
        <v>6</v>
      </c>
      <c r="K3711" s="1" t="s">
        <v>24</v>
      </c>
      <c r="M3711" s="2">
        <v>42899</v>
      </c>
      <c r="N3711" s="1" t="s">
        <v>8</v>
      </c>
      <c r="O3711" s="2">
        <v>43995</v>
      </c>
    </row>
    <row r="3712" spans="1:15" ht="43.2" x14ac:dyDescent="0.3">
      <c r="A3712" s="1" t="s">
        <v>11777</v>
      </c>
      <c r="B3712" s="1" t="str">
        <f>"Kaleidoscope"</f>
        <v>Kaleidoscope</v>
      </c>
      <c r="C3712" s="1" t="s">
        <v>11778</v>
      </c>
      <c r="D3712" s="1" t="s">
        <v>7406</v>
      </c>
      <c r="F3712" s="1" t="s">
        <v>156</v>
      </c>
      <c r="H3712" s="1" t="s">
        <v>11779</v>
      </c>
      <c r="I3712" s="1" t="s">
        <v>1872</v>
      </c>
      <c r="J3712" s="1" t="s">
        <v>67</v>
      </c>
      <c r="K3712" s="1" t="s">
        <v>14</v>
      </c>
      <c r="M3712" s="2">
        <v>42899</v>
      </c>
      <c r="N3712" s="1" t="s">
        <v>8</v>
      </c>
      <c r="O3712" s="1" t="s">
        <v>68</v>
      </c>
    </row>
    <row r="3713" spans="1:15" ht="43.2" x14ac:dyDescent="0.3">
      <c r="A3713" s="1" t="s">
        <v>11780</v>
      </c>
      <c r="B3713" s="1" t="str">
        <f>"oxfam trading"</f>
        <v>oxfam trading</v>
      </c>
      <c r="C3713" s="1" t="s">
        <v>11781</v>
      </c>
      <c r="D3713" s="1" t="s">
        <v>5078</v>
      </c>
      <c r="F3713" s="1" t="s">
        <v>3337</v>
      </c>
      <c r="H3713" s="1" t="s">
        <v>11782</v>
      </c>
      <c r="I3713" s="1" t="s">
        <v>1872</v>
      </c>
      <c r="J3713" s="1" t="s">
        <v>67</v>
      </c>
      <c r="K3713" s="1" t="s">
        <v>14</v>
      </c>
      <c r="M3713" s="2">
        <v>42899</v>
      </c>
      <c r="N3713" s="1" t="s">
        <v>8</v>
      </c>
      <c r="O3713" s="1" t="s">
        <v>68</v>
      </c>
    </row>
    <row r="3714" spans="1:15" ht="43.2" x14ac:dyDescent="0.3">
      <c r="A3714" s="1" t="s">
        <v>11783</v>
      </c>
      <c r="B3714" s="1" t="str">
        <f>"William Parkman &amp; Daughters Limited"</f>
        <v>William Parkman &amp; Daughters Limited</v>
      </c>
      <c r="C3714" s="1" t="s">
        <v>11784</v>
      </c>
      <c r="F3714" s="1" t="s">
        <v>156</v>
      </c>
      <c r="H3714" s="1" t="s">
        <v>11785</v>
      </c>
      <c r="I3714" s="1" t="s">
        <v>19</v>
      </c>
      <c r="J3714" s="1" t="s">
        <v>67</v>
      </c>
      <c r="K3714" s="1" t="s">
        <v>14</v>
      </c>
      <c r="M3714" s="2">
        <v>42899</v>
      </c>
      <c r="N3714" s="1" t="s">
        <v>8</v>
      </c>
      <c r="O3714" s="1" t="s">
        <v>68</v>
      </c>
    </row>
    <row r="3715" spans="1:15" ht="43.2" x14ac:dyDescent="0.3">
      <c r="A3715" s="1" t="s">
        <v>11786</v>
      </c>
      <c r="B3715" s="1" t="str">
        <f>"William Parkman &amp; Daughters Limited"</f>
        <v>William Parkman &amp; Daughters Limited</v>
      </c>
      <c r="C3715" s="1" t="s">
        <v>11787</v>
      </c>
      <c r="F3715" s="1" t="s">
        <v>1341</v>
      </c>
      <c r="H3715" s="1" t="s">
        <v>11788</v>
      </c>
      <c r="I3715" s="1" t="s">
        <v>19</v>
      </c>
      <c r="J3715" s="1" t="s">
        <v>67</v>
      </c>
      <c r="K3715" s="1" t="s">
        <v>14</v>
      </c>
      <c r="M3715" s="2">
        <v>42899</v>
      </c>
      <c r="N3715" s="1" t="s">
        <v>8</v>
      </c>
      <c r="O3715" s="1" t="s">
        <v>68</v>
      </c>
    </row>
    <row r="3716" spans="1:15" ht="43.2" x14ac:dyDescent="0.3">
      <c r="A3716" s="1" t="s">
        <v>11789</v>
      </c>
      <c r="B3716" s="1" t="str">
        <f>"OFALIS LIMITED"</f>
        <v>OFALIS LIMITED</v>
      </c>
      <c r="C3716" s="1" t="s">
        <v>11790</v>
      </c>
      <c r="F3716" s="1" t="s">
        <v>665</v>
      </c>
      <c r="H3716" s="1" t="s">
        <v>2163</v>
      </c>
      <c r="I3716" s="1" t="s">
        <v>19</v>
      </c>
      <c r="J3716" s="1" t="s">
        <v>67</v>
      </c>
      <c r="K3716" s="1" t="s">
        <v>14</v>
      </c>
      <c r="M3716" s="2">
        <v>42899</v>
      </c>
      <c r="N3716" s="1" t="s">
        <v>8</v>
      </c>
      <c r="O3716" s="1" t="s">
        <v>68</v>
      </c>
    </row>
    <row r="3717" spans="1:15" ht="28.8" x14ac:dyDescent="0.3">
      <c r="A3717" s="1" t="s">
        <v>11791</v>
      </c>
      <c r="B3717" s="1" t="str">
        <f>"Fullcycle"</f>
        <v>Fullcycle</v>
      </c>
      <c r="C3717" s="1" t="s">
        <v>11792</v>
      </c>
      <c r="F3717" s="1" t="s">
        <v>2961</v>
      </c>
      <c r="H3717" s="1" t="s">
        <v>11793</v>
      </c>
      <c r="I3717" s="1" t="s">
        <v>125</v>
      </c>
      <c r="J3717" s="1" t="s">
        <v>6</v>
      </c>
      <c r="K3717" s="1" t="s">
        <v>24</v>
      </c>
      <c r="M3717" s="2">
        <v>42899</v>
      </c>
      <c r="N3717" s="1" t="s">
        <v>8</v>
      </c>
      <c r="O3717" s="2">
        <v>43995</v>
      </c>
    </row>
    <row r="3718" spans="1:15" ht="43.2" x14ac:dyDescent="0.3">
      <c r="A3718" s="1" t="s">
        <v>11794</v>
      </c>
      <c r="B3718" s="1" t="str">
        <f>"The Corner Shop (New Quay)"</f>
        <v>The Corner Shop (New Quay)</v>
      </c>
      <c r="C3718" s="1" t="s">
        <v>11795</v>
      </c>
      <c r="F3718" s="1" t="s">
        <v>3081</v>
      </c>
      <c r="H3718" s="1" t="s">
        <v>11796</v>
      </c>
      <c r="I3718" s="1" t="s">
        <v>125</v>
      </c>
      <c r="J3718" s="1" t="s">
        <v>67</v>
      </c>
      <c r="K3718" s="1" t="s">
        <v>14</v>
      </c>
      <c r="M3718" s="2">
        <v>42899</v>
      </c>
      <c r="N3718" s="1" t="s">
        <v>8</v>
      </c>
      <c r="O3718" s="1" t="s">
        <v>68</v>
      </c>
    </row>
    <row r="3719" spans="1:15" ht="28.8" x14ac:dyDescent="0.3">
      <c r="A3719" s="1" t="s">
        <v>11797</v>
      </c>
      <c r="B3719" s="1" t="str">
        <f>"R pearson"</f>
        <v>R pearson</v>
      </c>
      <c r="C3719" s="1" t="s">
        <v>11798</v>
      </c>
      <c r="F3719" s="1" t="s">
        <v>323</v>
      </c>
      <c r="H3719" s="1" t="s">
        <v>11799</v>
      </c>
      <c r="I3719" s="1" t="s">
        <v>125</v>
      </c>
      <c r="J3719" s="1" t="s">
        <v>6</v>
      </c>
      <c r="K3719" s="1" t="s">
        <v>24</v>
      </c>
      <c r="M3719" s="2">
        <v>42899</v>
      </c>
      <c r="N3719" s="1" t="s">
        <v>8</v>
      </c>
      <c r="O3719" s="2">
        <v>44011</v>
      </c>
    </row>
    <row r="3720" spans="1:15" x14ac:dyDescent="0.3">
      <c r="A3720" s="1" t="s">
        <v>11800</v>
      </c>
      <c r="B3720" s="1" t="str">
        <f>"Tree Squadron"</f>
        <v>Tree Squadron</v>
      </c>
      <c r="C3720" s="1" t="s">
        <v>11801</v>
      </c>
      <c r="F3720" s="1" t="s">
        <v>123</v>
      </c>
      <c r="H3720" s="1" t="s">
        <v>11802</v>
      </c>
      <c r="I3720" s="1" t="s">
        <v>19</v>
      </c>
      <c r="J3720" s="1" t="s">
        <v>6</v>
      </c>
      <c r="K3720" s="1" t="s">
        <v>24</v>
      </c>
      <c r="L3720" s="1">
        <v>10782737</v>
      </c>
      <c r="M3720" s="2">
        <v>42899</v>
      </c>
      <c r="N3720" s="1" t="s">
        <v>8</v>
      </c>
      <c r="O3720" s="2">
        <v>43995</v>
      </c>
    </row>
    <row r="3721" spans="1:15" ht="43.2" x14ac:dyDescent="0.3">
      <c r="A3721" s="1" t="s">
        <v>24730</v>
      </c>
      <c r="B3721" s="1" t="str">
        <f>"David Holgate"</f>
        <v>David Holgate</v>
      </c>
      <c r="C3721" s="1" t="s">
        <v>24731</v>
      </c>
      <c r="F3721" s="1" t="s">
        <v>2459</v>
      </c>
      <c r="H3721" s="1" t="s">
        <v>24732</v>
      </c>
      <c r="I3721" s="1" t="s">
        <v>5</v>
      </c>
      <c r="J3721" s="1" t="s">
        <v>67</v>
      </c>
      <c r="K3721" s="1" t="s">
        <v>14</v>
      </c>
      <c r="M3721" s="2">
        <v>42899</v>
      </c>
      <c r="N3721" s="1" t="s">
        <v>8</v>
      </c>
      <c r="O3721" s="1" t="s">
        <v>68</v>
      </c>
    </row>
    <row r="3722" spans="1:15" ht="28.8" x14ac:dyDescent="0.3">
      <c r="A3722" s="1" t="s">
        <v>24733</v>
      </c>
      <c r="B3722" s="1" t="str">
        <f>"Colin Richards RM Polymers"</f>
        <v>Colin Richards RM Polymers</v>
      </c>
      <c r="C3722" s="1" t="s">
        <v>24734</v>
      </c>
      <c r="F3722" s="1" t="s">
        <v>37</v>
      </c>
      <c r="H3722" s="1" t="s">
        <v>24735</v>
      </c>
      <c r="I3722" s="1" t="s">
        <v>5</v>
      </c>
      <c r="J3722" s="1" t="s">
        <v>6</v>
      </c>
      <c r="K3722" s="1" t="s">
        <v>24</v>
      </c>
      <c r="M3722" s="2">
        <v>42899</v>
      </c>
      <c r="N3722" s="1" t="s">
        <v>8</v>
      </c>
      <c r="O3722" s="2">
        <v>43995</v>
      </c>
    </row>
    <row r="3723" spans="1:15" ht="28.8" x14ac:dyDescent="0.3">
      <c r="A3723" s="1" t="s">
        <v>24736</v>
      </c>
      <c r="B3723" s="1" t="str">
        <f>"Alistair Butler A. J. Butler Contracting"</f>
        <v>Alistair Butler A. J. Butler Contracting</v>
      </c>
      <c r="C3723" s="1" t="s">
        <v>24737</v>
      </c>
      <c r="F3723" s="1" t="s">
        <v>56</v>
      </c>
      <c r="G3723" s="1" t="s">
        <v>51</v>
      </c>
      <c r="H3723" s="1" t="s">
        <v>24738</v>
      </c>
      <c r="I3723" s="1" t="s">
        <v>5</v>
      </c>
      <c r="J3723" s="1" t="s">
        <v>6</v>
      </c>
      <c r="K3723" s="1" t="s">
        <v>34</v>
      </c>
      <c r="M3723" s="2">
        <v>42899</v>
      </c>
      <c r="N3723" s="1" t="s">
        <v>8</v>
      </c>
      <c r="O3723" s="2">
        <v>43994</v>
      </c>
    </row>
    <row r="3724" spans="1:15" ht="28.8" x14ac:dyDescent="0.3">
      <c r="A3724" s="1" t="s">
        <v>10766</v>
      </c>
      <c r="B3724" s="1" t="str">
        <f>"Ultra Civil Groundworks Ltd"</f>
        <v>Ultra Civil Groundworks Ltd</v>
      </c>
      <c r="C3724" s="1" t="s">
        <v>10767</v>
      </c>
      <c r="F3724" s="1" t="s">
        <v>2686</v>
      </c>
      <c r="H3724" s="1" t="s">
        <v>9431</v>
      </c>
      <c r="I3724" s="1" t="s">
        <v>19</v>
      </c>
      <c r="J3724" s="1" t="s">
        <v>6</v>
      </c>
      <c r="K3724" s="1" t="s">
        <v>24</v>
      </c>
      <c r="L3724" s="1">
        <v>9586533</v>
      </c>
      <c r="M3724" s="2">
        <v>42898</v>
      </c>
      <c r="N3724" s="1" t="s">
        <v>8</v>
      </c>
      <c r="O3724" s="2">
        <v>43994</v>
      </c>
    </row>
    <row r="3725" spans="1:15" ht="28.8" x14ac:dyDescent="0.3">
      <c r="A3725" s="1" t="s">
        <v>10768</v>
      </c>
      <c r="B3725" s="1" t="str">
        <f>"Players Auction Mart Ltd"</f>
        <v>Players Auction Mart Ltd</v>
      </c>
      <c r="C3725" s="1" t="s">
        <v>10769</v>
      </c>
      <c r="D3725" s="1" t="s">
        <v>6191</v>
      </c>
      <c r="F3725" s="1" t="s">
        <v>64</v>
      </c>
      <c r="H3725" s="1" t="s">
        <v>6192</v>
      </c>
      <c r="I3725" s="1" t="s">
        <v>19</v>
      </c>
      <c r="J3725" s="1" t="s">
        <v>6</v>
      </c>
      <c r="K3725" s="1" t="s">
        <v>24</v>
      </c>
      <c r="L3725" s="1">
        <v>7655666</v>
      </c>
      <c r="M3725" s="2">
        <v>42898</v>
      </c>
      <c r="N3725" s="1" t="s">
        <v>8</v>
      </c>
      <c r="O3725" s="2">
        <v>44029</v>
      </c>
    </row>
    <row r="3726" spans="1:15" x14ac:dyDescent="0.3">
      <c r="A3726" s="1" t="s">
        <v>10770</v>
      </c>
      <c r="B3726" s="1" t="str">
        <f>"Abba Drains Ltd."</f>
        <v>Abba Drains Ltd.</v>
      </c>
      <c r="C3726" s="1" t="s">
        <v>10771</v>
      </c>
      <c r="F3726" s="1" t="s">
        <v>428</v>
      </c>
      <c r="H3726" s="1" t="s">
        <v>10772</v>
      </c>
      <c r="I3726" s="1" t="s">
        <v>19</v>
      </c>
      <c r="J3726" s="1" t="s">
        <v>6</v>
      </c>
      <c r="K3726" s="1" t="s">
        <v>24</v>
      </c>
      <c r="L3726" s="1">
        <v>6533018</v>
      </c>
      <c r="M3726" s="2">
        <v>42898</v>
      </c>
      <c r="N3726" s="1" t="s">
        <v>8</v>
      </c>
      <c r="O3726" s="2">
        <v>43994</v>
      </c>
    </row>
    <row r="3727" spans="1:15" ht="28.8" x14ac:dyDescent="0.3">
      <c r="A3727" s="1" t="s">
        <v>10773</v>
      </c>
      <c r="B3727" s="1" t="str">
        <f>"Garth Roberts &amp; Co"</f>
        <v>Garth Roberts &amp; Co</v>
      </c>
      <c r="C3727" s="1" t="s">
        <v>10774</v>
      </c>
      <c r="F3727" s="1" t="s">
        <v>922</v>
      </c>
      <c r="H3727" s="1" t="s">
        <v>10775</v>
      </c>
      <c r="I3727" s="1" t="s">
        <v>125</v>
      </c>
      <c r="J3727" s="1" t="s">
        <v>6</v>
      </c>
      <c r="K3727" s="1" t="s">
        <v>34</v>
      </c>
      <c r="M3727" s="2">
        <v>42898</v>
      </c>
      <c r="N3727" s="1" t="s">
        <v>8</v>
      </c>
      <c r="O3727" s="2">
        <v>43994</v>
      </c>
    </row>
    <row r="3728" spans="1:15" ht="28.8" x14ac:dyDescent="0.3">
      <c r="A3728" s="1" t="s">
        <v>23864</v>
      </c>
      <c r="B3728" s="1" t="str">
        <f>"Philip Cotton Pjc forestry and fencing"</f>
        <v>Philip Cotton Pjc forestry and fencing</v>
      </c>
      <c r="C3728" s="1" t="s">
        <v>23865</v>
      </c>
      <c r="D3728" s="1" t="s">
        <v>4220</v>
      </c>
      <c r="E3728" s="1" t="s">
        <v>108</v>
      </c>
      <c r="F3728" s="1" t="s">
        <v>64</v>
      </c>
      <c r="H3728" s="1" t="s">
        <v>23866</v>
      </c>
      <c r="I3728" s="1" t="s">
        <v>5</v>
      </c>
      <c r="J3728" s="1" t="s">
        <v>6</v>
      </c>
      <c r="K3728" s="1" t="s">
        <v>34</v>
      </c>
      <c r="M3728" s="2">
        <v>42898</v>
      </c>
      <c r="N3728" s="1" t="s">
        <v>8</v>
      </c>
      <c r="O3728" s="2">
        <v>43994</v>
      </c>
    </row>
    <row r="3729" spans="1:15" ht="43.2" x14ac:dyDescent="0.3">
      <c r="A3729" s="1" t="s">
        <v>23867</v>
      </c>
      <c r="B3729" s="1" t="str">
        <f>"Gemma Clarke"</f>
        <v>Gemma Clarke</v>
      </c>
      <c r="C3729" s="1" t="s">
        <v>23868</v>
      </c>
      <c r="F3729" s="1" t="s">
        <v>14455</v>
      </c>
      <c r="H3729" s="1" t="s">
        <v>23869</v>
      </c>
      <c r="I3729" s="1" t="s">
        <v>5</v>
      </c>
      <c r="J3729" s="1" t="s">
        <v>67</v>
      </c>
      <c r="K3729" s="1" t="s">
        <v>14</v>
      </c>
      <c r="M3729" s="2">
        <v>42898</v>
      </c>
      <c r="N3729" s="1" t="s">
        <v>8</v>
      </c>
      <c r="O3729" s="1" t="s">
        <v>68</v>
      </c>
    </row>
    <row r="3730" spans="1:15" ht="43.2" x14ac:dyDescent="0.3">
      <c r="A3730" s="1" t="s">
        <v>23870</v>
      </c>
      <c r="B3730" s="1" t="str">
        <f>"Sue Littlejohns"</f>
        <v>Sue Littlejohns</v>
      </c>
      <c r="C3730" s="1" t="s">
        <v>23871</v>
      </c>
      <c r="F3730" s="1" t="s">
        <v>42</v>
      </c>
      <c r="H3730" s="1" t="s">
        <v>23872</v>
      </c>
      <c r="I3730" s="1" t="s">
        <v>5</v>
      </c>
      <c r="J3730" s="1" t="s">
        <v>67</v>
      </c>
      <c r="K3730" s="1" t="s">
        <v>14</v>
      </c>
      <c r="M3730" s="2">
        <v>42898</v>
      </c>
      <c r="N3730" s="1" t="s">
        <v>8</v>
      </c>
      <c r="O3730" s="1" t="s">
        <v>68</v>
      </c>
    </row>
    <row r="3731" spans="1:15" ht="28.8" x14ac:dyDescent="0.3">
      <c r="A3731" s="1" t="s">
        <v>23873</v>
      </c>
      <c r="B3731" s="1" t="str">
        <f>"Barry Wilson Barry Wilson"</f>
        <v>Barry Wilson Barry Wilson</v>
      </c>
      <c r="C3731" s="1" t="s">
        <v>23874</v>
      </c>
      <c r="F3731" s="1" t="s">
        <v>64</v>
      </c>
      <c r="H3731" s="1" t="s">
        <v>23875</v>
      </c>
      <c r="I3731" s="1" t="s">
        <v>5</v>
      </c>
      <c r="J3731" s="1" t="s">
        <v>6</v>
      </c>
      <c r="K3731" s="1" t="s">
        <v>24</v>
      </c>
      <c r="M3731" s="2">
        <v>42898</v>
      </c>
      <c r="N3731" s="1" t="s">
        <v>8</v>
      </c>
      <c r="O3731" s="2">
        <v>43994</v>
      </c>
    </row>
    <row r="3732" spans="1:15" ht="28.8" x14ac:dyDescent="0.3">
      <c r="A3732" s="1" t="s">
        <v>23876</v>
      </c>
      <c r="B3732" s="1" t="str">
        <f>"Mark Roberts Mark Roberts"</f>
        <v>Mark Roberts Mark Roberts</v>
      </c>
      <c r="C3732" s="1" t="s">
        <v>23877</v>
      </c>
      <c r="F3732" s="1" t="s">
        <v>532</v>
      </c>
      <c r="H3732" s="1" t="s">
        <v>23878</v>
      </c>
      <c r="I3732" s="1" t="s">
        <v>5</v>
      </c>
      <c r="J3732" s="1" t="s">
        <v>6</v>
      </c>
      <c r="K3732" s="1" t="s">
        <v>34</v>
      </c>
      <c r="M3732" s="2">
        <v>42898</v>
      </c>
      <c r="N3732" s="1" t="s">
        <v>8</v>
      </c>
      <c r="O3732" s="2">
        <v>43994</v>
      </c>
    </row>
    <row r="3733" spans="1:15" ht="28.8" x14ac:dyDescent="0.3">
      <c r="A3733" s="1" t="s">
        <v>23879</v>
      </c>
      <c r="B3733" s="1" t="str">
        <f>"Brian  Evans Brian Evans"</f>
        <v>Brian  Evans Brian Evans</v>
      </c>
      <c r="C3733" s="1" t="s">
        <v>23880</v>
      </c>
      <c r="F3733" s="1" t="s">
        <v>1093</v>
      </c>
      <c r="H3733" s="1" t="s">
        <v>23881</v>
      </c>
      <c r="I3733" s="1" t="s">
        <v>5</v>
      </c>
      <c r="J3733" s="1" t="s">
        <v>6</v>
      </c>
      <c r="K3733" s="1" t="s">
        <v>34</v>
      </c>
      <c r="M3733" s="2">
        <v>42898</v>
      </c>
      <c r="N3733" s="1" t="s">
        <v>8</v>
      </c>
      <c r="O3733" s="2">
        <v>43994</v>
      </c>
    </row>
    <row r="3734" spans="1:15" ht="28.8" x14ac:dyDescent="0.3">
      <c r="A3734" s="1" t="s">
        <v>23882</v>
      </c>
      <c r="B3734" s="1" t="str">
        <f>"Stephen Mayers Steve Mayers"</f>
        <v>Stephen Mayers Steve Mayers</v>
      </c>
      <c r="C3734" s="1" t="s">
        <v>23883</v>
      </c>
      <c r="F3734" s="1" t="s">
        <v>1351</v>
      </c>
      <c r="H3734" s="1" t="s">
        <v>23884</v>
      </c>
      <c r="I3734" s="1" t="s">
        <v>5</v>
      </c>
      <c r="J3734" s="1" t="s">
        <v>6</v>
      </c>
      <c r="K3734" s="1" t="s">
        <v>24</v>
      </c>
      <c r="M3734" s="2">
        <v>42898</v>
      </c>
      <c r="N3734" s="1" t="s">
        <v>8</v>
      </c>
      <c r="O3734" s="2">
        <v>43994</v>
      </c>
    </row>
    <row r="3735" spans="1:15" ht="43.2" x14ac:dyDescent="0.3">
      <c r="A3735" s="1" t="s">
        <v>23885</v>
      </c>
      <c r="B3735" s="1" t="str">
        <f>"Andrew Moorhouse"</f>
        <v>Andrew Moorhouse</v>
      </c>
      <c r="C3735" s="1" t="s">
        <v>23886</v>
      </c>
      <c r="F3735" s="1" t="s">
        <v>23887</v>
      </c>
      <c r="H3735" s="1" t="s">
        <v>23888</v>
      </c>
      <c r="I3735" s="1" t="s">
        <v>5</v>
      </c>
      <c r="J3735" s="1" t="s">
        <v>67</v>
      </c>
      <c r="K3735" s="1" t="s">
        <v>14</v>
      </c>
      <c r="M3735" s="2">
        <v>42898</v>
      </c>
      <c r="N3735" s="1" t="s">
        <v>8</v>
      </c>
      <c r="O3735" s="1" t="s">
        <v>68</v>
      </c>
    </row>
    <row r="3736" spans="1:15" ht="43.2" x14ac:dyDescent="0.3">
      <c r="A3736" s="1" t="s">
        <v>23889</v>
      </c>
      <c r="B3736" s="1" t="str">
        <f>"Matthew Rudd"</f>
        <v>Matthew Rudd</v>
      </c>
      <c r="C3736" s="1" t="s">
        <v>23890</v>
      </c>
      <c r="F3736" s="1" t="s">
        <v>23891</v>
      </c>
      <c r="H3736" s="1" t="s">
        <v>23892</v>
      </c>
      <c r="I3736" s="1" t="s">
        <v>5</v>
      </c>
      <c r="J3736" s="1" t="s">
        <v>67</v>
      </c>
      <c r="K3736" s="1" t="s">
        <v>34</v>
      </c>
      <c r="M3736" s="2">
        <v>42898</v>
      </c>
      <c r="N3736" s="1" t="s">
        <v>8</v>
      </c>
      <c r="O3736" s="1" t="s">
        <v>68</v>
      </c>
    </row>
    <row r="3737" spans="1:15" x14ac:dyDescent="0.3">
      <c r="A3737" s="1" t="s">
        <v>23893</v>
      </c>
      <c r="B3737" s="1" t="str">
        <f>"Kenneth Hughes"</f>
        <v>Kenneth Hughes</v>
      </c>
      <c r="C3737" s="1" t="s">
        <v>23894</v>
      </c>
      <c r="F3737" s="1" t="s">
        <v>1638</v>
      </c>
      <c r="H3737" s="1" t="s">
        <v>1639</v>
      </c>
      <c r="I3737" s="1" t="s">
        <v>5</v>
      </c>
      <c r="J3737" s="1" t="s">
        <v>6</v>
      </c>
      <c r="K3737" s="1" t="s">
        <v>24</v>
      </c>
      <c r="M3737" s="2">
        <v>42898</v>
      </c>
      <c r="N3737" s="1" t="s">
        <v>8</v>
      </c>
      <c r="O3737" s="2">
        <v>43994</v>
      </c>
    </row>
    <row r="3738" spans="1:15" ht="28.8" x14ac:dyDescent="0.3">
      <c r="A3738" s="1" t="s">
        <v>23895</v>
      </c>
      <c r="B3738" s="1" t="str">
        <f>"Tracy Harthen Clear and Clean"</f>
        <v>Tracy Harthen Clear and Clean</v>
      </c>
      <c r="C3738" s="1" t="s">
        <v>23896</v>
      </c>
      <c r="F3738" s="1" t="s">
        <v>64</v>
      </c>
      <c r="H3738" s="1" t="s">
        <v>23897</v>
      </c>
      <c r="I3738" s="1" t="s">
        <v>5</v>
      </c>
      <c r="J3738" s="1" t="s">
        <v>6</v>
      </c>
      <c r="K3738" s="1" t="s">
        <v>24</v>
      </c>
      <c r="M3738" s="2">
        <v>42898</v>
      </c>
      <c r="N3738" s="1" t="s">
        <v>8</v>
      </c>
      <c r="O3738" s="2">
        <v>43994</v>
      </c>
    </row>
    <row r="3739" spans="1:15" ht="28.8" x14ac:dyDescent="0.3">
      <c r="A3739" s="1" t="s">
        <v>23898</v>
      </c>
      <c r="B3739" s="1" t="str">
        <f>"CHRIS BOWER CB'S LOAD RUNNER"</f>
        <v>CHRIS BOWER CB'S LOAD RUNNER</v>
      </c>
      <c r="C3739" s="1" t="s">
        <v>23899</v>
      </c>
      <c r="F3739" s="1" t="s">
        <v>1888</v>
      </c>
      <c r="H3739" s="1" t="s">
        <v>23900</v>
      </c>
      <c r="I3739" s="1" t="s">
        <v>5</v>
      </c>
      <c r="J3739" s="1" t="s">
        <v>6</v>
      </c>
      <c r="K3739" s="1" t="s">
        <v>34</v>
      </c>
      <c r="M3739" s="2">
        <v>42898</v>
      </c>
      <c r="N3739" s="1" t="s">
        <v>8</v>
      </c>
      <c r="O3739" s="2">
        <v>43994</v>
      </c>
    </row>
    <row r="3740" spans="1:15" ht="43.2" x14ac:dyDescent="0.3">
      <c r="A3740" s="1" t="s">
        <v>10763</v>
      </c>
      <c r="B3740" s="1" t="str">
        <f>"Greenman"</f>
        <v>Greenman</v>
      </c>
      <c r="C3740" s="1" t="s">
        <v>10764</v>
      </c>
      <c r="F3740" s="1" t="s">
        <v>480</v>
      </c>
      <c r="H3740" s="1" t="s">
        <v>10765</v>
      </c>
      <c r="I3740" s="1" t="s">
        <v>125</v>
      </c>
      <c r="J3740" s="1" t="s">
        <v>67</v>
      </c>
      <c r="K3740" s="1" t="s">
        <v>14</v>
      </c>
      <c r="M3740" s="2">
        <v>42897</v>
      </c>
      <c r="N3740" s="1" t="s">
        <v>8</v>
      </c>
      <c r="O3740" s="1" t="s">
        <v>68</v>
      </c>
    </row>
    <row r="3741" spans="1:15" ht="43.2" x14ac:dyDescent="0.3">
      <c r="A3741" s="1" t="s">
        <v>9745</v>
      </c>
      <c r="B3741" s="1" t="str">
        <f>"mtw plumbing and heating"</f>
        <v>mtw plumbing and heating</v>
      </c>
      <c r="C3741" s="1" t="s">
        <v>5172</v>
      </c>
      <c r="F3741" s="1" t="s">
        <v>156</v>
      </c>
      <c r="H3741" s="1" t="s">
        <v>5173</v>
      </c>
      <c r="I3741" s="1" t="s">
        <v>19</v>
      </c>
      <c r="J3741" s="1" t="s">
        <v>67</v>
      </c>
      <c r="K3741" s="1" t="s">
        <v>14</v>
      </c>
      <c r="M3741" s="2">
        <v>42896</v>
      </c>
      <c r="N3741" s="1" t="s">
        <v>8</v>
      </c>
      <c r="O3741" s="1" t="s">
        <v>68</v>
      </c>
    </row>
    <row r="3742" spans="1:15" ht="43.2" x14ac:dyDescent="0.3">
      <c r="A3742" s="1" t="s">
        <v>9717</v>
      </c>
      <c r="B3742" s="1" t="str">
        <f>"Value Independence CIC"</f>
        <v>Value Independence CIC</v>
      </c>
      <c r="C3742" s="1" t="s">
        <v>9718</v>
      </c>
      <c r="F3742" s="1" t="s">
        <v>513</v>
      </c>
      <c r="H3742" s="1" t="s">
        <v>9719</v>
      </c>
      <c r="I3742" s="1" t="s">
        <v>1872</v>
      </c>
      <c r="J3742" s="1" t="s">
        <v>67</v>
      </c>
      <c r="K3742" s="1" t="s">
        <v>14</v>
      </c>
      <c r="M3742" s="2">
        <v>42895</v>
      </c>
      <c r="N3742" s="1" t="s">
        <v>8</v>
      </c>
      <c r="O3742" s="1" t="s">
        <v>68</v>
      </c>
    </row>
    <row r="3743" spans="1:15" ht="28.8" x14ac:dyDescent="0.3">
      <c r="A3743" s="1" t="s">
        <v>9720</v>
      </c>
      <c r="B3743" s="1" t="str">
        <f>"Bryn Pritchard Ltd Building Cont."</f>
        <v>Bryn Pritchard Ltd Building Cont.</v>
      </c>
      <c r="C3743" s="1" t="s">
        <v>9721</v>
      </c>
      <c r="F3743" s="1" t="s">
        <v>9722</v>
      </c>
      <c r="H3743" s="1" t="s">
        <v>9723</v>
      </c>
      <c r="I3743" s="1" t="s">
        <v>19</v>
      </c>
      <c r="J3743" s="1" t="s">
        <v>6</v>
      </c>
      <c r="K3743" s="1" t="s">
        <v>34</v>
      </c>
      <c r="L3743" s="1">
        <v>9454473</v>
      </c>
      <c r="M3743" s="2">
        <v>42895</v>
      </c>
      <c r="N3743" s="1" t="s">
        <v>8</v>
      </c>
      <c r="O3743" s="2">
        <v>43991</v>
      </c>
    </row>
    <row r="3744" spans="1:15" ht="28.8" x14ac:dyDescent="0.3">
      <c r="A3744" s="1" t="s">
        <v>9724</v>
      </c>
      <c r="B3744" s="1" t="str">
        <f>"Hydro-Industries Limited"</f>
        <v>Hydro-Industries Limited</v>
      </c>
      <c r="C3744" s="1" t="s">
        <v>9725</v>
      </c>
      <c r="D3744" s="1" t="s">
        <v>9726</v>
      </c>
      <c r="E3744" s="1" t="s">
        <v>238</v>
      </c>
      <c r="F3744" s="1" t="s">
        <v>42</v>
      </c>
      <c r="H3744" s="1" t="s">
        <v>239</v>
      </c>
      <c r="I3744" s="1" t="s">
        <v>19</v>
      </c>
      <c r="J3744" s="1" t="s">
        <v>6</v>
      </c>
      <c r="K3744" s="1" t="s">
        <v>34</v>
      </c>
      <c r="L3744" s="1">
        <v>7364156</v>
      </c>
      <c r="M3744" s="2">
        <v>42895</v>
      </c>
      <c r="N3744" s="1" t="s">
        <v>8</v>
      </c>
      <c r="O3744" s="2">
        <v>43991</v>
      </c>
    </row>
    <row r="3745" spans="1:15" ht="28.8" x14ac:dyDescent="0.3">
      <c r="A3745" s="1" t="s">
        <v>9727</v>
      </c>
      <c r="B3745" s="1" t="str">
        <f>"Woodtek Biomass LTD"</f>
        <v>Woodtek Biomass LTD</v>
      </c>
      <c r="C3745" s="1" t="s">
        <v>9728</v>
      </c>
      <c r="D3745" s="1" t="s">
        <v>9729</v>
      </c>
      <c r="F3745" s="1" t="s">
        <v>2459</v>
      </c>
      <c r="H3745" s="1" t="s">
        <v>9730</v>
      </c>
      <c r="I3745" s="1" t="s">
        <v>19</v>
      </c>
      <c r="J3745" s="1" t="s">
        <v>6</v>
      </c>
      <c r="K3745" s="1" t="s">
        <v>34</v>
      </c>
      <c r="L3745" s="1">
        <v>8639028</v>
      </c>
      <c r="M3745" s="2">
        <v>42895</v>
      </c>
      <c r="N3745" s="1" t="s">
        <v>8</v>
      </c>
      <c r="O3745" s="2">
        <v>43991</v>
      </c>
    </row>
    <row r="3746" spans="1:15" ht="28.8" x14ac:dyDescent="0.3">
      <c r="A3746" s="1" t="s">
        <v>9731</v>
      </c>
      <c r="B3746" s="1" t="str">
        <f>"Haydn Powell B C D  Ltd."</f>
        <v>Haydn Powell B C D  Ltd.</v>
      </c>
      <c r="C3746" s="1" t="s">
        <v>9732</v>
      </c>
      <c r="F3746" s="1" t="s">
        <v>1058</v>
      </c>
      <c r="H3746" s="1" t="s">
        <v>9733</v>
      </c>
      <c r="I3746" s="1" t="s">
        <v>19</v>
      </c>
      <c r="J3746" s="1" t="s">
        <v>6</v>
      </c>
      <c r="K3746" s="1" t="s">
        <v>24</v>
      </c>
      <c r="L3746" s="1">
        <v>2943390</v>
      </c>
      <c r="M3746" s="2">
        <v>42895</v>
      </c>
      <c r="N3746" s="1" t="s">
        <v>8</v>
      </c>
      <c r="O3746" s="2">
        <v>43991</v>
      </c>
    </row>
    <row r="3747" spans="1:15" ht="28.8" x14ac:dyDescent="0.3">
      <c r="A3747" s="1" t="s">
        <v>9734</v>
      </c>
      <c r="B3747" s="1" t="str">
        <f>"K S BARRY (PLUMBING &amp; HEATING) LTD"</f>
        <v>K S BARRY (PLUMBING &amp; HEATING) LTD</v>
      </c>
      <c r="C3747" s="1" t="s">
        <v>9735</v>
      </c>
      <c r="F3747" s="1" t="s">
        <v>123</v>
      </c>
      <c r="H3747" s="1" t="s">
        <v>9736</v>
      </c>
      <c r="I3747" s="1" t="s">
        <v>19</v>
      </c>
      <c r="J3747" s="1" t="s">
        <v>6</v>
      </c>
      <c r="K3747" s="1" t="s">
        <v>24</v>
      </c>
      <c r="L3747" s="1">
        <v>3905271</v>
      </c>
      <c r="M3747" s="2">
        <v>42895</v>
      </c>
      <c r="N3747" s="1" t="s">
        <v>8</v>
      </c>
      <c r="O3747" s="2">
        <v>43991</v>
      </c>
    </row>
    <row r="3748" spans="1:15" ht="28.8" x14ac:dyDescent="0.3">
      <c r="A3748" s="1" t="s">
        <v>9737</v>
      </c>
      <c r="B3748" s="1" t="str">
        <f>"SLEAFORD MICRO SKIP HIRE LTD"</f>
        <v>SLEAFORD MICRO SKIP HIRE LTD</v>
      </c>
      <c r="C3748" s="1" t="s">
        <v>9738</v>
      </c>
      <c r="F3748" s="1" t="s">
        <v>9739</v>
      </c>
      <c r="H3748" s="1" t="s">
        <v>9740</v>
      </c>
      <c r="I3748" s="1" t="s">
        <v>19</v>
      </c>
      <c r="J3748" s="1" t="s">
        <v>6</v>
      </c>
      <c r="K3748" s="1" t="s">
        <v>24</v>
      </c>
      <c r="L3748" s="1">
        <v>8741066</v>
      </c>
      <c r="M3748" s="2">
        <v>42895</v>
      </c>
      <c r="N3748" s="1" t="s">
        <v>8</v>
      </c>
      <c r="O3748" s="2">
        <v>43991</v>
      </c>
    </row>
    <row r="3749" spans="1:15" ht="43.2" x14ac:dyDescent="0.3">
      <c r="A3749" s="1" t="s">
        <v>9741</v>
      </c>
      <c r="B3749" s="1" t="str">
        <f>"THOMAS ROOFING LIMITED"</f>
        <v>THOMAS ROOFING LIMITED</v>
      </c>
      <c r="C3749" s="1" t="s">
        <v>9742</v>
      </c>
      <c r="F3749" s="1" t="s">
        <v>323</v>
      </c>
      <c r="H3749" s="1" t="s">
        <v>4188</v>
      </c>
      <c r="I3749" s="1" t="s">
        <v>19</v>
      </c>
      <c r="J3749" s="1" t="s">
        <v>6</v>
      </c>
      <c r="K3749" s="1" t="s">
        <v>34</v>
      </c>
      <c r="L3749" s="1">
        <v>8700125</v>
      </c>
      <c r="M3749" s="2">
        <v>42895</v>
      </c>
      <c r="N3749" s="1" t="s">
        <v>8</v>
      </c>
      <c r="O3749" s="2">
        <v>43991</v>
      </c>
    </row>
    <row r="3750" spans="1:15" ht="28.8" x14ac:dyDescent="0.3">
      <c r="A3750" s="1" t="s">
        <v>9743</v>
      </c>
      <c r="B3750" s="1" t="str">
        <f>"El &amp; DG Jones &amp; Sons"</f>
        <v>El &amp; DG Jones &amp; Sons</v>
      </c>
      <c r="C3750" s="1" t="s">
        <v>7856</v>
      </c>
      <c r="D3750" s="1" t="s">
        <v>9744</v>
      </c>
      <c r="F3750" s="1" t="s">
        <v>1206</v>
      </c>
      <c r="H3750" s="1" t="s">
        <v>7857</v>
      </c>
      <c r="I3750" s="1" t="s">
        <v>125</v>
      </c>
      <c r="J3750" s="1" t="s">
        <v>6</v>
      </c>
      <c r="K3750" s="1" t="s">
        <v>24</v>
      </c>
      <c r="M3750" s="2">
        <v>42895</v>
      </c>
      <c r="N3750" s="1" t="s">
        <v>8</v>
      </c>
      <c r="O3750" s="2">
        <v>43991</v>
      </c>
    </row>
    <row r="3751" spans="1:15" ht="28.8" x14ac:dyDescent="0.3">
      <c r="A3751" s="1" t="s">
        <v>23071</v>
      </c>
      <c r="B3751" s="1" t="str">
        <f>"Geoff Shotter Coastline"</f>
        <v>Geoff Shotter Coastline</v>
      </c>
      <c r="C3751" s="1" t="s">
        <v>23072</v>
      </c>
      <c r="F3751" s="1" t="s">
        <v>359</v>
      </c>
      <c r="H3751" s="1" t="s">
        <v>23073</v>
      </c>
      <c r="I3751" s="1" t="s">
        <v>5</v>
      </c>
      <c r="J3751" s="1" t="s">
        <v>6</v>
      </c>
      <c r="K3751" s="1" t="s">
        <v>24</v>
      </c>
      <c r="M3751" s="2">
        <v>42895</v>
      </c>
      <c r="N3751" s="1" t="s">
        <v>8</v>
      </c>
      <c r="O3751" s="2">
        <v>43991</v>
      </c>
    </row>
    <row r="3752" spans="1:15" ht="28.8" x14ac:dyDescent="0.3">
      <c r="A3752" s="1" t="s">
        <v>23074</v>
      </c>
      <c r="B3752" s="1" t="str">
        <f>"Antonio Sauro Sauro Construction"</f>
        <v>Antonio Sauro Sauro Construction</v>
      </c>
      <c r="C3752" s="1" t="s">
        <v>23075</v>
      </c>
      <c r="D3752" s="1" t="s">
        <v>23076</v>
      </c>
      <c r="F3752" s="1" t="s">
        <v>42</v>
      </c>
      <c r="H3752" s="1" t="s">
        <v>8002</v>
      </c>
      <c r="I3752" s="1" t="s">
        <v>5</v>
      </c>
      <c r="J3752" s="1" t="s">
        <v>6</v>
      </c>
      <c r="K3752" s="1" t="s">
        <v>24</v>
      </c>
      <c r="M3752" s="2">
        <v>42895</v>
      </c>
      <c r="N3752" s="1" t="s">
        <v>8</v>
      </c>
      <c r="O3752" s="2">
        <v>43991</v>
      </c>
    </row>
    <row r="3753" spans="1:15" ht="43.2" x14ac:dyDescent="0.3">
      <c r="A3753" s="1" t="s">
        <v>23077</v>
      </c>
      <c r="B3753" s="1" t="str">
        <f>"Samantha  Thomas South Wales Maintenance"</f>
        <v>Samantha  Thomas South Wales Maintenance</v>
      </c>
      <c r="C3753" s="1" t="s">
        <v>23078</v>
      </c>
      <c r="F3753" s="1" t="s">
        <v>123</v>
      </c>
      <c r="H3753" s="1" t="s">
        <v>23079</v>
      </c>
      <c r="I3753" s="1" t="s">
        <v>5</v>
      </c>
      <c r="J3753" s="1" t="s">
        <v>6</v>
      </c>
      <c r="K3753" s="1" t="s">
        <v>34</v>
      </c>
      <c r="M3753" s="2">
        <v>42895</v>
      </c>
      <c r="N3753" s="1" t="s">
        <v>8</v>
      </c>
      <c r="O3753" s="2">
        <v>43991</v>
      </c>
    </row>
    <row r="3754" spans="1:15" ht="43.2" x14ac:dyDescent="0.3">
      <c r="A3754" s="1" t="s">
        <v>23080</v>
      </c>
      <c r="B3754" s="1" t="str">
        <f>"Selwyn Lloyd Hughes"</f>
        <v>Selwyn Lloyd Hughes</v>
      </c>
      <c r="C3754" s="1" t="s">
        <v>23081</v>
      </c>
      <c r="F3754" s="1" t="s">
        <v>151</v>
      </c>
      <c r="H3754" s="1" t="s">
        <v>23082</v>
      </c>
      <c r="I3754" s="1" t="s">
        <v>5</v>
      </c>
      <c r="J3754" s="1" t="s">
        <v>67</v>
      </c>
      <c r="K3754" s="1" t="s">
        <v>14</v>
      </c>
      <c r="M3754" s="2">
        <v>42895</v>
      </c>
      <c r="N3754" s="1" t="s">
        <v>8</v>
      </c>
      <c r="O3754" s="1" t="s">
        <v>68</v>
      </c>
    </row>
    <row r="3755" spans="1:15" ht="43.2" x14ac:dyDescent="0.3">
      <c r="A3755" s="1" t="s">
        <v>23083</v>
      </c>
      <c r="B3755" s="1" t="str">
        <f>"andrew davies"</f>
        <v>andrew davies</v>
      </c>
      <c r="C3755" s="1" t="s">
        <v>23084</v>
      </c>
      <c r="F3755" s="1" t="s">
        <v>6400</v>
      </c>
      <c r="H3755" s="1" t="s">
        <v>23085</v>
      </c>
      <c r="I3755" s="1" t="s">
        <v>5</v>
      </c>
      <c r="J3755" s="1" t="s">
        <v>67</v>
      </c>
      <c r="K3755" s="1" t="s">
        <v>14</v>
      </c>
      <c r="M3755" s="2">
        <v>42895</v>
      </c>
      <c r="N3755" s="1" t="s">
        <v>8</v>
      </c>
      <c r="O3755" s="1" t="s">
        <v>68</v>
      </c>
    </row>
    <row r="3756" spans="1:15" ht="28.8" x14ac:dyDescent="0.3">
      <c r="A3756" s="1" t="s">
        <v>8538</v>
      </c>
      <c r="B3756" s="1" t="str">
        <f>"car auto salvage ltd"</f>
        <v>car auto salvage ltd</v>
      </c>
      <c r="C3756" s="1" t="s">
        <v>8539</v>
      </c>
      <c r="D3756" s="1" t="s">
        <v>8540</v>
      </c>
      <c r="F3756" s="1" t="s">
        <v>380</v>
      </c>
      <c r="H3756" s="1" t="s">
        <v>8541</v>
      </c>
      <c r="I3756" s="1" t="s">
        <v>19</v>
      </c>
      <c r="J3756" s="1" t="s">
        <v>6</v>
      </c>
      <c r="K3756" s="1" t="s">
        <v>34</v>
      </c>
      <c r="L3756" s="1">
        <v>10740915</v>
      </c>
      <c r="M3756" s="2">
        <v>42894</v>
      </c>
      <c r="N3756" s="1" t="s">
        <v>8</v>
      </c>
      <c r="O3756" s="2">
        <v>43990</v>
      </c>
    </row>
    <row r="3757" spans="1:15" ht="28.8" x14ac:dyDescent="0.3">
      <c r="A3757" s="1" t="s">
        <v>8542</v>
      </c>
      <c r="B3757" s="1" t="str">
        <f>"WINDOW MEDIC YNYS MON LTD"</f>
        <v>WINDOW MEDIC YNYS MON LTD</v>
      </c>
      <c r="C3757" s="1" t="s">
        <v>8543</v>
      </c>
      <c r="F3757" s="1" t="s">
        <v>1609</v>
      </c>
      <c r="H3757" s="1" t="s">
        <v>2061</v>
      </c>
      <c r="I3757" s="1" t="s">
        <v>19</v>
      </c>
      <c r="J3757" s="1" t="s">
        <v>6</v>
      </c>
      <c r="K3757" s="1" t="s">
        <v>34</v>
      </c>
      <c r="L3757" s="1">
        <v>6089796</v>
      </c>
      <c r="M3757" s="2">
        <v>42894</v>
      </c>
      <c r="N3757" s="1" t="s">
        <v>8</v>
      </c>
      <c r="O3757" s="2">
        <v>43990</v>
      </c>
    </row>
    <row r="3758" spans="1:15" x14ac:dyDescent="0.3">
      <c r="A3758" s="1" t="s">
        <v>9709</v>
      </c>
      <c r="B3758" s="1" t="str">
        <f>"K&amp;L Car Dismantlers"</f>
        <v>K&amp;L Car Dismantlers</v>
      </c>
      <c r="C3758" s="1" t="s">
        <v>9710</v>
      </c>
      <c r="F3758" s="1" t="s">
        <v>123</v>
      </c>
      <c r="H3758" s="1" t="s">
        <v>2924</v>
      </c>
      <c r="I3758" s="1" t="s">
        <v>125</v>
      </c>
      <c r="J3758" s="1" t="s">
        <v>6</v>
      </c>
      <c r="K3758" s="1" t="s">
        <v>24</v>
      </c>
      <c r="M3758" s="2">
        <v>42894</v>
      </c>
      <c r="N3758" s="1" t="s">
        <v>8</v>
      </c>
      <c r="O3758" s="2">
        <v>43990</v>
      </c>
    </row>
    <row r="3759" spans="1:15" ht="43.2" x14ac:dyDescent="0.3">
      <c r="A3759" s="1" t="s">
        <v>9711</v>
      </c>
      <c r="B3759" s="1" t="str">
        <f>"R &amp; T Edwards"</f>
        <v>R &amp; T Edwards</v>
      </c>
      <c r="C3759" s="1" t="s">
        <v>9712</v>
      </c>
      <c r="F3759" s="1" t="s">
        <v>897</v>
      </c>
      <c r="H3759" s="1" t="s">
        <v>9713</v>
      </c>
      <c r="I3759" s="1" t="s">
        <v>125</v>
      </c>
      <c r="J3759" s="1" t="s">
        <v>67</v>
      </c>
      <c r="K3759" s="1" t="s">
        <v>24</v>
      </c>
      <c r="M3759" s="2">
        <v>42894</v>
      </c>
      <c r="N3759" s="1" t="s">
        <v>8</v>
      </c>
      <c r="O3759" s="1" t="s">
        <v>68</v>
      </c>
    </row>
    <row r="3760" spans="1:15" ht="28.8" x14ac:dyDescent="0.3">
      <c r="A3760" s="1" t="s">
        <v>9714</v>
      </c>
      <c r="B3760" s="1" t="str">
        <f>"Banner Plumbing Ltd"</f>
        <v>Banner Plumbing Ltd</v>
      </c>
      <c r="C3760" s="1" t="s">
        <v>9715</v>
      </c>
      <c r="D3760" s="1" t="s">
        <v>6139</v>
      </c>
      <c r="F3760" s="1" t="s">
        <v>37</v>
      </c>
      <c r="H3760" s="1" t="s">
        <v>9716</v>
      </c>
      <c r="I3760" s="1" t="s">
        <v>19</v>
      </c>
      <c r="J3760" s="1" t="s">
        <v>6</v>
      </c>
      <c r="K3760" s="1" t="s">
        <v>24</v>
      </c>
      <c r="L3760" s="1">
        <v>10424022</v>
      </c>
      <c r="M3760" s="2">
        <v>42894</v>
      </c>
      <c r="N3760" s="1" t="s">
        <v>8</v>
      </c>
      <c r="O3760" s="2">
        <v>43990</v>
      </c>
    </row>
    <row r="3761" spans="1:15" ht="43.2" x14ac:dyDescent="0.3">
      <c r="A3761" s="1" t="s">
        <v>22353</v>
      </c>
      <c r="B3761" s="1" t="str">
        <f>"Howard Richards Richard and Sons Fencing"</f>
        <v>Howard Richards Richard and Sons Fencing</v>
      </c>
      <c r="C3761" s="1" t="s">
        <v>22354</v>
      </c>
      <c r="F3761" s="1" t="s">
        <v>179</v>
      </c>
      <c r="H3761" s="1" t="s">
        <v>22355</v>
      </c>
      <c r="I3761" s="1" t="s">
        <v>5</v>
      </c>
      <c r="J3761" s="1" t="s">
        <v>6</v>
      </c>
      <c r="K3761" s="1" t="s">
        <v>24</v>
      </c>
      <c r="M3761" s="2">
        <v>42894</v>
      </c>
      <c r="N3761" s="1" t="s">
        <v>8</v>
      </c>
      <c r="O3761" s="2">
        <v>43990</v>
      </c>
    </row>
    <row r="3762" spans="1:15" ht="28.8" x14ac:dyDescent="0.3">
      <c r="A3762" s="1" t="s">
        <v>8510</v>
      </c>
      <c r="B3762" s="1" t="str">
        <f>"CTP Fabrications"</f>
        <v>CTP Fabrications</v>
      </c>
      <c r="C3762" s="1" t="s">
        <v>8511</v>
      </c>
      <c r="F3762" s="1" t="s">
        <v>1991</v>
      </c>
      <c r="H3762" s="1" t="s">
        <v>8512</v>
      </c>
      <c r="I3762" s="1" t="s">
        <v>125</v>
      </c>
      <c r="J3762" s="1" t="s">
        <v>6</v>
      </c>
      <c r="K3762" s="1" t="s">
        <v>24</v>
      </c>
      <c r="M3762" s="2">
        <v>42893</v>
      </c>
      <c r="N3762" s="1" t="s">
        <v>8</v>
      </c>
      <c r="O3762" s="2">
        <v>43989</v>
      </c>
    </row>
    <row r="3763" spans="1:15" ht="28.8" x14ac:dyDescent="0.3">
      <c r="A3763" s="1" t="s">
        <v>8513</v>
      </c>
      <c r="B3763" s="1" t="str">
        <f>"G D SERVICES LTD"</f>
        <v>G D SERVICES LTD</v>
      </c>
      <c r="C3763" s="1" t="s">
        <v>8514</v>
      </c>
      <c r="F3763" s="1" t="s">
        <v>3247</v>
      </c>
      <c r="H3763" s="1" t="s">
        <v>8515</v>
      </c>
      <c r="I3763" s="1" t="s">
        <v>19</v>
      </c>
      <c r="J3763" s="1" t="s">
        <v>6</v>
      </c>
      <c r="K3763" s="1" t="s">
        <v>34</v>
      </c>
      <c r="L3763" s="1">
        <v>10699659</v>
      </c>
      <c r="M3763" s="2">
        <v>42893</v>
      </c>
      <c r="N3763" s="1" t="s">
        <v>8</v>
      </c>
      <c r="O3763" s="2">
        <v>43989</v>
      </c>
    </row>
    <row r="3764" spans="1:15" ht="43.2" x14ac:dyDescent="0.3">
      <c r="A3764" s="1" t="s">
        <v>8516</v>
      </c>
      <c r="B3764" s="1" t="str">
        <f>"GRAIG RHOYSN CLEANING SERVICES LTD"</f>
        <v>GRAIG RHOYSN CLEANING SERVICES LTD</v>
      </c>
      <c r="C3764" s="1" t="s">
        <v>8517</v>
      </c>
      <c r="D3764" s="1" t="s">
        <v>5091</v>
      </c>
      <c r="E3764" s="1" t="s">
        <v>1839</v>
      </c>
      <c r="F3764" s="1" t="s">
        <v>1093</v>
      </c>
      <c r="H3764" s="1" t="s">
        <v>5092</v>
      </c>
      <c r="I3764" s="1" t="s">
        <v>19</v>
      </c>
      <c r="J3764" s="1" t="s">
        <v>67</v>
      </c>
      <c r="K3764" s="1" t="s">
        <v>24</v>
      </c>
      <c r="L3764" s="1">
        <v>6828778</v>
      </c>
      <c r="M3764" s="2">
        <v>42893</v>
      </c>
      <c r="N3764" s="1" t="s">
        <v>8</v>
      </c>
      <c r="O3764" s="1" t="s">
        <v>68</v>
      </c>
    </row>
    <row r="3765" spans="1:15" ht="43.2" x14ac:dyDescent="0.3">
      <c r="A3765" s="1" t="s">
        <v>8518</v>
      </c>
      <c r="B3765" s="1" t="str">
        <f>"Mectec Engineering Ltd"</f>
        <v>Mectec Engineering Ltd</v>
      </c>
      <c r="C3765" s="1" t="s">
        <v>8519</v>
      </c>
      <c r="D3765" s="1" t="s">
        <v>8520</v>
      </c>
      <c r="F3765" s="1" t="s">
        <v>2596</v>
      </c>
      <c r="H3765" s="1" t="s">
        <v>4132</v>
      </c>
      <c r="I3765" s="1" t="s">
        <v>19</v>
      </c>
      <c r="J3765" s="1" t="s">
        <v>67</v>
      </c>
      <c r="K3765" s="1" t="s">
        <v>14</v>
      </c>
      <c r="M3765" s="2">
        <v>42893</v>
      </c>
      <c r="N3765" s="1" t="s">
        <v>8</v>
      </c>
      <c r="O3765" s="1" t="s">
        <v>68</v>
      </c>
    </row>
    <row r="3766" spans="1:15" ht="28.8" x14ac:dyDescent="0.3">
      <c r="A3766" s="1" t="s">
        <v>8521</v>
      </c>
      <c r="B3766" s="1" t="str">
        <f>"Parry &amp; Evans Ltd."</f>
        <v>Parry &amp; Evans Ltd.</v>
      </c>
      <c r="C3766" s="1" t="s">
        <v>8522</v>
      </c>
      <c r="F3766" s="1" t="s">
        <v>2459</v>
      </c>
      <c r="H3766" s="1" t="s">
        <v>8523</v>
      </c>
      <c r="I3766" s="1" t="s">
        <v>19</v>
      </c>
      <c r="J3766" s="1" t="s">
        <v>6</v>
      </c>
      <c r="K3766" s="1" t="s">
        <v>34</v>
      </c>
      <c r="L3766" s="1">
        <v>6501567</v>
      </c>
      <c r="M3766" s="2">
        <v>42893</v>
      </c>
      <c r="N3766" s="1" t="s">
        <v>8</v>
      </c>
      <c r="O3766" s="2">
        <v>43988</v>
      </c>
    </row>
    <row r="3767" spans="1:15" ht="28.8" x14ac:dyDescent="0.3">
      <c r="A3767" s="1" t="s">
        <v>8524</v>
      </c>
      <c r="B3767" s="1" t="str">
        <f>"A J  Quinn Building Contractors Ltd."</f>
        <v>A J  Quinn Building Contractors Ltd.</v>
      </c>
      <c r="C3767" s="1" t="s">
        <v>8525</v>
      </c>
      <c r="F3767" s="1" t="s">
        <v>1058</v>
      </c>
      <c r="H3767" s="1" t="s">
        <v>8526</v>
      </c>
      <c r="I3767" s="1" t="s">
        <v>19</v>
      </c>
      <c r="J3767" s="1" t="s">
        <v>6</v>
      </c>
      <c r="K3767" s="1" t="s">
        <v>34</v>
      </c>
      <c r="L3767" s="1">
        <v>4249872</v>
      </c>
      <c r="M3767" s="2">
        <v>42893</v>
      </c>
      <c r="N3767" s="1" t="s">
        <v>8</v>
      </c>
      <c r="O3767" s="2">
        <v>43989</v>
      </c>
    </row>
    <row r="3768" spans="1:15" ht="28.8" x14ac:dyDescent="0.3">
      <c r="A3768" s="1" t="s">
        <v>8527</v>
      </c>
      <c r="B3768" s="1" t="str">
        <f>"D N A Heating Ltd."</f>
        <v>D N A Heating Ltd.</v>
      </c>
      <c r="C3768" s="1" t="s">
        <v>8528</v>
      </c>
      <c r="D3768" s="1" t="s">
        <v>4273</v>
      </c>
      <c r="E3768" s="1" t="s">
        <v>3176</v>
      </c>
      <c r="F3768" s="1" t="s">
        <v>1093</v>
      </c>
      <c r="H3768" s="1" t="s">
        <v>4274</v>
      </c>
      <c r="I3768" s="1" t="s">
        <v>19</v>
      </c>
      <c r="J3768" s="1" t="s">
        <v>6</v>
      </c>
      <c r="K3768" s="1" t="s">
        <v>34</v>
      </c>
      <c r="L3768" s="1">
        <v>4891688</v>
      </c>
      <c r="M3768" s="2">
        <v>42893</v>
      </c>
      <c r="N3768" s="1" t="s">
        <v>8</v>
      </c>
      <c r="O3768" s="2">
        <v>43989</v>
      </c>
    </row>
    <row r="3769" spans="1:15" ht="28.8" x14ac:dyDescent="0.3">
      <c r="A3769" s="1" t="s">
        <v>8529</v>
      </c>
      <c r="B3769" s="1" t="str">
        <f>"D&amp;G Office Interiors Ltd."</f>
        <v>D&amp;G Office Interiors Ltd.</v>
      </c>
      <c r="C3769" s="1" t="s">
        <v>8530</v>
      </c>
      <c r="D3769" s="1" t="s">
        <v>8138</v>
      </c>
      <c r="F3769" s="1" t="s">
        <v>123</v>
      </c>
      <c r="H3769" s="1" t="s">
        <v>3553</v>
      </c>
      <c r="I3769" s="1" t="s">
        <v>19</v>
      </c>
      <c r="J3769" s="1" t="s">
        <v>6</v>
      </c>
      <c r="K3769" s="1" t="s">
        <v>34</v>
      </c>
      <c r="L3769" s="1">
        <v>2893417</v>
      </c>
      <c r="M3769" s="2">
        <v>42893</v>
      </c>
      <c r="N3769" s="1" t="s">
        <v>8</v>
      </c>
      <c r="O3769" s="2">
        <v>43989</v>
      </c>
    </row>
    <row r="3770" spans="1:15" ht="28.8" x14ac:dyDescent="0.3">
      <c r="A3770" s="1" t="s">
        <v>8531</v>
      </c>
      <c r="B3770" s="1" t="str">
        <f>"Aquarius Direct Maintenance LTD"</f>
        <v>Aquarius Direct Maintenance LTD</v>
      </c>
      <c r="C3770" s="1" t="s">
        <v>8532</v>
      </c>
      <c r="F3770" s="1" t="s">
        <v>8533</v>
      </c>
      <c r="H3770" s="1" t="s">
        <v>8534</v>
      </c>
      <c r="I3770" s="1" t="s">
        <v>19</v>
      </c>
      <c r="J3770" s="1" t="s">
        <v>6</v>
      </c>
      <c r="K3770" s="1" t="s">
        <v>24</v>
      </c>
      <c r="L3770" s="1">
        <v>7819781</v>
      </c>
      <c r="M3770" s="2">
        <v>42893</v>
      </c>
      <c r="N3770" s="1" t="s">
        <v>8</v>
      </c>
      <c r="O3770" s="2">
        <v>43989</v>
      </c>
    </row>
    <row r="3771" spans="1:15" ht="28.8" x14ac:dyDescent="0.3">
      <c r="A3771" s="1" t="s">
        <v>8535</v>
      </c>
      <c r="B3771" s="1" t="str">
        <f>"E&amp;M Salisbury"</f>
        <v>E&amp;M Salisbury</v>
      </c>
      <c r="C3771" s="1" t="s">
        <v>8536</v>
      </c>
      <c r="F3771" s="1" t="s">
        <v>710</v>
      </c>
      <c r="H3771" s="1" t="s">
        <v>8537</v>
      </c>
      <c r="I3771" s="1" t="s">
        <v>125</v>
      </c>
      <c r="J3771" s="1" t="s">
        <v>6</v>
      </c>
      <c r="K3771" s="1" t="s">
        <v>34</v>
      </c>
      <c r="M3771" s="2">
        <v>42893</v>
      </c>
      <c r="N3771" s="1" t="s">
        <v>8</v>
      </c>
      <c r="O3771" s="2">
        <v>43989</v>
      </c>
    </row>
    <row r="3772" spans="1:15" ht="43.2" x14ac:dyDescent="0.3">
      <c r="A3772" s="1" t="s">
        <v>22341</v>
      </c>
      <c r="B3772" s="1" t="str">
        <f>"Vikki Hobson"</f>
        <v>Vikki Hobson</v>
      </c>
      <c r="C3772" s="1" t="s">
        <v>22342</v>
      </c>
      <c r="F3772" s="1" t="s">
        <v>22343</v>
      </c>
      <c r="H3772" s="1" t="s">
        <v>22344</v>
      </c>
      <c r="I3772" s="1" t="s">
        <v>5</v>
      </c>
      <c r="J3772" s="1" t="s">
        <v>67</v>
      </c>
      <c r="K3772" s="1" t="s">
        <v>14</v>
      </c>
      <c r="M3772" s="2">
        <v>42893</v>
      </c>
      <c r="N3772" s="1" t="s">
        <v>8</v>
      </c>
      <c r="O3772" s="1" t="s">
        <v>68</v>
      </c>
    </row>
    <row r="3773" spans="1:15" ht="28.8" x14ac:dyDescent="0.3">
      <c r="A3773" s="1" t="s">
        <v>22345</v>
      </c>
      <c r="B3773" s="1" t="str">
        <f>"Rudy Edwards RUDY EDWARDS"</f>
        <v>Rudy Edwards RUDY EDWARDS</v>
      </c>
      <c r="C3773" s="1" t="s">
        <v>22346</v>
      </c>
      <c r="F3773" s="1" t="s">
        <v>1240</v>
      </c>
      <c r="H3773" s="1" t="s">
        <v>21539</v>
      </c>
      <c r="I3773" s="1" t="s">
        <v>5</v>
      </c>
      <c r="J3773" s="1" t="s">
        <v>6</v>
      </c>
      <c r="K3773" s="1" t="s">
        <v>24</v>
      </c>
      <c r="M3773" s="2">
        <v>42893</v>
      </c>
      <c r="N3773" s="1" t="s">
        <v>8</v>
      </c>
      <c r="O3773" s="2">
        <v>43989</v>
      </c>
    </row>
    <row r="3774" spans="1:15" ht="28.8" x14ac:dyDescent="0.3">
      <c r="A3774" s="1" t="s">
        <v>22347</v>
      </c>
      <c r="B3774" s="1" t="str">
        <f>"Peter Smith Peter E Smith "</f>
        <v xml:space="preserve">Peter Smith Peter E Smith </v>
      </c>
      <c r="C3774" s="1" t="s">
        <v>22348</v>
      </c>
      <c r="F3774" s="1" t="s">
        <v>123</v>
      </c>
      <c r="H3774" s="1" t="s">
        <v>22349</v>
      </c>
      <c r="I3774" s="1" t="s">
        <v>5</v>
      </c>
      <c r="J3774" s="1" t="s">
        <v>6</v>
      </c>
      <c r="K3774" s="1" t="s">
        <v>34</v>
      </c>
      <c r="M3774" s="2">
        <v>42893</v>
      </c>
      <c r="N3774" s="1" t="s">
        <v>8</v>
      </c>
      <c r="O3774" s="2">
        <v>43989</v>
      </c>
    </row>
    <row r="3775" spans="1:15" ht="28.8" x14ac:dyDescent="0.3">
      <c r="A3775" s="1" t="s">
        <v>22350</v>
      </c>
      <c r="B3775" s="1" t="str">
        <f>"Darryl Spiers Direct Housing Services"</f>
        <v>Darryl Spiers Direct Housing Services</v>
      </c>
      <c r="C3775" s="1" t="s">
        <v>22351</v>
      </c>
      <c r="F3775" s="1" t="s">
        <v>380</v>
      </c>
      <c r="H3775" s="1" t="s">
        <v>22352</v>
      </c>
      <c r="I3775" s="1" t="s">
        <v>5</v>
      </c>
      <c r="J3775" s="1" t="s">
        <v>6</v>
      </c>
      <c r="K3775" s="1" t="s">
        <v>24</v>
      </c>
      <c r="M3775" s="2">
        <v>42893</v>
      </c>
      <c r="N3775" s="1" t="s">
        <v>8</v>
      </c>
      <c r="O3775" s="2">
        <v>43989</v>
      </c>
    </row>
    <row r="3776" spans="1:15" ht="43.2" x14ac:dyDescent="0.3">
      <c r="A3776" s="1" t="s">
        <v>7354</v>
      </c>
      <c r="B3776" s="1" t="str">
        <f>"Welshpool Livestock Sales Ltd"</f>
        <v>Welshpool Livestock Sales Ltd</v>
      </c>
      <c r="C3776" s="1" t="s">
        <v>7355</v>
      </c>
      <c r="F3776" s="1" t="s">
        <v>2459</v>
      </c>
      <c r="H3776" s="1" t="s">
        <v>7356</v>
      </c>
      <c r="I3776" s="1" t="s">
        <v>19</v>
      </c>
      <c r="J3776" s="1" t="s">
        <v>67</v>
      </c>
      <c r="K3776" s="1" t="s">
        <v>14</v>
      </c>
      <c r="M3776" s="2">
        <v>42892</v>
      </c>
      <c r="N3776" s="1" t="s">
        <v>8</v>
      </c>
      <c r="O3776" s="1" t="s">
        <v>68</v>
      </c>
    </row>
    <row r="3777" spans="1:15" ht="28.8" x14ac:dyDescent="0.3">
      <c r="A3777" s="1" t="s">
        <v>7357</v>
      </c>
      <c r="B3777" s="1" t="str">
        <f>"Woodenbale 2000 Ltd."</f>
        <v>Woodenbale 2000 Ltd.</v>
      </c>
      <c r="C3777" s="1" t="s">
        <v>7358</v>
      </c>
      <c r="D3777" s="1" t="s">
        <v>7359</v>
      </c>
      <c r="F3777" s="1" t="s">
        <v>3068</v>
      </c>
      <c r="H3777" s="1" t="s">
        <v>7360</v>
      </c>
      <c r="I3777" s="1" t="s">
        <v>19</v>
      </c>
      <c r="J3777" s="1" t="s">
        <v>6</v>
      </c>
      <c r="K3777" s="1" t="s">
        <v>34</v>
      </c>
      <c r="L3777" s="1">
        <v>3518409</v>
      </c>
      <c r="M3777" s="2">
        <v>42892</v>
      </c>
      <c r="N3777" s="1" t="s">
        <v>8</v>
      </c>
      <c r="O3777" s="2">
        <v>43988</v>
      </c>
    </row>
    <row r="3778" spans="1:15" ht="28.8" x14ac:dyDescent="0.3">
      <c r="A3778" s="1" t="s">
        <v>7361</v>
      </c>
      <c r="B3778" s="1" t="str">
        <f>"A HARTLEY LTD"</f>
        <v>A HARTLEY LTD</v>
      </c>
      <c r="C3778" s="1" t="s">
        <v>7362</v>
      </c>
      <c r="F3778" s="1" t="s">
        <v>56</v>
      </c>
      <c r="H3778" s="1" t="s">
        <v>7363</v>
      </c>
      <c r="I3778" s="1" t="s">
        <v>19</v>
      </c>
      <c r="J3778" s="1" t="s">
        <v>6</v>
      </c>
      <c r="K3778" s="1" t="s">
        <v>24</v>
      </c>
      <c r="L3778" s="1">
        <v>4635392</v>
      </c>
      <c r="M3778" s="2">
        <v>42892</v>
      </c>
      <c r="N3778" s="1" t="s">
        <v>8</v>
      </c>
      <c r="O3778" s="2">
        <v>43988</v>
      </c>
    </row>
    <row r="3779" spans="1:15" ht="43.2" x14ac:dyDescent="0.3">
      <c r="A3779" s="1" t="s">
        <v>7364</v>
      </c>
      <c r="B3779" s="1" t="str">
        <f>"Wildgoose &amp; Davies Ltd."</f>
        <v>Wildgoose &amp; Davies Ltd.</v>
      </c>
      <c r="C3779" s="1" t="s">
        <v>7365</v>
      </c>
      <c r="F3779" s="1" t="s">
        <v>2859</v>
      </c>
      <c r="H3779" s="1" t="s">
        <v>7366</v>
      </c>
      <c r="I3779" s="1" t="s">
        <v>19</v>
      </c>
      <c r="J3779" s="1" t="s">
        <v>67</v>
      </c>
      <c r="K3779" s="1" t="s">
        <v>14</v>
      </c>
      <c r="M3779" s="2">
        <v>42892</v>
      </c>
      <c r="N3779" s="1" t="s">
        <v>8</v>
      </c>
      <c r="O3779" s="1" t="s">
        <v>68</v>
      </c>
    </row>
    <row r="3780" spans="1:15" ht="43.2" x14ac:dyDescent="0.3">
      <c r="A3780" s="1" t="s">
        <v>7367</v>
      </c>
      <c r="B3780" s="1" t="str">
        <f>"R &amp; D COLEMAN OPTICIANS"</f>
        <v>R &amp; D COLEMAN OPTICIANS</v>
      </c>
      <c r="C3780" s="1" t="s">
        <v>7368</v>
      </c>
      <c r="F3780" s="1" t="s">
        <v>2489</v>
      </c>
      <c r="H3780" s="1" t="s">
        <v>7369</v>
      </c>
      <c r="I3780" s="1" t="s">
        <v>125</v>
      </c>
      <c r="J3780" s="1" t="s">
        <v>67</v>
      </c>
      <c r="K3780" s="1" t="s">
        <v>14</v>
      </c>
      <c r="M3780" s="2">
        <v>42892</v>
      </c>
      <c r="N3780" s="1" t="s">
        <v>8</v>
      </c>
      <c r="O3780" s="1" t="s">
        <v>68</v>
      </c>
    </row>
    <row r="3781" spans="1:15" ht="28.8" x14ac:dyDescent="0.3">
      <c r="A3781" s="1" t="s">
        <v>7370</v>
      </c>
      <c r="B3781" s="1" t="str">
        <f>"FLS Tree Care LTD"</f>
        <v>FLS Tree Care LTD</v>
      </c>
      <c r="C3781" s="1" t="s">
        <v>7371</v>
      </c>
      <c r="F3781" s="1" t="s">
        <v>1341</v>
      </c>
      <c r="H3781" s="1" t="s">
        <v>7372</v>
      </c>
      <c r="I3781" s="1" t="s">
        <v>19</v>
      </c>
      <c r="J3781" s="1" t="s">
        <v>6</v>
      </c>
      <c r="K3781" s="1" t="s">
        <v>34</v>
      </c>
      <c r="L3781" s="1">
        <v>7972533</v>
      </c>
      <c r="M3781" s="2">
        <v>42892</v>
      </c>
      <c r="N3781" s="1" t="s">
        <v>8</v>
      </c>
      <c r="O3781" s="2">
        <v>43988</v>
      </c>
    </row>
    <row r="3782" spans="1:15" ht="43.2" x14ac:dyDescent="0.3">
      <c r="A3782" s="1" t="s">
        <v>7373</v>
      </c>
      <c r="B3782" s="1" t="str">
        <f>"Lekki lounge african restaurant"</f>
        <v>Lekki lounge african restaurant</v>
      </c>
      <c r="C3782" s="1" t="s">
        <v>7374</v>
      </c>
      <c r="F3782" s="1" t="s">
        <v>7375</v>
      </c>
      <c r="H3782" s="1" t="s">
        <v>7376</v>
      </c>
      <c r="I3782" s="1" t="s">
        <v>19</v>
      </c>
      <c r="J3782" s="1" t="s">
        <v>67</v>
      </c>
      <c r="K3782" s="1" t="s">
        <v>14</v>
      </c>
      <c r="M3782" s="2">
        <v>42892</v>
      </c>
      <c r="N3782" s="1" t="s">
        <v>8</v>
      </c>
      <c r="O3782" s="1" t="s">
        <v>68</v>
      </c>
    </row>
    <row r="3783" spans="1:15" ht="43.2" x14ac:dyDescent="0.3">
      <c r="A3783" s="1" t="s">
        <v>21528</v>
      </c>
      <c r="B3783" s="1" t="str">
        <f>"Balwinder Singh"</f>
        <v>Balwinder Singh</v>
      </c>
      <c r="C3783" s="1" t="s">
        <v>21529</v>
      </c>
      <c r="F3783" s="1" t="s">
        <v>102</v>
      </c>
      <c r="H3783" s="1" t="s">
        <v>21530</v>
      </c>
      <c r="I3783" s="1" t="s">
        <v>5</v>
      </c>
      <c r="J3783" s="1" t="s">
        <v>67</v>
      </c>
      <c r="K3783" s="1" t="s">
        <v>14</v>
      </c>
      <c r="M3783" s="2">
        <v>42892</v>
      </c>
      <c r="N3783" s="1" t="s">
        <v>8</v>
      </c>
      <c r="O3783" s="1" t="s">
        <v>68</v>
      </c>
    </row>
    <row r="3784" spans="1:15" ht="43.2" x14ac:dyDescent="0.3">
      <c r="A3784" s="1" t="s">
        <v>21531</v>
      </c>
      <c r="B3784" s="1" t="str">
        <f>"Craig Andrews"</f>
        <v>Craig Andrews</v>
      </c>
      <c r="C3784" s="1" t="s">
        <v>21532</v>
      </c>
      <c r="F3784" s="1" t="s">
        <v>123</v>
      </c>
      <c r="H3784" s="1" t="s">
        <v>21533</v>
      </c>
      <c r="I3784" s="1" t="s">
        <v>5</v>
      </c>
      <c r="J3784" s="1" t="s">
        <v>67</v>
      </c>
      <c r="K3784" s="1" t="s">
        <v>14</v>
      </c>
      <c r="M3784" s="2">
        <v>42892</v>
      </c>
      <c r="N3784" s="1" t="s">
        <v>8</v>
      </c>
      <c r="O3784" s="1" t="s">
        <v>68</v>
      </c>
    </row>
    <row r="3785" spans="1:15" ht="43.2" x14ac:dyDescent="0.3">
      <c r="A3785" s="1" t="s">
        <v>21534</v>
      </c>
      <c r="B3785" s="1" t="str">
        <f>"Christopher Pearce Chris Pearce Building Services"</f>
        <v>Christopher Pearce Chris Pearce Building Services</v>
      </c>
      <c r="C3785" s="1" t="s">
        <v>21535</v>
      </c>
      <c r="D3785" s="1" t="s">
        <v>5248</v>
      </c>
      <c r="F3785" s="1" t="s">
        <v>1058</v>
      </c>
      <c r="H3785" s="1" t="s">
        <v>21536</v>
      </c>
      <c r="I3785" s="1" t="s">
        <v>5</v>
      </c>
      <c r="J3785" s="1" t="s">
        <v>6</v>
      </c>
      <c r="K3785" s="1" t="s">
        <v>34</v>
      </c>
      <c r="M3785" s="2">
        <v>42892</v>
      </c>
      <c r="N3785" s="1" t="s">
        <v>8</v>
      </c>
      <c r="O3785" s="2">
        <v>43988</v>
      </c>
    </row>
    <row r="3786" spans="1:15" ht="28.8" x14ac:dyDescent="0.3">
      <c r="A3786" s="1" t="s">
        <v>6295</v>
      </c>
      <c r="B3786" s="1" t="str">
        <f>"Hedlyn Building Contractors"</f>
        <v>Hedlyn Building Contractors</v>
      </c>
      <c r="C3786" s="1" t="s">
        <v>6296</v>
      </c>
      <c r="D3786" s="1" t="s">
        <v>1173</v>
      </c>
      <c r="E3786" s="1" t="s">
        <v>1174</v>
      </c>
      <c r="F3786" s="1" t="s">
        <v>1058</v>
      </c>
      <c r="H3786" s="1" t="s">
        <v>1176</v>
      </c>
      <c r="I3786" s="1" t="s">
        <v>125</v>
      </c>
      <c r="J3786" s="1" t="s">
        <v>6</v>
      </c>
      <c r="K3786" s="1" t="s">
        <v>34</v>
      </c>
      <c r="M3786" s="2">
        <v>42891</v>
      </c>
      <c r="N3786" s="1" t="s">
        <v>8</v>
      </c>
      <c r="O3786" s="2">
        <v>43987</v>
      </c>
    </row>
    <row r="3787" spans="1:15" ht="28.8" x14ac:dyDescent="0.3">
      <c r="A3787" s="1" t="s">
        <v>6297</v>
      </c>
      <c r="B3787" s="1" t="str">
        <f>"Tirgwaidd Garden Maintainance"</f>
        <v>Tirgwaidd Garden Maintainance</v>
      </c>
      <c r="C3787" s="1" t="s">
        <v>6298</v>
      </c>
      <c r="D3787" s="1" t="s">
        <v>596</v>
      </c>
      <c r="F3787" s="1" t="s">
        <v>64</v>
      </c>
      <c r="H3787" s="1" t="s">
        <v>6299</v>
      </c>
      <c r="I3787" s="1" t="s">
        <v>125</v>
      </c>
      <c r="J3787" s="1" t="s">
        <v>6</v>
      </c>
      <c r="K3787" s="1" t="s">
        <v>24</v>
      </c>
      <c r="M3787" s="2">
        <v>42891</v>
      </c>
      <c r="N3787" s="1" t="s">
        <v>8</v>
      </c>
      <c r="O3787" s="2">
        <v>43987</v>
      </c>
    </row>
    <row r="3788" spans="1:15" ht="43.2" x14ac:dyDescent="0.3">
      <c r="A3788" s="1" t="s">
        <v>6300</v>
      </c>
      <c r="B3788" s="1" t="str">
        <f>"Bobbins"</f>
        <v>Bobbins</v>
      </c>
      <c r="C3788" s="1" t="s">
        <v>6301</v>
      </c>
      <c r="F3788" s="1" t="s">
        <v>1206</v>
      </c>
      <c r="H3788" s="1" t="s">
        <v>5448</v>
      </c>
      <c r="I3788" s="1" t="s">
        <v>125</v>
      </c>
      <c r="J3788" s="1" t="s">
        <v>67</v>
      </c>
      <c r="K3788" s="1" t="s">
        <v>14</v>
      </c>
      <c r="M3788" s="2">
        <v>42891</v>
      </c>
      <c r="N3788" s="1" t="s">
        <v>8</v>
      </c>
      <c r="O3788" s="1" t="s">
        <v>68</v>
      </c>
    </row>
    <row r="3789" spans="1:15" ht="43.2" x14ac:dyDescent="0.3">
      <c r="A3789" s="1" t="s">
        <v>6302</v>
      </c>
      <c r="B3789" s="1" t="str">
        <f>"Lomas Opticians Ltd"</f>
        <v>Lomas Opticians Ltd</v>
      </c>
      <c r="C3789" s="1" t="s">
        <v>6303</v>
      </c>
      <c r="F3789" s="1" t="s">
        <v>6304</v>
      </c>
      <c r="H3789" s="1" t="s">
        <v>6305</v>
      </c>
      <c r="I3789" s="1" t="s">
        <v>19</v>
      </c>
      <c r="J3789" s="1" t="s">
        <v>67</v>
      </c>
      <c r="K3789" s="1" t="s">
        <v>14</v>
      </c>
      <c r="M3789" s="2">
        <v>42891</v>
      </c>
      <c r="N3789" s="1" t="s">
        <v>8</v>
      </c>
      <c r="O3789" s="1" t="s">
        <v>68</v>
      </c>
    </row>
    <row r="3790" spans="1:15" ht="28.8" x14ac:dyDescent="0.3">
      <c r="A3790" s="1" t="s">
        <v>6306</v>
      </c>
      <c r="B3790" s="1" t="str">
        <f>"E. J. Metals Recycling Ltd "</f>
        <v xml:space="preserve">E. J. Metals Recycling Ltd </v>
      </c>
      <c r="C3790" s="1" t="s">
        <v>6307</v>
      </c>
      <c r="F3790" s="1" t="s">
        <v>1385</v>
      </c>
      <c r="H3790" s="1" t="s">
        <v>6308</v>
      </c>
      <c r="I3790" s="1" t="s">
        <v>19</v>
      </c>
      <c r="J3790" s="1" t="s">
        <v>6</v>
      </c>
      <c r="K3790" s="1" t="s">
        <v>34</v>
      </c>
      <c r="L3790" s="1">
        <v>8574957</v>
      </c>
      <c r="M3790" s="2">
        <v>42891</v>
      </c>
      <c r="N3790" s="1" t="s">
        <v>8</v>
      </c>
      <c r="O3790" s="2">
        <v>43986</v>
      </c>
    </row>
    <row r="3791" spans="1:15" ht="28.8" x14ac:dyDescent="0.3">
      <c r="A3791" s="1" t="s">
        <v>20747</v>
      </c>
      <c r="B3791" s="1" t="str">
        <f>"Benjamin Herbert LLanarth Estate"</f>
        <v>Benjamin Herbert LLanarth Estate</v>
      </c>
      <c r="C3791" s="1" t="s">
        <v>20748</v>
      </c>
      <c r="D3791" s="1" t="s">
        <v>2065</v>
      </c>
      <c r="F3791" s="1" t="s">
        <v>1642</v>
      </c>
      <c r="H3791" s="1" t="s">
        <v>20749</v>
      </c>
      <c r="I3791" s="1" t="s">
        <v>5</v>
      </c>
      <c r="J3791" s="1" t="s">
        <v>6</v>
      </c>
      <c r="K3791" s="1" t="s">
        <v>34</v>
      </c>
      <c r="M3791" s="2">
        <v>42891</v>
      </c>
      <c r="N3791" s="1" t="s">
        <v>8</v>
      </c>
      <c r="O3791" s="2">
        <v>43987</v>
      </c>
    </row>
    <row r="3792" spans="1:15" ht="28.8" x14ac:dyDescent="0.3">
      <c r="A3792" s="1" t="s">
        <v>20750</v>
      </c>
      <c r="B3792" s="1" t="str">
        <f>"steven trollope s&amp;a building contractors"</f>
        <v>steven trollope s&amp;a building contractors</v>
      </c>
      <c r="C3792" s="1" t="s">
        <v>20751</v>
      </c>
      <c r="F3792" s="1" t="s">
        <v>32</v>
      </c>
      <c r="H3792" s="1" t="s">
        <v>20752</v>
      </c>
      <c r="I3792" s="1" t="s">
        <v>5</v>
      </c>
      <c r="J3792" s="1" t="s">
        <v>6</v>
      </c>
      <c r="K3792" s="1" t="s">
        <v>34</v>
      </c>
      <c r="M3792" s="2">
        <v>42891</v>
      </c>
      <c r="N3792" s="1" t="s">
        <v>8</v>
      </c>
      <c r="O3792" s="2">
        <v>43987</v>
      </c>
    </row>
    <row r="3793" spans="1:15" ht="28.8" x14ac:dyDescent="0.3">
      <c r="A3793" s="1" t="s">
        <v>20753</v>
      </c>
      <c r="B3793" s="1" t="str">
        <f>"robert draper R Draper and sons"</f>
        <v>robert draper R Draper and sons</v>
      </c>
      <c r="C3793" s="1" t="s">
        <v>20754</v>
      </c>
      <c r="F3793" s="1" t="s">
        <v>3081</v>
      </c>
      <c r="H3793" s="1" t="s">
        <v>20755</v>
      </c>
      <c r="I3793" s="1" t="s">
        <v>5</v>
      </c>
      <c r="J3793" s="1" t="s">
        <v>6</v>
      </c>
      <c r="K3793" s="1" t="s">
        <v>34</v>
      </c>
      <c r="M3793" s="2">
        <v>42891</v>
      </c>
      <c r="N3793" s="1" t="s">
        <v>8</v>
      </c>
      <c r="O3793" s="2">
        <v>43987</v>
      </c>
    </row>
    <row r="3794" spans="1:15" ht="28.8" x14ac:dyDescent="0.3">
      <c r="A3794" s="1" t="s">
        <v>20756</v>
      </c>
      <c r="B3794" s="1" t="str">
        <f>"Stuart Bishop Stuart Bishop"</f>
        <v>Stuart Bishop Stuart Bishop</v>
      </c>
      <c r="C3794" s="1" t="s">
        <v>20757</v>
      </c>
      <c r="F3794" s="1" t="s">
        <v>64</v>
      </c>
      <c r="H3794" s="1" t="s">
        <v>20758</v>
      </c>
      <c r="I3794" s="1" t="s">
        <v>5</v>
      </c>
      <c r="J3794" s="1" t="s">
        <v>6</v>
      </c>
      <c r="K3794" s="1" t="s">
        <v>24</v>
      </c>
      <c r="M3794" s="2">
        <v>42891</v>
      </c>
      <c r="N3794" s="1" t="s">
        <v>8</v>
      </c>
      <c r="O3794" s="2">
        <v>43987</v>
      </c>
    </row>
    <row r="3795" spans="1:15" ht="43.2" x14ac:dyDescent="0.3">
      <c r="A3795" s="1" t="s">
        <v>20759</v>
      </c>
      <c r="B3795" s="1" t="str">
        <f>"Patrick Nyamangunda"</f>
        <v>Patrick Nyamangunda</v>
      </c>
      <c r="C3795" s="1" t="s">
        <v>20760</v>
      </c>
      <c r="F3795" s="1" t="s">
        <v>20761</v>
      </c>
      <c r="H3795" s="1" t="s">
        <v>20762</v>
      </c>
      <c r="I3795" s="1" t="s">
        <v>5</v>
      </c>
      <c r="J3795" s="1" t="s">
        <v>67</v>
      </c>
      <c r="K3795" s="1" t="s">
        <v>14</v>
      </c>
      <c r="M3795" s="2">
        <v>42891</v>
      </c>
      <c r="N3795" s="1" t="s">
        <v>8</v>
      </c>
      <c r="O3795" s="1" t="s">
        <v>68</v>
      </c>
    </row>
    <row r="3796" spans="1:15" ht="28.8" x14ac:dyDescent="0.3">
      <c r="A3796" s="1" t="s">
        <v>21525</v>
      </c>
      <c r="B3796" s="1" t="str">
        <f>"JEAN-PIERRE  GUAYS Checksafe"</f>
        <v>JEAN-PIERRE  GUAYS Checksafe</v>
      </c>
      <c r="C3796" s="1" t="s">
        <v>21526</v>
      </c>
      <c r="D3796" s="1" t="s">
        <v>12604</v>
      </c>
      <c r="F3796" s="1" t="s">
        <v>491</v>
      </c>
      <c r="H3796" s="1" t="s">
        <v>21527</v>
      </c>
      <c r="I3796" s="1" t="s">
        <v>5</v>
      </c>
      <c r="J3796" s="1" t="s">
        <v>6</v>
      </c>
      <c r="K3796" s="1" t="s">
        <v>24</v>
      </c>
      <c r="M3796" s="2">
        <v>42891</v>
      </c>
      <c r="N3796" s="1" t="s">
        <v>8</v>
      </c>
      <c r="O3796" s="2">
        <v>43987</v>
      </c>
    </row>
    <row r="3797" spans="1:15" ht="28.8" x14ac:dyDescent="0.3">
      <c r="A3797" s="1" t="s">
        <v>19947</v>
      </c>
      <c r="B3797" s="1" t="str">
        <f>"Steven Finselbach Rose Villa Landscapes"</f>
        <v>Steven Finselbach Rose Villa Landscapes</v>
      </c>
      <c r="C3797" s="1" t="s">
        <v>19948</v>
      </c>
      <c r="F3797" s="1" t="s">
        <v>1351</v>
      </c>
      <c r="H3797" s="1" t="s">
        <v>19949</v>
      </c>
      <c r="I3797" s="1" t="s">
        <v>5</v>
      </c>
      <c r="J3797" s="1" t="s">
        <v>6</v>
      </c>
      <c r="K3797" s="1" t="s">
        <v>24</v>
      </c>
      <c r="M3797" s="2">
        <v>42890</v>
      </c>
      <c r="N3797" s="1" t="s">
        <v>8</v>
      </c>
      <c r="O3797" s="2">
        <v>43986</v>
      </c>
    </row>
    <row r="3798" spans="1:15" ht="28.8" x14ac:dyDescent="0.3">
      <c r="A3798" s="1" t="s">
        <v>19944</v>
      </c>
      <c r="B3798" s="1" t="str">
        <f>"Julie Young JAY METALS"</f>
        <v>Julie Young JAY METALS</v>
      </c>
      <c r="C3798" s="1" t="s">
        <v>19945</v>
      </c>
      <c r="F3798" s="1" t="s">
        <v>6471</v>
      </c>
      <c r="H3798" s="1" t="s">
        <v>19946</v>
      </c>
      <c r="I3798" s="1" t="s">
        <v>5</v>
      </c>
      <c r="J3798" s="1" t="s">
        <v>6</v>
      </c>
      <c r="K3798" s="1" t="s">
        <v>34</v>
      </c>
      <c r="M3798" s="2">
        <v>42889</v>
      </c>
      <c r="N3798" s="1" t="s">
        <v>8</v>
      </c>
      <c r="O3798" s="2">
        <v>43985</v>
      </c>
    </row>
    <row r="3799" spans="1:15" ht="28.8" x14ac:dyDescent="0.3">
      <c r="A3799" s="1" t="s">
        <v>5095</v>
      </c>
      <c r="B3799" s="1" t="str">
        <f>"KERI JONES ROAD HAULAGE LIMITED"</f>
        <v>KERI JONES ROAD HAULAGE LIMITED</v>
      </c>
      <c r="C3799" s="1" t="s">
        <v>5096</v>
      </c>
      <c r="F3799" s="1" t="s">
        <v>3105</v>
      </c>
      <c r="H3799" s="1" t="s">
        <v>5097</v>
      </c>
      <c r="I3799" s="1" t="s">
        <v>19</v>
      </c>
      <c r="J3799" s="1" t="s">
        <v>6</v>
      </c>
      <c r="K3799" s="1" t="s">
        <v>34</v>
      </c>
      <c r="L3799" s="1">
        <v>10276828</v>
      </c>
      <c r="M3799" s="2">
        <v>42888</v>
      </c>
      <c r="N3799" s="1" t="s">
        <v>8</v>
      </c>
      <c r="O3799" s="2">
        <v>43984</v>
      </c>
    </row>
    <row r="3800" spans="1:15" ht="28.8" x14ac:dyDescent="0.3">
      <c r="A3800" s="1" t="s">
        <v>5098</v>
      </c>
      <c r="B3800" s="1" t="str">
        <f>"C.G. HYGIENE SERVICES LIMITED"</f>
        <v>C.G. HYGIENE SERVICES LIMITED</v>
      </c>
      <c r="C3800" s="1" t="s">
        <v>5099</v>
      </c>
      <c r="F3800" s="1" t="s">
        <v>277</v>
      </c>
      <c r="H3800" s="1" t="s">
        <v>5100</v>
      </c>
      <c r="I3800" s="1" t="s">
        <v>19</v>
      </c>
      <c r="J3800" s="1" t="s">
        <v>6</v>
      </c>
      <c r="K3800" s="1" t="s">
        <v>24</v>
      </c>
      <c r="L3800" s="1">
        <v>10800672</v>
      </c>
      <c r="M3800" s="2">
        <v>42888</v>
      </c>
      <c r="N3800" s="1" t="s">
        <v>8</v>
      </c>
      <c r="O3800" s="2">
        <v>44031</v>
      </c>
    </row>
    <row r="3801" spans="1:15" ht="28.8" x14ac:dyDescent="0.3">
      <c r="A3801" s="1" t="s">
        <v>19934</v>
      </c>
      <c r="B3801" s="1" t="str">
        <f>"Terry Thomas TERRY THOMAS"</f>
        <v>Terry Thomas TERRY THOMAS</v>
      </c>
      <c r="C3801" s="1" t="s">
        <v>19935</v>
      </c>
      <c r="F3801" s="1" t="s">
        <v>678</v>
      </c>
      <c r="H3801" s="1" t="s">
        <v>19936</v>
      </c>
      <c r="I3801" s="1" t="s">
        <v>5</v>
      </c>
      <c r="J3801" s="1" t="s">
        <v>6</v>
      </c>
      <c r="K3801" s="1" t="s">
        <v>24</v>
      </c>
      <c r="M3801" s="2">
        <v>42888</v>
      </c>
      <c r="N3801" s="1" t="s">
        <v>8</v>
      </c>
      <c r="O3801" s="2">
        <v>43984</v>
      </c>
    </row>
    <row r="3802" spans="1:15" ht="28.8" x14ac:dyDescent="0.3">
      <c r="A3802" s="1" t="s">
        <v>19937</v>
      </c>
      <c r="B3802" s="1" t="str">
        <f>"Timothy Gittins Bridgend Antiques"</f>
        <v>Timothy Gittins Bridgend Antiques</v>
      </c>
      <c r="C3802" s="1" t="s">
        <v>19938</v>
      </c>
      <c r="F3802" s="1" t="s">
        <v>179</v>
      </c>
      <c r="H3802" s="1" t="s">
        <v>19939</v>
      </c>
      <c r="I3802" s="1" t="s">
        <v>5</v>
      </c>
      <c r="J3802" s="1" t="s">
        <v>6</v>
      </c>
      <c r="K3802" s="1" t="s">
        <v>24</v>
      </c>
      <c r="M3802" s="2">
        <v>42888</v>
      </c>
      <c r="N3802" s="1" t="s">
        <v>8</v>
      </c>
      <c r="O3802" s="2">
        <v>44003</v>
      </c>
    </row>
    <row r="3803" spans="1:15" ht="43.2" x14ac:dyDescent="0.3">
      <c r="A3803" s="1" t="s">
        <v>19940</v>
      </c>
      <c r="B3803" s="1" t="str">
        <f>"Nicholas Kirkwood"</f>
        <v>Nicholas Kirkwood</v>
      </c>
      <c r="C3803" s="1" t="s">
        <v>19941</v>
      </c>
      <c r="D3803" s="1" t="s">
        <v>19942</v>
      </c>
      <c r="F3803" s="1" t="s">
        <v>9838</v>
      </c>
      <c r="H3803" s="1" t="s">
        <v>19943</v>
      </c>
      <c r="I3803" s="1" t="s">
        <v>5</v>
      </c>
      <c r="J3803" s="1" t="s">
        <v>67</v>
      </c>
      <c r="K3803" s="1" t="s">
        <v>14</v>
      </c>
      <c r="M3803" s="2">
        <v>42888</v>
      </c>
      <c r="N3803" s="1" t="s">
        <v>8</v>
      </c>
      <c r="O3803" s="1" t="s">
        <v>68</v>
      </c>
    </row>
    <row r="3804" spans="1:15" ht="43.2" x14ac:dyDescent="0.3">
      <c r="A3804" s="1" t="s">
        <v>3947</v>
      </c>
      <c r="B3804" s="1" t="str">
        <f>"A.M and M.H. Jones"</f>
        <v>A.M and M.H. Jones</v>
      </c>
      <c r="C3804" s="1" t="s">
        <v>3948</v>
      </c>
      <c r="F3804" s="1" t="s">
        <v>1316</v>
      </c>
      <c r="H3804" s="1" t="s">
        <v>3949</v>
      </c>
      <c r="I3804" s="1" t="s">
        <v>125</v>
      </c>
      <c r="J3804" s="1" t="s">
        <v>67</v>
      </c>
      <c r="K3804" s="1" t="s">
        <v>14</v>
      </c>
      <c r="M3804" s="2">
        <v>42887</v>
      </c>
      <c r="N3804" s="1" t="s">
        <v>8</v>
      </c>
      <c r="O3804" s="1" t="s">
        <v>68</v>
      </c>
    </row>
    <row r="3805" spans="1:15" ht="43.2" x14ac:dyDescent="0.3">
      <c r="A3805" s="1" t="s">
        <v>3950</v>
      </c>
      <c r="B3805" s="1" t="str">
        <f>"Collett and Coates Automotive"</f>
        <v>Collett and Coates Automotive</v>
      </c>
      <c r="C3805" s="1" t="s">
        <v>3951</v>
      </c>
      <c r="D3805" s="1" t="s">
        <v>500</v>
      </c>
      <c r="F3805" s="1" t="s">
        <v>123</v>
      </c>
      <c r="H3805" s="1" t="s">
        <v>3952</v>
      </c>
      <c r="I3805" s="1" t="s">
        <v>125</v>
      </c>
      <c r="J3805" s="1" t="s">
        <v>67</v>
      </c>
      <c r="K3805" s="1" t="s">
        <v>14</v>
      </c>
      <c r="M3805" s="2">
        <v>42887</v>
      </c>
      <c r="N3805" s="1" t="s">
        <v>8</v>
      </c>
      <c r="O3805" s="1" t="s">
        <v>68</v>
      </c>
    </row>
    <row r="3806" spans="1:15" ht="28.8" x14ac:dyDescent="0.3">
      <c r="A3806" s="1" t="s">
        <v>3953</v>
      </c>
      <c r="B3806" s="1" t="str">
        <f>"Soltherm EWI Wales Limited"</f>
        <v>Soltherm EWI Wales Limited</v>
      </c>
      <c r="C3806" s="1" t="s">
        <v>3954</v>
      </c>
      <c r="D3806" s="1" t="s">
        <v>3955</v>
      </c>
      <c r="F3806" s="1" t="s">
        <v>706</v>
      </c>
      <c r="H3806" s="1" t="s">
        <v>1030</v>
      </c>
      <c r="I3806" s="1" t="s">
        <v>19</v>
      </c>
      <c r="J3806" s="1" t="s">
        <v>6</v>
      </c>
      <c r="K3806" s="1" t="s">
        <v>24</v>
      </c>
      <c r="L3806" s="1">
        <v>8486662</v>
      </c>
      <c r="M3806" s="2">
        <v>42887</v>
      </c>
      <c r="N3806" s="1" t="s">
        <v>8</v>
      </c>
      <c r="O3806" s="2">
        <v>43983</v>
      </c>
    </row>
    <row r="3807" spans="1:15" ht="28.8" x14ac:dyDescent="0.3">
      <c r="A3807" s="1" t="s">
        <v>5086</v>
      </c>
      <c r="B3807" s="1" t="str">
        <f>"Ian Ashcroft Electrical Contractors Ltd."</f>
        <v>Ian Ashcroft Electrical Contractors Ltd.</v>
      </c>
      <c r="C3807" s="1" t="s">
        <v>5087</v>
      </c>
      <c r="F3807" s="1" t="s">
        <v>532</v>
      </c>
      <c r="H3807" s="1" t="s">
        <v>5088</v>
      </c>
      <c r="I3807" s="1" t="s">
        <v>19</v>
      </c>
      <c r="J3807" s="1" t="s">
        <v>6</v>
      </c>
      <c r="K3807" s="1" t="s">
        <v>24</v>
      </c>
      <c r="L3807" s="1">
        <v>5044428</v>
      </c>
      <c r="M3807" s="2">
        <v>42887</v>
      </c>
      <c r="N3807" s="1" t="s">
        <v>8</v>
      </c>
      <c r="O3807" s="2">
        <v>43983</v>
      </c>
    </row>
    <row r="3808" spans="1:15" ht="28.8" x14ac:dyDescent="0.3">
      <c r="A3808" s="1" t="s">
        <v>5089</v>
      </c>
      <c r="B3808" s="1" t="str">
        <f>"G.K.R. MAINTENANCE &amp; BUILDING CO. LTD"</f>
        <v>G.K.R. MAINTENANCE &amp; BUILDING CO. LTD</v>
      </c>
      <c r="C3808" s="1" t="s">
        <v>5090</v>
      </c>
      <c r="D3808" s="1" t="s">
        <v>5091</v>
      </c>
      <c r="E3808" s="1" t="s">
        <v>1839</v>
      </c>
      <c r="F3808" s="1" t="s">
        <v>1093</v>
      </c>
      <c r="H3808" s="1" t="s">
        <v>5092</v>
      </c>
      <c r="I3808" s="1" t="s">
        <v>19</v>
      </c>
      <c r="J3808" s="1" t="s">
        <v>6</v>
      </c>
      <c r="K3808" s="1" t="s">
        <v>24</v>
      </c>
      <c r="L3808" s="1">
        <v>3673520</v>
      </c>
      <c r="M3808" s="2">
        <v>42887</v>
      </c>
      <c r="N3808" s="1" t="s">
        <v>8</v>
      </c>
      <c r="O3808" s="2">
        <v>43983</v>
      </c>
    </row>
    <row r="3809" spans="1:15" ht="43.2" x14ac:dyDescent="0.3">
      <c r="A3809" s="1" t="s">
        <v>5093</v>
      </c>
      <c r="B3809" s="1" t="str">
        <f>"ABMU Health Board"</f>
        <v>ABMU Health Board</v>
      </c>
      <c r="C3809" s="1" t="s">
        <v>5094</v>
      </c>
      <c r="D3809" s="1" t="s">
        <v>1350</v>
      </c>
      <c r="F3809" s="1" t="s">
        <v>1351</v>
      </c>
      <c r="H3809" s="1" t="s">
        <v>1352</v>
      </c>
      <c r="I3809" s="1" t="s">
        <v>188</v>
      </c>
      <c r="J3809" s="1" t="s">
        <v>6</v>
      </c>
      <c r="K3809" s="1" t="s">
        <v>34</v>
      </c>
      <c r="M3809" s="2">
        <v>42887</v>
      </c>
      <c r="N3809" s="1" t="s">
        <v>8</v>
      </c>
      <c r="O3809" s="2">
        <v>43983</v>
      </c>
    </row>
    <row r="3810" spans="1:15" ht="28.8" x14ac:dyDescent="0.3">
      <c r="A3810" s="1" t="s">
        <v>19159</v>
      </c>
      <c r="B3810" s="1" t="str">
        <f>"Edward Jones Edward Jones"</f>
        <v>Edward Jones Edward Jones</v>
      </c>
      <c r="C3810" s="1" t="s">
        <v>19160</v>
      </c>
      <c r="F3810" s="1" t="s">
        <v>42</v>
      </c>
      <c r="H3810" s="1" t="s">
        <v>19161</v>
      </c>
      <c r="I3810" s="1" t="s">
        <v>5</v>
      </c>
      <c r="J3810" s="1" t="s">
        <v>6</v>
      </c>
      <c r="K3810" s="1" t="s">
        <v>24</v>
      </c>
      <c r="M3810" s="2">
        <v>42887</v>
      </c>
      <c r="N3810" s="1" t="s">
        <v>8</v>
      </c>
      <c r="O3810" s="2">
        <v>43983</v>
      </c>
    </row>
    <row r="3811" spans="1:15" ht="43.2" x14ac:dyDescent="0.3">
      <c r="A3811" s="1" t="s">
        <v>19162</v>
      </c>
      <c r="B3811" s="1" t="str">
        <f>"Matthew Hopes"</f>
        <v>Matthew Hopes</v>
      </c>
      <c r="C3811" s="1" t="s">
        <v>19163</v>
      </c>
      <c r="F3811" s="1" t="s">
        <v>5534</v>
      </c>
      <c r="H3811" s="1" t="s">
        <v>19164</v>
      </c>
      <c r="I3811" s="1" t="s">
        <v>5</v>
      </c>
      <c r="J3811" s="1" t="s">
        <v>67</v>
      </c>
      <c r="K3811" s="1" t="s">
        <v>14</v>
      </c>
      <c r="M3811" s="2">
        <v>42887</v>
      </c>
      <c r="N3811" s="1" t="s">
        <v>8</v>
      </c>
      <c r="O3811" s="1" t="s">
        <v>68</v>
      </c>
    </row>
    <row r="3812" spans="1:15" ht="28.8" x14ac:dyDescent="0.3">
      <c r="A3812" s="1" t="s">
        <v>19930</v>
      </c>
      <c r="B3812" s="1" t="str">
        <f>"John Gittins John Gittins "</f>
        <v xml:space="preserve">John Gittins John Gittins </v>
      </c>
      <c r="C3812" s="1" t="s">
        <v>19931</v>
      </c>
      <c r="D3812" s="1" t="s">
        <v>19932</v>
      </c>
      <c r="E3812" s="1" t="s">
        <v>108</v>
      </c>
      <c r="F3812" s="1" t="s">
        <v>64</v>
      </c>
      <c r="H3812" s="1" t="s">
        <v>19933</v>
      </c>
      <c r="I3812" s="1" t="s">
        <v>5</v>
      </c>
      <c r="J3812" s="1" t="s">
        <v>6</v>
      </c>
      <c r="K3812" s="1" t="s">
        <v>24</v>
      </c>
      <c r="M3812" s="2">
        <v>42887</v>
      </c>
      <c r="N3812" s="1" t="s">
        <v>8</v>
      </c>
      <c r="O3812" s="2">
        <v>43983</v>
      </c>
    </row>
    <row r="3813" spans="1:15" ht="28.8" x14ac:dyDescent="0.3">
      <c r="A3813" s="1" t="s">
        <v>3935</v>
      </c>
      <c r="B3813" s="1" t="str">
        <f>"D LEWIS CONSTRUCTION LTD"</f>
        <v>D LEWIS CONSTRUCTION LTD</v>
      </c>
      <c r="C3813" s="1" t="s">
        <v>3936</v>
      </c>
      <c r="F3813" s="1" t="s">
        <v>64</v>
      </c>
      <c r="H3813" s="1" t="s">
        <v>3937</v>
      </c>
      <c r="I3813" s="1" t="s">
        <v>19</v>
      </c>
      <c r="J3813" s="1" t="s">
        <v>6</v>
      </c>
      <c r="K3813" s="1" t="s">
        <v>24</v>
      </c>
      <c r="L3813" s="1">
        <v>7752195</v>
      </c>
      <c r="M3813" s="2">
        <v>42886</v>
      </c>
      <c r="N3813" s="1" t="s">
        <v>8</v>
      </c>
      <c r="O3813" s="2">
        <v>43982</v>
      </c>
    </row>
    <row r="3814" spans="1:15" ht="28.8" x14ac:dyDescent="0.3">
      <c r="A3814" s="1" t="s">
        <v>3938</v>
      </c>
      <c r="B3814" s="1" t="str">
        <f>"TRUMPET TYRES"</f>
        <v>TRUMPET TYRES</v>
      </c>
      <c r="C3814" s="1" t="s">
        <v>3939</v>
      </c>
      <c r="F3814" s="1" t="s">
        <v>32</v>
      </c>
      <c r="H3814" s="1" t="s">
        <v>3940</v>
      </c>
      <c r="I3814" s="1" t="s">
        <v>19</v>
      </c>
      <c r="J3814" s="1" t="s">
        <v>6</v>
      </c>
      <c r="K3814" s="1" t="s">
        <v>34</v>
      </c>
      <c r="L3814" s="1">
        <v>7623487</v>
      </c>
      <c r="M3814" s="2">
        <v>42886</v>
      </c>
      <c r="N3814" s="1" t="s">
        <v>8</v>
      </c>
      <c r="O3814" s="2">
        <v>43982</v>
      </c>
    </row>
    <row r="3815" spans="1:15" ht="43.2" x14ac:dyDescent="0.3">
      <c r="A3815" s="1" t="s">
        <v>3941</v>
      </c>
      <c r="B3815" s="1" t="str">
        <f>"Markes International"</f>
        <v>Markes International</v>
      </c>
      <c r="C3815" s="1" t="s">
        <v>3942</v>
      </c>
      <c r="D3815" s="1" t="s">
        <v>733</v>
      </c>
      <c r="F3815" s="1" t="s">
        <v>2915</v>
      </c>
      <c r="H3815" s="1" t="s">
        <v>3943</v>
      </c>
      <c r="I3815" s="1" t="s">
        <v>19</v>
      </c>
      <c r="J3815" s="1" t="s">
        <v>67</v>
      </c>
      <c r="K3815" s="1" t="s">
        <v>14</v>
      </c>
      <c r="M3815" s="2">
        <v>42886</v>
      </c>
      <c r="N3815" s="1" t="s">
        <v>8</v>
      </c>
      <c r="O3815" s="1" t="s">
        <v>68</v>
      </c>
    </row>
    <row r="3816" spans="1:15" ht="28.8" x14ac:dyDescent="0.3">
      <c r="A3816" s="1" t="s">
        <v>3944</v>
      </c>
      <c r="B3816" s="1" t="str">
        <f>"Brecon Beacons National Park Authority"</f>
        <v>Brecon Beacons National Park Authority</v>
      </c>
      <c r="C3816" s="1" t="s">
        <v>3945</v>
      </c>
      <c r="F3816" s="1" t="s">
        <v>1206</v>
      </c>
      <c r="H3816" s="1" t="s">
        <v>3946</v>
      </c>
      <c r="I3816" s="1" t="s">
        <v>188</v>
      </c>
      <c r="J3816" s="1" t="s">
        <v>6</v>
      </c>
      <c r="K3816" s="1" t="s">
        <v>34</v>
      </c>
      <c r="M3816" s="2">
        <v>42886</v>
      </c>
      <c r="N3816" s="1" t="s">
        <v>8</v>
      </c>
      <c r="O3816" s="2">
        <v>43982</v>
      </c>
    </row>
    <row r="3817" spans="1:15" ht="28.8" x14ac:dyDescent="0.3">
      <c r="A3817" s="1" t="s">
        <v>19154</v>
      </c>
      <c r="B3817" s="1" t="str">
        <f>"BERNARD DAVIES A T B Davies"</f>
        <v>BERNARD DAVIES A T B Davies</v>
      </c>
      <c r="C3817" s="1" t="s">
        <v>19155</v>
      </c>
      <c r="D3817" s="1" t="s">
        <v>95</v>
      </c>
      <c r="F3817" s="1" t="s">
        <v>56</v>
      </c>
      <c r="H3817" s="1" t="s">
        <v>1270</v>
      </c>
      <c r="I3817" s="1" t="s">
        <v>5</v>
      </c>
      <c r="J3817" s="1" t="s">
        <v>6</v>
      </c>
      <c r="K3817" s="1" t="s">
        <v>24</v>
      </c>
      <c r="M3817" s="2">
        <v>42886</v>
      </c>
      <c r="N3817" s="1" t="s">
        <v>8</v>
      </c>
      <c r="O3817" s="2">
        <v>43982</v>
      </c>
    </row>
    <row r="3818" spans="1:15" ht="28.8" x14ac:dyDescent="0.3">
      <c r="A3818" s="1" t="s">
        <v>19156</v>
      </c>
      <c r="B3818" s="1" t="str">
        <f>"Nicholas  Page Nickys Metals"</f>
        <v>Nicholas  Page Nickys Metals</v>
      </c>
      <c r="C3818" s="1" t="s">
        <v>19157</v>
      </c>
      <c r="F3818" s="1" t="s">
        <v>156</v>
      </c>
      <c r="H3818" s="1" t="s">
        <v>19158</v>
      </c>
      <c r="I3818" s="1" t="s">
        <v>5</v>
      </c>
      <c r="J3818" s="1" t="s">
        <v>6</v>
      </c>
      <c r="K3818" s="1" t="s">
        <v>24</v>
      </c>
      <c r="M3818" s="2">
        <v>42886</v>
      </c>
      <c r="N3818" s="1" t="s">
        <v>8</v>
      </c>
      <c r="O3818" s="2">
        <v>43982</v>
      </c>
    </row>
    <row r="3819" spans="1:15" ht="43.2" x14ac:dyDescent="0.3">
      <c r="A3819" s="1" t="s">
        <v>3927</v>
      </c>
      <c r="B3819" s="1" t="str">
        <f>"St Lawrence RECYCLING"</f>
        <v>St Lawrence RECYCLING</v>
      </c>
      <c r="C3819" s="1" t="s">
        <v>3928</v>
      </c>
      <c r="D3819" s="1" t="s">
        <v>3929</v>
      </c>
      <c r="F3819" s="1" t="s">
        <v>3930</v>
      </c>
      <c r="H3819" s="1" t="s">
        <v>3931</v>
      </c>
      <c r="I3819" s="1" t="s">
        <v>188</v>
      </c>
      <c r="J3819" s="1" t="s">
        <v>67</v>
      </c>
      <c r="K3819" s="1" t="s">
        <v>14</v>
      </c>
      <c r="M3819" s="2">
        <v>42885</v>
      </c>
      <c r="N3819" s="1" t="s">
        <v>8</v>
      </c>
      <c r="O3819" s="1" t="s">
        <v>68</v>
      </c>
    </row>
    <row r="3820" spans="1:15" ht="28.8" x14ac:dyDescent="0.3">
      <c r="A3820" s="1" t="s">
        <v>3932</v>
      </c>
      <c r="B3820" s="1" t="str">
        <f>"TANYGROES CAR DISMANTLERS LTD"</f>
        <v>TANYGROES CAR DISMANTLERS LTD</v>
      </c>
      <c r="C3820" s="1" t="s">
        <v>3933</v>
      </c>
      <c r="F3820" s="1" t="s">
        <v>1991</v>
      </c>
      <c r="H3820" s="1" t="s">
        <v>3934</v>
      </c>
      <c r="I3820" s="1" t="s">
        <v>19</v>
      </c>
      <c r="J3820" s="1" t="s">
        <v>6</v>
      </c>
      <c r="K3820" s="1" t="s">
        <v>34</v>
      </c>
      <c r="L3820" s="1">
        <v>5431389</v>
      </c>
      <c r="M3820" s="2">
        <v>42885</v>
      </c>
      <c r="N3820" s="1" t="s">
        <v>8</v>
      </c>
      <c r="O3820" s="2">
        <v>43982</v>
      </c>
    </row>
    <row r="3821" spans="1:15" ht="28.8" x14ac:dyDescent="0.3">
      <c r="A3821" s="1" t="s">
        <v>17672</v>
      </c>
      <c r="B3821" s="1" t="str">
        <f>"Lewis Plumbing &amp; Heating Ltd "</f>
        <v xml:space="preserve">Lewis Plumbing &amp; Heating Ltd </v>
      </c>
      <c r="C3821" s="1" t="s">
        <v>17673</v>
      </c>
      <c r="F3821" s="1" t="s">
        <v>3242</v>
      </c>
      <c r="H3821" s="1" t="s">
        <v>17674</v>
      </c>
      <c r="I3821" s="1" t="s">
        <v>19</v>
      </c>
      <c r="J3821" s="1" t="s">
        <v>6</v>
      </c>
      <c r="K3821" s="1" t="s">
        <v>34</v>
      </c>
      <c r="L3821" s="1">
        <v>10788481</v>
      </c>
      <c r="M3821" s="2">
        <v>42885</v>
      </c>
      <c r="N3821" s="1" t="s">
        <v>8</v>
      </c>
      <c r="O3821" s="2">
        <v>43981</v>
      </c>
    </row>
    <row r="3822" spans="1:15" ht="43.2" x14ac:dyDescent="0.3">
      <c r="A3822" s="1" t="s">
        <v>17675</v>
      </c>
      <c r="B3822" s="1" t="str">
        <f>"P &amp; P BUILDING &amp; ROOFING CONTRACTORS LTD"</f>
        <v>P &amp; P BUILDING &amp; ROOFING CONTRACTORS LTD</v>
      </c>
      <c r="C3822" s="1" t="s">
        <v>17676</v>
      </c>
      <c r="D3822" s="1" t="s">
        <v>5491</v>
      </c>
      <c r="F3822" s="1" t="s">
        <v>1058</v>
      </c>
      <c r="H3822" s="1" t="s">
        <v>2995</v>
      </c>
      <c r="I3822" s="1" t="s">
        <v>19</v>
      </c>
      <c r="J3822" s="1" t="s">
        <v>6</v>
      </c>
      <c r="K3822" s="1" t="s">
        <v>34</v>
      </c>
      <c r="L3822" s="1">
        <v>4012850</v>
      </c>
      <c r="M3822" s="2">
        <v>42885</v>
      </c>
      <c r="N3822" s="1" t="s">
        <v>8</v>
      </c>
      <c r="O3822" s="2">
        <v>43981</v>
      </c>
    </row>
    <row r="3823" spans="1:15" ht="28.8" x14ac:dyDescent="0.3">
      <c r="A3823" s="1" t="s">
        <v>17677</v>
      </c>
      <c r="B3823" s="1" t="str">
        <f>"Valley Water Services Limited"</f>
        <v>Valley Water Services Limited</v>
      </c>
      <c r="C3823" s="1" t="s">
        <v>17678</v>
      </c>
      <c r="F3823" s="1" t="s">
        <v>1341</v>
      </c>
      <c r="H3823" s="1" t="s">
        <v>17679</v>
      </c>
      <c r="I3823" s="1" t="s">
        <v>19</v>
      </c>
      <c r="J3823" s="1" t="s">
        <v>6</v>
      </c>
      <c r="K3823" s="1" t="s">
        <v>34</v>
      </c>
      <c r="L3823" s="1">
        <v>7973937</v>
      </c>
      <c r="M3823" s="2">
        <v>42885</v>
      </c>
      <c r="N3823" s="1" t="s">
        <v>8</v>
      </c>
      <c r="O3823" s="2">
        <v>43981</v>
      </c>
    </row>
    <row r="3824" spans="1:15" ht="43.2" x14ac:dyDescent="0.3">
      <c r="A3824" s="1" t="s">
        <v>19145</v>
      </c>
      <c r="B3824" s="1" t="str">
        <f>"Andrew Pitman"</f>
        <v>Andrew Pitman</v>
      </c>
      <c r="C3824" s="1" t="s">
        <v>19146</v>
      </c>
      <c r="F3824" s="1" t="s">
        <v>358</v>
      </c>
      <c r="H3824" s="1" t="s">
        <v>19147</v>
      </c>
      <c r="I3824" s="1" t="s">
        <v>5</v>
      </c>
      <c r="J3824" s="1" t="s">
        <v>67</v>
      </c>
      <c r="K3824" s="1" t="s">
        <v>14</v>
      </c>
      <c r="M3824" s="2">
        <v>42885</v>
      </c>
      <c r="N3824" s="1" t="s">
        <v>8</v>
      </c>
      <c r="O3824" s="1" t="s">
        <v>68</v>
      </c>
    </row>
    <row r="3825" spans="1:15" ht="28.8" x14ac:dyDescent="0.3">
      <c r="A3825" s="1" t="s">
        <v>19148</v>
      </c>
      <c r="B3825" s="1" t="str">
        <f>"Brian Lewis Brian Lewis"</f>
        <v>Brian Lewis Brian Lewis</v>
      </c>
      <c r="C3825" s="1" t="s">
        <v>19149</v>
      </c>
      <c r="F3825" s="1" t="s">
        <v>32</v>
      </c>
      <c r="H3825" s="1" t="s">
        <v>19150</v>
      </c>
      <c r="I3825" s="1" t="s">
        <v>5</v>
      </c>
      <c r="J3825" s="1" t="s">
        <v>6</v>
      </c>
      <c r="K3825" s="1" t="s">
        <v>24</v>
      </c>
      <c r="M3825" s="2">
        <v>42885</v>
      </c>
      <c r="N3825" s="1" t="s">
        <v>8</v>
      </c>
      <c r="O3825" s="2">
        <v>43981</v>
      </c>
    </row>
    <row r="3826" spans="1:15" ht="43.2" x14ac:dyDescent="0.3">
      <c r="A3826" s="1" t="s">
        <v>19151</v>
      </c>
      <c r="B3826" s="1" t="str">
        <f>"Sam anthony Burder"</f>
        <v>Sam anthony Burder</v>
      </c>
      <c r="C3826" s="1" t="s">
        <v>19152</v>
      </c>
      <c r="F3826" s="1" t="s">
        <v>64</v>
      </c>
      <c r="H3826" s="1" t="s">
        <v>3744</v>
      </c>
      <c r="I3826" s="1" t="s">
        <v>5</v>
      </c>
      <c r="J3826" s="1" t="s">
        <v>67</v>
      </c>
      <c r="K3826" s="1" t="s">
        <v>14</v>
      </c>
      <c r="M3826" s="2">
        <v>42885</v>
      </c>
      <c r="N3826" s="1" t="s">
        <v>8</v>
      </c>
      <c r="O3826" s="1" t="s">
        <v>68</v>
      </c>
    </row>
    <row r="3827" spans="1:15" ht="43.2" x14ac:dyDescent="0.3">
      <c r="A3827" s="1" t="s">
        <v>19153</v>
      </c>
      <c r="B3827" s="1" t="str">
        <f>"Andrew Pitman A PitmanPlumbing &amp; Heating Services"</f>
        <v>Andrew Pitman A PitmanPlumbing &amp; Heating Services</v>
      </c>
      <c r="C3827" s="1" t="s">
        <v>19146</v>
      </c>
      <c r="F3827" s="1" t="s">
        <v>358</v>
      </c>
      <c r="H3827" s="1" t="s">
        <v>19147</v>
      </c>
      <c r="I3827" s="1" t="s">
        <v>5</v>
      </c>
      <c r="J3827" s="1" t="s">
        <v>6</v>
      </c>
      <c r="K3827" s="1" t="s">
        <v>24</v>
      </c>
      <c r="M3827" s="2">
        <v>42885</v>
      </c>
      <c r="N3827" s="1" t="s">
        <v>8</v>
      </c>
      <c r="O3827" s="2">
        <v>43981</v>
      </c>
    </row>
    <row r="3828" spans="1:15" ht="43.2" x14ac:dyDescent="0.3">
      <c r="A3828" s="1" t="s">
        <v>29398</v>
      </c>
      <c r="B3828" s="1" t="str">
        <f>"Peter Davey"</f>
        <v>Peter Davey</v>
      </c>
      <c r="C3828" s="1" t="s">
        <v>29399</v>
      </c>
      <c r="F3828" s="1" t="s">
        <v>678</v>
      </c>
      <c r="H3828" s="1" t="s">
        <v>29400</v>
      </c>
      <c r="I3828" s="1" t="s">
        <v>5</v>
      </c>
      <c r="J3828" s="1" t="s">
        <v>67</v>
      </c>
      <c r="K3828" s="1" t="s">
        <v>14</v>
      </c>
      <c r="M3828" s="2">
        <v>42885</v>
      </c>
      <c r="N3828" s="1" t="s">
        <v>8</v>
      </c>
      <c r="O3828" s="1" t="s">
        <v>68</v>
      </c>
    </row>
    <row r="3829" spans="1:15" ht="43.2" x14ac:dyDescent="0.3">
      <c r="A3829" s="1" t="s">
        <v>17666</v>
      </c>
      <c r="B3829" s="1" t="str">
        <f>"THAMES VALLEY INSULATION"</f>
        <v>THAMES VALLEY INSULATION</v>
      </c>
      <c r="C3829" s="1" t="s">
        <v>17667</v>
      </c>
      <c r="F3829" s="1" t="s">
        <v>9159</v>
      </c>
      <c r="H3829" s="1" t="s">
        <v>17668</v>
      </c>
      <c r="I3829" s="1" t="s">
        <v>19</v>
      </c>
      <c r="J3829" s="1" t="s">
        <v>67</v>
      </c>
      <c r="K3829" s="1" t="s">
        <v>14</v>
      </c>
      <c r="M3829" s="2">
        <v>42884</v>
      </c>
      <c r="N3829" s="1" t="s">
        <v>8</v>
      </c>
      <c r="O3829" s="1" t="s">
        <v>68</v>
      </c>
    </row>
    <row r="3830" spans="1:15" x14ac:dyDescent="0.3">
      <c r="A3830" s="1" t="s">
        <v>17669</v>
      </c>
      <c r="B3830" s="1" t="str">
        <f>"iXact Ltd"</f>
        <v>iXact Ltd</v>
      </c>
      <c r="C3830" s="1" t="s">
        <v>17670</v>
      </c>
      <c r="F3830" s="1" t="s">
        <v>170</v>
      </c>
      <c r="H3830" s="1" t="s">
        <v>17671</v>
      </c>
      <c r="I3830" s="1" t="s">
        <v>19</v>
      </c>
      <c r="J3830" s="1" t="s">
        <v>6</v>
      </c>
      <c r="K3830" s="1" t="s">
        <v>24</v>
      </c>
      <c r="L3830" s="1">
        <v>10713056</v>
      </c>
      <c r="M3830" s="2">
        <v>42884</v>
      </c>
      <c r="N3830" s="1" t="s">
        <v>8</v>
      </c>
      <c r="O3830" s="2">
        <v>43980</v>
      </c>
    </row>
    <row r="3831" spans="1:15" ht="28.8" x14ac:dyDescent="0.3">
      <c r="A3831" s="1" t="s">
        <v>29387</v>
      </c>
      <c r="B3831" s="1" t="str">
        <f>"William Green W j green"</f>
        <v>William Green W j green</v>
      </c>
      <c r="C3831" s="1" t="s">
        <v>29388</v>
      </c>
      <c r="F3831" s="1" t="s">
        <v>710</v>
      </c>
      <c r="H3831" s="1" t="s">
        <v>29389</v>
      </c>
      <c r="I3831" s="1" t="s">
        <v>5</v>
      </c>
      <c r="J3831" s="1" t="s">
        <v>6</v>
      </c>
      <c r="K3831" s="1" t="s">
        <v>24</v>
      </c>
      <c r="M3831" s="2">
        <v>42884</v>
      </c>
      <c r="N3831" s="1" t="s">
        <v>8</v>
      </c>
      <c r="O3831" s="2">
        <v>43980</v>
      </c>
    </row>
    <row r="3832" spans="1:15" ht="43.2" x14ac:dyDescent="0.3">
      <c r="A3832" s="1" t="s">
        <v>29390</v>
      </c>
      <c r="B3832" s="1" t="str">
        <f>"Ampigapathy Kanagaratham"</f>
        <v>Ampigapathy Kanagaratham</v>
      </c>
      <c r="C3832" s="1" t="s">
        <v>29391</v>
      </c>
      <c r="F3832" s="1" t="s">
        <v>18020</v>
      </c>
      <c r="H3832" s="1" t="s">
        <v>24053</v>
      </c>
      <c r="I3832" s="1" t="s">
        <v>5</v>
      </c>
      <c r="J3832" s="1" t="s">
        <v>67</v>
      </c>
      <c r="K3832" s="1" t="s">
        <v>14</v>
      </c>
      <c r="M3832" s="2">
        <v>42884</v>
      </c>
      <c r="N3832" s="1" t="s">
        <v>8</v>
      </c>
      <c r="O3832" s="1" t="s">
        <v>68</v>
      </c>
    </row>
    <row r="3833" spans="1:15" ht="28.8" x14ac:dyDescent="0.3">
      <c r="A3833" s="1" t="s">
        <v>29392</v>
      </c>
      <c r="B3833" s="1" t="str">
        <f>"Gryff Price G P Ground Maintenance"</f>
        <v>Gryff Price G P Ground Maintenance</v>
      </c>
      <c r="C3833" s="1" t="s">
        <v>29393</v>
      </c>
      <c r="D3833" s="1" t="s">
        <v>14237</v>
      </c>
      <c r="F3833" s="1" t="s">
        <v>64</v>
      </c>
      <c r="H3833" s="1" t="s">
        <v>29394</v>
      </c>
      <c r="I3833" s="1" t="s">
        <v>5</v>
      </c>
      <c r="J3833" s="1" t="s">
        <v>6</v>
      </c>
      <c r="K3833" s="1" t="s">
        <v>34</v>
      </c>
      <c r="M3833" s="2">
        <v>42884</v>
      </c>
      <c r="N3833" s="1" t="s">
        <v>8</v>
      </c>
      <c r="O3833" s="2">
        <v>43980</v>
      </c>
    </row>
    <row r="3834" spans="1:15" ht="43.2" x14ac:dyDescent="0.3">
      <c r="A3834" s="1" t="s">
        <v>29395</v>
      </c>
      <c r="B3834" s="1" t="str">
        <f>"Paul Butland Paul Butland Mini Digger Services"</f>
        <v>Paul Butland Paul Butland Mini Digger Services</v>
      </c>
      <c r="C3834" s="1" t="s">
        <v>29396</v>
      </c>
      <c r="F3834" s="1" t="s">
        <v>3068</v>
      </c>
      <c r="H3834" s="1" t="s">
        <v>29397</v>
      </c>
      <c r="I3834" s="1" t="s">
        <v>5</v>
      </c>
      <c r="J3834" s="1" t="s">
        <v>6</v>
      </c>
      <c r="K3834" s="1" t="s">
        <v>34</v>
      </c>
      <c r="M3834" s="2">
        <v>42884</v>
      </c>
      <c r="N3834" s="1" t="s">
        <v>8</v>
      </c>
      <c r="O3834" s="2">
        <v>43980</v>
      </c>
    </row>
    <row r="3835" spans="1:15" ht="28.8" x14ac:dyDescent="0.3">
      <c r="A3835" s="1" t="s">
        <v>17659</v>
      </c>
      <c r="B3835" s="1" t="str">
        <f>"Derek Ford Construction Ltd."</f>
        <v>Derek Ford Construction Ltd.</v>
      </c>
      <c r="C3835" s="1" t="s">
        <v>17660</v>
      </c>
      <c r="F3835" s="1" t="s">
        <v>37</v>
      </c>
      <c r="H3835" s="1" t="s">
        <v>17661</v>
      </c>
      <c r="I3835" s="1" t="s">
        <v>19</v>
      </c>
      <c r="J3835" s="1" t="s">
        <v>6</v>
      </c>
      <c r="K3835" s="1" t="s">
        <v>24</v>
      </c>
      <c r="L3835" s="1">
        <v>5728387</v>
      </c>
      <c r="M3835" s="2">
        <v>42882</v>
      </c>
      <c r="N3835" s="1" t="s">
        <v>8</v>
      </c>
      <c r="O3835" s="2">
        <v>43978</v>
      </c>
    </row>
    <row r="3836" spans="1:15" x14ac:dyDescent="0.3">
      <c r="A3836" s="1" t="s">
        <v>17662</v>
      </c>
      <c r="B3836" s="1" t="str">
        <f>"Elite Electrical (NW) Ltd"</f>
        <v>Elite Electrical (NW) Ltd</v>
      </c>
      <c r="C3836" s="1" t="s">
        <v>17663</v>
      </c>
      <c r="F3836" s="1" t="s">
        <v>17664</v>
      </c>
      <c r="H3836" s="1" t="s">
        <v>17665</v>
      </c>
      <c r="I3836" s="1" t="s">
        <v>19</v>
      </c>
      <c r="J3836" s="1" t="s">
        <v>6</v>
      </c>
      <c r="K3836" s="1" t="s">
        <v>24</v>
      </c>
      <c r="L3836" s="1">
        <v>10540128</v>
      </c>
      <c r="M3836" s="2">
        <v>42882</v>
      </c>
      <c r="N3836" s="1" t="s">
        <v>8</v>
      </c>
      <c r="O3836" s="2">
        <v>43978</v>
      </c>
    </row>
    <row r="3837" spans="1:15" ht="43.2" x14ac:dyDescent="0.3">
      <c r="A3837" s="1" t="s">
        <v>29383</v>
      </c>
      <c r="B3837" s="1" t="str">
        <f>"Matt Hobbs"</f>
        <v>Matt Hobbs</v>
      </c>
      <c r="C3837" s="1" t="s">
        <v>29384</v>
      </c>
      <c r="F3837" s="1" t="s">
        <v>29385</v>
      </c>
      <c r="H3837" s="1" t="s">
        <v>29386</v>
      </c>
      <c r="I3837" s="1" t="s">
        <v>5</v>
      </c>
      <c r="J3837" s="1" t="s">
        <v>67</v>
      </c>
      <c r="K3837" s="1" t="s">
        <v>14</v>
      </c>
      <c r="M3837" s="2">
        <v>42882</v>
      </c>
      <c r="N3837" s="1" t="s">
        <v>8</v>
      </c>
      <c r="O3837" s="1" t="s">
        <v>68</v>
      </c>
    </row>
    <row r="3838" spans="1:15" ht="43.2" x14ac:dyDescent="0.3">
      <c r="A3838" s="1" t="s">
        <v>16611</v>
      </c>
      <c r="B3838" s="1" t="str">
        <f>"Yorkshire Electronic security Ltd"</f>
        <v>Yorkshire Electronic security Ltd</v>
      </c>
      <c r="C3838" s="1" t="s">
        <v>16612</v>
      </c>
      <c r="F3838" s="1" t="s">
        <v>5042</v>
      </c>
      <c r="H3838" s="1" t="s">
        <v>16613</v>
      </c>
      <c r="I3838" s="1" t="s">
        <v>19</v>
      </c>
      <c r="J3838" s="1" t="s">
        <v>67</v>
      </c>
      <c r="K3838" s="1" t="s">
        <v>14</v>
      </c>
      <c r="M3838" s="2">
        <v>42881</v>
      </c>
      <c r="N3838" s="1" t="s">
        <v>8</v>
      </c>
      <c r="O3838" s="1" t="s">
        <v>68</v>
      </c>
    </row>
    <row r="3839" spans="1:15" ht="28.8" x14ac:dyDescent="0.3">
      <c r="A3839" s="1" t="s">
        <v>16614</v>
      </c>
      <c r="B3839" s="1" t="str">
        <f>"S.M. DAVIES TRANSPORT LTD"</f>
        <v>S.M. DAVIES TRANSPORT LTD</v>
      </c>
      <c r="C3839" s="1" t="s">
        <v>16615</v>
      </c>
      <c r="F3839" s="1" t="s">
        <v>2459</v>
      </c>
      <c r="H3839" s="1" t="s">
        <v>2880</v>
      </c>
      <c r="I3839" s="1" t="s">
        <v>19</v>
      </c>
      <c r="J3839" s="1" t="s">
        <v>6</v>
      </c>
      <c r="K3839" s="1" t="s">
        <v>24</v>
      </c>
      <c r="L3839" s="1">
        <v>6069670</v>
      </c>
      <c r="M3839" s="2">
        <v>42881</v>
      </c>
      <c r="N3839" s="1" t="s">
        <v>8</v>
      </c>
      <c r="O3839" s="2">
        <v>43977</v>
      </c>
    </row>
    <row r="3840" spans="1:15" ht="28.8" x14ac:dyDescent="0.3">
      <c r="A3840" s="1" t="s">
        <v>16616</v>
      </c>
      <c r="B3840" s="1" t="str">
        <f>"RD Residential Limited"</f>
        <v>RD Residential Limited</v>
      </c>
      <c r="C3840" s="1" t="s">
        <v>16617</v>
      </c>
      <c r="F3840" s="1" t="s">
        <v>170</v>
      </c>
      <c r="H3840" s="1" t="s">
        <v>16618</v>
      </c>
      <c r="I3840" s="1" t="s">
        <v>19</v>
      </c>
      <c r="J3840" s="1" t="s">
        <v>6</v>
      </c>
      <c r="K3840" s="1" t="s">
        <v>34</v>
      </c>
      <c r="L3840" s="1">
        <v>4715176</v>
      </c>
      <c r="M3840" s="2">
        <v>42881</v>
      </c>
      <c r="N3840" s="1" t="s">
        <v>8</v>
      </c>
      <c r="O3840" s="2">
        <v>43977</v>
      </c>
    </row>
    <row r="3841" spans="1:15" ht="43.2" x14ac:dyDescent="0.3">
      <c r="A3841" s="1" t="s">
        <v>16619</v>
      </c>
      <c r="B3841" s="1" t="str">
        <f>"Vintage Joinery Limited"</f>
        <v>Vintage Joinery Limited</v>
      </c>
      <c r="C3841" s="1" t="s">
        <v>16620</v>
      </c>
      <c r="D3841" s="1" t="s">
        <v>8786</v>
      </c>
      <c r="F3841" s="1" t="s">
        <v>10122</v>
      </c>
      <c r="H3841" s="1" t="s">
        <v>16621</v>
      </c>
      <c r="I3841" s="1" t="s">
        <v>19</v>
      </c>
      <c r="J3841" s="1" t="s">
        <v>67</v>
      </c>
      <c r="K3841" s="1" t="s">
        <v>24</v>
      </c>
      <c r="L3841" s="1">
        <v>7142263</v>
      </c>
      <c r="M3841" s="2">
        <v>42881</v>
      </c>
      <c r="N3841" s="1" t="s">
        <v>8</v>
      </c>
      <c r="O3841" s="1" t="s">
        <v>68</v>
      </c>
    </row>
    <row r="3842" spans="1:15" ht="43.2" x14ac:dyDescent="0.3">
      <c r="A3842" s="1" t="s">
        <v>16622</v>
      </c>
      <c r="B3842" s="1" t="str">
        <f>"A J FIELD ELECTRICAL LTD"</f>
        <v>A J FIELD ELECTRICAL LTD</v>
      </c>
      <c r="C3842" s="1" t="s">
        <v>16623</v>
      </c>
      <c r="D3842" s="1" t="s">
        <v>746</v>
      </c>
      <c r="F3842" s="1" t="s">
        <v>323</v>
      </c>
      <c r="H3842" s="1" t="s">
        <v>960</v>
      </c>
      <c r="I3842" s="1" t="s">
        <v>19</v>
      </c>
      <c r="J3842" s="1" t="s">
        <v>67</v>
      </c>
      <c r="K3842" s="1" t="s">
        <v>14</v>
      </c>
      <c r="M3842" s="2">
        <v>42881</v>
      </c>
      <c r="N3842" s="1" t="s">
        <v>8</v>
      </c>
      <c r="O3842" s="1" t="s">
        <v>68</v>
      </c>
    </row>
    <row r="3843" spans="1:15" ht="28.8" x14ac:dyDescent="0.3">
      <c r="A3843" s="1" t="s">
        <v>16624</v>
      </c>
      <c r="B3843" s="1" t="str">
        <f>"GLASS TECH RECYCLING LTD"</f>
        <v>GLASS TECH RECYCLING LTD</v>
      </c>
      <c r="C3843" s="1" t="s">
        <v>16625</v>
      </c>
      <c r="D3843" s="1" t="s">
        <v>10331</v>
      </c>
      <c r="F3843" s="1" t="s">
        <v>32</v>
      </c>
      <c r="H3843" s="1" t="s">
        <v>10540</v>
      </c>
      <c r="I3843" s="1" t="s">
        <v>19</v>
      </c>
      <c r="J3843" s="1" t="s">
        <v>6</v>
      </c>
      <c r="K3843" s="1" t="s">
        <v>34</v>
      </c>
      <c r="L3843" s="1">
        <v>7479819</v>
      </c>
      <c r="M3843" s="2">
        <v>42881</v>
      </c>
      <c r="N3843" s="1" t="s">
        <v>8</v>
      </c>
      <c r="O3843" s="2">
        <v>43977</v>
      </c>
    </row>
    <row r="3844" spans="1:15" ht="28.8" x14ac:dyDescent="0.3">
      <c r="A3844" s="1" t="s">
        <v>16626</v>
      </c>
      <c r="B3844" s="1" t="str">
        <f>"CALCAIT"</f>
        <v>CALCAIT</v>
      </c>
      <c r="C3844" s="1" t="s">
        <v>16627</v>
      </c>
      <c r="F3844" s="1" t="s">
        <v>556</v>
      </c>
      <c r="H3844" s="1" t="s">
        <v>16628</v>
      </c>
      <c r="I3844" s="1" t="s">
        <v>125</v>
      </c>
      <c r="J3844" s="1" t="s">
        <v>6</v>
      </c>
      <c r="K3844" s="1" t="s">
        <v>34</v>
      </c>
      <c r="M3844" s="2">
        <v>42881</v>
      </c>
      <c r="N3844" s="1" t="s">
        <v>8</v>
      </c>
      <c r="O3844" s="2">
        <v>43977</v>
      </c>
    </row>
    <row r="3845" spans="1:15" ht="43.2" x14ac:dyDescent="0.3">
      <c r="A3845" s="1" t="s">
        <v>16629</v>
      </c>
      <c r="B3845" s="1" t="str">
        <f>"Ganesha Handicrafts LTD"</f>
        <v>Ganesha Handicrafts LTD</v>
      </c>
      <c r="C3845" s="1" t="s">
        <v>16630</v>
      </c>
      <c r="F3845" s="1" t="s">
        <v>123</v>
      </c>
      <c r="H3845" s="1" t="s">
        <v>16631</v>
      </c>
      <c r="I3845" s="1" t="s">
        <v>19</v>
      </c>
      <c r="J3845" s="1" t="s">
        <v>67</v>
      </c>
      <c r="K3845" s="1" t="s">
        <v>14</v>
      </c>
      <c r="M3845" s="2">
        <v>42881</v>
      </c>
      <c r="N3845" s="1" t="s">
        <v>8</v>
      </c>
      <c r="O3845" s="1" t="s">
        <v>68</v>
      </c>
    </row>
    <row r="3846" spans="1:15" ht="28.8" x14ac:dyDescent="0.3">
      <c r="A3846" s="1" t="s">
        <v>17658</v>
      </c>
      <c r="B3846" s="1" t="str">
        <f>"A.J. Field Electrical LTD"</f>
        <v>A.J. Field Electrical LTD</v>
      </c>
      <c r="C3846" s="1" t="s">
        <v>16623</v>
      </c>
      <c r="D3846" s="1" t="s">
        <v>746</v>
      </c>
      <c r="F3846" s="1" t="s">
        <v>323</v>
      </c>
      <c r="H3846" s="1" t="s">
        <v>960</v>
      </c>
      <c r="I3846" s="1" t="s">
        <v>19</v>
      </c>
      <c r="J3846" s="1" t="s">
        <v>6</v>
      </c>
      <c r="K3846" s="1" t="s">
        <v>34</v>
      </c>
      <c r="L3846" s="1">
        <v>6538426</v>
      </c>
      <c r="M3846" s="2">
        <v>42881</v>
      </c>
      <c r="N3846" s="1" t="s">
        <v>8</v>
      </c>
      <c r="O3846" s="2">
        <v>43977</v>
      </c>
    </row>
    <row r="3847" spans="1:15" ht="43.2" x14ac:dyDescent="0.3">
      <c r="A3847" s="1" t="s">
        <v>29379</v>
      </c>
      <c r="B3847" s="1" t="str">
        <f>"Jeanette Ingram"</f>
        <v>Jeanette Ingram</v>
      </c>
      <c r="C3847" s="1" t="s">
        <v>20240</v>
      </c>
      <c r="D3847" s="1" t="s">
        <v>8943</v>
      </c>
      <c r="F3847" s="1" t="s">
        <v>2459</v>
      </c>
      <c r="H3847" s="1" t="s">
        <v>20241</v>
      </c>
      <c r="I3847" s="1" t="s">
        <v>5</v>
      </c>
      <c r="J3847" s="1" t="s">
        <v>67</v>
      </c>
      <c r="K3847" s="1" t="s">
        <v>14</v>
      </c>
      <c r="M3847" s="2">
        <v>42881</v>
      </c>
      <c r="N3847" s="1" t="s">
        <v>8</v>
      </c>
      <c r="O3847" s="1" t="s">
        <v>68</v>
      </c>
    </row>
    <row r="3848" spans="1:15" ht="28.8" x14ac:dyDescent="0.3">
      <c r="A3848" s="1" t="s">
        <v>29380</v>
      </c>
      <c r="B3848" s="1" t="str">
        <f>"Ioan Evans Alder Developments "</f>
        <v xml:space="preserve">Ioan Evans Alder Developments </v>
      </c>
      <c r="C3848" s="1" t="s">
        <v>29381</v>
      </c>
      <c r="F3848" s="1" t="s">
        <v>123</v>
      </c>
      <c r="H3848" s="1" t="s">
        <v>29382</v>
      </c>
      <c r="I3848" s="1" t="s">
        <v>5</v>
      </c>
      <c r="J3848" s="1" t="s">
        <v>6</v>
      </c>
      <c r="K3848" s="1" t="s">
        <v>34</v>
      </c>
      <c r="M3848" s="2">
        <v>42881</v>
      </c>
      <c r="N3848" s="1" t="s">
        <v>8</v>
      </c>
      <c r="O3848" s="2">
        <v>43977</v>
      </c>
    </row>
    <row r="3849" spans="1:15" ht="28.8" x14ac:dyDescent="0.3">
      <c r="A3849" s="1" t="s">
        <v>15603</v>
      </c>
      <c r="B3849" s="1" t="str">
        <f>"C C P Fencing Specialists Ltd."</f>
        <v>C C P Fencing Specialists Ltd.</v>
      </c>
      <c r="C3849" s="1" t="s">
        <v>15604</v>
      </c>
      <c r="F3849" s="1" t="s">
        <v>1093</v>
      </c>
      <c r="H3849" s="1" t="s">
        <v>15605</v>
      </c>
      <c r="I3849" s="1" t="s">
        <v>19</v>
      </c>
      <c r="J3849" s="1" t="s">
        <v>6</v>
      </c>
      <c r="K3849" s="1" t="s">
        <v>34</v>
      </c>
      <c r="L3849" s="1">
        <v>455058</v>
      </c>
      <c r="M3849" s="2">
        <v>42880</v>
      </c>
      <c r="N3849" s="1" t="s">
        <v>8</v>
      </c>
      <c r="O3849" s="2">
        <v>43976</v>
      </c>
    </row>
    <row r="3850" spans="1:15" ht="28.8" x14ac:dyDescent="0.3">
      <c r="A3850" s="1" t="s">
        <v>15606</v>
      </c>
      <c r="B3850" s="1" t="str">
        <f>"Fflam Eryri Cyf"</f>
        <v>Fflam Eryri Cyf</v>
      </c>
      <c r="C3850" s="1" t="s">
        <v>15607</v>
      </c>
      <c r="D3850" s="1" t="s">
        <v>358</v>
      </c>
      <c r="F3850" s="1" t="s">
        <v>359</v>
      </c>
      <c r="H3850" s="1" t="s">
        <v>15608</v>
      </c>
      <c r="I3850" s="1" t="s">
        <v>19</v>
      </c>
      <c r="J3850" s="1" t="s">
        <v>6</v>
      </c>
      <c r="K3850" s="1" t="s">
        <v>34</v>
      </c>
      <c r="L3850" s="1">
        <v>3898857</v>
      </c>
      <c r="M3850" s="2">
        <v>42880</v>
      </c>
      <c r="N3850" s="1" t="s">
        <v>8</v>
      </c>
      <c r="O3850" s="2">
        <v>43976</v>
      </c>
    </row>
    <row r="3851" spans="1:15" ht="28.8" x14ac:dyDescent="0.3">
      <c r="A3851" s="1" t="s">
        <v>15609</v>
      </c>
      <c r="B3851" s="1" t="str">
        <f>"Pulseplastics limited"</f>
        <v>Pulseplastics limited</v>
      </c>
      <c r="C3851" s="1" t="s">
        <v>15610</v>
      </c>
      <c r="D3851" s="1" t="s">
        <v>8856</v>
      </c>
      <c r="E3851" s="1" t="s">
        <v>546</v>
      </c>
      <c r="F3851" s="1" t="s">
        <v>156</v>
      </c>
      <c r="H3851" s="1" t="s">
        <v>8857</v>
      </c>
      <c r="I3851" s="1" t="s">
        <v>19</v>
      </c>
      <c r="J3851" s="1" t="s">
        <v>6</v>
      </c>
      <c r="K3851" s="1" t="s">
        <v>1859</v>
      </c>
      <c r="L3851" s="1">
        <v>4529261</v>
      </c>
      <c r="M3851" s="2">
        <v>42880</v>
      </c>
      <c r="N3851" s="1" t="s">
        <v>8</v>
      </c>
      <c r="O3851" s="2">
        <v>43976</v>
      </c>
    </row>
    <row r="3852" spans="1:15" ht="28.8" x14ac:dyDescent="0.3">
      <c r="A3852" s="1" t="s">
        <v>15611</v>
      </c>
      <c r="B3852" s="1" t="str">
        <f>"Rivendale Roofing LTD"</f>
        <v>Rivendale Roofing LTD</v>
      </c>
      <c r="C3852" s="1" t="s">
        <v>15612</v>
      </c>
      <c r="F3852" s="1" t="s">
        <v>22</v>
      </c>
      <c r="H3852" s="1" t="s">
        <v>15613</v>
      </c>
      <c r="I3852" s="1" t="s">
        <v>19</v>
      </c>
      <c r="J3852" s="1" t="s">
        <v>6</v>
      </c>
      <c r="K3852" s="1" t="s">
        <v>34</v>
      </c>
      <c r="L3852" s="1">
        <v>5446270</v>
      </c>
      <c r="M3852" s="2">
        <v>42880</v>
      </c>
      <c r="N3852" s="1" t="s">
        <v>8</v>
      </c>
      <c r="O3852" s="2">
        <v>43976</v>
      </c>
    </row>
    <row r="3853" spans="1:15" x14ac:dyDescent="0.3">
      <c r="A3853" s="1" t="s">
        <v>15614</v>
      </c>
      <c r="B3853" s="1" t="str">
        <f>"WJ &amp; R Thomas"</f>
        <v>WJ &amp; R Thomas</v>
      </c>
      <c r="C3853" s="1" t="s">
        <v>15615</v>
      </c>
      <c r="F3853" s="1" t="s">
        <v>1888</v>
      </c>
      <c r="H3853" s="1" t="s">
        <v>15616</v>
      </c>
      <c r="I3853" s="1" t="s">
        <v>125</v>
      </c>
      <c r="J3853" s="1" t="s">
        <v>6</v>
      </c>
      <c r="K3853" s="1" t="s">
        <v>24</v>
      </c>
      <c r="M3853" s="2">
        <v>42880</v>
      </c>
      <c r="N3853" s="1" t="s">
        <v>8</v>
      </c>
      <c r="O3853" s="2">
        <v>43976</v>
      </c>
    </row>
    <row r="3854" spans="1:15" ht="43.2" x14ac:dyDescent="0.3">
      <c r="A3854" s="1" t="s">
        <v>16602</v>
      </c>
      <c r="B3854" s="1" t="str">
        <f>"Solution Express"</f>
        <v>Solution Express</v>
      </c>
      <c r="C3854" s="1" t="s">
        <v>16603</v>
      </c>
      <c r="D3854" s="1" t="s">
        <v>1025</v>
      </c>
      <c r="F3854" s="1" t="s">
        <v>123</v>
      </c>
      <c r="H3854" s="1" t="s">
        <v>1026</v>
      </c>
      <c r="I3854" s="1" t="s">
        <v>125</v>
      </c>
      <c r="J3854" s="1" t="s">
        <v>67</v>
      </c>
      <c r="K3854" s="1" t="s">
        <v>14</v>
      </c>
      <c r="M3854" s="2">
        <v>42880</v>
      </c>
      <c r="N3854" s="1" t="s">
        <v>8</v>
      </c>
      <c r="O3854" s="1" t="s">
        <v>68</v>
      </c>
    </row>
    <row r="3855" spans="1:15" ht="28.8" x14ac:dyDescent="0.3">
      <c r="A3855" s="1" t="s">
        <v>16604</v>
      </c>
      <c r="B3855" s="1" t="str">
        <f>"Powys Teaching Health Board"</f>
        <v>Powys Teaching Health Board</v>
      </c>
      <c r="C3855" s="1" t="s">
        <v>16605</v>
      </c>
      <c r="F3855" s="1" t="s">
        <v>162</v>
      </c>
      <c r="H3855" s="1" t="s">
        <v>16606</v>
      </c>
      <c r="I3855" s="1" t="s">
        <v>188</v>
      </c>
      <c r="J3855" s="1" t="s">
        <v>6</v>
      </c>
      <c r="K3855" s="1" t="s">
        <v>24</v>
      </c>
      <c r="M3855" s="2">
        <v>42880</v>
      </c>
      <c r="N3855" s="1" t="s">
        <v>8</v>
      </c>
      <c r="O3855" s="2">
        <v>43976</v>
      </c>
    </row>
    <row r="3856" spans="1:15" ht="43.2" x14ac:dyDescent="0.3">
      <c r="A3856" s="1" t="s">
        <v>16607</v>
      </c>
      <c r="B3856" s="1" t="str">
        <f>"Northolt Express"</f>
        <v>Northolt Express</v>
      </c>
      <c r="C3856" s="1" t="s">
        <v>16608</v>
      </c>
      <c r="F3856" s="1" t="s">
        <v>16609</v>
      </c>
      <c r="H3856" s="1" t="s">
        <v>16610</v>
      </c>
      <c r="I3856" s="1" t="s">
        <v>19</v>
      </c>
      <c r="J3856" s="1" t="s">
        <v>67</v>
      </c>
      <c r="K3856" s="1" t="s">
        <v>14</v>
      </c>
      <c r="M3856" s="2">
        <v>42880</v>
      </c>
      <c r="N3856" s="1" t="s">
        <v>8</v>
      </c>
      <c r="O3856" s="1" t="s">
        <v>68</v>
      </c>
    </row>
    <row r="3857" spans="1:15" x14ac:dyDescent="0.3">
      <c r="A3857" s="1" t="s">
        <v>27854</v>
      </c>
      <c r="B3857" s="1" t="str">
        <f>"Arthur Sydney Williams"</f>
        <v>Arthur Sydney Williams</v>
      </c>
      <c r="C3857" s="1" t="s">
        <v>27855</v>
      </c>
      <c r="F3857" s="1" t="s">
        <v>3465</v>
      </c>
      <c r="H3857" s="1" t="s">
        <v>27856</v>
      </c>
      <c r="I3857" s="1" t="s">
        <v>5</v>
      </c>
      <c r="J3857" s="1" t="s">
        <v>6</v>
      </c>
      <c r="K3857" s="1" t="s">
        <v>24</v>
      </c>
      <c r="M3857" s="2">
        <v>42880</v>
      </c>
      <c r="N3857" s="1" t="s">
        <v>8</v>
      </c>
      <c r="O3857" s="2">
        <v>43976</v>
      </c>
    </row>
    <row r="3858" spans="1:15" ht="43.2" x14ac:dyDescent="0.3">
      <c r="A3858" s="1" t="s">
        <v>27857</v>
      </c>
      <c r="B3858" s="1" t="str">
        <f>"John McCarthy"</f>
        <v>John McCarthy</v>
      </c>
      <c r="C3858" s="1" t="s">
        <v>24199</v>
      </c>
      <c r="F3858" s="1" t="s">
        <v>123</v>
      </c>
      <c r="H3858" s="1" t="s">
        <v>15984</v>
      </c>
      <c r="I3858" s="1" t="s">
        <v>5</v>
      </c>
      <c r="J3858" s="1" t="s">
        <v>67</v>
      </c>
      <c r="K3858" s="1" t="s">
        <v>24</v>
      </c>
      <c r="M3858" s="2">
        <v>42880</v>
      </c>
      <c r="N3858" s="1" t="s">
        <v>8</v>
      </c>
      <c r="O3858" s="1" t="s">
        <v>68</v>
      </c>
    </row>
    <row r="3859" spans="1:15" ht="28.8" x14ac:dyDescent="0.3">
      <c r="A3859" s="1" t="s">
        <v>28648</v>
      </c>
      <c r="B3859" s="1" t="str">
        <f>"Terry Brown Terry Brown Services"</f>
        <v>Terry Brown Terry Brown Services</v>
      </c>
      <c r="C3859" s="1" t="s">
        <v>28649</v>
      </c>
      <c r="F3859" s="1" t="s">
        <v>42</v>
      </c>
      <c r="H3859" s="1" t="s">
        <v>28650</v>
      </c>
      <c r="I3859" s="1" t="s">
        <v>5</v>
      </c>
      <c r="J3859" s="1" t="s">
        <v>6</v>
      </c>
      <c r="K3859" s="1" t="s">
        <v>24</v>
      </c>
      <c r="M3859" s="2">
        <v>42880</v>
      </c>
      <c r="N3859" s="1" t="s">
        <v>8</v>
      </c>
      <c r="O3859" s="2">
        <v>43976</v>
      </c>
    </row>
    <row r="3860" spans="1:15" ht="43.2" x14ac:dyDescent="0.3">
      <c r="A3860" s="1" t="s">
        <v>28651</v>
      </c>
      <c r="B3860" s="1" t="str">
        <f>"Stephen Founds ABC building and roofing services"</f>
        <v>Stephen Founds ABC building and roofing services</v>
      </c>
      <c r="C3860" s="1" t="s">
        <v>28652</v>
      </c>
      <c r="F3860" s="1" t="s">
        <v>64</v>
      </c>
      <c r="H3860" s="1" t="s">
        <v>28653</v>
      </c>
      <c r="I3860" s="1" t="s">
        <v>5</v>
      </c>
      <c r="J3860" s="1" t="s">
        <v>6</v>
      </c>
      <c r="K3860" s="1" t="s">
        <v>24</v>
      </c>
      <c r="M3860" s="2">
        <v>42880</v>
      </c>
      <c r="N3860" s="1" t="s">
        <v>8</v>
      </c>
      <c r="O3860" s="2">
        <v>43976</v>
      </c>
    </row>
    <row r="3861" spans="1:15" ht="28.8" x14ac:dyDescent="0.3">
      <c r="A3861" s="1" t="s">
        <v>15594</v>
      </c>
      <c r="B3861" s="1" t="str">
        <f>"Morris Bros Kitchens Ltd"</f>
        <v>Morris Bros Kitchens Ltd</v>
      </c>
      <c r="C3861" s="1" t="s">
        <v>15595</v>
      </c>
      <c r="F3861" s="1" t="s">
        <v>37</v>
      </c>
      <c r="H3861" s="1" t="s">
        <v>15596</v>
      </c>
      <c r="I3861" s="1" t="s">
        <v>19</v>
      </c>
      <c r="J3861" s="1" t="s">
        <v>6</v>
      </c>
      <c r="K3861" s="1" t="s">
        <v>24</v>
      </c>
      <c r="L3861" s="1">
        <v>5295169</v>
      </c>
      <c r="M3861" s="2">
        <v>42879</v>
      </c>
      <c r="N3861" s="1" t="s">
        <v>8</v>
      </c>
      <c r="O3861" s="2">
        <v>43975</v>
      </c>
    </row>
    <row r="3862" spans="1:15" ht="43.2" x14ac:dyDescent="0.3">
      <c r="A3862" s="1" t="s">
        <v>15597</v>
      </c>
      <c r="B3862" s="1" t="str">
        <f>"Rob McCarthy Carpenter &amp; Builder Ltd."</f>
        <v>Rob McCarthy Carpenter &amp; Builder Ltd.</v>
      </c>
      <c r="C3862" s="1" t="s">
        <v>15598</v>
      </c>
      <c r="F3862" s="1" t="s">
        <v>64</v>
      </c>
      <c r="H3862" s="1" t="s">
        <v>15599</v>
      </c>
      <c r="I3862" s="1" t="s">
        <v>19</v>
      </c>
      <c r="J3862" s="1" t="s">
        <v>6</v>
      </c>
      <c r="K3862" s="1" t="s">
        <v>34</v>
      </c>
      <c r="L3862" s="1">
        <v>5511300</v>
      </c>
      <c r="M3862" s="2">
        <v>42879</v>
      </c>
      <c r="N3862" s="1" t="s">
        <v>8</v>
      </c>
      <c r="O3862" s="2">
        <v>43975</v>
      </c>
    </row>
    <row r="3863" spans="1:15" ht="28.8" x14ac:dyDescent="0.3">
      <c r="A3863" s="1" t="s">
        <v>15600</v>
      </c>
      <c r="B3863" s="1" t="str">
        <f>"Mr. Ronald Howe &amp; Mr. Brian Thomas"</f>
        <v>Mr. Ronald Howe &amp; Mr. Brian Thomas</v>
      </c>
      <c r="C3863" s="1" t="s">
        <v>15601</v>
      </c>
      <c r="D3863" s="1" t="s">
        <v>2169</v>
      </c>
      <c r="F3863" s="1" t="s">
        <v>179</v>
      </c>
      <c r="H3863" s="1" t="s">
        <v>15602</v>
      </c>
      <c r="I3863" s="1" t="s">
        <v>125</v>
      </c>
      <c r="J3863" s="1" t="s">
        <v>6</v>
      </c>
      <c r="K3863" s="1" t="s">
        <v>24</v>
      </c>
      <c r="M3863" s="2">
        <v>42879</v>
      </c>
      <c r="N3863" s="1" t="s">
        <v>8</v>
      </c>
      <c r="O3863" s="2">
        <v>43975</v>
      </c>
    </row>
    <row r="3864" spans="1:15" ht="43.2" x14ac:dyDescent="0.3">
      <c r="A3864" s="1" t="s">
        <v>27841</v>
      </c>
      <c r="B3864" s="1" t="str">
        <f>"SATISH KORIA"</f>
        <v>SATISH KORIA</v>
      </c>
      <c r="C3864" s="1" t="s">
        <v>27842</v>
      </c>
      <c r="F3864" s="1" t="s">
        <v>3247</v>
      </c>
      <c r="H3864" s="1" t="s">
        <v>27843</v>
      </c>
      <c r="I3864" s="1" t="s">
        <v>5</v>
      </c>
      <c r="J3864" s="1" t="s">
        <v>67</v>
      </c>
      <c r="K3864" s="1" t="s">
        <v>14</v>
      </c>
      <c r="M3864" s="2">
        <v>42879</v>
      </c>
      <c r="N3864" s="1" t="s">
        <v>8</v>
      </c>
      <c r="O3864" s="1" t="s">
        <v>68</v>
      </c>
    </row>
    <row r="3865" spans="1:15" ht="43.2" x14ac:dyDescent="0.3">
      <c r="A3865" s="1" t="s">
        <v>27844</v>
      </c>
      <c r="B3865" s="1" t="str">
        <f>"rachel wadley"</f>
        <v>rachel wadley</v>
      </c>
      <c r="C3865" s="1" t="s">
        <v>27845</v>
      </c>
      <c r="F3865" s="1" t="s">
        <v>1058</v>
      </c>
      <c r="H3865" s="1" t="s">
        <v>15448</v>
      </c>
      <c r="I3865" s="1" t="s">
        <v>5</v>
      </c>
      <c r="J3865" s="1" t="s">
        <v>67</v>
      </c>
      <c r="K3865" s="1" t="s">
        <v>14</v>
      </c>
      <c r="M3865" s="2">
        <v>42879</v>
      </c>
      <c r="N3865" s="1" t="s">
        <v>8</v>
      </c>
      <c r="O3865" s="1" t="s">
        <v>68</v>
      </c>
    </row>
    <row r="3866" spans="1:15" ht="28.8" x14ac:dyDescent="0.3">
      <c r="A3866" s="1" t="s">
        <v>27846</v>
      </c>
      <c r="B3866" s="1" t="str">
        <f>"Paul Smedley Smedley's Trail Services"</f>
        <v>Paul Smedley Smedley's Trail Services</v>
      </c>
      <c r="C3866" s="1" t="s">
        <v>27847</v>
      </c>
      <c r="F3866" s="1" t="s">
        <v>1400</v>
      </c>
      <c r="H3866" s="1" t="s">
        <v>27848</v>
      </c>
      <c r="I3866" s="1" t="s">
        <v>5</v>
      </c>
      <c r="J3866" s="1" t="s">
        <v>6</v>
      </c>
      <c r="K3866" s="1" t="s">
        <v>24</v>
      </c>
      <c r="M3866" s="2">
        <v>42879</v>
      </c>
      <c r="N3866" s="1" t="s">
        <v>8</v>
      </c>
      <c r="O3866" s="2">
        <v>43975</v>
      </c>
    </row>
    <row r="3867" spans="1:15" ht="43.2" x14ac:dyDescent="0.3">
      <c r="A3867" s="1" t="s">
        <v>27849</v>
      </c>
      <c r="B3867" s="1" t="str">
        <f>"Steve Thomas"</f>
        <v>Steve Thomas</v>
      </c>
      <c r="C3867" s="1" t="s">
        <v>27850</v>
      </c>
      <c r="F3867" s="1" t="s">
        <v>179</v>
      </c>
      <c r="H3867" s="1" t="s">
        <v>27851</v>
      </c>
      <c r="I3867" s="1" t="s">
        <v>5</v>
      </c>
      <c r="J3867" s="1" t="s">
        <v>67</v>
      </c>
      <c r="K3867" s="1" t="s">
        <v>14</v>
      </c>
      <c r="M3867" s="2">
        <v>42879</v>
      </c>
      <c r="N3867" s="1" t="s">
        <v>8</v>
      </c>
      <c r="O3867" s="1" t="s">
        <v>68</v>
      </c>
    </row>
    <row r="3868" spans="1:15" ht="43.2" x14ac:dyDescent="0.3">
      <c r="A3868" s="1" t="s">
        <v>27852</v>
      </c>
      <c r="B3868" s="1" t="str">
        <f>"Ramazan  Altinok "</f>
        <v xml:space="preserve">Ramazan  Altinok </v>
      </c>
      <c r="C3868" s="1" t="s">
        <v>27853</v>
      </c>
      <c r="F3868" s="1" t="s">
        <v>102</v>
      </c>
      <c r="H3868" s="1" t="s">
        <v>6092</v>
      </c>
      <c r="I3868" s="1" t="s">
        <v>5</v>
      </c>
      <c r="J3868" s="1" t="s">
        <v>67</v>
      </c>
      <c r="K3868" s="1" t="s">
        <v>14</v>
      </c>
      <c r="M3868" s="2">
        <v>42879</v>
      </c>
      <c r="N3868" s="1" t="s">
        <v>8</v>
      </c>
      <c r="O3868" s="1" t="s">
        <v>68</v>
      </c>
    </row>
    <row r="3869" spans="1:15" ht="28.8" x14ac:dyDescent="0.3">
      <c r="A3869" s="1" t="s">
        <v>14673</v>
      </c>
      <c r="B3869" s="1" t="str">
        <f>"S.J.BUILDING CONTRACTORS LTD"</f>
        <v>S.J.BUILDING CONTRACTORS LTD</v>
      </c>
      <c r="C3869" s="1" t="s">
        <v>7493</v>
      </c>
      <c r="D3869" s="1" t="s">
        <v>7494</v>
      </c>
      <c r="F3869" s="1" t="s">
        <v>4645</v>
      </c>
      <c r="H3869" s="1" t="s">
        <v>7019</v>
      </c>
      <c r="I3869" s="1" t="s">
        <v>19</v>
      </c>
      <c r="J3869" s="1" t="s">
        <v>6</v>
      </c>
      <c r="K3869" s="1" t="s">
        <v>24</v>
      </c>
      <c r="L3869" s="1">
        <v>4611085</v>
      </c>
      <c r="M3869" s="2">
        <v>42878</v>
      </c>
      <c r="N3869" s="1" t="s">
        <v>8</v>
      </c>
      <c r="O3869" s="2">
        <v>43974</v>
      </c>
    </row>
    <row r="3870" spans="1:15" ht="43.2" x14ac:dyDescent="0.3">
      <c r="A3870" s="1" t="s">
        <v>14674</v>
      </c>
      <c r="B3870" s="1" t="str">
        <f>"Sue's Pantry"</f>
        <v>Sue's Pantry</v>
      </c>
      <c r="C3870" s="1" t="s">
        <v>14675</v>
      </c>
      <c r="F3870" s="1" t="s">
        <v>5291</v>
      </c>
      <c r="H3870" s="1" t="s">
        <v>12221</v>
      </c>
      <c r="I3870" s="1" t="s">
        <v>19</v>
      </c>
      <c r="J3870" s="1" t="s">
        <v>67</v>
      </c>
      <c r="K3870" s="1" t="s">
        <v>14</v>
      </c>
      <c r="M3870" s="2">
        <v>42878</v>
      </c>
      <c r="N3870" s="1" t="s">
        <v>8</v>
      </c>
      <c r="O3870" s="1" t="s">
        <v>68</v>
      </c>
    </row>
    <row r="3871" spans="1:15" ht="28.8" x14ac:dyDescent="0.3">
      <c r="A3871" s="1" t="s">
        <v>14676</v>
      </c>
      <c r="B3871" s="1" t="str">
        <f>"Tree &amp; Sons Ltd."</f>
        <v>Tree &amp; Sons Ltd.</v>
      </c>
      <c r="C3871" s="1" t="s">
        <v>14677</v>
      </c>
      <c r="F3871" s="1" t="s">
        <v>513</v>
      </c>
      <c r="H3871" s="1" t="s">
        <v>14678</v>
      </c>
      <c r="I3871" s="1" t="s">
        <v>19</v>
      </c>
      <c r="J3871" s="1" t="s">
        <v>6</v>
      </c>
      <c r="K3871" s="1" t="s">
        <v>34</v>
      </c>
      <c r="L3871" s="1">
        <v>5095224</v>
      </c>
      <c r="M3871" s="2">
        <v>42878</v>
      </c>
      <c r="N3871" s="1" t="s">
        <v>8</v>
      </c>
      <c r="O3871" s="2">
        <v>43974</v>
      </c>
    </row>
    <row r="3872" spans="1:15" ht="43.2" x14ac:dyDescent="0.3">
      <c r="A3872" s="1" t="s">
        <v>14679</v>
      </c>
      <c r="B3872" s="1" t="str">
        <f>"Wentwood Timber Centre"</f>
        <v>Wentwood Timber Centre</v>
      </c>
      <c r="C3872" s="1" t="s">
        <v>14680</v>
      </c>
      <c r="F3872" s="1" t="s">
        <v>401</v>
      </c>
      <c r="H3872" s="1" t="s">
        <v>14681</v>
      </c>
      <c r="I3872" s="1" t="s">
        <v>19</v>
      </c>
      <c r="J3872" s="1" t="s">
        <v>67</v>
      </c>
      <c r="K3872" s="1" t="s">
        <v>14</v>
      </c>
      <c r="M3872" s="2">
        <v>42878</v>
      </c>
      <c r="N3872" s="1" t="s">
        <v>8</v>
      </c>
      <c r="O3872" s="1" t="s">
        <v>68</v>
      </c>
    </row>
    <row r="3873" spans="1:15" ht="43.2" x14ac:dyDescent="0.3">
      <c r="A3873" s="1" t="s">
        <v>14682</v>
      </c>
      <c r="B3873" s="1" t="str">
        <f>"Broetje Automation UK"</f>
        <v>Broetje Automation UK</v>
      </c>
      <c r="C3873" s="1" t="s">
        <v>14683</v>
      </c>
      <c r="D3873" s="1" t="s">
        <v>4301</v>
      </c>
      <c r="F3873" s="1" t="s">
        <v>585</v>
      </c>
      <c r="H3873" s="1" t="s">
        <v>4302</v>
      </c>
      <c r="I3873" s="1" t="s">
        <v>19</v>
      </c>
      <c r="J3873" s="1" t="s">
        <v>67</v>
      </c>
      <c r="K3873" s="1" t="s">
        <v>14</v>
      </c>
      <c r="M3873" s="2">
        <v>42878</v>
      </c>
      <c r="N3873" s="1" t="s">
        <v>8</v>
      </c>
      <c r="O3873" s="1" t="s">
        <v>68</v>
      </c>
    </row>
    <row r="3874" spans="1:15" ht="43.2" x14ac:dyDescent="0.3">
      <c r="A3874" s="1" t="s">
        <v>14684</v>
      </c>
      <c r="B3874" s="1" t="str">
        <f>"ARCTIC WHITE WINDOWS (WALES) LTD"</f>
        <v>ARCTIC WHITE WINDOWS (WALES) LTD</v>
      </c>
      <c r="C3874" s="1" t="s">
        <v>14685</v>
      </c>
      <c r="D3874" s="1" t="s">
        <v>4145</v>
      </c>
      <c r="E3874" s="1" t="s">
        <v>258</v>
      </c>
      <c r="F3874" s="1" t="s">
        <v>64</v>
      </c>
      <c r="H3874" s="1" t="s">
        <v>14686</v>
      </c>
      <c r="I3874" s="1" t="s">
        <v>19</v>
      </c>
      <c r="J3874" s="1" t="s">
        <v>67</v>
      </c>
      <c r="K3874" s="1" t="s">
        <v>34</v>
      </c>
      <c r="L3874" s="1">
        <v>5514013</v>
      </c>
      <c r="M3874" s="2">
        <v>42878</v>
      </c>
      <c r="N3874" s="1" t="s">
        <v>8</v>
      </c>
      <c r="O3874" s="1" t="s">
        <v>68</v>
      </c>
    </row>
    <row r="3875" spans="1:15" ht="28.8" x14ac:dyDescent="0.3">
      <c r="A3875" s="1" t="s">
        <v>15587</v>
      </c>
      <c r="B3875" s="1" t="str">
        <f>"jci heating ltd"</f>
        <v>jci heating ltd</v>
      </c>
      <c r="C3875" s="1" t="s">
        <v>15588</v>
      </c>
      <c r="F3875" s="1" t="s">
        <v>32</v>
      </c>
      <c r="H3875" s="1" t="s">
        <v>15589</v>
      </c>
      <c r="I3875" s="1" t="s">
        <v>19</v>
      </c>
      <c r="J3875" s="1" t="s">
        <v>6</v>
      </c>
      <c r="K3875" s="1" t="s">
        <v>34</v>
      </c>
      <c r="L3875" s="1">
        <v>5229616</v>
      </c>
      <c r="M3875" s="2">
        <v>42878</v>
      </c>
      <c r="N3875" s="1" t="s">
        <v>8</v>
      </c>
      <c r="O3875" s="2">
        <v>43974</v>
      </c>
    </row>
    <row r="3876" spans="1:15" ht="43.2" x14ac:dyDescent="0.3">
      <c r="A3876" s="1" t="s">
        <v>15590</v>
      </c>
      <c r="B3876" s="1" t="str">
        <f>"Thames21 Ltd"</f>
        <v>Thames21 Ltd</v>
      </c>
      <c r="C3876" s="1" t="s">
        <v>15591</v>
      </c>
      <c r="F3876" s="1" t="s">
        <v>15592</v>
      </c>
      <c r="H3876" s="1" t="s">
        <v>15593</v>
      </c>
      <c r="I3876" s="1" t="s">
        <v>1872</v>
      </c>
      <c r="J3876" s="1" t="s">
        <v>67</v>
      </c>
      <c r="K3876" s="1" t="s">
        <v>14</v>
      </c>
      <c r="M3876" s="2">
        <v>42878</v>
      </c>
      <c r="N3876" s="1" t="s">
        <v>8</v>
      </c>
      <c r="O3876" s="1" t="s">
        <v>68</v>
      </c>
    </row>
    <row r="3877" spans="1:15" ht="28.8" x14ac:dyDescent="0.3">
      <c r="A3877" s="1" t="s">
        <v>26980</v>
      </c>
      <c r="B3877" s="1" t="str">
        <f>"Godfrey Thomas G Thomas"</f>
        <v>Godfrey Thomas G Thomas</v>
      </c>
      <c r="C3877" s="1" t="s">
        <v>26981</v>
      </c>
      <c r="F3877" s="1" t="s">
        <v>665</v>
      </c>
      <c r="H3877" s="1" t="s">
        <v>25507</v>
      </c>
      <c r="I3877" s="1" t="s">
        <v>5</v>
      </c>
      <c r="J3877" s="1" t="s">
        <v>6</v>
      </c>
      <c r="K3877" s="1" t="s">
        <v>24</v>
      </c>
      <c r="M3877" s="2">
        <v>42878</v>
      </c>
      <c r="N3877" s="1" t="s">
        <v>8</v>
      </c>
      <c r="O3877" s="2">
        <v>43974</v>
      </c>
    </row>
    <row r="3878" spans="1:15" ht="43.2" x14ac:dyDescent="0.3">
      <c r="A3878" s="1" t="s">
        <v>26982</v>
      </c>
      <c r="B3878" s="1" t="str">
        <f>"Daren Webber"</f>
        <v>Daren Webber</v>
      </c>
      <c r="C3878" s="1" t="s">
        <v>26983</v>
      </c>
      <c r="F3878" s="1" t="s">
        <v>26984</v>
      </c>
      <c r="H3878" s="1" t="s">
        <v>26985</v>
      </c>
      <c r="I3878" s="1" t="s">
        <v>5</v>
      </c>
      <c r="J3878" s="1" t="s">
        <v>67</v>
      </c>
      <c r="K3878" s="1" t="s">
        <v>14</v>
      </c>
      <c r="M3878" s="2">
        <v>42878</v>
      </c>
      <c r="N3878" s="1" t="s">
        <v>8</v>
      </c>
      <c r="O3878" s="1" t="s">
        <v>68</v>
      </c>
    </row>
    <row r="3879" spans="1:15" ht="43.2" x14ac:dyDescent="0.3">
      <c r="A3879" s="1" t="s">
        <v>26986</v>
      </c>
      <c r="B3879" s="1" t="str">
        <f>"Warren Russell"</f>
        <v>Warren Russell</v>
      </c>
      <c r="C3879" s="1" t="s">
        <v>26987</v>
      </c>
      <c r="F3879" s="1" t="s">
        <v>26988</v>
      </c>
      <c r="H3879" s="1" t="s">
        <v>26989</v>
      </c>
      <c r="I3879" s="1" t="s">
        <v>5</v>
      </c>
      <c r="J3879" s="1" t="s">
        <v>67</v>
      </c>
      <c r="K3879" s="1" t="s">
        <v>14</v>
      </c>
      <c r="M3879" s="2">
        <v>42878</v>
      </c>
      <c r="N3879" s="1" t="s">
        <v>8</v>
      </c>
      <c r="O3879" s="1" t="s">
        <v>68</v>
      </c>
    </row>
    <row r="3880" spans="1:15" ht="28.8" x14ac:dyDescent="0.3">
      <c r="A3880" s="1" t="s">
        <v>26990</v>
      </c>
      <c r="B3880" s="1" t="str">
        <f>"Edmund Evans E Evans Haulage"</f>
        <v>Edmund Evans E Evans Haulage</v>
      </c>
      <c r="C3880" s="1" t="s">
        <v>26991</v>
      </c>
      <c r="F3880" s="1" t="s">
        <v>370</v>
      </c>
      <c r="H3880" s="1" t="s">
        <v>21998</v>
      </c>
      <c r="I3880" s="1" t="s">
        <v>5</v>
      </c>
      <c r="J3880" s="1" t="s">
        <v>6</v>
      </c>
      <c r="K3880" s="1" t="s">
        <v>24</v>
      </c>
      <c r="M3880" s="2">
        <v>42878</v>
      </c>
      <c r="N3880" s="1" t="s">
        <v>8</v>
      </c>
      <c r="O3880" s="2">
        <v>43974</v>
      </c>
    </row>
    <row r="3881" spans="1:15" ht="28.8" x14ac:dyDescent="0.3">
      <c r="A3881" s="1" t="s">
        <v>13826</v>
      </c>
      <c r="B3881" s="1" t="str">
        <f>"HAWKESFORD CONSTRUCTION LTD"</f>
        <v>HAWKESFORD CONSTRUCTION LTD</v>
      </c>
      <c r="C3881" s="1" t="s">
        <v>13827</v>
      </c>
      <c r="F3881" s="1" t="s">
        <v>1341</v>
      </c>
      <c r="H3881" s="1" t="s">
        <v>13828</v>
      </c>
      <c r="I3881" s="1" t="s">
        <v>19</v>
      </c>
      <c r="J3881" s="1" t="s">
        <v>6</v>
      </c>
      <c r="K3881" s="1" t="s">
        <v>24</v>
      </c>
      <c r="L3881" s="1">
        <v>9673329</v>
      </c>
      <c r="M3881" s="2">
        <v>42877</v>
      </c>
      <c r="N3881" s="1" t="s">
        <v>8</v>
      </c>
      <c r="O3881" s="2">
        <v>43973</v>
      </c>
    </row>
    <row r="3882" spans="1:15" ht="28.8" x14ac:dyDescent="0.3">
      <c r="A3882" s="1" t="s">
        <v>13829</v>
      </c>
      <c r="B3882" s="1" t="str">
        <f>"Gower Plumbing and Gas"</f>
        <v>Gower Plumbing and Gas</v>
      </c>
      <c r="C3882" s="1" t="s">
        <v>13830</v>
      </c>
      <c r="F3882" s="1" t="s">
        <v>64</v>
      </c>
      <c r="H3882" s="1" t="s">
        <v>13831</v>
      </c>
      <c r="I3882" s="1" t="s">
        <v>19</v>
      </c>
      <c r="J3882" s="1" t="s">
        <v>6</v>
      </c>
      <c r="K3882" s="1" t="s">
        <v>24</v>
      </c>
      <c r="L3882" s="1">
        <v>10420954</v>
      </c>
      <c r="M3882" s="2">
        <v>42877</v>
      </c>
      <c r="N3882" s="1" t="s">
        <v>8</v>
      </c>
      <c r="O3882" s="2">
        <v>43973</v>
      </c>
    </row>
    <row r="3883" spans="1:15" ht="28.8" x14ac:dyDescent="0.3">
      <c r="A3883" s="1" t="s">
        <v>13832</v>
      </c>
      <c r="B3883" s="1" t="str">
        <f>"Dg joinery installations "</f>
        <v xml:space="preserve">Dg joinery installations </v>
      </c>
      <c r="C3883" s="1" t="s">
        <v>13833</v>
      </c>
      <c r="F3883" s="1" t="s">
        <v>64</v>
      </c>
      <c r="H3883" s="1" t="s">
        <v>13834</v>
      </c>
      <c r="I3883" s="1" t="s">
        <v>125</v>
      </c>
      <c r="J3883" s="1" t="s">
        <v>6</v>
      </c>
      <c r="K3883" s="1" t="s">
        <v>34</v>
      </c>
      <c r="M3883" s="2">
        <v>42877</v>
      </c>
      <c r="N3883" s="1" t="s">
        <v>8</v>
      </c>
      <c r="O3883" s="2">
        <v>43973</v>
      </c>
    </row>
    <row r="3884" spans="1:15" ht="28.8" x14ac:dyDescent="0.3">
      <c r="A3884" s="1" t="s">
        <v>13835</v>
      </c>
      <c r="B3884" s="1" t="str">
        <f>"Arfon Roberts"</f>
        <v>Arfon Roberts</v>
      </c>
      <c r="C3884" s="1" t="s">
        <v>13836</v>
      </c>
      <c r="F3884" s="1" t="s">
        <v>7543</v>
      </c>
      <c r="H3884" s="1" t="s">
        <v>13837</v>
      </c>
      <c r="I3884" s="1" t="s">
        <v>125</v>
      </c>
      <c r="J3884" s="1" t="s">
        <v>6</v>
      </c>
      <c r="K3884" s="1" t="s">
        <v>34</v>
      </c>
      <c r="M3884" s="2">
        <v>42877</v>
      </c>
      <c r="N3884" s="1" t="s">
        <v>8</v>
      </c>
      <c r="O3884" s="2">
        <v>44162</v>
      </c>
    </row>
    <row r="3885" spans="1:15" ht="28.8" x14ac:dyDescent="0.3">
      <c r="A3885" s="1" t="s">
        <v>13838</v>
      </c>
      <c r="B3885" s="1" t="str">
        <f>"Glascoed Timber"</f>
        <v>Glascoed Timber</v>
      </c>
      <c r="C3885" s="1" t="s">
        <v>13839</v>
      </c>
      <c r="F3885" s="1" t="s">
        <v>476</v>
      </c>
      <c r="H3885" s="1" t="s">
        <v>13840</v>
      </c>
      <c r="I3885" s="1" t="s">
        <v>125</v>
      </c>
      <c r="J3885" s="1" t="s">
        <v>6</v>
      </c>
      <c r="K3885" s="1" t="s">
        <v>24</v>
      </c>
      <c r="M3885" s="2">
        <v>42877</v>
      </c>
      <c r="N3885" s="1" t="s">
        <v>8</v>
      </c>
      <c r="O3885" s="2">
        <v>43973</v>
      </c>
    </row>
    <row r="3886" spans="1:15" ht="28.8" x14ac:dyDescent="0.3">
      <c r="A3886" s="1" t="s">
        <v>14665</v>
      </c>
      <c r="B3886" s="1" t="str">
        <f>"LINE MAINTENANCE CONTRACTING"</f>
        <v>LINE MAINTENANCE CONTRACTING</v>
      </c>
      <c r="C3886" s="1" t="s">
        <v>14666</v>
      </c>
      <c r="F3886" s="1" t="s">
        <v>358</v>
      </c>
      <c r="H3886" s="1" t="s">
        <v>14667</v>
      </c>
      <c r="I3886" s="1" t="s">
        <v>125</v>
      </c>
      <c r="J3886" s="1" t="s">
        <v>6</v>
      </c>
      <c r="K3886" s="1" t="s">
        <v>34</v>
      </c>
      <c r="M3886" s="2">
        <v>42877</v>
      </c>
      <c r="N3886" s="1" t="s">
        <v>8</v>
      </c>
      <c r="O3886" s="2">
        <v>43973</v>
      </c>
    </row>
    <row r="3887" spans="1:15" ht="43.2" x14ac:dyDescent="0.3">
      <c r="A3887" s="1" t="s">
        <v>14668</v>
      </c>
      <c r="B3887" s="1" t="str">
        <f>"Lincolnshire Hardwoods"</f>
        <v>Lincolnshire Hardwoods</v>
      </c>
      <c r="C3887" s="1" t="s">
        <v>14669</v>
      </c>
      <c r="D3887" s="1" t="s">
        <v>14670</v>
      </c>
      <c r="F3887" s="1" t="s">
        <v>14671</v>
      </c>
      <c r="H3887" s="1" t="s">
        <v>14672</v>
      </c>
      <c r="I3887" s="1" t="s">
        <v>125</v>
      </c>
      <c r="J3887" s="1" t="s">
        <v>67</v>
      </c>
      <c r="K3887" s="1" t="s">
        <v>14</v>
      </c>
      <c r="M3887" s="2">
        <v>42877</v>
      </c>
      <c r="N3887" s="1" t="s">
        <v>8</v>
      </c>
      <c r="O3887" s="1" t="s">
        <v>68</v>
      </c>
    </row>
    <row r="3888" spans="1:15" ht="28.8" x14ac:dyDescent="0.3">
      <c r="A3888" s="1" t="s">
        <v>26268</v>
      </c>
      <c r="B3888" s="1" t="str">
        <f>"IAN TAIT Ian Tait Plumbing &amp; Heating"</f>
        <v>IAN TAIT Ian Tait Plumbing &amp; Heating</v>
      </c>
      <c r="C3888" s="1" t="s">
        <v>26269</v>
      </c>
      <c r="F3888" s="1" t="s">
        <v>476</v>
      </c>
      <c r="H3888" s="1" t="s">
        <v>26270</v>
      </c>
      <c r="I3888" s="1" t="s">
        <v>5</v>
      </c>
      <c r="J3888" s="1" t="s">
        <v>6</v>
      </c>
      <c r="K3888" s="1" t="s">
        <v>24</v>
      </c>
      <c r="M3888" s="2">
        <v>42877</v>
      </c>
      <c r="N3888" s="1" t="s">
        <v>8</v>
      </c>
      <c r="O3888" s="2">
        <v>43973</v>
      </c>
    </row>
    <row r="3889" spans="1:15" ht="43.2" x14ac:dyDescent="0.3">
      <c r="A3889" s="1" t="s">
        <v>26271</v>
      </c>
      <c r="B3889" s="1" t="str">
        <f>"Richard Kirby Ark Fencing &amp; Garden Services"</f>
        <v>Richard Kirby Ark Fencing &amp; Garden Services</v>
      </c>
      <c r="C3889" s="1" t="s">
        <v>26272</v>
      </c>
      <c r="D3889" s="1" t="s">
        <v>3154</v>
      </c>
      <c r="F3889" s="1" t="s">
        <v>380</v>
      </c>
      <c r="H3889" s="1" t="s">
        <v>26273</v>
      </c>
      <c r="I3889" s="1" t="s">
        <v>5</v>
      </c>
      <c r="J3889" s="1" t="s">
        <v>6</v>
      </c>
      <c r="K3889" s="1" t="s">
        <v>24</v>
      </c>
      <c r="M3889" s="2">
        <v>42877</v>
      </c>
      <c r="N3889" s="1" t="s">
        <v>8</v>
      </c>
      <c r="O3889" s="2">
        <v>43982</v>
      </c>
    </row>
    <row r="3890" spans="1:15" ht="43.2" x14ac:dyDescent="0.3">
      <c r="A3890" s="1" t="s">
        <v>26274</v>
      </c>
      <c r="B3890" s="1" t="str">
        <f>"nathan catling rogerstone landscaping driveways"</f>
        <v>nathan catling rogerstone landscaping driveways</v>
      </c>
      <c r="C3890" s="1" t="s">
        <v>26275</v>
      </c>
      <c r="F3890" s="1" t="s">
        <v>156</v>
      </c>
      <c r="H3890" s="1" t="s">
        <v>2289</v>
      </c>
      <c r="I3890" s="1" t="s">
        <v>5</v>
      </c>
      <c r="J3890" s="1" t="s">
        <v>6</v>
      </c>
      <c r="K3890" s="1" t="s">
        <v>34</v>
      </c>
      <c r="M3890" s="2">
        <v>42877</v>
      </c>
      <c r="N3890" s="1" t="s">
        <v>8</v>
      </c>
      <c r="O3890" s="2">
        <v>43973</v>
      </c>
    </row>
    <row r="3891" spans="1:15" ht="28.8" x14ac:dyDescent="0.3">
      <c r="A3891" s="1" t="s">
        <v>26276</v>
      </c>
      <c r="B3891" s="1" t="str">
        <f>"GAIL HAMER CLAMPITTS"</f>
        <v>GAIL HAMER CLAMPITTS</v>
      </c>
      <c r="C3891" s="1" t="s">
        <v>26277</v>
      </c>
      <c r="D3891" s="1" t="s">
        <v>19808</v>
      </c>
      <c r="F3891" s="1" t="s">
        <v>4645</v>
      </c>
      <c r="H3891" s="1" t="s">
        <v>26278</v>
      </c>
      <c r="I3891" s="1" t="s">
        <v>5</v>
      </c>
      <c r="J3891" s="1" t="s">
        <v>6</v>
      </c>
      <c r="K3891" s="1" t="s">
        <v>24</v>
      </c>
      <c r="M3891" s="2">
        <v>42877</v>
      </c>
      <c r="N3891" s="1" t="s">
        <v>8</v>
      </c>
      <c r="O3891" s="2">
        <v>43973</v>
      </c>
    </row>
    <row r="3892" spans="1:15" ht="43.2" x14ac:dyDescent="0.3">
      <c r="A3892" s="1" t="s">
        <v>26968</v>
      </c>
      <c r="B3892" s="1" t="str">
        <f>"Edward Maurice Thomas"</f>
        <v>Edward Maurice Thomas</v>
      </c>
      <c r="C3892" s="1" t="s">
        <v>26969</v>
      </c>
      <c r="D3892" s="1" t="s">
        <v>26970</v>
      </c>
      <c r="F3892" s="1" t="s">
        <v>56</v>
      </c>
      <c r="H3892" s="1" t="s">
        <v>26971</v>
      </c>
      <c r="I3892" s="1" t="s">
        <v>5</v>
      </c>
      <c r="J3892" s="1" t="s">
        <v>67</v>
      </c>
      <c r="K3892" s="1" t="s">
        <v>14</v>
      </c>
      <c r="M3892" s="2">
        <v>42877</v>
      </c>
      <c r="N3892" s="1" t="s">
        <v>8</v>
      </c>
      <c r="O3892" s="1" t="s">
        <v>68</v>
      </c>
    </row>
    <row r="3893" spans="1:15" x14ac:dyDescent="0.3">
      <c r="A3893" s="1" t="s">
        <v>26972</v>
      </c>
      <c r="B3893" s="1" t="str">
        <f>"William Shepherd"</f>
        <v>William Shepherd</v>
      </c>
      <c r="C3893" s="1" t="s">
        <v>21725</v>
      </c>
      <c r="F3893" s="1" t="s">
        <v>1063</v>
      </c>
      <c r="H3893" s="1" t="s">
        <v>26973</v>
      </c>
      <c r="I3893" s="1" t="s">
        <v>5</v>
      </c>
      <c r="J3893" s="1" t="s">
        <v>6</v>
      </c>
      <c r="K3893" s="1" t="s">
        <v>24</v>
      </c>
      <c r="M3893" s="2">
        <v>42877</v>
      </c>
      <c r="N3893" s="1" t="s">
        <v>8</v>
      </c>
      <c r="O3893" s="2">
        <v>43973</v>
      </c>
    </row>
    <row r="3894" spans="1:15" ht="43.2" x14ac:dyDescent="0.3">
      <c r="A3894" s="1" t="s">
        <v>26974</v>
      </c>
      <c r="B3894" s="1" t="str">
        <f>"Jan Credland J T Credland Garden Services"</f>
        <v>Jan Credland J T Credland Garden Services</v>
      </c>
      <c r="C3894" s="1" t="s">
        <v>26975</v>
      </c>
      <c r="F3894" s="1" t="s">
        <v>1206</v>
      </c>
      <c r="H3894" s="1" t="s">
        <v>26976</v>
      </c>
      <c r="I3894" s="1" t="s">
        <v>5</v>
      </c>
      <c r="J3894" s="1" t="s">
        <v>6</v>
      </c>
      <c r="K3894" s="1" t="s">
        <v>24</v>
      </c>
      <c r="M3894" s="2">
        <v>42877</v>
      </c>
      <c r="N3894" s="1" t="s">
        <v>8</v>
      </c>
      <c r="O3894" s="2">
        <v>43973</v>
      </c>
    </row>
    <row r="3895" spans="1:15" ht="43.2" x14ac:dyDescent="0.3">
      <c r="A3895" s="1" t="s">
        <v>26977</v>
      </c>
      <c r="B3895" s="1" t="str">
        <f>"leon pleavin lcp chimney sweep"</f>
        <v>leon pleavin lcp chimney sweep</v>
      </c>
      <c r="C3895" s="1" t="s">
        <v>26978</v>
      </c>
      <c r="D3895" s="1" t="s">
        <v>5653</v>
      </c>
      <c r="F3895" s="1" t="s">
        <v>72</v>
      </c>
      <c r="H3895" s="1" t="s">
        <v>26979</v>
      </c>
      <c r="I3895" s="1" t="s">
        <v>5</v>
      </c>
      <c r="J3895" s="1" t="s">
        <v>67</v>
      </c>
      <c r="K3895" s="1" t="s">
        <v>24</v>
      </c>
      <c r="M3895" s="2">
        <v>42877</v>
      </c>
      <c r="N3895" s="1" t="s">
        <v>8</v>
      </c>
      <c r="O3895" s="1" t="s">
        <v>68</v>
      </c>
    </row>
    <row r="3896" spans="1:15" ht="28.8" x14ac:dyDescent="0.3">
      <c r="A3896" s="1" t="s">
        <v>13823</v>
      </c>
      <c r="B3896" s="1" t="str">
        <f>"Marshall Enterprises Swansea ltd"</f>
        <v>Marshall Enterprises Swansea ltd</v>
      </c>
      <c r="C3896" s="1" t="s">
        <v>13824</v>
      </c>
      <c r="F3896" s="1" t="s">
        <v>64</v>
      </c>
      <c r="H3896" s="1" t="s">
        <v>13825</v>
      </c>
      <c r="I3896" s="1" t="s">
        <v>19</v>
      </c>
      <c r="J3896" s="1" t="s">
        <v>6</v>
      </c>
      <c r="K3896" s="1" t="s">
        <v>34</v>
      </c>
      <c r="L3896" s="1">
        <v>4761606</v>
      </c>
      <c r="M3896" s="2">
        <v>42876</v>
      </c>
      <c r="N3896" s="1" t="s">
        <v>8</v>
      </c>
      <c r="O3896" s="2">
        <v>43972</v>
      </c>
    </row>
    <row r="3897" spans="1:15" ht="28.8" x14ac:dyDescent="0.3">
      <c r="A3897" s="1" t="s">
        <v>26265</v>
      </c>
      <c r="B3897" s="1" t="str">
        <f>"Grant Raymond G D R Builders Pencoed"</f>
        <v>Grant Raymond G D R Builders Pencoed</v>
      </c>
      <c r="C3897" s="1" t="s">
        <v>26266</v>
      </c>
      <c r="F3897" s="1" t="s">
        <v>179</v>
      </c>
      <c r="H3897" s="1" t="s">
        <v>26267</v>
      </c>
      <c r="I3897" s="1" t="s">
        <v>5</v>
      </c>
      <c r="J3897" s="1" t="s">
        <v>6</v>
      </c>
      <c r="K3897" s="1" t="s">
        <v>24</v>
      </c>
      <c r="M3897" s="2">
        <v>42876</v>
      </c>
      <c r="N3897" s="1" t="s">
        <v>8</v>
      </c>
      <c r="O3897" s="2">
        <v>43972</v>
      </c>
    </row>
    <row r="3898" spans="1:15" ht="43.2" x14ac:dyDescent="0.3">
      <c r="A3898" s="1" t="s">
        <v>12758</v>
      </c>
      <c r="B3898" s="1" t="str">
        <f>"Llandrindod Wells Men's Shed "</f>
        <v xml:space="preserve">Llandrindod Wells Men's Shed </v>
      </c>
      <c r="C3898" s="1" t="s">
        <v>12759</v>
      </c>
      <c r="F3898" s="1" t="s">
        <v>798</v>
      </c>
      <c r="H3898" s="1" t="s">
        <v>10217</v>
      </c>
      <c r="I3898" s="1" t="s">
        <v>1872</v>
      </c>
      <c r="J3898" s="1" t="s">
        <v>67</v>
      </c>
      <c r="K3898" s="1" t="s">
        <v>14</v>
      </c>
      <c r="M3898" s="2">
        <v>42874</v>
      </c>
      <c r="N3898" s="1" t="s">
        <v>8</v>
      </c>
      <c r="O3898" s="1" t="s">
        <v>68</v>
      </c>
    </row>
    <row r="3899" spans="1:15" ht="28.8" x14ac:dyDescent="0.3">
      <c r="A3899" s="1" t="s">
        <v>12760</v>
      </c>
      <c r="B3899" s="1" t="str">
        <f>"Budget Forktrucks Ltd "</f>
        <v xml:space="preserve">Budget Forktrucks Ltd </v>
      </c>
      <c r="C3899" s="1" t="s">
        <v>12761</v>
      </c>
      <c r="F3899" s="1" t="s">
        <v>4831</v>
      </c>
      <c r="H3899" s="1" t="s">
        <v>12762</v>
      </c>
      <c r="I3899" s="1" t="s">
        <v>19</v>
      </c>
      <c r="J3899" s="1" t="s">
        <v>6</v>
      </c>
      <c r="K3899" s="1" t="s">
        <v>34</v>
      </c>
      <c r="L3899" s="1">
        <v>1652370</v>
      </c>
      <c r="M3899" s="2">
        <v>42874</v>
      </c>
      <c r="N3899" s="1" t="s">
        <v>8</v>
      </c>
      <c r="O3899" s="2">
        <v>43970</v>
      </c>
    </row>
    <row r="3900" spans="1:15" ht="28.8" x14ac:dyDescent="0.3">
      <c r="A3900" s="1" t="s">
        <v>12763</v>
      </c>
      <c r="B3900" s="1" t="str">
        <f>"Glamorgan Flat Roofing Ltd."</f>
        <v>Glamorgan Flat Roofing Ltd.</v>
      </c>
      <c r="C3900" s="1" t="s">
        <v>12764</v>
      </c>
      <c r="F3900" s="1" t="s">
        <v>179</v>
      </c>
      <c r="H3900" s="1" t="s">
        <v>12765</v>
      </c>
      <c r="I3900" s="1" t="s">
        <v>19</v>
      </c>
      <c r="J3900" s="1" t="s">
        <v>6</v>
      </c>
      <c r="K3900" s="1" t="s">
        <v>24</v>
      </c>
      <c r="L3900" s="1">
        <v>1424627</v>
      </c>
      <c r="M3900" s="2">
        <v>42874</v>
      </c>
      <c r="N3900" s="1" t="s">
        <v>8</v>
      </c>
      <c r="O3900" s="2">
        <v>43970</v>
      </c>
    </row>
    <row r="3901" spans="1:15" ht="28.8" x14ac:dyDescent="0.3">
      <c r="A3901" s="1" t="s">
        <v>12766</v>
      </c>
      <c r="B3901" s="1" t="str">
        <f>"T G Howell &amp; Sons Ltd"</f>
        <v>T G Howell &amp; Sons Ltd</v>
      </c>
      <c r="C3901" s="1" t="s">
        <v>2659</v>
      </c>
      <c r="F3901" s="1" t="s">
        <v>156</v>
      </c>
      <c r="H3901" s="1" t="s">
        <v>2660</v>
      </c>
      <c r="I3901" s="1" t="s">
        <v>19</v>
      </c>
      <c r="J3901" s="1" t="s">
        <v>6</v>
      </c>
      <c r="K3901" s="1" t="s">
        <v>24</v>
      </c>
      <c r="L3901" s="1">
        <v>1762349</v>
      </c>
      <c r="M3901" s="2">
        <v>42874</v>
      </c>
      <c r="N3901" s="1" t="s">
        <v>8</v>
      </c>
      <c r="O3901" s="2">
        <v>43970</v>
      </c>
    </row>
    <row r="3902" spans="1:15" ht="28.8" x14ac:dyDescent="0.3">
      <c r="A3902" s="1" t="s">
        <v>12767</v>
      </c>
      <c r="B3902" s="1" t="str">
        <f>"White Rock Property Care Limited"</f>
        <v>White Rock Property Care Limited</v>
      </c>
      <c r="C3902" s="1" t="s">
        <v>12768</v>
      </c>
      <c r="D3902" s="1" t="s">
        <v>12769</v>
      </c>
      <c r="E3902" s="1" t="s">
        <v>11020</v>
      </c>
      <c r="F3902" s="1" t="s">
        <v>64</v>
      </c>
      <c r="H3902" s="1" t="s">
        <v>11021</v>
      </c>
      <c r="I3902" s="1" t="s">
        <v>19</v>
      </c>
      <c r="J3902" s="1" t="s">
        <v>6</v>
      </c>
      <c r="K3902" s="1" t="s">
        <v>24</v>
      </c>
      <c r="L3902" s="1">
        <v>7131169</v>
      </c>
      <c r="M3902" s="2">
        <v>42874</v>
      </c>
      <c r="N3902" s="1" t="s">
        <v>8</v>
      </c>
      <c r="O3902" s="2">
        <v>43970</v>
      </c>
    </row>
    <row r="3903" spans="1:15" ht="43.2" x14ac:dyDescent="0.3">
      <c r="A3903" s="1" t="s">
        <v>12770</v>
      </c>
      <c r="B3903" s="1" t="str">
        <f>"NEAL JAMES PLUMBING &amp; HEATING LTD"</f>
        <v>NEAL JAMES PLUMBING &amp; HEATING LTD</v>
      </c>
      <c r="C3903" s="1" t="s">
        <v>12771</v>
      </c>
      <c r="D3903" s="1" t="s">
        <v>12772</v>
      </c>
      <c r="F3903" s="1" t="s">
        <v>5943</v>
      </c>
      <c r="H3903" s="1" t="s">
        <v>12773</v>
      </c>
      <c r="I3903" s="1" t="s">
        <v>19</v>
      </c>
      <c r="J3903" s="1" t="s">
        <v>6</v>
      </c>
      <c r="K3903" s="1" t="s">
        <v>24</v>
      </c>
      <c r="L3903" s="1">
        <v>8463037</v>
      </c>
      <c r="M3903" s="2">
        <v>42874</v>
      </c>
      <c r="N3903" s="1" t="s">
        <v>8</v>
      </c>
      <c r="O3903" s="2">
        <v>43970</v>
      </c>
    </row>
    <row r="3904" spans="1:15" ht="43.2" x14ac:dyDescent="0.3">
      <c r="A3904" s="1" t="s">
        <v>25499</v>
      </c>
      <c r="B3904" s="1" t="str">
        <f>"David nigel richards Nigel Richards garden services"</f>
        <v>David nigel richards Nigel Richards garden services</v>
      </c>
      <c r="C3904" s="1" t="s">
        <v>25500</v>
      </c>
      <c r="D3904" s="1" t="s">
        <v>95</v>
      </c>
      <c r="F3904" s="1" t="s">
        <v>56</v>
      </c>
      <c r="H3904" s="1" t="s">
        <v>25501</v>
      </c>
      <c r="I3904" s="1" t="s">
        <v>5</v>
      </c>
      <c r="J3904" s="1" t="s">
        <v>6</v>
      </c>
      <c r="K3904" s="1" t="s">
        <v>34</v>
      </c>
      <c r="M3904" s="2">
        <v>42874</v>
      </c>
      <c r="N3904" s="1" t="s">
        <v>8</v>
      </c>
      <c r="O3904" s="2">
        <v>43970</v>
      </c>
    </row>
    <row r="3905" spans="1:15" ht="43.2" x14ac:dyDescent="0.3">
      <c r="A3905" s="1" t="s">
        <v>25502</v>
      </c>
      <c r="B3905" s="1" t="str">
        <f>"RICHARD PHILIP WILSON"</f>
        <v>RICHARD PHILIP WILSON</v>
      </c>
      <c r="C3905" s="1" t="s">
        <v>25503</v>
      </c>
      <c r="F3905" s="1" t="s">
        <v>5301</v>
      </c>
      <c r="H3905" s="1" t="s">
        <v>25504</v>
      </c>
      <c r="I3905" s="1" t="s">
        <v>5</v>
      </c>
      <c r="J3905" s="1" t="s">
        <v>67</v>
      </c>
      <c r="K3905" s="1" t="s">
        <v>14</v>
      </c>
      <c r="M3905" s="2">
        <v>42874</v>
      </c>
      <c r="N3905" s="1" t="s">
        <v>8</v>
      </c>
      <c r="O3905" s="1" t="s">
        <v>68</v>
      </c>
    </row>
    <row r="3906" spans="1:15" ht="28.8" x14ac:dyDescent="0.3">
      <c r="A3906" s="1" t="s">
        <v>25505</v>
      </c>
      <c r="B3906" s="1" t="str">
        <f>"Allan Parker Allan Parker"</f>
        <v>Allan Parker Allan Parker</v>
      </c>
      <c r="C3906" s="1" t="s">
        <v>25506</v>
      </c>
      <c r="F3906" s="1" t="s">
        <v>665</v>
      </c>
      <c r="H3906" s="1" t="s">
        <v>25507</v>
      </c>
      <c r="I3906" s="1" t="s">
        <v>5</v>
      </c>
      <c r="J3906" s="1" t="s">
        <v>6</v>
      </c>
      <c r="K3906" s="1" t="s">
        <v>24</v>
      </c>
      <c r="M3906" s="2">
        <v>42874</v>
      </c>
      <c r="N3906" s="1" t="s">
        <v>8</v>
      </c>
      <c r="O3906" s="2">
        <v>43970</v>
      </c>
    </row>
    <row r="3907" spans="1:15" ht="28.8" x14ac:dyDescent="0.3">
      <c r="A3907" s="1" t="s">
        <v>25508</v>
      </c>
      <c r="B3907" s="1" t="str">
        <f>"Henry Roger Humphreys"</f>
        <v>Henry Roger Humphreys</v>
      </c>
      <c r="C3907" s="1" t="s">
        <v>25509</v>
      </c>
      <c r="D3907" s="1" t="s">
        <v>1358</v>
      </c>
      <c r="F3907" s="1" t="s">
        <v>532</v>
      </c>
      <c r="H3907" s="1" t="s">
        <v>25510</v>
      </c>
      <c r="I3907" s="1" t="s">
        <v>5</v>
      </c>
      <c r="J3907" s="1" t="s">
        <v>6</v>
      </c>
      <c r="K3907" s="1" t="s">
        <v>24</v>
      </c>
      <c r="M3907" s="2">
        <v>42874</v>
      </c>
      <c r="N3907" s="1" t="s">
        <v>8</v>
      </c>
      <c r="O3907" s="2">
        <v>43970</v>
      </c>
    </row>
    <row r="3908" spans="1:15" ht="28.8" x14ac:dyDescent="0.3">
      <c r="A3908" s="1" t="s">
        <v>25511</v>
      </c>
      <c r="B3908" s="1" t="str">
        <f>"wynn richards wynn richards"</f>
        <v>wynn richards wynn richards</v>
      </c>
      <c r="C3908" s="1" t="s">
        <v>25512</v>
      </c>
      <c r="F3908" s="1" t="s">
        <v>56</v>
      </c>
      <c r="H3908" s="1" t="s">
        <v>25513</v>
      </c>
      <c r="I3908" s="1" t="s">
        <v>5</v>
      </c>
      <c r="J3908" s="1" t="s">
        <v>6</v>
      </c>
      <c r="K3908" s="1" t="s">
        <v>24</v>
      </c>
      <c r="M3908" s="2">
        <v>42874</v>
      </c>
      <c r="N3908" s="1" t="s">
        <v>8</v>
      </c>
      <c r="O3908" s="2">
        <v>43970</v>
      </c>
    </row>
    <row r="3909" spans="1:15" ht="43.2" x14ac:dyDescent="0.3">
      <c r="A3909" s="1" t="s">
        <v>11757</v>
      </c>
      <c r="B3909" s="1" t="str">
        <f>"Multi trade "</f>
        <v xml:space="preserve">Multi trade </v>
      </c>
      <c r="C3909" s="1" t="s">
        <v>11758</v>
      </c>
      <c r="F3909" s="1" t="s">
        <v>170</v>
      </c>
      <c r="H3909" s="1" t="s">
        <v>11759</v>
      </c>
      <c r="I3909" s="1" t="s">
        <v>19</v>
      </c>
      <c r="J3909" s="1" t="s">
        <v>67</v>
      </c>
      <c r="K3909" s="1" t="s">
        <v>24</v>
      </c>
      <c r="M3909" s="2">
        <v>42873</v>
      </c>
      <c r="N3909" s="1" t="s">
        <v>8</v>
      </c>
      <c r="O3909" s="1" t="s">
        <v>68</v>
      </c>
    </row>
    <row r="3910" spans="1:15" ht="43.2" x14ac:dyDescent="0.3">
      <c r="A3910" s="1" t="s">
        <v>11760</v>
      </c>
      <c r="B3910" s="1" t="str">
        <f>"Universal Fire Protection Ltd"</f>
        <v>Universal Fire Protection Ltd</v>
      </c>
      <c r="C3910" s="1" t="s">
        <v>11761</v>
      </c>
      <c r="F3910" s="1" t="s">
        <v>3655</v>
      </c>
      <c r="H3910" s="1" t="s">
        <v>11762</v>
      </c>
      <c r="I3910" s="1" t="s">
        <v>19</v>
      </c>
      <c r="J3910" s="1" t="s">
        <v>67</v>
      </c>
      <c r="K3910" s="1" t="s">
        <v>14</v>
      </c>
      <c r="M3910" s="2">
        <v>42873</v>
      </c>
      <c r="N3910" s="1" t="s">
        <v>8</v>
      </c>
      <c r="O3910" s="1" t="s">
        <v>68</v>
      </c>
    </row>
    <row r="3911" spans="1:15" ht="28.8" x14ac:dyDescent="0.3">
      <c r="A3911" s="1" t="s">
        <v>11763</v>
      </c>
      <c r="B3911" s="1" t="str">
        <f>"BENJI &amp; CO. LTD"</f>
        <v>BENJI &amp; CO. LTD</v>
      </c>
      <c r="C3911" s="1" t="s">
        <v>11764</v>
      </c>
      <c r="F3911" s="1" t="s">
        <v>7844</v>
      </c>
      <c r="H3911" s="1" t="s">
        <v>11765</v>
      </c>
      <c r="I3911" s="1" t="s">
        <v>19</v>
      </c>
      <c r="J3911" s="1" t="s">
        <v>6</v>
      </c>
      <c r="K3911" s="1" t="s">
        <v>34</v>
      </c>
      <c r="L3911" s="1">
        <v>4216112</v>
      </c>
      <c r="M3911" s="2">
        <v>42873</v>
      </c>
      <c r="N3911" s="1" t="s">
        <v>8</v>
      </c>
      <c r="O3911" s="2">
        <v>43969</v>
      </c>
    </row>
    <row r="3912" spans="1:15" x14ac:dyDescent="0.3">
      <c r="A3912" s="1" t="s">
        <v>11766</v>
      </c>
      <c r="B3912" s="1" t="str">
        <f>"Preswylfa LTD"</f>
        <v>Preswylfa LTD</v>
      </c>
      <c r="C3912" s="1" t="s">
        <v>11767</v>
      </c>
      <c r="F3912" s="1" t="s">
        <v>1108</v>
      </c>
      <c r="H3912" s="1" t="s">
        <v>11768</v>
      </c>
      <c r="I3912" s="1" t="s">
        <v>19</v>
      </c>
      <c r="J3912" s="1" t="s">
        <v>6</v>
      </c>
      <c r="K3912" s="1" t="s">
        <v>24</v>
      </c>
      <c r="L3912" s="1">
        <v>7217206</v>
      </c>
      <c r="M3912" s="2">
        <v>42873</v>
      </c>
      <c r="N3912" s="1" t="s">
        <v>8</v>
      </c>
      <c r="O3912" s="2">
        <v>43969</v>
      </c>
    </row>
    <row r="3913" spans="1:15" x14ac:dyDescent="0.3">
      <c r="A3913" s="1" t="s">
        <v>11769</v>
      </c>
      <c r="B3913" s="1" t="str">
        <f>"Thomas Glass Ltd"</f>
        <v>Thomas Glass Ltd</v>
      </c>
      <c r="C3913" s="1" t="s">
        <v>11770</v>
      </c>
      <c r="F3913" s="1" t="s">
        <v>42</v>
      </c>
      <c r="H3913" s="1" t="s">
        <v>857</v>
      </c>
      <c r="I3913" s="1" t="s">
        <v>19</v>
      </c>
      <c r="J3913" s="1" t="s">
        <v>6</v>
      </c>
      <c r="K3913" s="1" t="s">
        <v>24</v>
      </c>
      <c r="L3913" s="1">
        <v>7647375</v>
      </c>
      <c r="M3913" s="2">
        <v>42873</v>
      </c>
      <c r="N3913" s="1" t="s">
        <v>8</v>
      </c>
      <c r="O3913" s="2">
        <v>43969</v>
      </c>
    </row>
    <row r="3914" spans="1:15" ht="28.8" x14ac:dyDescent="0.3">
      <c r="A3914" s="1" t="s">
        <v>11771</v>
      </c>
      <c r="B3914" s="1" t="str">
        <f>"Geoff Dennett Distribution Ltd."</f>
        <v>Geoff Dennett Distribution Ltd.</v>
      </c>
      <c r="C3914" s="1" t="s">
        <v>11772</v>
      </c>
      <c r="F3914" s="1" t="s">
        <v>1137</v>
      </c>
      <c r="H3914" s="1" t="s">
        <v>11773</v>
      </c>
      <c r="I3914" s="1" t="s">
        <v>19</v>
      </c>
      <c r="J3914" s="1" t="s">
        <v>6</v>
      </c>
      <c r="K3914" s="1" t="s">
        <v>34</v>
      </c>
      <c r="L3914" s="1">
        <v>2782116</v>
      </c>
      <c r="M3914" s="2">
        <v>42873</v>
      </c>
      <c r="N3914" s="1" t="s">
        <v>8</v>
      </c>
      <c r="O3914" s="2">
        <v>43969</v>
      </c>
    </row>
    <row r="3915" spans="1:15" ht="28.8" x14ac:dyDescent="0.3">
      <c r="A3915" s="1" t="s">
        <v>11774</v>
      </c>
      <c r="B3915" s="1" t="str">
        <f>"OCON MARINE  OIL AND GAS LTD"</f>
        <v>OCON MARINE  OIL AND GAS LTD</v>
      </c>
      <c r="C3915" s="1" t="s">
        <v>11775</v>
      </c>
      <c r="F3915" s="1" t="s">
        <v>513</v>
      </c>
      <c r="H3915" s="1" t="s">
        <v>11776</v>
      </c>
      <c r="I3915" s="1" t="s">
        <v>19</v>
      </c>
      <c r="J3915" s="1" t="s">
        <v>6</v>
      </c>
      <c r="K3915" s="1" t="s">
        <v>34</v>
      </c>
      <c r="L3915" s="1">
        <v>8732912</v>
      </c>
      <c r="M3915" s="2">
        <v>42873</v>
      </c>
      <c r="N3915" s="1" t="s">
        <v>8</v>
      </c>
      <c r="O3915" s="2">
        <v>43969</v>
      </c>
    </row>
    <row r="3916" spans="1:15" ht="43.2" x14ac:dyDescent="0.3">
      <c r="A3916" s="1" t="s">
        <v>12752</v>
      </c>
      <c r="B3916" s="1" t="str">
        <f>"Knighton and District Community Cen"</f>
        <v>Knighton and District Community Cen</v>
      </c>
      <c r="C3916" s="1" t="s">
        <v>12753</v>
      </c>
      <c r="F3916" s="1" t="s">
        <v>1986</v>
      </c>
      <c r="H3916" s="1" t="s">
        <v>12754</v>
      </c>
      <c r="I3916" s="1" t="s">
        <v>1872</v>
      </c>
      <c r="J3916" s="1" t="s">
        <v>67</v>
      </c>
      <c r="K3916" s="1" t="s">
        <v>14</v>
      </c>
      <c r="M3916" s="2">
        <v>42873</v>
      </c>
      <c r="N3916" s="1" t="s">
        <v>8</v>
      </c>
      <c r="O3916" s="1" t="s">
        <v>68</v>
      </c>
    </row>
    <row r="3917" spans="1:15" ht="43.2" x14ac:dyDescent="0.3">
      <c r="A3917" s="1" t="s">
        <v>12755</v>
      </c>
      <c r="B3917" s="1" t="str">
        <f>"LFF Glamal Ltd"</f>
        <v>LFF Glamal Ltd</v>
      </c>
      <c r="C3917" s="1" t="s">
        <v>12756</v>
      </c>
      <c r="D3917" s="1" t="s">
        <v>12757</v>
      </c>
      <c r="E3917" s="1" t="s">
        <v>5091</v>
      </c>
      <c r="F3917" s="1" t="s">
        <v>1093</v>
      </c>
      <c r="H3917" s="1" t="s">
        <v>5092</v>
      </c>
      <c r="I3917" s="1" t="s">
        <v>19</v>
      </c>
      <c r="J3917" s="1" t="s">
        <v>67</v>
      </c>
      <c r="K3917" s="1" t="s">
        <v>14</v>
      </c>
      <c r="M3917" s="2">
        <v>42873</v>
      </c>
      <c r="N3917" s="1" t="s">
        <v>8</v>
      </c>
      <c r="O3917" s="1" t="s">
        <v>68</v>
      </c>
    </row>
    <row r="3918" spans="1:15" ht="43.2" x14ac:dyDescent="0.3">
      <c r="A3918" s="1" t="s">
        <v>24724</v>
      </c>
      <c r="B3918" s="1" t="str">
        <f>"MALCOLM  KELLY M KELLY PLUMBING &amp; BUILDING CONT"</f>
        <v>MALCOLM  KELLY M KELLY PLUMBING &amp; BUILDING CONT</v>
      </c>
      <c r="C3918" s="1" t="s">
        <v>24725</v>
      </c>
      <c r="F3918" s="1" t="s">
        <v>354</v>
      </c>
      <c r="H3918" s="1" t="s">
        <v>24726</v>
      </c>
      <c r="I3918" s="1" t="s">
        <v>5</v>
      </c>
      <c r="J3918" s="1" t="s">
        <v>6</v>
      </c>
      <c r="K3918" s="1" t="s">
        <v>34</v>
      </c>
      <c r="M3918" s="2">
        <v>42873</v>
      </c>
      <c r="N3918" s="1" t="s">
        <v>8</v>
      </c>
      <c r="O3918" s="2">
        <v>43969</v>
      </c>
    </row>
    <row r="3919" spans="1:15" ht="28.8" x14ac:dyDescent="0.3">
      <c r="A3919" s="1" t="s">
        <v>24727</v>
      </c>
      <c r="B3919" s="1" t="str">
        <f>"GLYN PHILLIPS MR GLYN PHILLIPS"</f>
        <v>GLYN PHILLIPS MR GLYN PHILLIPS</v>
      </c>
      <c r="C3919" s="1" t="s">
        <v>24728</v>
      </c>
      <c r="F3919" s="1" t="s">
        <v>1385</v>
      </c>
      <c r="H3919" s="1" t="s">
        <v>24729</v>
      </c>
      <c r="I3919" s="1" t="s">
        <v>5</v>
      </c>
      <c r="J3919" s="1" t="s">
        <v>6</v>
      </c>
      <c r="K3919" s="1" t="s">
        <v>34</v>
      </c>
      <c r="M3919" s="2">
        <v>42873</v>
      </c>
      <c r="N3919" s="1" t="s">
        <v>8</v>
      </c>
      <c r="O3919" s="2">
        <v>43969</v>
      </c>
    </row>
    <row r="3920" spans="1:15" ht="28.8" x14ac:dyDescent="0.3">
      <c r="A3920" s="1" t="s">
        <v>9701</v>
      </c>
      <c r="B3920" s="1" t="str">
        <f>"Personal Washroom Services Ltd."</f>
        <v>Personal Washroom Services Ltd.</v>
      </c>
      <c r="C3920" s="1" t="s">
        <v>9702</v>
      </c>
      <c r="F3920" s="1" t="s">
        <v>4867</v>
      </c>
      <c r="H3920" s="1" t="s">
        <v>9703</v>
      </c>
      <c r="I3920" s="1" t="s">
        <v>19</v>
      </c>
      <c r="J3920" s="1" t="s">
        <v>6</v>
      </c>
      <c r="K3920" s="1" t="s">
        <v>24</v>
      </c>
      <c r="L3920" s="1">
        <v>6766415</v>
      </c>
      <c r="M3920" s="2">
        <v>42872</v>
      </c>
      <c r="N3920" s="1" t="s">
        <v>8</v>
      </c>
      <c r="O3920" s="2">
        <v>43968</v>
      </c>
    </row>
    <row r="3921" spans="1:15" ht="28.8" x14ac:dyDescent="0.3">
      <c r="A3921" s="1" t="s">
        <v>9704</v>
      </c>
      <c r="B3921" s="1" t="str">
        <f>"SV Owen and Son LTD"</f>
        <v>SV Owen and Son LTD</v>
      </c>
      <c r="C3921" s="1" t="s">
        <v>9705</v>
      </c>
      <c r="D3921" s="1" t="s">
        <v>1108</v>
      </c>
      <c r="F3921" s="1" t="s">
        <v>6084</v>
      </c>
      <c r="H3921" s="1" t="s">
        <v>4618</v>
      </c>
      <c r="I3921" s="1" t="s">
        <v>19</v>
      </c>
      <c r="J3921" s="1" t="s">
        <v>6</v>
      </c>
      <c r="K3921" s="1" t="s">
        <v>24</v>
      </c>
      <c r="L3921" s="1">
        <v>2210003</v>
      </c>
      <c r="M3921" s="2">
        <v>42872</v>
      </c>
      <c r="N3921" s="1" t="s">
        <v>8</v>
      </c>
      <c r="O3921" s="2">
        <v>43968</v>
      </c>
    </row>
    <row r="3922" spans="1:15" ht="28.8" x14ac:dyDescent="0.3">
      <c r="A3922" s="1" t="s">
        <v>9706</v>
      </c>
      <c r="B3922" s="1" t="str">
        <f>"Phoenix Aircon Ltd."</f>
        <v>Phoenix Aircon Ltd.</v>
      </c>
      <c r="C3922" s="1" t="s">
        <v>9707</v>
      </c>
      <c r="F3922" s="1" t="s">
        <v>1058</v>
      </c>
      <c r="H3922" s="1" t="s">
        <v>9708</v>
      </c>
      <c r="I3922" s="1" t="s">
        <v>19</v>
      </c>
      <c r="J3922" s="1" t="s">
        <v>6</v>
      </c>
      <c r="K3922" s="1" t="s">
        <v>24</v>
      </c>
      <c r="L3922" s="1">
        <v>2332807</v>
      </c>
      <c r="M3922" s="2">
        <v>42872</v>
      </c>
      <c r="N3922" s="1" t="s">
        <v>8</v>
      </c>
      <c r="O3922" s="2">
        <v>43968</v>
      </c>
    </row>
    <row r="3923" spans="1:15" ht="28.8" x14ac:dyDescent="0.3">
      <c r="A3923" s="1" t="s">
        <v>10748</v>
      </c>
      <c r="B3923" s="1" t="str">
        <f>"NEWCONN CONTRACT SERVICES LTD"</f>
        <v>NEWCONN CONTRACT SERVICES LTD</v>
      </c>
      <c r="C3923" s="1" t="s">
        <v>10749</v>
      </c>
      <c r="F3923" s="1" t="s">
        <v>380</v>
      </c>
      <c r="H3923" s="1" t="s">
        <v>2465</v>
      </c>
      <c r="I3923" s="1" t="s">
        <v>19</v>
      </c>
      <c r="J3923" s="1" t="s">
        <v>6</v>
      </c>
      <c r="K3923" s="1" t="s">
        <v>34</v>
      </c>
      <c r="L3923" s="1">
        <v>5116961</v>
      </c>
      <c r="M3923" s="2">
        <v>42872</v>
      </c>
      <c r="N3923" s="1" t="s">
        <v>8</v>
      </c>
      <c r="O3923" s="2">
        <v>43968</v>
      </c>
    </row>
    <row r="3924" spans="1:15" ht="28.8" x14ac:dyDescent="0.3">
      <c r="A3924" s="1" t="s">
        <v>10750</v>
      </c>
      <c r="B3924" s="1" t="str">
        <f>"Steddy Ltd."</f>
        <v>Steddy Ltd.</v>
      </c>
      <c r="C3924" s="1" t="s">
        <v>10751</v>
      </c>
      <c r="F3924" s="1" t="s">
        <v>179</v>
      </c>
      <c r="H3924" s="1" t="s">
        <v>10752</v>
      </c>
      <c r="I3924" s="1" t="s">
        <v>19</v>
      </c>
      <c r="J3924" s="1" t="s">
        <v>6</v>
      </c>
      <c r="K3924" s="1" t="s">
        <v>34</v>
      </c>
      <c r="L3924" s="1">
        <v>5014849</v>
      </c>
      <c r="M3924" s="2">
        <v>42872</v>
      </c>
      <c r="N3924" s="1" t="s">
        <v>8</v>
      </c>
      <c r="O3924" s="2">
        <v>43968</v>
      </c>
    </row>
    <row r="3925" spans="1:15" ht="28.8" x14ac:dyDescent="0.3">
      <c r="A3925" s="1" t="s">
        <v>10753</v>
      </c>
      <c r="B3925" s="1" t="str">
        <f>"Natural gas installations "</f>
        <v xml:space="preserve">Natural gas installations </v>
      </c>
      <c r="C3925" s="1" t="s">
        <v>10754</v>
      </c>
      <c r="F3925" s="1" t="s">
        <v>64</v>
      </c>
      <c r="H3925" s="1" t="s">
        <v>10755</v>
      </c>
      <c r="I3925" s="1" t="s">
        <v>125</v>
      </c>
      <c r="J3925" s="1" t="s">
        <v>6</v>
      </c>
      <c r="K3925" s="1" t="s">
        <v>24</v>
      </c>
      <c r="M3925" s="2">
        <v>42872</v>
      </c>
      <c r="N3925" s="1" t="s">
        <v>8</v>
      </c>
      <c r="O3925" s="2">
        <v>43968</v>
      </c>
    </row>
    <row r="3926" spans="1:15" ht="28.8" x14ac:dyDescent="0.3">
      <c r="A3926" s="1" t="s">
        <v>10756</v>
      </c>
      <c r="B3926" s="1" t="str">
        <f>"Dunn Landscapes Limited"</f>
        <v>Dunn Landscapes Limited</v>
      </c>
      <c r="C3926" s="1" t="s">
        <v>10757</v>
      </c>
      <c r="F3926" s="1" t="s">
        <v>64</v>
      </c>
      <c r="H3926" s="1" t="s">
        <v>10758</v>
      </c>
      <c r="I3926" s="1" t="s">
        <v>19</v>
      </c>
      <c r="J3926" s="1" t="s">
        <v>6</v>
      </c>
      <c r="K3926" s="1" t="s">
        <v>34</v>
      </c>
      <c r="L3926" s="1">
        <v>4641351</v>
      </c>
      <c r="M3926" s="2">
        <v>42872</v>
      </c>
      <c r="N3926" s="1" t="s">
        <v>8</v>
      </c>
      <c r="O3926" s="2">
        <v>43968</v>
      </c>
    </row>
    <row r="3927" spans="1:15" ht="28.8" x14ac:dyDescent="0.3">
      <c r="A3927" s="1" t="s">
        <v>10759</v>
      </c>
      <c r="B3927" s="1" t="str">
        <f>"DAVEY CONTRACTORS LTD"</f>
        <v>DAVEY CONTRACTORS LTD</v>
      </c>
      <c r="C3927" s="1" t="s">
        <v>10760</v>
      </c>
      <c r="F3927" s="1" t="s">
        <v>7494</v>
      </c>
      <c r="H3927" s="1" t="s">
        <v>7019</v>
      </c>
      <c r="I3927" s="1" t="s">
        <v>19</v>
      </c>
      <c r="J3927" s="1" t="s">
        <v>6</v>
      </c>
      <c r="K3927" s="1" t="s">
        <v>24</v>
      </c>
      <c r="L3927" s="1">
        <v>8915088</v>
      </c>
      <c r="M3927" s="2">
        <v>42872</v>
      </c>
      <c r="N3927" s="1" t="s">
        <v>8</v>
      </c>
      <c r="O3927" s="2">
        <v>43968</v>
      </c>
    </row>
    <row r="3928" spans="1:15" ht="28.8" x14ac:dyDescent="0.3">
      <c r="A3928" s="1" t="s">
        <v>10761</v>
      </c>
      <c r="B3928" s="1" t="str">
        <f>"MOORLAND ENVIRONMENTAL LTD"</f>
        <v>MOORLAND ENVIRONMENTAL LTD</v>
      </c>
      <c r="C3928" s="1" t="s">
        <v>10762</v>
      </c>
      <c r="F3928" s="1" t="s">
        <v>123</v>
      </c>
      <c r="H3928" s="1" t="s">
        <v>7587</v>
      </c>
      <c r="I3928" s="1" t="s">
        <v>19</v>
      </c>
      <c r="J3928" s="1" t="s">
        <v>6</v>
      </c>
      <c r="K3928" s="1" t="s">
        <v>34</v>
      </c>
      <c r="L3928" s="1">
        <v>7600217</v>
      </c>
      <c r="M3928" s="2">
        <v>42872</v>
      </c>
      <c r="N3928" s="1" t="s">
        <v>8</v>
      </c>
      <c r="O3928" s="2">
        <v>43968</v>
      </c>
    </row>
    <row r="3929" spans="1:15" ht="28.8" x14ac:dyDescent="0.3">
      <c r="A3929" s="1" t="s">
        <v>11753</v>
      </c>
      <c r="B3929" s="1" t="str">
        <f>"Gradica Building Contractors Ltd"</f>
        <v>Gradica Building Contractors Ltd</v>
      </c>
      <c r="C3929" s="1" t="s">
        <v>11754</v>
      </c>
      <c r="D3929" s="1" t="s">
        <v>11755</v>
      </c>
      <c r="F3929" s="1" t="s">
        <v>170</v>
      </c>
      <c r="H3929" s="1" t="s">
        <v>11756</v>
      </c>
      <c r="I3929" s="1" t="s">
        <v>19</v>
      </c>
      <c r="J3929" s="1" t="s">
        <v>6</v>
      </c>
      <c r="K3929" s="1" t="s">
        <v>24</v>
      </c>
      <c r="L3929" s="1">
        <v>5389423</v>
      </c>
      <c r="M3929" s="2">
        <v>42872</v>
      </c>
      <c r="N3929" s="1" t="s">
        <v>8</v>
      </c>
      <c r="O3929" s="2">
        <v>43968</v>
      </c>
    </row>
    <row r="3930" spans="1:15" ht="43.2" x14ac:dyDescent="0.3">
      <c r="A3930" s="1" t="s">
        <v>23855</v>
      </c>
      <c r="B3930" s="1" t="str">
        <f>"modesto galdo pembrokeshire property maintenance"</f>
        <v>modesto galdo pembrokeshire property maintenance</v>
      </c>
      <c r="C3930" s="1" t="s">
        <v>23856</v>
      </c>
      <c r="F3930" s="1" t="s">
        <v>513</v>
      </c>
      <c r="H3930" s="1" t="s">
        <v>23857</v>
      </c>
      <c r="I3930" s="1" t="s">
        <v>5</v>
      </c>
      <c r="J3930" s="1" t="s">
        <v>6</v>
      </c>
      <c r="K3930" s="1" t="s">
        <v>24</v>
      </c>
      <c r="M3930" s="2">
        <v>42872</v>
      </c>
      <c r="N3930" s="1" t="s">
        <v>8</v>
      </c>
      <c r="O3930" s="2">
        <v>43968</v>
      </c>
    </row>
    <row r="3931" spans="1:15" ht="28.8" x14ac:dyDescent="0.3">
      <c r="A3931" s="1" t="s">
        <v>23858</v>
      </c>
      <c r="B3931" s="1" t="str">
        <f>"Paul Dunt Paul Dunt Joiner"</f>
        <v>Paul Dunt Paul Dunt Joiner</v>
      </c>
      <c r="C3931" s="1" t="s">
        <v>23859</v>
      </c>
      <c r="F3931" s="1" t="s">
        <v>476</v>
      </c>
      <c r="H3931" s="1" t="s">
        <v>23860</v>
      </c>
      <c r="I3931" s="1" t="s">
        <v>5</v>
      </c>
      <c r="J3931" s="1" t="s">
        <v>6</v>
      </c>
      <c r="K3931" s="1" t="s">
        <v>24</v>
      </c>
      <c r="M3931" s="2">
        <v>42872</v>
      </c>
      <c r="N3931" s="1" t="s">
        <v>8</v>
      </c>
      <c r="O3931" s="2">
        <v>43968</v>
      </c>
    </row>
    <row r="3932" spans="1:15" ht="28.8" x14ac:dyDescent="0.3">
      <c r="A3932" s="1" t="s">
        <v>23861</v>
      </c>
      <c r="B3932" s="1" t="str">
        <f>"Ian Roberts I B Roberts Haulage"</f>
        <v>Ian Roberts I B Roberts Haulage</v>
      </c>
      <c r="C3932" s="1" t="s">
        <v>23862</v>
      </c>
      <c r="F3932" s="1" t="s">
        <v>2281</v>
      </c>
      <c r="H3932" s="1" t="s">
        <v>23863</v>
      </c>
      <c r="I3932" s="1" t="s">
        <v>5</v>
      </c>
      <c r="J3932" s="1" t="s">
        <v>6</v>
      </c>
      <c r="K3932" s="1" t="s">
        <v>24</v>
      </c>
      <c r="M3932" s="2">
        <v>42872</v>
      </c>
      <c r="N3932" s="1" t="s">
        <v>8</v>
      </c>
      <c r="O3932" s="2">
        <v>43968</v>
      </c>
    </row>
    <row r="3933" spans="1:15" x14ac:dyDescent="0.3">
      <c r="A3933" s="1" t="s">
        <v>24710</v>
      </c>
      <c r="B3933" s="1" t="str">
        <f>"Wayne Jones D J Jones"</f>
        <v>Wayne Jones D J Jones</v>
      </c>
      <c r="C3933" s="1" t="s">
        <v>24711</v>
      </c>
      <c r="F3933" s="1" t="s">
        <v>37</v>
      </c>
      <c r="H3933" s="1" t="s">
        <v>24712</v>
      </c>
      <c r="I3933" s="1" t="s">
        <v>5</v>
      </c>
      <c r="J3933" s="1" t="s">
        <v>6</v>
      </c>
      <c r="K3933" s="1" t="s">
        <v>24</v>
      </c>
      <c r="M3933" s="2">
        <v>42872</v>
      </c>
      <c r="N3933" s="1" t="s">
        <v>8</v>
      </c>
      <c r="O3933" s="2">
        <v>43973</v>
      </c>
    </row>
    <row r="3934" spans="1:15" ht="28.8" x14ac:dyDescent="0.3">
      <c r="A3934" s="1" t="s">
        <v>24713</v>
      </c>
      <c r="B3934" s="1" t="str">
        <f>"Thomas Peter Williams T P Williams   PMD"</f>
        <v>Thomas Peter Williams T P Williams   PMD</v>
      </c>
      <c r="C3934" s="1" t="s">
        <v>24714</v>
      </c>
      <c r="F3934" s="1" t="s">
        <v>37</v>
      </c>
      <c r="H3934" s="1" t="s">
        <v>24715</v>
      </c>
      <c r="I3934" s="1" t="s">
        <v>5</v>
      </c>
      <c r="J3934" s="1" t="s">
        <v>6</v>
      </c>
      <c r="K3934" s="1" t="s">
        <v>24</v>
      </c>
      <c r="M3934" s="2">
        <v>42872</v>
      </c>
      <c r="N3934" s="1" t="s">
        <v>8</v>
      </c>
      <c r="O3934" s="2">
        <v>43968</v>
      </c>
    </row>
    <row r="3935" spans="1:15" ht="43.2" x14ac:dyDescent="0.3">
      <c r="A3935" s="1" t="s">
        <v>24716</v>
      </c>
      <c r="B3935" s="1" t="str">
        <f>"EDWARD Barton"</f>
        <v>EDWARD Barton</v>
      </c>
      <c r="C3935" s="1" t="s">
        <v>24717</v>
      </c>
      <c r="D3935" s="1" t="s">
        <v>24718</v>
      </c>
      <c r="F3935" s="1" t="s">
        <v>24719</v>
      </c>
      <c r="H3935" s="1" t="s">
        <v>24720</v>
      </c>
      <c r="I3935" s="1" t="s">
        <v>5</v>
      </c>
      <c r="J3935" s="1" t="s">
        <v>67</v>
      </c>
      <c r="K3935" s="1" t="s">
        <v>14</v>
      </c>
      <c r="M3935" s="2">
        <v>42872</v>
      </c>
      <c r="N3935" s="1" t="s">
        <v>8</v>
      </c>
      <c r="O3935" s="1" t="s">
        <v>68</v>
      </c>
    </row>
    <row r="3936" spans="1:15" ht="43.2" x14ac:dyDescent="0.3">
      <c r="A3936" s="1" t="s">
        <v>24721</v>
      </c>
      <c r="B3936" s="1" t="str">
        <f>"Michael Knight"</f>
        <v>Michael Knight</v>
      </c>
      <c r="C3936" s="1" t="s">
        <v>24722</v>
      </c>
      <c r="F3936" s="1" t="s">
        <v>243</v>
      </c>
      <c r="H3936" s="1" t="s">
        <v>24723</v>
      </c>
      <c r="I3936" s="1" t="s">
        <v>5</v>
      </c>
      <c r="J3936" s="1" t="s">
        <v>67</v>
      </c>
      <c r="K3936" s="1" t="s">
        <v>14</v>
      </c>
      <c r="M3936" s="2">
        <v>42872</v>
      </c>
      <c r="N3936" s="1" t="s">
        <v>8</v>
      </c>
      <c r="O3936" s="1" t="s">
        <v>68</v>
      </c>
    </row>
    <row r="3937" spans="1:15" ht="28.8" x14ac:dyDescent="0.3">
      <c r="A3937" s="1" t="s">
        <v>8507</v>
      </c>
      <c r="B3937" s="1" t="str">
        <f>"Justin Perry"</f>
        <v>Justin Perry</v>
      </c>
      <c r="C3937" s="1" t="s">
        <v>8508</v>
      </c>
      <c r="F3937" s="1" t="s">
        <v>179</v>
      </c>
      <c r="H3937" s="1" t="s">
        <v>8509</v>
      </c>
      <c r="I3937" s="1" t="s">
        <v>5</v>
      </c>
      <c r="J3937" s="1" t="s">
        <v>6</v>
      </c>
      <c r="K3937" s="1" t="s">
        <v>24</v>
      </c>
      <c r="M3937" s="2">
        <v>42871</v>
      </c>
      <c r="N3937" s="1" t="s">
        <v>8</v>
      </c>
      <c r="O3937" s="2">
        <v>43967</v>
      </c>
    </row>
    <row r="3938" spans="1:15" ht="28.8" x14ac:dyDescent="0.3">
      <c r="A3938" s="1" t="s">
        <v>9688</v>
      </c>
      <c r="B3938" s="1" t="str">
        <f>"A E INSULATION LTD"</f>
        <v>A E INSULATION LTD</v>
      </c>
      <c r="C3938" s="1" t="s">
        <v>8254</v>
      </c>
      <c r="D3938" s="1" t="s">
        <v>8255</v>
      </c>
      <c r="E3938" s="1" t="s">
        <v>500</v>
      </c>
      <c r="F3938" s="1" t="s">
        <v>123</v>
      </c>
      <c r="H3938" s="1" t="s">
        <v>8256</v>
      </c>
      <c r="I3938" s="1" t="s">
        <v>19</v>
      </c>
      <c r="J3938" s="1" t="s">
        <v>6</v>
      </c>
      <c r="K3938" s="1" t="s">
        <v>34</v>
      </c>
      <c r="L3938" s="1">
        <v>6641594</v>
      </c>
      <c r="M3938" s="2">
        <v>42871</v>
      </c>
      <c r="N3938" s="1" t="s">
        <v>8</v>
      </c>
      <c r="O3938" s="2">
        <v>43967</v>
      </c>
    </row>
    <row r="3939" spans="1:15" ht="28.8" x14ac:dyDescent="0.3">
      <c r="A3939" s="1" t="s">
        <v>9689</v>
      </c>
      <c r="B3939" s="1" t="str">
        <f>"S B Site Solutions Ltd"</f>
        <v>S B Site Solutions Ltd</v>
      </c>
      <c r="C3939" s="1" t="s">
        <v>9690</v>
      </c>
      <c r="F3939" s="1" t="s">
        <v>156</v>
      </c>
      <c r="H3939" s="1" t="s">
        <v>9691</v>
      </c>
      <c r="I3939" s="1" t="s">
        <v>19</v>
      </c>
      <c r="J3939" s="1" t="s">
        <v>6</v>
      </c>
      <c r="K3939" s="1" t="s">
        <v>34</v>
      </c>
      <c r="L3939" s="1">
        <v>10769412</v>
      </c>
      <c r="M3939" s="2">
        <v>42871</v>
      </c>
      <c r="N3939" s="1" t="s">
        <v>8</v>
      </c>
      <c r="O3939" s="2">
        <v>43967</v>
      </c>
    </row>
    <row r="3940" spans="1:15" x14ac:dyDescent="0.3">
      <c r="A3940" s="1" t="s">
        <v>9692</v>
      </c>
      <c r="B3940" s="1" t="str">
        <f>"Shoreline Removals Ltd"</f>
        <v>Shoreline Removals Ltd</v>
      </c>
      <c r="C3940" s="1" t="s">
        <v>9693</v>
      </c>
      <c r="F3940" s="1" t="s">
        <v>476</v>
      </c>
      <c r="H3940" s="1" t="s">
        <v>9694</v>
      </c>
      <c r="I3940" s="1" t="s">
        <v>19</v>
      </c>
      <c r="J3940" s="1" t="s">
        <v>6</v>
      </c>
      <c r="K3940" s="1" t="s">
        <v>24</v>
      </c>
      <c r="L3940" s="1">
        <v>8340425</v>
      </c>
      <c r="M3940" s="2">
        <v>42871</v>
      </c>
      <c r="N3940" s="1" t="s">
        <v>8</v>
      </c>
      <c r="O3940" s="2">
        <v>43967</v>
      </c>
    </row>
    <row r="3941" spans="1:15" ht="43.2" x14ac:dyDescent="0.3">
      <c r="A3941" s="1" t="s">
        <v>9695</v>
      </c>
      <c r="B3941" s="1" t="str">
        <f>"R P Traffic Management Ltd"</f>
        <v>R P Traffic Management Ltd</v>
      </c>
      <c r="C3941" s="1" t="s">
        <v>9696</v>
      </c>
      <c r="F3941" s="1" t="s">
        <v>1058</v>
      </c>
      <c r="H3941" s="1" t="s">
        <v>9697</v>
      </c>
      <c r="I3941" s="1" t="s">
        <v>19</v>
      </c>
      <c r="J3941" s="1" t="s">
        <v>6</v>
      </c>
      <c r="K3941" s="1" t="s">
        <v>24</v>
      </c>
      <c r="L3941" s="1">
        <v>5515128</v>
      </c>
      <c r="M3941" s="2">
        <v>42871</v>
      </c>
      <c r="N3941" s="1" t="s">
        <v>8</v>
      </c>
      <c r="O3941" s="2">
        <v>43967</v>
      </c>
    </row>
    <row r="3942" spans="1:15" ht="28.8" x14ac:dyDescent="0.3">
      <c r="A3942" s="1" t="s">
        <v>9698</v>
      </c>
      <c r="B3942" s="1" t="str">
        <f>"Abbey Developments and Restoration Ltd."</f>
        <v>Abbey Developments and Restoration Ltd.</v>
      </c>
      <c r="C3942" s="1" t="s">
        <v>9699</v>
      </c>
      <c r="F3942" s="1" t="s">
        <v>64</v>
      </c>
      <c r="H3942" s="1" t="s">
        <v>9700</v>
      </c>
      <c r="I3942" s="1" t="s">
        <v>19</v>
      </c>
      <c r="J3942" s="1" t="s">
        <v>6</v>
      </c>
      <c r="K3942" s="1" t="s">
        <v>24</v>
      </c>
      <c r="L3942" s="1">
        <v>5011109</v>
      </c>
      <c r="M3942" s="2">
        <v>42871</v>
      </c>
      <c r="N3942" s="1" t="s">
        <v>8</v>
      </c>
      <c r="O3942" s="2">
        <v>43967</v>
      </c>
    </row>
    <row r="3943" spans="1:15" ht="28.8" x14ac:dyDescent="0.3">
      <c r="A3943" s="1" t="s">
        <v>23052</v>
      </c>
      <c r="B3943" s="1" t="str">
        <f>"BILL WRIGHT W WRIGHT"</f>
        <v>BILL WRIGHT W WRIGHT</v>
      </c>
      <c r="C3943" s="1" t="s">
        <v>23053</v>
      </c>
      <c r="F3943" s="1" t="s">
        <v>23054</v>
      </c>
      <c r="H3943" s="1" t="s">
        <v>23055</v>
      </c>
      <c r="I3943" s="1" t="s">
        <v>5</v>
      </c>
      <c r="J3943" s="1" t="s">
        <v>6</v>
      </c>
      <c r="K3943" s="1" t="s">
        <v>24</v>
      </c>
      <c r="M3943" s="2">
        <v>42871</v>
      </c>
      <c r="N3943" s="1" t="s">
        <v>8</v>
      </c>
      <c r="O3943" s="2">
        <v>43967</v>
      </c>
    </row>
    <row r="3944" spans="1:15" ht="28.8" x14ac:dyDescent="0.3">
      <c r="A3944" s="1" t="s">
        <v>23056</v>
      </c>
      <c r="B3944" s="1" t="str">
        <f>"Charlie Lee Charlie Lee"</f>
        <v>Charlie Lee Charlie Lee</v>
      </c>
      <c r="C3944" s="1" t="s">
        <v>23057</v>
      </c>
      <c r="F3944" s="1" t="s">
        <v>23058</v>
      </c>
      <c r="H3944" s="1" t="s">
        <v>23059</v>
      </c>
      <c r="I3944" s="1" t="s">
        <v>5</v>
      </c>
      <c r="J3944" s="1" t="s">
        <v>6</v>
      </c>
      <c r="K3944" s="1" t="s">
        <v>24</v>
      </c>
      <c r="M3944" s="2">
        <v>42871</v>
      </c>
      <c r="N3944" s="1" t="s">
        <v>8</v>
      </c>
      <c r="O3944" s="2">
        <v>43967</v>
      </c>
    </row>
    <row r="3945" spans="1:15" ht="43.2" x14ac:dyDescent="0.3">
      <c r="A3945" s="1" t="s">
        <v>23060</v>
      </c>
      <c r="B3945" s="1" t="str">
        <f>"Alan Lloyd Henson A L Henson Felt Roofing Specialist"</f>
        <v>Alan Lloyd Henson A L Henson Felt Roofing Specialist</v>
      </c>
      <c r="C3945" s="1" t="s">
        <v>23061</v>
      </c>
      <c r="F3945" s="1" t="s">
        <v>179</v>
      </c>
      <c r="H3945" s="1" t="s">
        <v>23062</v>
      </c>
      <c r="I3945" s="1" t="s">
        <v>5</v>
      </c>
      <c r="J3945" s="1" t="s">
        <v>6</v>
      </c>
      <c r="K3945" s="1" t="s">
        <v>24</v>
      </c>
      <c r="M3945" s="2">
        <v>42871</v>
      </c>
      <c r="N3945" s="1" t="s">
        <v>8</v>
      </c>
      <c r="O3945" s="2">
        <v>43967</v>
      </c>
    </row>
    <row r="3946" spans="1:15" ht="43.2" x14ac:dyDescent="0.3">
      <c r="A3946" s="1" t="s">
        <v>23063</v>
      </c>
      <c r="B3946" s="1" t="str">
        <f>"Richard Stuart"</f>
        <v>Richard Stuart</v>
      </c>
      <c r="C3946" s="1" t="s">
        <v>23064</v>
      </c>
      <c r="F3946" s="1" t="s">
        <v>665</v>
      </c>
      <c r="H3946" s="1" t="s">
        <v>23065</v>
      </c>
      <c r="I3946" s="1" t="s">
        <v>5</v>
      </c>
      <c r="J3946" s="1" t="s">
        <v>67</v>
      </c>
      <c r="K3946" s="1" t="s">
        <v>14</v>
      </c>
      <c r="M3946" s="2">
        <v>42871</v>
      </c>
      <c r="N3946" s="1" t="s">
        <v>8</v>
      </c>
      <c r="O3946" s="1" t="s">
        <v>68</v>
      </c>
    </row>
    <row r="3947" spans="1:15" ht="28.8" x14ac:dyDescent="0.3">
      <c r="A3947" s="1" t="s">
        <v>23066</v>
      </c>
      <c r="B3947" s="1" t="str">
        <f>"David Norman Williams"</f>
        <v>David Norman Williams</v>
      </c>
      <c r="C3947" s="1" t="s">
        <v>23067</v>
      </c>
      <c r="F3947" s="1" t="s">
        <v>64</v>
      </c>
      <c r="H3947" s="1" t="s">
        <v>21322</v>
      </c>
      <c r="I3947" s="1" t="s">
        <v>5</v>
      </c>
      <c r="J3947" s="1" t="s">
        <v>6</v>
      </c>
      <c r="K3947" s="1" t="s">
        <v>24</v>
      </c>
      <c r="M3947" s="2">
        <v>42871</v>
      </c>
      <c r="N3947" s="1" t="s">
        <v>8</v>
      </c>
      <c r="O3947" s="2">
        <v>43967</v>
      </c>
    </row>
    <row r="3948" spans="1:15" ht="43.2" x14ac:dyDescent="0.3">
      <c r="A3948" s="1" t="s">
        <v>23068</v>
      </c>
      <c r="B3948" s="1" t="str">
        <f>"Gareth  Kelly"</f>
        <v>Gareth  Kelly</v>
      </c>
      <c r="C3948" s="1" t="s">
        <v>23069</v>
      </c>
      <c r="F3948" s="1" t="s">
        <v>532</v>
      </c>
      <c r="H3948" s="1" t="s">
        <v>23070</v>
      </c>
      <c r="I3948" s="1" t="s">
        <v>5</v>
      </c>
      <c r="J3948" s="1" t="s">
        <v>6</v>
      </c>
      <c r="K3948" s="1" t="s">
        <v>34</v>
      </c>
      <c r="M3948" s="2">
        <v>42871</v>
      </c>
      <c r="N3948" s="1" t="s">
        <v>8</v>
      </c>
      <c r="O3948" s="2">
        <v>43967</v>
      </c>
    </row>
    <row r="3949" spans="1:15" x14ac:dyDescent="0.3">
      <c r="A3949" s="1" t="s">
        <v>8493</v>
      </c>
      <c r="B3949" s="1" t="str">
        <f>"SFX TECHNOLOGY LTD"</f>
        <v>SFX TECHNOLOGY LTD</v>
      </c>
      <c r="C3949" s="1" t="s">
        <v>8494</v>
      </c>
      <c r="F3949" s="1" t="s">
        <v>930</v>
      </c>
      <c r="H3949" s="1" t="s">
        <v>8495</v>
      </c>
      <c r="I3949" s="1" t="s">
        <v>19</v>
      </c>
      <c r="J3949" s="1" t="s">
        <v>6</v>
      </c>
      <c r="K3949" s="1" t="s">
        <v>24</v>
      </c>
      <c r="L3949" s="1">
        <v>5278405</v>
      </c>
      <c r="M3949" s="2">
        <v>42870</v>
      </c>
      <c r="N3949" s="1" t="s">
        <v>8</v>
      </c>
      <c r="O3949" s="2">
        <v>43966</v>
      </c>
    </row>
    <row r="3950" spans="1:15" ht="28.8" x14ac:dyDescent="0.3">
      <c r="A3950" s="1" t="s">
        <v>8496</v>
      </c>
      <c r="B3950" s="1" t="str">
        <f>"JDFJ LIMITED"</f>
        <v>JDFJ LIMITED</v>
      </c>
      <c r="C3950" s="1" t="s">
        <v>8497</v>
      </c>
      <c r="F3950" s="1" t="s">
        <v>710</v>
      </c>
      <c r="H3950" s="1" t="s">
        <v>8498</v>
      </c>
      <c r="I3950" s="1" t="s">
        <v>19</v>
      </c>
      <c r="J3950" s="1" t="s">
        <v>6</v>
      </c>
      <c r="K3950" s="1" t="s">
        <v>34</v>
      </c>
      <c r="L3950" s="1">
        <v>8952820</v>
      </c>
      <c r="M3950" s="2">
        <v>42870</v>
      </c>
      <c r="N3950" s="1" t="s">
        <v>8</v>
      </c>
      <c r="O3950" s="2">
        <v>43966</v>
      </c>
    </row>
    <row r="3951" spans="1:15" ht="28.8" x14ac:dyDescent="0.3">
      <c r="A3951" s="1" t="s">
        <v>8499</v>
      </c>
      <c r="B3951" s="1" t="str">
        <f>"D A Hughes Electrical Ltd"</f>
        <v>D A Hughes Electrical Ltd</v>
      </c>
      <c r="C3951" s="1" t="s">
        <v>8500</v>
      </c>
      <c r="F3951" s="1" t="s">
        <v>2281</v>
      </c>
      <c r="H3951" s="1" t="s">
        <v>8501</v>
      </c>
      <c r="I3951" s="1" t="s">
        <v>19</v>
      </c>
      <c r="J3951" s="1" t="s">
        <v>6</v>
      </c>
      <c r="K3951" s="1" t="s">
        <v>24</v>
      </c>
      <c r="L3951" s="1">
        <v>7997079</v>
      </c>
      <c r="M3951" s="2">
        <v>42870</v>
      </c>
      <c r="N3951" s="1" t="s">
        <v>8</v>
      </c>
      <c r="O3951" s="2">
        <v>43966</v>
      </c>
    </row>
    <row r="3952" spans="1:15" ht="28.8" x14ac:dyDescent="0.3">
      <c r="A3952" s="1" t="s">
        <v>8502</v>
      </c>
      <c r="B3952" s="1" t="str">
        <f>"O G Owen Ltd"</f>
        <v>O G Owen Ltd</v>
      </c>
      <c r="C3952" s="1" t="s">
        <v>8503</v>
      </c>
      <c r="F3952" s="1" t="s">
        <v>1108</v>
      </c>
      <c r="H3952" s="1" t="s">
        <v>8504</v>
      </c>
      <c r="I3952" s="1" t="s">
        <v>19</v>
      </c>
      <c r="J3952" s="1" t="s">
        <v>6</v>
      </c>
      <c r="K3952" s="1" t="s">
        <v>24</v>
      </c>
      <c r="L3952" s="1">
        <v>10141181</v>
      </c>
      <c r="M3952" s="2">
        <v>42870</v>
      </c>
      <c r="N3952" s="1" t="s">
        <v>8</v>
      </c>
      <c r="O3952" s="2">
        <v>43966</v>
      </c>
    </row>
    <row r="3953" spans="1:15" ht="43.2" x14ac:dyDescent="0.3">
      <c r="A3953" s="1" t="s">
        <v>8505</v>
      </c>
      <c r="B3953" s="1" t="str">
        <f>"PeakGen Power Ltd"</f>
        <v>PeakGen Power Ltd</v>
      </c>
      <c r="C3953" s="1" t="s">
        <v>8506</v>
      </c>
      <c r="D3953" s="1" t="s">
        <v>930</v>
      </c>
      <c r="F3953" s="1" t="s">
        <v>706</v>
      </c>
      <c r="H3953" s="1" t="s">
        <v>931</v>
      </c>
      <c r="I3953" s="1" t="s">
        <v>19</v>
      </c>
      <c r="J3953" s="1" t="s">
        <v>67</v>
      </c>
      <c r="K3953" s="1" t="s">
        <v>14</v>
      </c>
      <c r="M3953" s="2">
        <v>42870</v>
      </c>
      <c r="N3953" s="1" t="s">
        <v>8</v>
      </c>
      <c r="O3953" s="1" t="s">
        <v>68</v>
      </c>
    </row>
    <row r="3954" spans="1:15" ht="28.8" x14ac:dyDescent="0.3">
      <c r="A3954" s="1" t="s">
        <v>22338</v>
      </c>
      <c r="B3954" s="1" t="str">
        <f>"nick Fletcher Deltarama"</f>
        <v>nick Fletcher Deltarama</v>
      </c>
      <c r="C3954" s="1" t="s">
        <v>22339</v>
      </c>
      <c r="F3954" s="1" t="s">
        <v>358</v>
      </c>
      <c r="H3954" s="1" t="s">
        <v>22340</v>
      </c>
      <c r="I3954" s="1" t="s">
        <v>5</v>
      </c>
      <c r="J3954" s="1" t="s">
        <v>6</v>
      </c>
      <c r="K3954" s="1" t="s">
        <v>24</v>
      </c>
      <c r="M3954" s="2">
        <v>42870</v>
      </c>
      <c r="N3954" s="1" t="s">
        <v>8</v>
      </c>
      <c r="O3954" s="2">
        <v>43966</v>
      </c>
    </row>
    <row r="3955" spans="1:15" ht="43.2" x14ac:dyDescent="0.3">
      <c r="A3955" s="1" t="s">
        <v>8486</v>
      </c>
      <c r="B3955" s="1" t="str">
        <f>"Hoodroadconvience store"</f>
        <v>Hoodroadconvience store</v>
      </c>
      <c r="C3955" s="1" t="s">
        <v>8487</v>
      </c>
      <c r="F3955" s="1" t="s">
        <v>8488</v>
      </c>
      <c r="H3955" s="1" t="s">
        <v>8489</v>
      </c>
      <c r="I3955" s="1" t="s">
        <v>19</v>
      </c>
      <c r="J3955" s="1" t="s">
        <v>67</v>
      </c>
      <c r="K3955" s="1" t="s">
        <v>14</v>
      </c>
      <c r="M3955" s="2">
        <v>42869</v>
      </c>
      <c r="N3955" s="1" t="s">
        <v>8</v>
      </c>
      <c r="O3955" s="1" t="s">
        <v>68</v>
      </c>
    </row>
    <row r="3956" spans="1:15" ht="28.8" x14ac:dyDescent="0.3">
      <c r="A3956" s="1" t="s">
        <v>8490</v>
      </c>
      <c r="B3956" s="1" t="str">
        <f>"R W THOMAS FENCING AND GROUNDWORK L"</f>
        <v>R W THOMAS FENCING AND GROUNDWORK L</v>
      </c>
      <c r="C3956" s="1" t="s">
        <v>8491</v>
      </c>
      <c r="F3956" s="1" t="s">
        <v>767</v>
      </c>
      <c r="H3956" s="1" t="s">
        <v>8492</v>
      </c>
      <c r="I3956" s="1" t="s">
        <v>19</v>
      </c>
      <c r="J3956" s="1" t="s">
        <v>6</v>
      </c>
      <c r="K3956" s="1" t="s">
        <v>24</v>
      </c>
      <c r="L3956" s="1">
        <v>8896172</v>
      </c>
      <c r="M3956" s="2">
        <v>42869</v>
      </c>
      <c r="N3956" s="1" t="s">
        <v>8</v>
      </c>
      <c r="O3956" s="2">
        <v>43965</v>
      </c>
    </row>
    <row r="3957" spans="1:15" ht="43.2" x14ac:dyDescent="0.3">
      <c r="A3957" s="1" t="s">
        <v>22335</v>
      </c>
      <c r="B3957" s="1" t="str">
        <f>"Robert Lamb"</f>
        <v>Robert Lamb</v>
      </c>
      <c r="C3957" s="1" t="s">
        <v>22336</v>
      </c>
      <c r="F3957" s="1" t="s">
        <v>214</v>
      </c>
      <c r="H3957" s="1" t="s">
        <v>22337</v>
      </c>
      <c r="I3957" s="1" t="s">
        <v>5</v>
      </c>
      <c r="J3957" s="1" t="s">
        <v>67</v>
      </c>
      <c r="K3957" s="1" t="s">
        <v>14</v>
      </c>
      <c r="M3957" s="2">
        <v>42869</v>
      </c>
      <c r="N3957" s="1" t="s">
        <v>8</v>
      </c>
      <c r="O3957" s="1" t="s">
        <v>68</v>
      </c>
    </row>
    <row r="3958" spans="1:15" ht="28.8" x14ac:dyDescent="0.3">
      <c r="A3958" s="1" t="s">
        <v>7351</v>
      </c>
      <c r="B3958" s="1" t="str">
        <f>"Sabre Services"</f>
        <v>Sabre Services</v>
      </c>
      <c r="C3958" s="1" t="s">
        <v>7352</v>
      </c>
      <c r="D3958" s="1" t="s">
        <v>7353</v>
      </c>
      <c r="F3958" s="1" t="s">
        <v>1351</v>
      </c>
      <c r="H3958" s="1" t="s">
        <v>1352</v>
      </c>
      <c r="I3958" s="1" t="s">
        <v>125</v>
      </c>
      <c r="J3958" s="1" t="s">
        <v>6</v>
      </c>
      <c r="K3958" s="1" t="s">
        <v>34</v>
      </c>
      <c r="M3958" s="2">
        <v>42868</v>
      </c>
      <c r="N3958" s="1" t="s">
        <v>8</v>
      </c>
      <c r="O3958" s="2">
        <v>43964</v>
      </c>
    </row>
    <row r="3959" spans="1:15" ht="43.2" x14ac:dyDescent="0.3">
      <c r="A3959" s="1" t="s">
        <v>21519</v>
      </c>
      <c r="B3959" s="1" t="str">
        <f>"David John Hughes"</f>
        <v>David John Hughes</v>
      </c>
      <c r="C3959" s="1" t="s">
        <v>21520</v>
      </c>
      <c r="F3959" s="1" t="s">
        <v>1321</v>
      </c>
      <c r="H3959" s="1" t="s">
        <v>21521</v>
      </c>
      <c r="I3959" s="1" t="s">
        <v>5</v>
      </c>
      <c r="J3959" s="1" t="s">
        <v>67</v>
      </c>
      <c r="K3959" s="1" t="s">
        <v>24</v>
      </c>
      <c r="M3959" s="2">
        <v>42868</v>
      </c>
      <c r="N3959" s="1" t="s">
        <v>8</v>
      </c>
      <c r="O3959" s="1" t="s">
        <v>68</v>
      </c>
    </row>
    <row r="3960" spans="1:15" ht="43.2" x14ac:dyDescent="0.3">
      <c r="A3960" s="1" t="s">
        <v>21522</v>
      </c>
      <c r="B3960" s="1" t="str">
        <f>"Scurry luke Evans"</f>
        <v>Scurry luke Evans</v>
      </c>
      <c r="C3960" s="1" t="s">
        <v>21523</v>
      </c>
      <c r="F3960" s="1" t="s">
        <v>42</v>
      </c>
      <c r="H3960" s="1" t="s">
        <v>21524</v>
      </c>
      <c r="I3960" s="1" t="s">
        <v>5</v>
      </c>
      <c r="J3960" s="1" t="s">
        <v>67</v>
      </c>
      <c r="K3960" s="1" t="s">
        <v>14</v>
      </c>
      <c r="M3960" s="2">
        <v>42868</v>
      </c>
      <c r="N3960" s="1" t="s">
        <v>8</v>
      </c>
      <c r="O3960" s="1" t="s">
        <v>68</v>
      </c>
    </row>
    <row r="3961" spans="1:15" ht="28.8" x14ac:dyDescent="0.3">
      <c r="A3961" s="1" t="s">
        <v>6286</v>
      </c>
      <c r="B3961" s="1" t="str">
        <f>"Interstar Building Contractors Ltd"</f>
        <v>Interstar Building Contractors Ltd</v>
      </c>
      <c r="C3961" s="1" t="s">
        <v>6287</v>
      </c>
      <c r="F3961" s="1" t="s">
        <v>170</v>
      </c>
      <c r="H3961" s="1" t="s">
        <v>6288</v>
      </c>
      <c r="I3961" s="1" t="s">
        <v>19</v>
      </c>
      <c r="J3961" s="1" t="s">
        <v>6</v>
      </c>
      <c r="K3961" s="1" t="s">
        <v>24</v>
      </c>
      <c r="L3961" s="1">
        <v>6025921</v>
      </c>
      <c r="M3961" s="2">
        <v>42867</v>
      </c>
      <c r="N3961" s="1" t="s">
        <v>8</v>
      </c>
      <c r="O3961" s="2">
        <v>43963</v>
      </c>
    </row>
    <row r="3962" spans="1:15" ht="28.8" x14ac:dyDescent="0.3">
      <c r="A3962" s="1" t="s">
        <v>6289</v>
      </c>
      <c r="B3962" s="1" t="str">
        <f>"Mumbles Electric Gates"</f>
        <v>Mumbles Electric Gates</v>
      </c>
      <c r="C3962" s="1" t="s">
        <v>6290</v>
      </c>
      <c r="F3962" s="1" t="s">
        <v>64</v>
      </c>
      <c r="H3962" s="1" t="s">
        <v>6291</v>
      </c>
      <c r="I3962" s="1" t="s">
        <v>125</v>
      </c>
      <c r="J3962" s="1" t="s">
        <v>6</v>
      </c>
      <c r="K3962" s="1" t="s">
        <v>24</v>
      </c>
      <c r="M3962" s="2">
        <v>42867</v>
      </c>
      <c r="N3962" s="1" t="s">
        <v>8</v>
      </c>
      <c r="O3962" s="2">
        <v>43963</v>
      </c>
    </row>
    <row r="3963" spans="1:15" ht="28.8" x14ac:dyDescent="0.3">
      <c r="A3963" s="1" t="s">
        <v>6292</v>
      </c>
      <c r="B3963" s="1" t="str">
        <f>"WE HIRE LTD"</f>
        <v>WE HIRE LTD</v>
      </c>
      <c r="C3963" s="1" t="s">
        <v>6293</v>
      </c>
      <c r="F3963" s="1" t="s">
        <v>3247</v>
      </c>
      <c r="H3963" s="1" t="s">
        <v>6294</v>
      </c>
      <c r="I3963" s="1" t="s">
        <v>19</v>
      </c>
      <c r="J3963" s="1" t="s">
        <v>6</v>
      </c>
      <c r="K3963" s="1" t="s">
        <v>34</v>
      </c>
      <c r="L3963" s="1">
        <v>9921879</v>
      </c>
      <c r="M3963" s="2">
        <v>42867</v>
      </c>
      <c r="N3963" s="1" t="s">
        <v>8</v>
      </c>
      <c r="O3963" s="2">
        <v>43963</v>
      </c>
    </row>
    <row r="3964" spans="1:15" ht="28.8" x14ac:dyDescent="0.3">
      <c r="A3964" s="1" t="s">
        <v>7326</v>
      </c>
      <c r="B3964" s="1" t="str">
        <f>"Arrow Polybags Ltd."</f>
        <v>Arrow Polybags Ltd.</v>
      </c>
      <c r="C3964" s="1" t="s">
        <v>7327</v>
      </c>
      <c r="D3964" s="1" t="s">
        <v>7328</v>
      </c>
      <c r="E3964" s="1" t="s">
        <v>1264</v>
      </c>
      <c r="F3964" s="1" t="s">
        <v>556</v>
      </c>
      <c r="H3964" s="1" t="s">
        <v>7329</v>
      </c>
      <c r="I3964" s="1" t="s">
        <v>19</v>
      </c>
      <c r="J3964" s="1" t="s">
        <v>6</v>
      </c>
      <c r="K3964" s="1" t="s">
        <v>24</v>
      </c>
      <c r="L3964" s="1">
        <v>5883137</v>
      </c>
      <c r="M3964" s="2">
        <v>42867</v>
      </c>
      <c r="N3964" s="1" t="s">
        <v>8</v>
      </c>
      <c r="O3964" s="2">
        <v>43963</v>
      </c>
    </row>
    <row r="3965" spans="1:15" ht="28.8" x14ac:dyDescent="0.3">
      <c r="A3965" s="1" t="s">
        <v>7330</v>
      </c>
      <c r="B3965" s="1" t="str">
        <f>"Adam &amp; Robert Phelps"</f>
        <v>Adam &amp; Robert Phelps</v>
      </c>
      <c r="C3965" s="1" t="s">
        <v>7331</v>
      </c>
      <c r="F3965" s="1" t="s">
        <v>243</v>
      </c>
      <c r="H3965" s="1" t="s">
        <v>7332</v>
      </c>
      <c r="I3965" s="1" t="s">
        <v>125</v>
      </c>
      <c r="J3965" s="1" t="s">
        <v>6</v>
      </c>
      <c r="K3965" s="1" t="s">
        <v>34</v>
      </c>
      <c r="M3965" s="2">
        <v>42867</v>
      </c>
      <c r="N3965" s="1" t="s">
        <v>8</v>
      </c>
      <c r="O3965" s="2">
        <v>43963</v>
      </c>
    </row>
    <row r="3966" spans="1:15" ht="28.8" x14ac:dyDescent="0.3">
      <c r="A3966" s="1" t="s">
        <v>7333</v>
      </c>
      <c r="B3966" s="1" t="str">
        <f>"MY BIN MEN"</f>
        <v>MY BIN MEN</v>
      </c>
      <c r="C3966" s="1" t="s">
        <v>7334</v>
      </c>
      <c r="F3966" s="1" t="s">
        <v>156</v>
      </c>
      <c r="H3966" s="1" t="s">
        <v>7335</v>
      </c>
      <c r="I3966" s="1" t="s">
        <v>19</v>
      </c>
      <c r="J3966" s="1" t="s">
        <v>6</v>
      </c>
      <c r="K3966" s="1" t="s">
        <v>34</v>
      </c>
      <c r="L3966" s="1">
        <v>10707457</v>
      </c>
      <c r="M3966" s="2">
        <v>42867</v>
      </c>
      <c r="N3966" s="1" t="s">
        <v>8</v>
      </c>
      <c r="O3966" s="2">
        <v>43963</v>
      </c>
    </row>
    <row r="3967" spans="1:15" ht="43.2" x14ac:dyDescent="0.3">
      <c r="A3967" s="1" t="s">
        <v>7336</v>
      </c>
      <c r="B3967" s="1" t="str">
        <f>"WILLOW TREE GARDENING &amp; LANDSCAPING"</f>
        <v>WILLOW TREE GARDENING &amp; LANDSCAPING</v>
      </c>
      <c r="C3967" s="1" t="s">
        <v>7337</v>
      </c>
      <c r="F3967" s="1" t="s">
        <v>401</v>
      </c>
      <c r="H3967" s="1" t="s">
        <v>7338</v>
      </c>
      <c r="I3967" s="1" t="s">
        <v>19</v>
      </c>
      <c r="J3967" s="1" t="s">
        <v>6</v>
      </c>
      <c r="K3967" s="1" t="s">
        <v>34</v>
      </c>
      <c r="L3967" s="1">
        <v>9246352</v>
      </c>
      <c r="M3967" s="2">
        <v>42867</v>
      </c>
      <c r="N3967" s="1" t="s">
        <v>8</v>
      </c>
      <c r="O3967" s="2">
        <v>43963</v>
      </c>
    </row>
    <row r="3968" spans="1:15" ht="28.8" x14ac:dyDescent="0.3">
      <c r="A3968" s="1" t="s">
        <v>7339</v>
      </c>
      <c r="B3968" s="1" t="str">
        <f>"Enterprise Wholesale Ltd."</f>
        <v>Enterprise Wholesale Ltd.</v>
      </c>
      <c r="C3968" s="1" t="s">
        <v>7340</v>
      </c>
      <c r="D3968" s="1" t="s">
        <v>7341</v>
      </c>
      <c r="F3968" s="1" t="s">
        <v>64</v>
      </c>
      <c r="H3968" s="1" t="s">
        <v>7342</v>
      </c>
      <c r="I3968" s="1" t="s">
        <v>19</v>
      </c>
      <c r="J3968" s="1" t="s">
        <v>6</v>
      </c>
      <c r="K3968" s="1" t="s">
        <v>24</v>
      </c>
      <c r="L3968" s="1">
        <v>4551535</v>
      </c>
      <c r="M3968" s="2">
        <v>42867</v>
      </c>
      <c r="N3968" s="1" t="s">
        <v>8</v>
      </c>
      <c r="O3968" s="2">
        <v>43961</v>
      </c>
    </row>
    <row r="3969" spans="1:15" ht="28.8" x14ac:dyDescent="0.3">
      <c r="A3969" s="1" t="s">
        <v>7343</v>
      </c>
      <c r="B3969" s="1" t="str">
        <f>"R.S.C. SPARES LTD"</f>
        <v>R.S.C. SPARES LTD</v>
      </c>
      <c r="C3969" s="1" t="s">
        <v>7344</v>
      </c>
      <c r="F3969" s="1" t="s">
        <v>64</v>
      </c>
      <c r="H3969" s="1" t="s">
        <v>807</v>
      </c>
      <c r="I3969" s="1" t="s">
        <v>19</v>
      </c>
      <c r="J3969" s="1" t="s">
        <v>6</v>
      </c>
      <c r="K3969" s="1" t="s">
        <v>34</v>
      </c>
      <c r="L3969" s="1">
        <v>3864391</v>
      </c>
      <c r="M3969" s="2">
        <v>42867</v>
      </c>
      <c r="N3969" s="1" t="s">
        <v>8</v>
      </c>
      <c r="O3969" s="2">
        <v>43963</v>
      </c>
    </row>
    <row r="3970" spans="1:15" x14ac:dyDescent="0.3">
      <c r="A3970" s="1" t="s">
        <v>7345</v>
      </c>
      <c r="B3970" s="1" t="str">
        <f>"Paval Construction Ltd"</f>
        <v>Paval Construction Ltd</v>
      </c>
      <c r="C3970" s="1" t="s">
        <v>7346</v>
      </c>
      <c r="F3970" s="1" t="s">
        <v>7211</v>
      </c>
      <c r="H3970" s="1" t="s">
        <v>7347</v>
      </c>
      <c r="I3970" s="1" t="s">
        <v>19</v>
      </c>
      <c r="J3970" s="1" t="s">
        <v>6</v>
      </c>
      <c r="K3970" s="1" t="s">
        <v>24</v>
      </c>
      <c r="L3970" s="1">
        <v>7776865</v>
      </c>
      <c r="M3970" s="2">
        <v>42867</v>
      </c>
      <c r="N3970" s="1" t="s">
        <v>8</v>
      </c>
      <c r="O3970" s="2">
        <v>43963</v>
      </c>
    </row>
    <row r="3971" spans="1:15" ht="28.8" x14ac:dyDescent="0.3">
      <c r="A3971" s="1" t="s">
        <v>7348</v>
      </c>
      <c r="B3971" s="1" t="str">
        <f>"menai ventilation"</f>
        <v>menai ventilation</v>
      </c>
      <c r="C3971" s="1" t="s">
        <v>7349</v>
      </c>
      <c r="F3971" s="1" t="s">
        <v>1321</v>
      </c>
      <c r="H3971" s="1" t="s">
        <v>7350</v>
      </c>
      <c r="I3971" s="1" t="s">
        <v>19</v>
      </c>
      <c r="J3971" s="1" t="s">
        <v>6</v>
      </c>
      <c r="K3971" s="1" t="s">
        <v>24</v>
      </c>
      <c r="L3971" s="1">
        <v>9724101</v>
      </c>
      <c r="M3971" s="2">
        <v>42867</v>
      </c>
      <c r="N3971" s="1" t="s">
        <v>8</v>
      </c>
      <c r="O3971" s="2">
        <v>43963</v>
      </c>
    </row>
    <row r="3972" spans="1:15" ht="43.2" x14ac:dyDescent="0.3">
      <c r="A3972" s="1" t="s">
        <v>20735</v>
      </c>
      <c r="B3972" s="1" t="str">
        <f>"Vivian Robinson Ultimate Home &amp; Garden Maintenance"</f>
        <v>Vivian Robinson Ultimate Home &amp; Garden Maintenance</v>
      </c>
      <c r="C3972" s="1" t="s">
        <v>20736</v>
      </c>
      <c r="F3972" s="1" t="s">
        <v>354</v>
      </c>
      <c r="H3972" s="1" t="s">
        <v>20737</v>
      </c>
      <c r="I3972" s="1" t="s">
        <v>5</v>
      </c>
      <c r="J3972" s="1" t="s">
        <v>6</v>
      </c>
      <c r="K3972" s="1" t="s">
        <v>24</v>
      </c>
      <c r="M3972" s="2">
        <v>42867</v>
      </c>
      <c r="N3972" s="1" t="s">
        <v>8</v>
      </c>
      <c r="O3972" s="2">
        <v>43963</v>
      </c>
    </row>
    <row r="3973" spans="1:15" ht="28.8" x14ac:dyDescent="0.3">
      <c r="A3973" s="1" t="s">
        <v>20738</v>
      </c>
      <c r="B3973" s="1" t="str">
        <f>"Tommy Evans Tommy Evans"</f>
        <v>Tommy Evans Tommy Evans</v>
      </c>
      <c r="C3973" s="1" t="s">
        <v>20739</v>
      </c>
      <c r="F3973" s="1" t="s">
        <v>4033</v>
      </c>
      <c r="H3973" s="1" t="s">
        <v>20740</v>
      </c>
      <c r="I3973" s="1" t="s">
        <v>5</v>
      </c>
      <c r="J3973" s="1" t="s">
        <v>6</v>
      </c>
      <c r="K3973" s="1" t="s">
        <v>24</v>
      </c>
      <c r="M3973" s="2">
        <v>42867</v>
      </c>
      <c r="N3973" s="1" t="s">
        <v>8</v>
      </c>
      <c r="O3973" s="2">
        <v>43963</v>
      </c>
    </row>
    <row r="3974" spans="1:15" ht="28.8" x14ac:dyDescent="0.3">
      <c r="A3974" s="1" t="s">
        <v>20741</v>
      </c>
      <c r="B3974" s="1" t="str">
        <f>"Dudley Lock DJ Lock Builders"</f>
        <v>Dudley Lock DJ Lock Builders</v>
      </c>
      <c r="C3974" s="1" t="s">
        <v>20742</v>
      </c>
      <c r="F3974" s="1" t="s">
        <v>64</v>
      </c>
      <c r="H3974" s="1" t="s">
        <v>20743</v>
      </c>
      <c r="I3974" s="1" t="s">
        <v>5</v>
      </c>
      <c r="J3974" s="1" t="s">
        <v>6</v>
      </c>
      <c r="K3974" s="1" t="s">
        <v>24</v>
      </c>
      <c r="M3974" s="2">
        <v>42867</v>
      </c>
      <c r="N3974" s="1" t="s">
        <v>8</v>
      </c>
      <c r="O3974" s="2">
        <v>43963</v>
      </c>
    </row>
    <row r="3975" spans="1:15" x14ac:dyDescent="0.3">
      <c r="A3975" s="1" t="s">
        <v>20744</v>
      </c>
      <c r="B3975" s="1" t="str">
        <f>"DAVID SPENCER LLOYD"</f>
        <v>DAVID SPENCER LLOYD</v>
      </c>
      <c r="C3975" s="1" t="s">
        <v>20745</v>
      </c>
      <c r="F3975" s="1" t="s">
        <v>56</v>
      </c>
      <c r="H3975" s="1" t="s">
        <v>20746</v>
      </c>
      <c r="I3975" s="1" t="s">
        <v>5</v>
      </c>
      <c r="J3975" s="1" t="s">
        <v>6</v>
      </c>
      <c r="K3975" s="1" t="s">
        <v>24</v>
      </c>
      <c r="M3975" s="2">
        <v>42867</v>
      </c>
      <c r="N3975" s="1" t="s">
        <v>8</v>
      </c>
      <c r="O3975" s="2">
        <v>43963</v>
      </c>
    </row>
    <row r="3976" spans="1:15" ht="43.2" x14ac:dyDescent="0.3">
      <c r="A3976" s="1" t="s">
        <v>21494</v>
      </c>
      <c r="B3976" s="1" t="str">
        <f>"Lee Anders"</f>
        <v>Lee Anders</v>
      </c>
      <c r="C3976" s="1" t="s">
        <v>21495</v>
      </c>
      <c r="F3976" s="1" t="s">
        <v>21496</v>
      </c>
      <c r="H3976" s="1" t="s">
        <v>21497</v>
      </c>
      <c r="I3976" s="1" t="s">
        <v>5</v>
      </c>
      <c r="J3976" s="1" t="s">
        <v>67</v>
      </c>
      <c r="K3976" s="1" t="s">
        <v>14</v>
      </c>
      <c r="M3976" s="2">
        <v>42867</v>
      </c>
      <c r="N3976" s="1" t="s">
        <v>8</v>
      </c>
      <c r="O3976" s="1" t="s">
        <v>68</v>
      </c>
    </row>
    <row r="3977" spans="1:15" ht="43.2" x14ac:dyDescent="0.3">
      <c r="A3977" s="1" t="s">
        <v>21498</v>
      </c>
      <c r="B3977" s="1" t="str">
        <f>"Karl Mason"</f>
        <v>Karl Mason</v>
      </c>
      <c r="C3977" s="1" t="s">
        <v>21499</v>
      </c>
      <c r="F3977" s="1" t="s">
        <v>156</v>
      </c>
      <c r="H3977" s="1" t="s">
        <v>21500</v>
      </c>
      <c r="I3977" s="1" t="s">
        <v>5</v>
      </c>
      <c r="J3977" s="1" t="s">
        <v>67</v>
      </c>
      <c r="K3977" s="1" t="s">
        <v>14</v>
      </c>
      <c r="M3977" s="2">
        <v>42867</v>
      </c>
      <c r="N3977" s="1" t="s">
        <v>8</v>
      </c>
      <c r="O3977" s="1" t="s">
        <v>68</v>
      </c>
    </row>
    <row r="3978" spans="1:15" ht="43.2" x14ac:dyDescent="0.3">
      <c r="A3978" s="1" t="s">
        <v>21501</v>
      </c>
      <c r="B3978" s="1" t="str">
        <f>"Tim Lloyd T J LLOYD BUILDING AND ROOFING"</f>
        <v>Tim Lloyd T J LLOYD BUILDING AND ROOFING</v>
      </c>
      <c r="C3978" s="1" t="s">
        <v>21502</v>
      </c>
      <c r="F3978" s="1" t="s">
        <v>56</v>
      </c>
      <c r="H3978" s="1" t="s">
        <v>21503</v>
      </c>
      <c r="I3978" s="1" t="s">
        <v>5</v>
      </c>
      <c r="J3978" s="1" t="s">
        <v>6</v>
      </c>
      <c r="K3978" s="1" t="s">
        <v>24</v>
      </c>
      <c r="M3978" s="2">
        <v>42867</v>
      </c>
      <c r="N3978" s="1" t="s">
        <v>8</v>
      </c>
      <c r="O3978" s="2">
        <v>43963</v>
      </c>
    </row>
    <row r="3979" spans="1:15" ht="28.8" x14ac:dyDescent="0.3">
      <c r="A3979" s="1" t="s">
        <v>21504</v>
      </c>
      <c r="B3979" s="1" t="str">
        <f>"GARETH GREEN GREEN ELEVATOR SERVICES"</f>
        <v>GARETH GREEN GREEN ELEVATOR SERVICES</v>
      </c>
      <c r="C3979" s="1" t="s">
        <v>17954</v>
      </c>
      <c r="F3979" s="1" t="s">
        <v>123</v>
      </c>
      <c r="H3979" s="1" t="s">
        <v>15354</v>
      </c>
      <c r="I3979" s="1" t="s">
        <v>5</v>
      </c>
      <c r="J3979" s="1" t="s">
        <v>6</v>
      </c>
      <c r="K3979" s="1" t="s">
        <v>34</v>
      </c>
      <c r="M3979" s="2">
        <v>42867</v>
      </c>
      <c r="N3979" s="1" t="s">
        <v>8</v>
      </c>
      <c r="O3979" s="2">
        <v>43963</v>
      </c>
    </row>
    <row r="3980" spans="1:15" ht="43.2" x14ac:dyDescent="0.3">
      <c r="A3980" s="1" t="s">
        <v>21505</v>
      </c>
      <c r="B3980" s="1" t="str">
        <f>"NWAMAKA OFFOR"</f>
        <v>NWAMAKA OFFOR</v>
      </c>
      <c r="C3980" s="1" t="s">
        <v>21506</v>
      </c>
      <c r="F3980" s="1" t="s">
        <v>21507</v>
      </c>
      <c r="H3980" s="1" t="s">
        <v>21508</v>
      </c>
      <c r="I3980" s="1" t="s">
        <v>5</v>
      </c>
      <c r="J3980" s="1" t="s">
        <v>67</v>
      </c>
      <c r="K3980" s="1" t="s">
        <v>14</v>
      </c>
      <c r="M3980" s="2">
        <v>42867</v>
      </c>
      <c r="N3980" s="1" t="s">
        <v>8</v>
      </c>
      <c r="O3980" s="1" t="s">
        <v>68</v>
      </c>
    </row>
    <row r="3981" spans="1:15" ht="28.8" x14ac:dyDescent="0.3">
      <c r="A3981" s="1" t="s">
        <v>21509</v>
      </c>
      <c r="B3981" s="1" t="str">
        <f>"mario marshall mario marshall"</f>
        <v>mario marshall mario marshall</v>
      </c>
      <c r="C3981" s="1" t="s">
        <v>21510</v>
      </c>
      <c r="F3981" s="1" t="s">
        <v>556</v>
      </c>
      <c r="H3981" s="1" t="s">
        <v>21511</v>
      </c>
      <c r="I3981" s="1" t="s">
        <v>5</v>
      </c>
      <c r="J3981" s="1" t="s">
        <v>6</v>
      </c>
      <c r="K3981" s="1" t="s">
        <v>24</v>
      </c>
      <c r="M3981" s="2">
        <v>42867</v>
      </c>
      <c r="N3981" s="1" t="s">
        <v>8</v>
      </c>
      <c r="O3981" s="2">
        <v>43963</v>
      </c>
    </row>
    <row r="3982" spans="1:15" ht="43.2" x14ac:dyDescent="0.3">
      <c r="A3982" s="1" t="s">
        <v>21512</v>
      </c>
      <c r="B3982" s="1" t="str">
        <f>"Anthony Parry"</f>
        <v>Anthony Parry</v>
      </c>
      <c r="C3982" s="1" t="s">
        <v>21513</v>
      </c>
      <c r="F3982" s="1" t="s">
        <v>2757</v>
      </c>
      <c r="H3982" s="1" t="s">
        <v>21514</v>
      </c>
      <c r="I3982" s="1" t="s">
        <v>5</v>
      </c>
      <c r="J3982" s="1" t="s">
        <v>67</v>
      </c>
      <c r="K3982" s="1" t="s">
        <v>14</v>
      </c>
      <c r="M3982" s="2">
        <v>42867</v>
      </c>
      <c r="N3982" s="1" t="s">
        <v>8</v>
      </c>
      <c r="O3982" s="1" t="s">
        <v>68</v>
      </c>
    </row>
    <row r="3983" spans="1:15" ht="43.2" x14ac:dyDescent="0.3">
      <c r="A3983" s="1" t="s">
        <v>21515</v>
      </c>
      <c r="B3983" s="1" t="str">
        <f>"Julian Waites"</f>
        <v>Julian Waites</v>
      </c>
      <c r="C3983" s="1" t="s">
        <v>21516</v>
      </c>
      <c r="D3983" s="1" t="s">
        <v>21517</v>
      </c>
      <c r="F3983" s="1" t="s">
        <v>2489</v>
      </c>
      <c r="H3983" s="1" t="s">
        <v>21518</v>
      </c>
      <c r="I3983" s="1" t="s">
        <v>5</v>
      </c>
      <c r="J3983" s="1" t="s">
        <v>67</v>
      </c>
      <c r="K3983" s="1" t="s">
        <v>24</v>
      </c>
      <c r="M3983" s="2">
        <v>42867</v>
      </c>
      <c r="N3983" s="1" t="s">
        <v>8</v>
      </c>
      <c r="O3983" s="1" t="s">
        <v>68</v>
      </c>
    </row>
    <row r="3984" spans="1:15" ht="28.8" x14ac:dyDescent="0.3">
      <c r="A3984" s="1" t="s">
        <v>6267</v>
      </c>
      <c r="B3984" s="1" t="str">
        <f>"AMS HEATING &amp; PLUMBING LTD"</f>
        <v>AMS HEATING &amp; PLUMBING LTD</v>
      </c>
      <c r="C3984" s="1" t="s">
        <v>6268</v>
      </c>
      <c r="D3984" s="1" t="s">
        <v>6269</v>
      </c>
      <c r="E3984" s="1" t="s">
        <v>1676</v>
      </c>
      <c r="F3984" s="1" t="s">
        <v>1341</v>
      </c>
      <c r="H3984" s="1" t="s">
        <v>6270</v>
      </c>
      <c r="I3984" s="1" t="s">
        <v>19</v>
      </c>
      <c r="J3984" s="1" t="s">
        <v>6</v>
      </c>
      <c r="K3984" s="1" t="s">
        <v>34</v>
      </c>
      <c r="L3984" s="1">
        <v>7334310</v>
      </c>
      <c r="M3984" s="2">
        <v>42866</v>
      </c>
      <c r="N3984" s="1" t="s">
        <v>8</v>
      </c>
      <c r="O3984" s="2">
        <v>43962</v>
      </c>
    </row>
    <row r="3985" spans="1:15" ht="28.8" x14ac:dyDescent="0.3">
      <c r="A3985" s="1" t="s">
        <v>6271</v>
      </c>
      <c r="B3985" s="1" t="str">
        <f>"Quickmove The Man with A Van Limite"</f>
        <v>Quickmove The Man with A Van Limite</v>
      </c>
      <c r="C3985" s="1" t="s">
        <v>6272</v>
      </c>
      <c r="F3985" s="1" t="s">
        <v>179</v>
      </c>
      <c r="H3985" s="1" t="s">
        <v>6273</v>
      </c>
      <c r="I3985" s="1" t="s">
        <v>19</v>
      </c>
      <c r="J3985" s="1" t="s">
        <v>6</v>
      </c>
      <c r="K3985" s="1" t="s">
        <v>24</v>
      </c>
      <c r="L3985" s="1">
        <v>10497017</v>
      </c>
      <c r="M3985" s="2">
        <v>42866</v>
      </c>
      <c r="N3985" s="1" t="s">
        <v>8</v>
      </c>
      <c r="O3985" s="2">
        <v>43962</v>
      </c>
    </row>
    <row r="3986" spans="1:15" ht="43.2" x14ac:dyDescent="0.3">
      <c r="A3986" s="1" t="s">
        <v>6274</v>
      </c>
      <c r="B3986" s="1" t="str">
        <f>"Sandbar "</f>
        <v xml:space="preserve">Sandbar </v>
      </c>
      <c r="C3986" s="1" t="s">
        <v>6275</v>
      </c>
      <c r="F3986" s="1" t="s">
        <v>1063</v>
      </c>
      <c r="H3986" s="1" t="s">
        <v>6276</v>
      </c>
      <c r="I3986" s="1" t="s">
        <v>19</v>
      </c>
      <c r="J3986" s="1" t="s">
        <v>67</v>
      </c>
      <c r="K3986" s="1" t="s">
        <v>14</v>
      </c>
      <c r="M3986" s="2">
        <v>42866</v>
      </c>
      <c r="N3986" s="1" t="s">
        <v>8</v>
      </c>
      <c r="O3986" s="1" t="s">
        <v>68</v>
      </c>
    </row>
    <row r="3987" spans="1:15" ht="28.8" x14ac:dyDescent="0.3">
      <c r="A3987" s="1" t="s">
        <v>6277</v>
      </c>
      <c r="B3987" s="1" t="str">
        <f>"C&amp;K Supplies (Uk) Ltd."</f>
        <v>C&amp;K Supplies (Uk) Ltd.</v>
      </c>
      <c r="C3987" s="1" t="s">
        <v>6278</v>
      </c>
      <c r="D3987" s="1" t="s">
        <v>1025</v>
      </c>
      <c r="F3987" s="1" t="s">
        <v>123</v>
      </c>
      <c r="H3987" s="1" t="s">
        <v>6279</v>
      </c>
      <c r="I3987" s="1" t="s">
        <v>19</v>
      </c>
      <c r="J3987" s="1" t="s">
        <v>6</v>
      </c>
      <c r="K3987" s="1" t="s">
        <v>34</v>
      </c>
      <c r="L3987" s="1">
        <v>5160195</v>
      </c>
      <c r="M3987" s="2">
        <v>42866</v>
      </c>
      <c r="N3987" s="1" t="s">
        <v>8</v>
      </c>
      <c r="O3987" s="2">
        <v>43962</v>
      </c>
    </row>
    <row r="3988" spans="1:15" ht="28.8" x14ac:dyDescent="0.3">
      <c r="A3988" s="1" t="s">
        <v>6280</v>
      </c>
      <c r="B3988" s="1" t="str">
        <f>"STIENS HAULAGE LTD"</f>
        <v>STIENS HAULAGE LTD</v>
      </c>
      <c r="C3988" s="1" t="s">
        <v>6281</v>
      </c>
      <c r="F3988" s="1" t="s">
        <v>64</v>
      </c>
      <c r="H3988" s="1" t="s">
        <v>6282</v>
      </c>
      <c r="I3988" s="1" t="s">
        <v>19</v>
      </c>
      <c r="J3988" s="1" t="s">
        <v>6</v>
      </c>
      <c r="K3988" s="1" t="s">
        <v>34</v>
      </c>
      <c r="L3988" s="1">
        <v>3712702</v>
      </c>
      <c r="M3988" s="2">
        <v>42866</v>
      </c>
      <c r="N3988" s="1" t="s">
        <v>8</v>
      </c>
      <c r="O3988" s="2">
        <v>43962</v>
      </c>
    </row>
    <row r="3989" spans="1:15" ht="28.8" x14ac:dyDescent="0.3">
      <c r="A3989" s="1" t="s">
        <v>6283</v>
      </c>
      <c r="B3989" s="1" t="str">
        <f>"J P Bulk Haulage ltd"</f>
        <v>J P Bulk Haulage ltd</v>
      </c>
      <c r="C3989" s="1" t="s">
        <v>6284</v>
      </c>
      <c r="F3989" s="1" t="s">
        <v>323</v>
      </c>
      <c r="G3989" s="1" t="s">
        <v>324</v>
      </c>
      <c r="H3989" s="1" t="s">
        <v>6285</v>
      </c>
      <c r="I3989" s="1" t="s">
        <v>19</v>
      </c>
      <c r="J3989" s="1" t="s">
        <v>6</v>
      </c>
      <c r="K3989" s="1" t="s">
        <v>24</v>
      </c>
      <c r="L3989" s="1">
        <v>7539041</v>
      </c>
      <c r="M3989" s="2">
        <v>42866</v>
      </c>
      <c r="N3989" s="1" t="s">
        <v>8</v>
      </c>
      <c r="O3989" s="2">
        <v>43961</v>
      </c>
    </row>
    <row r="3990" spans="1:15" ht="28.8" x14ac:dyDescent="0.3">
      <c r="A3990" s="1" t="s">
        <v>20712</v>
      </c>
      <c r="B3990" s="1" t="str">
        <f>"Shane  Tillotson  Shane Tillotson "</f>
        <v xml:space="preserve">Shane  Tillotson  Shane Tillotson </v>
      </c>
      <c r="C3990" s="1" t="s">
        <v>20713</v>
      </c>
      <c r="F3990" s="1" t="s">
        <v>665</v>
      </c>
      <c r="H3990" s="1" t="s">
        <v>20714</v>
      </c>
      <c r="I3990" s="1" t="s">
        <v>5</v>
      </c>
      <c r="J3990" s="1" t="s">
        <v>6</v>
      </c>
      <c r="K3990" s="1" t="s">
        <v>34</v>
      </c>
      <c r="M3990" s="2">
        <v>42866</v>
      </c>
      <c r="N3990" s="1" t="s">
        <v>8</v>
      </c>
      <c r="O3990" s="2">
        <v>43962</v>
      </c>
    </row>
    <row r="3991" spans="1:15" ht="28.8" x14ac:dyDescent="0.3">
      <c r="A3991" s="1" t="s">
        <v>20715</v>
      </c>
      <c r="B3991" s="1" t="str">
        <f>"Nigel Barnett Face Lift Gardening Services"</f>
        <v>Nigel Barnett Face Lift Gardening Services</v>
      </c>
      <c r="C3991" s="1" t="s">
        <v>20716</v>
      </c>
      <c r="F3991" s="1" t="s">
        <v>513</v>
      </c>
      <c r="H3991" s="1" t="s">
        <v>20717</v>
      </c>
      <c r="I3991" s="1" t="s">
        <v>5</v>
      </c>
      <c r="J3991" s="1" t="s">
        <v>6</v>
      </c>
      <c r="K3991" s="1" t="s">
        <v>24</v>
      </c>
      <c r="M3991" s="2">
        <v>42866</v>
      </c>
      <c r="N3991" s="1" t="s">
        <v>8</v>
      </c>
      <c r="O3991" s="2">
        <v>43962</v>
      </c>
    </row>
    <row r="3992" spans="1:15" ht="43.2" x14ac:dyDescent="0.3">
      <c r="A3992" s="1" t="s">
        <v>20718</v>
      </c>
      <c r="B3992" s="1" t="str">
        <f>"andrew davies A.W.D. Construction &amp; Maintenance"</f>
        <v>andrew davies A.W.D. Construction &amp; Maintenance</v>
      </c>
      <c r="C3992" s="1" t="s">
        <v>20719</v>
      </c>
      <c r="D3992" s="1" t="s">
        <v>20720</v>
      </c>
      <c r="F3992" s="1" t="s">
        <v>64</v>
      </c>
      <c r="H3992" s="1" t="s">
        <v>20721</v>
      </c>
      <c r="I3992" s="1" t="s">
        <v>5</v>
      </c>
      <c r="J3992" s="1" t="s">
        <v>6</v>
      </c>
      <c r="K3992" s="1" t="s">
        <v>24</v>
      </c>
      <c r="M3992" s="2">
        <v>42866</v>
      </c>
      <c r="N3992" s="1" t="s">
        <v>8</v>
      </c>
      <c r="O3992" s="2">
        <v>43962</v>
      </c>
    </row>
    <row r="3993" spans="1:15" ht="28.8" x14ac:dyDescent="0.3">
      <c r="A3993" s="1" t="s">
        <v>20722</v>
      </c>
      <c r="B3993" s="1" t="str">
        <f>"Jamie  Jenkins Jamie Jenkins"</f>
        <v>Jamie  Jenkins Jamie Jenkins</v>
      </c>
      <c r="C3993" s="1" t="s">
        <v>20723</v>
      </c>
      <c r="F3993" s="1" t="s">
        <v>20724</v>
      </c>
      <c r="H3993" s="1" t="s">
        <v>20725</v>
      </c>
      <c r="I3993" s="1" t="s">
        <v>5</v>
      </c>
      <c r="J3993" s="1" t="s">
        <v>6</v>
      </c>
      <c r="K3993" s="1" t="s">
        <v>34</v>
      </c>
      <c r="M3993" s="2">
        <v>42866</v>
      </c>
      <c r="N3993" s="1" t="s">
        <v>8</v>
      </c>
      <c r="O3993" s="2">
        <v>43962</v>
      </c>
    </row>
    <row r="3994" spans="1:15" ht="43.2" x14ac:dyDescent="0.3">
      <c r="A3994" s="1" t="s">
        <v>20726</v>
      </c>
      <c r="B3994" s="1" t="str">
        <f>"ALUN PIERCE"</f>
        <v>ALUN PIERCE</v>
      </c>
      <c r="C3994" s="1" t="s">
        <v>20727</v>
      </c>
      <c r="F3994" s="1" t="s">
        <v>922</v>
      </c>
      <c r="H3994" s="1" t="s">
        <v>20728</v>
      </c>
      <c r="I3994" s="1" t="s">
        <v>5</v>
      </c>
      <c r="J3994" s="1" t="s">
        <v>67</v>
      </c>
      <c r="K3994" s="1" t="s">
        <v>14</v>
      </c>
      <c r="M3994" s="2">
        <v>42866</v>
      </c>
      <c r="N3994" s="1" t="s">
        <v>8</v>
      </c>
      <c r="O3994" s="1" t="s">
        <v>68</v>
      </c>
    </row>
    <row r="3995" spans="1:15" x14ac:dyDescent="0.3">
      <c r="A3995" s="1" t="s">
        <v>20729</v>
      </c>
      <c r="B3995" s="1" t="str">
        <f>"Steven Gilmore"</f>
        <v>Steven Gilmore</v>
      </c>
      <c r="C3995" s="1" t="s">
        <v>20730</v>
      </c>
      <c r="F3995" s="1" t="s">
        <v>2504</v>
      </c>
      <c r="H3995" s="1" t="s">
        <v>20731</v>
      </c>
      <c r="I3995" s="1" t="s">
        <v>5</v>
      </c>
      <c r="J3995" s="1" t="s">
        <v>6</v>
      </c>
      <c r="K3995" s="1" t="s">
        <v>24</v>
      </c>
      <c r="M3995" s="2">
        <v>42866</v>
      </c>
      <c r="N3995" s="1" t="s">
        <v>8</v>
      </c>
      <c r="O3995" s="2">
        <v>43962</v>
      </c>
    </row>
    <row r="3996" spans="1:15" x14ac:dyDescent="0.3">
      <c r="A3996" s="1" t="s">
        <v>20732</v>
      </c>
      <c r="B3996" s="1" t="str">
        <f>"Chris Gill BJZ"</f>
        <v>Chris Gill BJZ</v>
      </c>
      <c r="C3996" s="1" t="s">
        <v>20733</v>
      </c>
      <c r="F3996" s="1" t="s">
        <v>179</v>
      </c>
      <c r="H3996" s="1" t="s">
        <v>20734</v>
      </c>
      <c r="I3996" s="1" t="s">
        <v>5</v>
      </c>
      <c r="J3996" s="1" t="s">
        <v>6</v>
      </c>
      <c r="K3996" s="1" t="s">
        <v>24</v>
      </c>
      <c r="M3996" s="2">
        <v>42866</v>
      </c>
      <c r="N3996" s="1" t="s">
        <v>8</v>
      </c>
      <c r="O3996" s="2">
        <v>43962</v>
      </c>
    </row>
    <row r="3997" spans="1:15" x14ac:dyDescent="0.3">
      <c r="A3997" s="1" t="s">
        <v>5059</v>
      </c>
      <c r="B3997" s="1" t="str">
        <f>"G L Davies Plumbing Ltd"</f>
        <v>G L Davies Plumbing Ltd</v>
      </c>
      <c r="C3997" s="1" t="s">
        <v>5060</v>
      </c>
      <c r="F3997" s="1" t="s">
        <v>1093</v>
      </c>
      <c r="H3997" s="1" t="s">
        <v>5061</v>
      </c>
      <c r="I3997" s="1" t="s">
        <v>19</v>
      </c>
      <c r="J3997" s="1" t="s">
        <v>6</v>
      </c>
      <c r="K3997" s="1" t="s">
        <v>24</v>
      </c>
      <c r="L3997" s="1">
        <v>10740653</v>
      </c>
      <c r="M3997" s="2">
        <v>42865</v>
      </c>
      <c r="N3997" s="1" t="s">
        <v>8</v>
      </c>
      <c r="O3997" s="2">
        <v>43961</v>
      </c>
    </row>
    <row r="3998" spans="1:15" ht="28.8" x14ac:dyDescent="0.3">
      <c r="A3998" s="1" t="s">
        <v>5062</v>
      </c>
      <c r="B3998" s="1" t="str">
        <f>"BLUE ROCK CONSTRUCTION LTD"</f>
        <v>BLUE ROCK CONSTRUCTION LTD</v>
      </c>
      <c r="C3998" s="1" t="s">
        <v>5063</v>
      </c>
      <c r="F3998" s="1" t="s">
        <v>64</v>
      </c>
      <c r="H3998" s="1" t="s">
        <v>5064</v>
      </c>
      <c r="I3998" s="1" t="s">
        <v>19</v>
      </c>
      <c r="J3998" s="1" t="s">
        <v>6</v>
      </c>
      <c r="K3998" s="1" t="s">
        <v>24</v>
      </c>
      <c r="L3998" s="1">
        <v>5784087</v>
      </c>
      <c r="M3998" s="2">
        <v>42865</v>
      </c>
      <c r="N3998" s="1" t="s">
        <v>8</v>
      </c>
      <c r="O3998" s="2">
        <v>43961</v>
      </c>
    </row>
    <row r="3999" spans="1:15" ht="28.8" x14ac:dyDescent="0.3">
      <c r="A3999" s="1" t="s">
        <v>5065</v>
      </c>
      <c r="B3999" s="1" t="str">
        <f>"Stafford Construction Ltd."</f>
        <v>Stafford Construction Ltd.</v>
      </c>
      <c r="C3999" s="1" t="s">
        <v>5066</v>
      </c>
      <c r="F3999" s="1" t="s">
        <v>825</v>
      </c>
      <c r="H3999" s="1" t="s">
        <v>5067</v>
      </c>
      <c r="I3999" s="1" t="s">
        <v>19</v>
      </c>
      <c r="J3999" s="1" t="s">
        <v>6</v>
      </c>
      <c r="K3999" s="1" t="s">
        <v>24</v>
      </c>
      <c r="L3999" s="1">
        <v>2817891</v>
      </c>
      <c r="M3999" s="2">
        <v>42865</v>
      </c>
      <c r="N3999" s="1" t="s">
        <v>8</v>
      </c>
      <c r="O3999" s="2">
        <v>43961</v>
      </c>
    </row>
    <row r="4000" spans="1:15" ht="28.8" x14ac:dyDescent="0.3">
      <c r="A4000" s="1" t="s">
        <v>5068</v>
      </c>
      <c r="B4000" s="1" t="str">
        <f>"James And Elijah Freeman"</f>
        <v>James And Elijah Freeman</v>
      </c>
      <c r="C4000" s="1" t="s">
        <v>5069</v>
      </c>
      <c r="F4000" s="1" t="s">
        <v>5070</v>
      </c>
      <c r="H4000" s="1" t="s">
        <v>5071</v>
      </c>
      <c r="I4000" s="1" t="s">
        <v>125</v>
      </c>
      <c r="J4000" s="1" t="s">
        <v>6</v>
      </c>
      <c r="K4000" s="1" t="s">
        <v>24</v>
      </c>
      <c r="M4000" s="2">
        <v>42865</v>
      </c>
      <c r="N4000" s="1" t="s">
        <v>8</v>
      </c>
      <c r="O4000" s="2">
        <v>43961</v>
      </c>
    </row>
    <row r="4001" spans="1:15" ht="43.2" x14ac:dyDescent="0.3">
      <c r="A4001" s="1" t="s">
        <v>5072</v>
      </c>
      <c r="B4001" s="1" t="str">
        <f>"Haygarth Doctors"</f>
        <v>Haygarth Doctors</v>
      </c>
      <c r="C4001" s="1" t="s">
        <v>5073</v>
      </c>
      <c r="D4001" s="1" t="s">
        <v>5074</v>
      </c>
      <c r="F4001" s="1" t="s">
        <v>1206</v>
      </c>
      <c r="H4001" s="1" t="s">
        <v>5075</v>
      </c>
      <c r="I4001" s="1" t="s">
        <v>125</v>
      </c>
      <c r="J4001" s="1" t="s">
        <v>67</v>
      </c>
      <c r="K4001" s="1" t="s">
        <v>14</v>
      </c>
      <c r="M4001" s="2">
        <v>42865</v>
      </c>
      <c r="N4001" s="1" t="s">
        <v>8</v>
      </c>
      <c r="O4001" s="1" t="s">
        <v>68</v>
      </c>
    </row>
    <row r="4002" spans="1:15" ht="43.2" x14ac:dyDescent="0.3">
      <c r="A4002" s="1" t="s">
        <v>5076</v>
      </c>
      <c r="B4002" s="1" t="str">
        <f>"Haygarth Doctors"</f>
        <v>Haygarth Doctors</v>
      </c>
      <c r="C4002" s="1" t="s">
        <v>5077</v>
      </c>
      <c r="D4002" s="1" t="s">
        <v>5078</v>
      </c>
      <c r="F4002" s="1" t="s">
        <v>3337</v>
      </c>
      <c r="H4002" s="1" t="s">
        <v>5079</v>
      </c>
      <c r="I4002" s="1" t="s">
        <v>125</v>
      </c>
      <c r="J4002" s="1" t="s">
        <v>67</v>
      </c>
      <c r="K4002" s="1" t="s">
        <v>14</v>
      </c>
      <c r="M4002" s="2">
        <v>42865</v>
      </c>
      <c r="N4002" s="1" t="s">
        <v>8</v>
      </c>
      <c r="O4002" s="1" t="s">
        <v>68</v>
      </c>
    </row>
    <row r="4003" spans="1:15" ht="28.8" x14ac:dyDescent="0.3">
      <c r="A4003" s="1" t="s">
        <v>5080</v>
      </c>
      <c r="B4003" s="1" t="str">
        <f>"Northall's Wrought Iron Designs Ltd."</f>
        <v>Northall's Wrought Iron Designs Ltd.</v>
      </c>
      <c r="C4003" s="1" t="s">
        <v>5081</v>
      </c>
      <c r="D4003" s="1" t="s">
        <v>3015</v>
      </c>
      <c r="F4003" s="1" t="s">
        <v>532</v>
      </c>
      <c r="H4003" s="1" t="s">
        <v>5082</v>
      </c>
      <c r="I4003" s="1" t="s">
        <v>19</v>
      </c>
      <c r="J4003" s="1" t="s">
        <v>6</v>
      </c>
      <c r="K4003" s="1" t="s">
        <v>24</v>
      </c>
      <c r="L4003" s="1">
        <v>5765829</v>
      </c>
      <c r="M4003" s="2">
        <v>42865</v>
      </c>
      <c r="N4003" s="1" t="s">
        <v>8</v>
      </c>
      <c r="O4003" s="2">
        <v>43961</v>
      </c>
    </row>
    <row r="4004" spans="1:15" ht="28.8" x14ac:dyDescent="0.3">
      <c r="A4004" s="1" t="s">
        <v>5083</v>
      </c>
      <c r="B4004" s="1" t="str">
        <f>"HFD LTD"</f>
        <v>HFD LTD</v>
      </c>
      <c r="C4004" s="1" t="s">
        <v>5084</v>
      </c>
      <c r="F4004" s="1" t="s">
        <v>179</v>
      </c>
      <c r="H4004" s="1" t="s">
        <v>5085</v>
      </c>
      <c r="I4004" s="1" t="s">
        <v>19</v>
      </c>
      <c r="J4004" s="1" t="s">
        <v>6</v>
      </c>
      <c r="K4004" s="1" t="s">
        <v>24</v>
      </c>
      <c r="L4004" s="1">
        <v>2674152</v>
      </c>
      <c r="M4004" s="2">
        <v>42865</v>
      </c>
      <c r="N4004" s="1" t="s">
        <v>8</v>
      </c>
      <c r="O4004" s="2">
        <v>43961</v>
      </c>
    </row>
    <row r="4005" spans="1:15" ht="28.8" x14ac:dyDescent="0.3">
      <c r="A4005" s="1" t="s">
        <v>6263</v>
      </c>
      <c r="B4005" s="1" t="str">
        <f>"Fast International"</f>
        <v>Fast International</v>
      </c>
      <c r="C4005" s="1" t="s">
        <v>6264</v>
      </c>
      <c r="F4005" s="1" t="s">
        <v>6265</v>
      </c>
      <c r="H4005" s="1" t="s">
        <v>6266</v>
      </c>
      <c r="I4005" s="1" t="s">
        <v>125</v>
      </c>
      <c r="J4005" s="1" t="s">
        <v>6</v>
      </c>
      <c r="K4005" s="1" t="s">
        <v>34</v>
      </c>
      <c r="M4005" s="2">
        <v>42865</v>
      </c>
      <c r="N4005" s="1" t="s">
        <v>8</v>
      </c>
      <c r="O4005" s="2">
        <v>43961</v>
      </c>
    </row>
    <row r="4006" spans="1:15" ht="28.8" x14ac:dyDescent="0.3">
      <c r="A4006" s="1" t="s">
        <v>19921</v>
      </c>
      <c r="B4006" s="1" t="str">
        <f>"Malcolm Jones Landstyle Landscapes"</f>
        <v>Malcolm Jones Landstyle Landscapes</v>
      </c>
      <c r="C4006" s="1" t="s">
        <v>19922</v>
      </c>
      <c r="F4006" s="1" t="s">
        <v>2686</v>
      </c>
      <c r="H4006" s="1" t="s">
        <v>19923</v>
      </c>
      <c r="I4006" s="1" t="s">
        <v>5</v>
      </c>
      <c r="J4006" s="1" t="s">
        <v>6</v>
      </c>
      <c r="K4006" s="1" t="s">
        <v>24</v>
      </c>
      <c r="M4006" s="2">
        <v>42865</v>
      </c>
      <c r="N4006" s="1" t="s">
        <v>8</v>
      </c>
      <c r="O4006" s="2">
        <v>43961</v>
      </c>
    </row>
    <row r="4007" spans="1:15" ht="28.8" x14ac:dyDescent="0.3">
      <c r="A4007" s="1" t="s">
        <v>19924</v>
      </c>
      <c r="B4007" s="1" t="str">
        <f>"Huw Price Huw ap Thomas Price"</f>
        <v>Huw Price Huw ap Thomas Price</v>
      </c>
      <c r="C4007" s="1" t="s">
        <v>19925</v>
      </c>
      <c r="F4007" s="1" t="s">
        <v>1400</v>
      </c>
      <c r="H4007" s="1" t="s">
        <v>19926</v>
      </c>
      <c r="I4007" s="1" t="s">
        <v>5</v>
      </c>
      <c r="J4007" s="1" t="s">
        <v>6</v>
      </c>
      <c r="K4007" s="1" t="s">
        <v>24</v>
      </c>
      <c r="M4007" s="2">
        <v>42865</v>
      </c>
      <c r="N4007" s="1" t="s">
        <v>8</v>
      </c>
      <c r="O4007" s="2">
        <v>43961</v>
      </c>
    </row>
    <row r="4008" spans="1:15" ht="28.8" x14ac:dyDescent="0.3">
      <c r="A4008" s="1" t="s">
        <v>19927</v>
      </c>
      <c r="B4008" s="1" t="str">
        <f>"Eric Thomas E.W. Thomas"</f>
        <v>Eric Thomas E.W. Thomas</v>
      </c>
      <c r="C4008" s="1" t="s">
        <v>19928</v>
      </c>
      <c r="D4008" s="1" t="s">
        <v>790</v>
      </c>
      <c r="F4008" s="1" t="s">
        <v>3</v>
      </c>
      <c r="H4008" s="1" t="s">
        <v>19929</v>
      </c>
      <c r="I4008" s="1" t="s">
        <v>5</v>
      </c>
      <c r="J4008" s="1" t="s">
        <v>6</v>
      </c>
      <c r="K4008" s="1" t="s">
        <v>34</v>
      </c>
      <c r="M4008" s="2">
        <v>42865</v>
      </c>
      <c r="N4008" s="1" t="s">
        <v>8</v>
      </c>
      <c r="O4008" s="2">
        <v>43961</v>
      </c>
    </row>
    <row r="4009" spans="1:15" ht="28.8" x14ac:dyDescent="0.3">
      <c r="A4009" s="1" t="s">
        <v>20709</v>
      </c>
      <c r="B4009" s="1" t="str">
        <f>"Carl Way Carl way builders"</f>
        <v>Carl Way Carl way builders</v>
      </c>
      <c r="C4009" s="1" t="s">
        <v>20710</v>
      </c>
      <c r="F4009" s="1" t="s">
        <v>457</v>
      </c>
      <c r="H4009" s="1" t="s">
        <v>20711</v>
      </c>
      <c r="I4009" s="1" t="s">
        <v>5</v>
      </c>
      <c r="J4009" s="1" t="s">
        <v>6</v>
      </c>
      <c r="K4009" s="1" t="s">
        <v>24</v>
      </c>
      <c r="M4009" s="2">
        <v>42865</v>
      </c>
      <c r="N4009" s="1" t="s">
        <v>8</v>
      </c>
      <c r="O4009" s="2">
        <v>43961</v>
      </c>
    </row>
    <row r="4010" spans="1:15" ht="43.2" x14ac:dyDescent="0.3">
      <c r="A4010" s="1" t="s">
        <v>3913</v>
      </c>
      <c r="B4010" s="1" t="str">
        <f>"Taff Housing Association"</f>
        <v>Taff Housing Association</v>
      </c>
      <c r="C4010" s="1" t="s">
        <v>3914</v>
      </c>
      <c r="F4010" s="1" t="s">
        <v>27</v>
      </c>
      <c r="H4010" s="1" t="s">
        <v>3915</v>
      </c>
      <c r="I4010" s="1" t="s">
        <v>1872</v>
      </c>
      <c r="J4010" s="1" t="s">
        <v>67</v>
      </c>
      <c r="K4010" s="1" t="s">
        <v>14</v>
      </c>
      <c r="M4010" s="2">
        <v>42864</v>
      </c>
      <c r="N4010" s="1" t="s">
        <v>8</v>
      </c>
      <c r="O4010" s="1" t="s">
        <v>68</v>
      </c>
    </row>
    <row r="4011" spans="1:15" ht="43.2" x14ac:dyDescent="0.3">
      <c r="A4011" s="1" t="s">
        <v>3916</v>
      </c>
      <c r="B4011" s="1" t="str">
        <f>"Quay Street Cottages"</f>
        <v>Quay Street Cottages</v>
      </c>
      <c r="C4011" s="1" t="s">
        <v>3917</v>
      </c>
      <c r="F4011" s="1" t="s">
        <v>3888</v>
      </c>
      <c r="H4011" s="1" t="s">
        <v>3918</v>
      </c>
      <c r="I4011" s="1" t="s">
        <v>125</v>
      </c>
      <c r="J4011" s="1" t="s">
        <v>67</v>
      </c>
      <c r="K4011" s="1" t="s">
        <v>24</v>
      </c>
      <c r="M4011" s="2">
        <v>42864</v>
      </c>
      <c r="N4011" s="1" t="s">
        <v>8</v>
      </c>
      <c r="O4011" s="1" t="s">
        <v>68</v>
      </c>
    </row>
    <row r="4012" spans="1:15" x14ac:dyDescent="0.3">
      <c r="A4012" s="1" t="s">
        <v>3919</v>
      </c>
      <c r="B4012" s="1" t="str">
        <f>"Paddock Electrical Ltd"</f>
        <v>Paddock Electrical Ltd</v>
      </c>
      <c r="C4012" s="1" t="s">
        <v>3920</v>
      </c>
      <c r="F4012" s="1" t="s">
        <v>416</v>
      </c>
      <c r="H4012" s="1" t="s">
        <v>3921</v>
      </c>
      <c r="I4012" s="1" t="s">
        <v>19</v>
      </c>
      <c r="J4012" s="1" t="s">
        <v>6</v>
      </c>
      <c r="K4012" s="1" t="s">
        <v>24</v>
      </c>
      <c r="L4012" s="1">
        <v>4703714</v>
      </c>
      <c r="M4012" s="2">
        <v>42864</v>
      </c>
      <c r="N4012" s="1" t="s">
        <v>8</v>
      </c>
      <c r="O4012" s="2">
        <v>43960</v>
      </c>
    </row>
    <row r="4013" spans="1:15" ht="28.8" x14ac:dyDescent="0.3">
      <c r="A4013" s="1" t="s">
        <v>3922</v>
      </c>
      <c r="B4013" s="1" t="str">
        <f>"Llwyn Landscapes ltd"</f>
        <v>Llwyn Landscapes ltd</v>
      </c>
      <c r="C4013" s="1" t="s">
        <v>3923</v>
      </c>
      <c r="D4013" s="1" t="s">
        <v>3924</v>
      </c>
      <c r="F4013" s="1" t="s">
        <v>3925</v>
      </c>
      <c r="H4013" s="1" t="s">
        <v>3926</v>
      </c>
      <c r="I4013" s="1" t="s">
        <v>19</v>
      </c>
      <c r="J4013" s="1" t="s">
        <v>6</v>
      </c>
      <c r="K4013" s="1" t="s">
        <v>34</v>
      </c>
      <c r="L4013" s="1">
        <v>9763562</v>
      </c>
      <c r="M4013" s="2">
        <v>42864</v>
      </c>
      <c r="N4013" s="1" t="s">
        <v>8</v>
      </c>
      <c r="O4013" s="2">
        <v>43960</v>
      </c>
    </row>
    <row r="4014" spans="1:15" ht="43.2" x14ac:dyDescent="0.3">
      <c r="A4014" s="1" t="s">
        <v>5056</v>
      </c>
      <c r="B4014" s="1" t="str">
        <f>"Baldwin Locksmiths Ltd"</f>
        <v>Baldwin Locksmiths Ltd</v>
      </c>
      <c r="C4014" s="1" t="s">
        <v>5057</v>
      </c>
      <c r="F4014" s="1" t="s">
        <v>91</v>
      </c>
      <c r="H4014" s="1" t="s">
        <v>5058</v>
      </c>
      <c r="I4014" s="1" t="s">
        <v>19</v>
      </c>
      <c r="J4014" s="1" t="s">
        <v>67</v>
      </c>
      <c r="K4014" s="1" t="s">
        <v>14</v>
      </c>
      <c r="M4014" s="2">
        <v>42864</v>
      </c>
      <c r="N4014" s="1" t="s">
        <v>8</v>
      </c>
      <c r="O4014" s="1" t="s">
        <v>68</v>
      </c>
    </row>
    <row r="4015" spans="1:15" ht="28.8" x14ac:dyDescent="0.3">
      <c r="A4015" s="1" t="s">
        <v>19127</v>
      </c>
      <c r="B4015" s="1" t="str">
        <f>"PHILLIP GEORGATOS PWS Welding Services"</f>
        <v>PHILLIP GEORGATOS PWS Welding Services</v>
      </c>
      <c r="C4015" s="1" t="s">
        <v>19128</v>
      </c>
      <c r="F4015" s="1" t="s">
        <v>27</v>
      </c>
      <c r="H4015" s="1" t="s">
        <v>19129</v>
      </c>
      <c r="I4015" s="1" t="s">
        <v>5</v>
      </c>
      <c r="J4015" s="1" t="s">
        <v>6</v>
      </c>
      <c r="K4015" s="1" t="s">
        <v>34</v>
      </c>
      <c r="M4015" s="2">
        <v>42864</v>
      </c>
      <c r="N4015" s="1" t="s">
        <v>8</v>
      </c>
      <c r="O4015" s="2">
        <v>43960</v>
      </c>
    </row>
    <row r="4016" spans="1:15" ht="43.2" x14ac:dyDescent="0.3">
      <c r="A4016" s="1" t="s">
        <v>19130</v>
      </c>
      <c r="B4016" s="1" t="str">
        <f>"Keith Harris "</f>
        <v xml:space="preserve">Keith Harris </v>
      </c>
      <c r="C4016" s="1" t="s">
        <v>19131</v>
      </c>
      <c r="F4016" s="1" t="s">
        <v>3452</v>
      </c>
      <c r="H4016" s="1" t="s">
        <v>19132</v>
      </c>
      <c r="I4016" s="1" t="s">
        <v>5</v>
      </c>
      <c r="J4016" s="1" t="s">
        <v>67</v>
      </c>
      <c r="K4016" s="1" t="s">
        <v>14</v>
      </c>
      <c r="M4016" s="2">
        <v>42864</v>
      </c>
      <c r="N4016" s="1" t="s">
        <v>8</v>
      </c>
      <c r="O4016" s="1" t="s">
        <v>68</v>
      </c>
    </row>
    <row r="4017" spans="1:15" ht="28.8" x14ac:dyDescent="0.3">
      <c r="A4017" s="1" t="s">
        <v>19133</v>
      </c>
      <c r="B4017" s="1" t="str">
        <f>"Neil Rochard Neil Rochard"</f>
        <v>Neil Rochard Neil Rochard</v>
      </c>
      <c r="C4017" s="1" t="s">
        <v>19134</v>
      </c>
      <c r="F4017" s="1" t="s">
        <v>65</v>
      </c>
      <c r="H4017" s="1" t="s">
        <v>19135</v>
      </c>
      <c r="I4017" s="1" t="s">
        <v>5</v>
      </c>
      <c r="J4017" s="1" t="s">
        <v>6</v>
      </c>
      <c r="K4017" s="1" t="s">
        <v>24</v>
      </c>
      <c r="M4017" s="2">
        <v>42864</v>
      </c>
      <c r="N4017" s="1" t="s">
        <v>8</v>
      </c>
      <c r="O4017" s="2">
        <v>43960</v>
      </c>
    </row>
    <row r="4018" spans="1:15" ht="28.8" x14ac:dyDescent="0.3">
      <c r="A4018" s="1" t="s">
        <v>19136</v>
      </c>
      <c r="B4018" s="1" t="str">
        <f>"Gareth Price C &amp; C Metals"</f>
        <v>Gareth Price C &amp; C Metals</v>
      </c>
      <c r="C4018" s="1" t="s">
        <v>19137</v>
      </c>
      <c r="F4018" s="1" t="s">
        <v>65</v>
      </c>
      <c r="H4018" s="1" t="s">
        <v>19138</v>
      </c>
      <c r="I4018" s="1" t="s">
        <v>5</v>
      </c>
      <c r="J4018" s="1" t="s">
        <v>6</v>
      </c>
      <c r="K4018" s="1" t="s">
        <v>24</v>
      </c>
      <c r="M4018" s="2">
        <v>42864</v>
      </c>
      <c r="N4018" s="1" t="s">
        <v>8</v>
      </c>
      <c r="O4018" s="2">
        <v>43960</v>
      </c>
    </row>
    <row r="4019" spans="1:15" ht="28.8" x14ac:dyDescent="0.3">
      <c r="A4019" s="1" t="s">
        <v>19139</v>
      </c>
      <c r="B4019" s="1" t="str">
        <f>"gareth edwards The Old school Builders"</f>
        <v>gareth edwards The Old school Builders</v>
      </c>
      <c r="C4019" s="1" t="s">
        <v>19140</v>
      </c>
      <c r="F4019" s="1" t="s">
        <v>2504</v>
      </c>
      <c r="H4019" s="1" t="s">
        <v>19141</v>
      </c>
      <c r="I4019" s="1" t="s">
        <v>5</v>
      </c>
      <c r="J4019" s="1" t="s">
        <v>6</v>
      </c>
      <c r="K4019" s="1" t="s">
        <v>34</v>
      </c>
      <c r="M4019" s="2">
        <v>42864</v>
      </c>
      <c r="N4019" s="1" t="s">
        <v>8</v>
      </c>
      <c r="O4019" s="2">
        <v>43960</v>
      </c>
    </row>
    <row r="4020" spans="1:15" ht="28.8" x14ac:dyDescent="0.3">
      <c r="A4020" s="1" t="s">
        <v>19142</v>
      </c>
      <c r="B4020" s="1" t="str">
        <f>"Brett  Turner Turners Waste"</f>
        <v>Brett  Turner Turners Waste</v>
      </c>
      <c r="C4020" s="1" t="s">
        <v>19143</v>
      </c>
      <c r="F4020" s="1" t="s">
        <v>621</v>
      </c>
      <c r="H4020" s="1" t="s">
        <v>19144</v>
      </c>
      <c r="I4020" s="1" t="s">
        <v>5</v>
      </c>
      <c r="J4020" s="1" t="s">
        <v>6</v>
      </c>
      <c r="K4020" s="1" t="s">
        <v>24</v>
      </c>
      <c r="M4020" s="2">
        <v>42864</v>
      </c>
      <c r="N4020" s="1" t="s">
        <v>8</v>
      </c>
      <c r="O4020" s="2">
        <v>43960</v>
      </c>
    </row>
    <row r="4021" spans="1:15" ht="43.2" x14ac:dyDescent="0.3">
      <c r="A4021" s="1" t="s">
        <v>19918</v>
      </c>
      <c r="B4021" s="1" t="str">
        <f>"Marcus Caller"</f>
        <v>Marcus Caller</v>
      </c>
      <c r="C4021" s="1" t="s">
        <v>19919</v>
      </c>
      <c r="F4021" s="1" t="s">
        <v>7125</v>
      </c>
      <c r="H4021" s="1" t="s">
        <v>19920</v>
      </c>
      <c r="I4021" s="1" t="s">
        <v>5</v>
      </c>
      <c r="J4021" s="1" t="s">
        <v>67</v>
      </c>
      <c r="K4021" s="1" t="s">
        <v>14</v>
      </c>
      <c r="M4021" s="2">
        <v>42864</v>
      </c>
      <c r="N4021" s="1" t="s">
        <v>8</v>
      </c>
      <c r="O4021" s="1" t="s">
        <v>68</v>
      </c>
    </row>
    <row r="4022" spans="1:15" ht="28.8" x14ac:dyDescent="0.3">
      <c r="A4022" s="1" t="s">
        <v>3910</v>
      </c>
      <c r="B4022" s="1" t="str">
        <f>"R Thomas Plumbing and Heating Ltd "</f>
        <v xml:space="preserve">R Thomas Plumbing and Heating Ltd </v>
      </c>
      <c r="C4022" s="1" t="s">
        <v>3911</v>
      </c>
      <c r="F4022" s="1" t="s">
        <v>27</v>
      </c>
      <c r="H4022" s="1" t="s">
        <v>3912</v>
      </c>
      <c r="I4022" s="1" t="s">
        <v>19</v>
      </c>
      <c r="J4022" s="1" t="s">
        <v>6</v>
      </c>
      <c r="K4022" s="1" t="s">
        <v>24</v>
      </c>
      <c r="L4022" s="1">
        <v>8185897</v>
      </c>
      <c r="M4022" s="2">
        <v>42863</v>
      </c>
      <c r="N4022" s="1" t="s">
        <v>8</v>
      </c>
      <c r="O4022" s="2">
        <v>43959</v>
      </c>
    </row>
    <row r="4023" spans="1:15" x14ac:dyDescent="0.3">
      <c r="A4023" s="1" t="s">
        <v>17680</v>
      </c>
      <c r="B4023" s="1" t="str">
        <f>"Eric&amp; Rob Humphreys"</f>
        <v>Eric&amp; Rob Humphreys</v>
      </c>
      <c r="C4023" s="1" t="s">
        <v>17681</v>
      </c>
      <c r="F4023" s="1" t="s">
        <v>1880</v>
      </c>
      <c r="H4023" s="1" t="s">
        <v>17682</v>
      </c>
      <c r="I4023" s="1" t="s">
        <v>125</v>
      </c>
      <c r="J4023" s="1" t="s">
        <v>6</v>
      </c>
      <c r="K4023" s="1" t="s">
        <v>24</v>
      </c>
      <c r="M4023" s="2">
        <v>42863</v>
      </c>
      <c r="N4023" s="1" t="s">
        <v>8</v>
      </c>
      <c r="O4023" s="2">
        <v>43959</v>
      </c>
    </row>
    <row r="4024" spans="1:15" ht="28.8" x14ac:dyDescent="0.3">
      <c r="A4024" s="1" t="s">
        <v>17683</v>
      </c>
      <c r="B4024" s="1" t="str">
        <f>"DERWEN AGGREGATES LTD"</f>
        <v>DERWEN AGGREGATES LTD</v>
      </c>
      <c r="C4024" s="1" t="s">
        <v>3841</v>
      </c>
      <c r="D4024" s="1" t="s">
        <v>3842</v>
      </c>
      <c r="F4024" s="1" t="s">
        <v>32</v>
      </c>
      <c r="H4024" s="1" t="s">
        <v>3843</v>
      </c>
      <c r="I4024" s="1" t="s">
        <v>19</v>
      </c>
      <c r="J4024" s="1" t="s">
        <v>6</v>
      </c>
      <c r="K4024" s="1" t="s">
        <v>34</v>
      </c>
      <c r="L4024" s="1">
        <v>3104740</v>
      </c>
      <c r="M4024" s="2">
        <v>42863</v>
      </c>
      <c r="N4024" s="1" t="s">
        <v>8</v>
      </c>
      <c r="O4024" s="2">
        <v>43957</v>
      </c>
    </row>
    <row r="4025" spans="1:15" ht="28.8" x14ac:dyDescent="0.3">
      <c r="A4025" s="1" t="s">
        <v>17684</v>
      </c>
      <c r="B4025" s="1" t="str">
        <f>"Consilium Resource Management"</f>
        <v>Consilium Resource Management</v>
      </c>
      <c r="C4025" s="1" t="s">
        <v>17685</v>
      </c>
      <c r="D4025" s="1" t="s">
        <v>17686</v>
      </c>
      <c r="F4025" s="1" t="s">
        <v>17687</v>
      </c>
      <c r="H4025" s="1" t="s">
        <v>17688</v>
      </c>
      <c r="I4025" s="1" t="s">
        <v>19</v>
      </c>
      <c r="J4025" s="1" t="s">
        <v>6</v>
      </c>
      <c r="K4025" s="1" t="s">
        <v>34</v>
      </c>
      <c r="L4025" s="1">
        <v>10392354</v>
      </c>
      <c r="M4025" s="2">
        <v>42863</v>
      </c>
      <c r="N4025" s="1" t="s">
        <v>8</v>
      </c>
      <c r="O4025" s="2">
        <v>43959</v>
      </c>
    </row>
    <row r="4026" spans="1:15" ht="28.8" x14ac:dyDescent="0.3">
      <c r="A4026" s="1" t="s">
        <v>19124</v>
      </c>
      <c r="B4026" s="1" t="str">
        <f>"Stephen Strasdin Sign installation wales"</f>
        <v>Stephen Strasdin Sign installation wales</v>
      </c>
      <c r="C4026" s="1" t="s">
        <v>19125</v>
      </c>
      <c r="F4026" s="1" t="s">
        <v>12</v>
      </c>
      <c r="H4026" s="1" t="s">
        <v>19126</v>
      </c>
      <c r="I4026" s="1" t="s">
        <v>5</v>
      </c>
      <c r="J4026" s="1" t="s">
        <v>6</v>
      </c>
      <c r="K4026" s="1" t="s">
        <v>24</v>
      </c>
      <c r="M4026" s="2">
        <v>42863</v>
      </c>
      <c r="N4026" s="1" t="s">
        <v>8</v>
      </c>
      <c r="O4026" s="2">
        <v>43959</v>
      </c>
    </row>
    <row r="4027" spans="1:15" ht="43.2" x14ac:dyDescent="0.3">
      <c r="A4027" s="1" t="s">
        <v>29401</v>
      </c>
      <c r="B4027" s="1" t="str">
        <f>"Sasha Macken"</f>
        <v>Sasha Macken</v>
      </c>
      <c r="C4027" s="1" t="s">
        <v>29402</v>
      </c>
      <c r="F4027" s="1" t="s">
        <v>27</v>
      </c>
      <c r="H4027" s="1" t="s">
        <v>29403</v>
      </c>
      <c r="I4027" s="1" t="s">
        <v>5</v>
      </c>
      <c r="J4027" s="1" t="s">
        <v>67</v>
      </c>
      <c r="K4027" s="1" t="s">
        <v>14</v>
      </c>
      <c r="M4027" s="2">
        <v>42863</v>
      </c>
      <c r="N4027" s="1" t="s">
        <v>8</v>
      </c>
      <c r="O4027" s="1" t="s">
        <v>68</v>
      </c>
    </row>
    <row r="4028" spans="1:15" ht="43.2" x14ac:dyDescent="0.3">
      <c r="A4028" s="1" t="s">
        <v>29404</v>
      </c>
      <c r="B4028" s="1" t="str">
        <f>"DARREN HUGHES SIRHOWY VALLEY RECLAMATION"</f>
        <v>DARREN HUGHES SIRHOWY VALLEY RECLAMATION</v>
      </c>
      <c r="C4028" s="1" t="s">
        <v>29405</v>
      </c>
      <c r="F4028" s="1" t="s">
        <v>29406</v>
      </c>
      <c r="H4028" s="1" t="s">
        <v>29407</v>
      </c>
      <c r="I4028" s="1" t="s">
        <v>5</v>
      </c>
      <c r="J4028" s="1" t="s">
        <v>6</v>
      </c>
      <c r="K4028" s="1" t="s">
        <v>34</v>
      </c>
      <c r="M4028" s="2">
        <v>42863</v>
      </c>
      <c r="N4028" s="1" t="s">
        <v>8</v>
      </c>
      <c r="O4028" s="2">
        <v>43959</v>
      </c>
    </row>
    <row r="4029" spans="1:15" ht="43.2" x14ac:dyDescent="0.3">
      <c r="A4029" s="1" t="s">
        <v>29408</v>
      </c>
      <c r="B4029" s="1" t="str">
        <f>"Daniel Tong"</f>
        <v>Daniel Tong</v>
      </c>
      <c r="C4029" s="1" t="s">
        <v>29409</v>
      </c>
      <c r="F4029" s="1" t="s">
        <v>12797</v>
      </c>
      <c r="H4029" s="1" t="s">
        <v>29410</v>
      </c>
      <c r="I4029" s="1" t="s">
        <v>5</v>
      </c>
      <c r="J4029" s="1" t="s">
        <v>67</v>
      </c>
      <c r="K4029" s="1" t="s">
        <v>14</v>
      </c>
      <c r="M4029" s="2">
        <v>42863</v>
      </c>
      <c r="N4029" s="1" t="s">
        <v>8</v>
      </c>
      <c r="O4029" s="1" t="s">
        <v>68</v>
      </c>
    </row>
    <row r="4030" spans="1:15" ht="28.8" x14ac:dyDescent="0.3">
      <c r="A4030" s="1" t="s">
        <v>29411</v>
      </c>
      <c r="B4030" s="1" t="str">
        <f>"Darren Field D.f's been &amp; clean garden services "</f>
        <v xml:space="preserve">Darren Field D.f's been &amp; clean garden services </v>
      </c>
      <c r="C4030" s="1" t="s">
        <v>29412</v>
      </c>
      <c r="F4030" s="1" t="s">
        <v>65</v>
      </c>
      <c r="H4030" s="1" t="s">
        <v>19190</v>
      </c>
      <c r="I4030" s="1" t="s">
        <v>5</v>
      </c>
      <c r="J4030" s="1" t="s">
        <v>6</v>
      </c>
      <c r="K4030" s="1" t="s">
        <v>24</v>
      </c>
      <c r="M4030" s="2">
        <v>42863</v>
      </c>
      <c r="N4030" s="1" t="s">
        <v>8</v>
      </c>
      <c r="O4030" s="2">
        <v>43959</v>
      </c>
    </row>
    <row r="4031" spans="1:15" ht="43.2" x14ac:dyDescent="0.3">
      <c r="A4031" s="1" t="s">
        <v>29413</v>
      </c>
      <c r="B4031" s="1" t="str">
        <f>"Thomas Parry"</f>
        <v>Thomas Parry</v>
      </c>
      <c r="C4031" s="1" t="s">
        <v>29414</v>
      </c>
      <c r="F4031" s="1" t="s">
        <v>17158</v>
      </c>
      <c r="H4031" s="1" t="s">
        <v>29415</v>
      </c>
      <c r="I4031" s="1" t="s">
        <v>5</v>
      </c>
      <c r="J4031" s="1" t="s">
        <v>67</v>
      </c>
      <c r="K4031" s="1" t="s">
        <v>14</v>
      </c>
      <c r="M4031" s="2">
        <v>42863</v>
      </c>
      <c r="N4031" s="1" t="s">
        <v>8</v>
      </c>
      <c r="O4031" s="1" t="s">
        <v>68</v>
      </c>
    </row>
    <row r="4032" spans="1:15" ht="28.8" x14ac:dyDescent="0.3">
      <c r="A4032" s="1" t="s">
        <v>29416</v>
      </c>
      <c r="B4032" s="1" t="str">
        <f>"Michael Blyth Michael Blyth"</f>
        <v>Michael Blyth Michael Blyth</v>
      </c>
      <c r="C4032" s="1" t="s">
        <v>29417</v>
      </c>
      <c r="D4032" s="1" t="s">
        <v>29418</v>
      </c>
      <c r="F4032" s="1" t="s">
        <v>65</v>
      </c>
      <c r="H4032" s="1" t="s">
        <v>29419</v>
      </c>
      <c r="I4032" s="1" t="s">
        <v>5</v>
      </c>
      <c r="J4032" s="1" t="s">
        <v>6</v>
      </c>
      <c r="K4032" s="1" t="s">
        <v>24</v>
      </c>
      <c r="M4032" s="2">
        <v>42863</v>
      </c>
      <c r="N4032" s="1" t="s">
        <v>8</v>
      </c>
      <c r="O4032" s="2">
        <v>43959</v>
      </c>
    </row>
    <row r="4033" spans="1:15" ht="28.8" x14ac:dyDescent="0.3">
      <c r="A4033" s="1" t="s">
        <v>29420</v>
      </c>
      <c r="B4033" s="1" t="str">
        <f>"Chris Hill Chris's waste removal"</f>
        <v>Chris Hill Chris's waste removal</v>
      </c>
      <c r="C4033" s="1" t="s">
        <v>29421</v>
      </c>
      <c r="D4033" s="1" t="s">
        <v>12233</v>
      </c>
      <c r="F4033" s="1" t="s">
        <v>64</v>
      </c>
      <c r="G4033" s="1" t="s">
        <v>65</v>
      </c>
      <c r="H4033" s="1" t="s">
        <v>29422</v>
      </c>
      <c r="I4033" s="1" t="s">
        <v>5</v>
      </c>
      <c r="J4033" s="1" t="s">
        <v>6</v>
      </c>
      <c r="K4033" s="1" t="s">
        <v>24</v>
      </c>
      <c r="M4033" s="2">
        <v>42863</v>
      </c>
      <c r="N4033" s="1" t="s">
        <v>8</v>
      </c>
      <c r="O4033" s="2">
        <v>43958</v>
      </c>
    </row>
    <row r="4034" spans="1:15" ht="28.8" x14ac:dyDescent="0.3">
      <c r="A4034" s="1" t="s">
        <v>16641</v>
      </c>
      <c r="B4034" s="1" t="str">
        <f>"Refornax ltd"</f>
        <v>Refornax ltd</v>
      </c>
      <c r="C4034" s="1" t="s">
        <v>16642</v>
      </c>
      <c r="F4034" s="1" t="s">
        <v>65</v>
      </c>
      <c r="H4034" s="1" t="s">
        <v>16643</v>
      </c>
      <c r="I4034" s="1" t="s">
        <v>19</v>
      </c>
      <c r="J4034" s="1" t="s">
        <v>6</v>
      </c>
      <c r="K4034" s="1" t="s">
        <v>34</v>
      </c>
      <c r="L4034" s="1">
        <v>10727669</v>
      </c>
      <c r="M4034" s="2">
        <v>42862</v>
      </c>
      <c r="N4034" s="1" t="s">
        <v>8</v>
      </c>
      <c r="O4034" s="2">
        <v>43958</v>
      </c>
    </row>
    <row r="4035" spans="1:15" ht="43.2" x14ac:dyDescent="0.3">
      <c r="A4035" s="1" t="s">
        <v>28663</v>
      </c>
      <c r="B4035" s="1" t="str">
        <f>"DAVID GARETH DAVIES"</f>
        <v>DAVID GARETH DAVIES</v>
      </c>
      <c r="C4035" s="1" t="s">
        <v>28664</v>
      </c>
      <c r="D4035" s="1" t="s">
        <v>1336</v>
      </c>
      <c r="F4035" s="1" t="s">
        <v>1321</v>
      </c>
      <c r="H4035" s="1" t="s">
        <v>28665</v>
      </c>
      <c r="I4035" s="1" t="s">
        <v>5</v>
      </c>
      <c r="J4035" s="1" t="s">
        <v>67</v>
      </c>
      <c r="K4035" s="1" t="s">
        <v>14</v>
      </c>
      <c r="M4035" s="2">
        <v>42862</v>
      </c>
      <c r="N4035" s="1" t="s">
        <v>8</v>
      </c>
      <c r="O4035" s="1" t="s">
        <v>68</v>
      </c>
    </row>
    <row r="4036" spans="1:15" ht="43.2" x14ac:dyDescent="0.3">
      <c r="A4036" s="1" t="s">
        <v>16637</v>
      </c>
      <c r="B4036" s="1" t="str">
        <f>"JB Plant &amp; Groundworks Services Ltd"</f>
        <v>JB Plant &amp; Groundworks Services Ltd</v>
      </c>
      <c r="C4036" s="1" t="s">
        <v>11845</v>
      </c>
      <c r="D4036" s="1" t="s">
        <v>11846</v>
      </c>
      <c r="F4036" s="1" t="s">
        <v>42</v>
      </c>
      <c r="H4036" s="1" t="s">
        <v>11847</v>
      </c>
      <c r="I4036" s="1" t="s">
        <v>19</v>
      </c>
      <c r="J4036" s="1" t="s">
        <v>6</v>
      </c>
      <c r="K4036" s="1" t="s">
        <v>34</v>
      </c>
      <c r="L4036" s="1">
        <v>10097178</v>
      </c>
      <c r="M4036" s="2">
        <v>42861</v>
      </c>
      <c r="N4036" s="1" t="s">
        <v>8</v>
      </c>
      <c r="O4036" s="2">
        <v>43957</v>
      </c>
    </row>
    <row r="4037" spans="1:15" ht="28.8" x14ac:dyDescent="0.3">
      <c r="A4037" s="1" t="s">
        <v>16638</v>
      </c>
      <c r="B4037" s="1" t="str">
        <f>"A&amp;D HEATING SERVICES LTD"</f>
        <v>A&amp;D HEATING SERVICES LTD</v>
      </c>
      <c r="C4037" s="1" t="s">
        <v>16639</v>
      </c>
      <c r="D4037" s="1" t="s">
        <v>817</v>
      </c>
      <c r="F4037" s="1" t="s">
        <v>64</v>
      </c>
      <c r="G4037" s="1" t="s">
        <v>65</v>
      </c>
      <c r="H4037" s="1" t="s">
        <v>16640</v>
      </c>
      <c r="I4037" s="1" t="s">
        <v>19</v>
      </c>
      <c r="J4037" s="1" t="s">
        <v>6</v>
      </c>
      <c r="K4037" s="1" t="s">
        <v>34</v>
      </c>
      <c r="L4037" s="1">
        <v>8618084</v>
      </c>
      <c r="M4037" s="2">
        <v>42861</v>
      </c>
      <c r="N4037" s="1" t="s">
        <v>8</v>
      </c>
      <c r="O4037" s="2">
        <v>43956</v>
      </c>
    </row>
    <row r="4038" spans="1:15" ht="28.8" x14ac:dyDescent="0.3">
      <c r="A4038" s="1" t="s">
        <v>28660</v>
      </c>
      <c r="B4038" s="1" t="str">
        <f>"Dean Pothecary  DP heating &amp; plumbing "</f>
        <v xml:space="preserve">Dean Pothecary  DP heating &amp; plumbing </v>
      </c>
      <c r="C4038" s="1" t="s">
        <v>28661</v>
      </c>
      <c r="F4038" s="1" t="s">
        <v>1556</v>
      </c>
      <c r="H4038" s="1" t="s">
        <v>28662</v>
      </c>
      <c r="I4038" s="1" t="s">
        <v>5</v>
      </c>
      <c r="J4038" s="1" t="s">
        <v>6</v>
      </c>
      <c r="K4038" s="1" t="s">
        <v>24</v>
      </c>
      <c r="M4038" s="2">
        <v>42861</v>
      </c>
      <c r="N4038" s="1" t="s">
        <v>8</v>
      </c>
      <c r="O4038" s="2">
        <v>43957</v>
      </c>
    </row>
    <row r="4039" spans="1:15" ht="28.8" x14ac:dyDescent="0.3">
      <c r="A4039" s="1" t="s">
        <v>15620</v>
      </c>
      <c r="B4039" s="1" t="str">
        <f>"Edwards Haulage (Ruabon) Ltd"</f>
        <v>Edwards Haulage (Ruabon) Ltd</v>
      </c>
      <c r="C4039" s="1" t="s">
        <v>15621</v>
      </c>
      <c r="F4039" s="1" t="s">
        <v>198</v>
      </c>
      <c r="H4039" s="1" t="s">
        <v>15622</v>
      </c>
      <c r="I4039" s="1" t="s">
        <v>19</v>
      </c>
      <c r="J4039" s="1" t="s">
        <v>6</v>
      </c>
      <c r="K4039" s="1" t="s">
        <v>24</v>
      </c>
      <c r="L4039" s="1">
        <v>8349706</v>
      </c>
      <c r="M4039" s="2">
        <v>42860</v>
      </c>
      <c r="N4039" s="1" t="s">
        <v>8</v>
      </c>
      <c r="O4039" s="2">
        <v>43956</v>
      </c>
    </row>
    <row r="4040" spans="1:15" ht="28.8" x14ac:dyDescent="0.3">
      <c r="A4040" s="1" t="s">
        <v>15623</v>
      </c>
      <c r="B4040" s="1" t="str">
        <f>"C.E.M. DAY LTD"</f>
        <v>C.E.M. DAY LTD</v>
      </c>
      <c r="C4040" s="1" t="s">
        <v>15624</v>
      </c>
      <c r="F4040" s="1" t="s">
        <v>65</v>
      </c>
      <c r="H4040" s="1" t="s">
        <v>15625</v>
      </c>
      <c r="I4040" s="1" t="s">
        <v>19</v>
      </c>
      <c r="J4040" s="1" t="s">
        <v>6</v>
      </c>
      <c r="K4040" s="1" t="s">
        <v>34</v>
      </c>
      <c r="L4040" s="1">
        <v>215538</v>
      </c>
      <c r="M4040" s="2">
        <v>42860</v>
      </c>
      <c r="N4040" s="1" t="s">
        <v>8</v>
      </c>
      <c r="O4040" s="2">
        <v>43956</v>
      </c>
    </row>
    <row r="4041" spans="1:15" ht="28.8" x14ac:dyDescent="0.3">
      <c r="A4041" s="1" t="s">
        <v>15626</v>
      </c>
      <c r="B4041" s="1" t="str">
        <f>"CJFox Developments"</f>
        <v>CJFox Developments</v>
      </c>
      <c r="C4041" s="1" t="s">
        <v>15627</v>
      </c>
      <c r="F4041" s="1" t="s">
        <v>15628</v>
      </c>
      <c r="H4041" s="1" t="s">
        <v>15629</v>
      </c>
      <c r="I4041" s="1" t="s">
        <v>125</v>
      </c>
      <c r="J4041" s="1" t="s">
        <v>6</v>
      </c>
      <c r="K4041" s="1" t="s">
        <v>24</v>
      </c>
      <c r="M4041" s="2">
        <v>42860</v>
      </c>
      <c r="N4041" s="1" t="s">
        <v>8</v>
      </c>
      <c r="O4041" s="2">
        <v>43956</v>
      </c>
    </row>
    <row r="4042" spans="1:15" ht="28.8" x14ac:dyDescent="0.3">
      <c r="A4042" s="1" t="s">
        <v>15630</v>
      </c>
      <c r="B4042" s="1" t="str">
        <f>"MDB heating and Plumbing Ltd"</f>
        <v>MDB heating and Plumbing Ltd</v>
      </c>
      <c r="C4042" s="1" t="s">
        <v>15631</v>
      </c>
      <c r="F4042" s="1" t="s">
        <v>27</v>
      </c>
      <c r="H4042" s="1" t="s">
        <v>15632</v>
      </c>
      <c r="I4042" s="1" t="s">
        <v>19</v>
      </c>
      <c r="J4042" s="1" t="s">
        <v>6</v>
      </c>
      <c r="K4042" s="1" t="s">
        <v>34</v>
      </c>
      <c r="L4042" s="1">
        <v>5082000</v>
      </c>
      <c r="M4042" s="2">
        <v>42860</v>
      </c>
      <c r="N4042" s="1" t="s">
        <v>8</v>
      </c>
      <c r="O4042" s="2">
        <v>43956</v>
      </c>
    </row>
    <row r="4043" spans="1:15" ht="28.8" x14ac:dyDescent="0.3">
      <c r="A4043" s="1" t="s">
        <v>15633</v>
      </c>
      <c r="B4043" s="1" t="str">
        <f>"Airtek services iow Ltd"</f>
        <v>Airtek services iow Ltd</v>
      </c>
      <c r="C4043" s="1" t="s">
        <v>15634</v>
      </c>
      <c r="D4043" s="1" t="s">
        <v>15635</v>
      </c>
      <c r="F4043" s="1" t="s">
        <v>14601</v>
      </c>
      <c r="H4043" s="1" t="s">
        <v>15636</v>
      </c>
      <c r="I4043" s="1" t="s">
        <v>19</v>
      </c>
      <c r="J4043" s="1" t="s">
        <v>6</v>
      </c>
      <c r="K4043" s="1" t="s">
        <v>34</v>
      </c>
      <c r="L4043" s="1">
        <v>8990219</v>
      </c>
      <c r="M4043" s="2">
        <v>42860</v>
      </c>
      <c r="N4043" s="1" t="s">
        <v>8</v>
      </c>
      <c r="O4043" s="2">
        <v>43956</v>
      </c>
    </row>
    <row r="4044" spans="1:15" ht="28.8" x14ac:dyDescent="0.3">
      <c r="A4044" s="1" t="s">
        <v>15637</v>
      </c>
      <c r="B4044" s="1" t="str">
        <f>"T &amp; A Construction (Holyhead) Ltd."</f>
        <v>T &amp; A Construction (Holyhead) Ltd.</v>
      </c>
      <c r="C4044" s="1" t="s">
        <v>15638</v>
      </c>
      <c r="D4044" s="1" t="s">
        <v>1321</v>
      </c>
      <c r="F4044" s="1" t="s">
        <v>3</v>
      </c>
      <c r="H4044" s="1" t="s">
        <v>15639</v>
      </c>
      <c r="I4044" s="1" t="s">
        <v>19</v>
      </c>
      <c r="J4044" s="1" t="s">
        <v>6</v>
      </c>
      <c r="K4044" s="1" t="s">
        <v>24</v>
      </c>
      <c r="L4044" s="1">
        <v>4752498</v>
      </c>
      <c r="M4044" s="2">
        <v>42860</v>
      </c>
      <c r="N4044" s="1" t="s">
        <v>8</v>
      </c>
      <c r="O4044" s="2">
        <v>43956</v>
      </c>
    </row>
    <row r="4045" spans="1:15" x14ac:dyDescent="0.3">
      <c r="A4045" s="1" t="s">
        <v>16632</v>
      </c>
      <c r="B4045" s="1" t="str">
        <f>"Camelot Electrical Ltd."</f>
        <v>Camelot Electrical Ltd.</v>
      </c>
      <c r="C4045" s="1" t="s">
        <v>16633</v>
      </c>
      <c r="F4045" s="1" t="s">
        <v>91</v>
      </c>
      <c r="H4045" s="1" t="s">
        <v>1439</v>
      </c>
      <c r="I4045" s="1" t="s">
        <v>19</v>
      </c>
      <c r="J4045" s="1" t="s">
        <v>6</v>
      </c>
      <c r="K4045" s="1" t="s">
        <v>24</v>
      </c>
      <c r="L4045" s="1">
        <v>3921634</v>
      </c>
      <c r="M4045" s="2">
        <v>42860</v>
      </c>
      <c r="N4045" s="1" t="s">
        <v>8</v>
      </c>
      <c r="O4045" s="2">
        <v>43956</v>
      </c>
    </row>
    <row r="4046" spans="1:15" ht="43.2" x14ac:dyDescent="0.3">
      <c r="A4046" s="1" t="s">
        <v>16634</v>
      </c>
      <c r="B4046" s="1" t="str">
        <f>"City Exhaust &amp; Tyres Ltd"</f>
        <v>City Exhaust &amp; Tyres Ltd</v>
      </c>
      <c r="C4046" s="1" t="s">
        <v>16635</v>
      </c>
      <c r="F4046" s="1" t="s">
        <v>4181</v>
      </c>
      <c r="H4046" s="1" t="s">
        <v>16636</v>
      </c>
      <c r="I4046" s="1" t="s">
        <v>19</v>
      </c>
      <c r="J4046" s="1" t="s">
        <v>67</v>
      </c>
      <c r="K4046" s="1" t="s">
        <v>14</v>
      </c>
      <c r="M4046" s="2">
        <v>42860</v>
      </c>
      <c r="N4046" s="1" t="s">
        <v>8</v>
      </c>
      <c r="O4046" s="1" t="s">
        <v>68</v>
      </c>
    </row>
    <row r="4047" spans="1:15" ht="28.8" x14ac:dyDescent="0.3">
      <c r="A4047" s="1" t="s">
        <v>27867</v>
      </c>
      <c r="B4047" s="1" t="str">
        <f>"Robert Coles Rob Coles Services"</f>
        <v>Robert Coles Rob Coles Services</v>
      </c>
      <c r="C4047" s="1" t="s">
        <v>27868</v>
      </c>
      <c r="F4047" s="1" t="s">
        <v>91</v>
      </c>
      <c r="H4047" s="1" t="s">
        <v>27869</v>
      </c>
      <c r="I4047" s="1" t="s">
        <v>5</v>
      </c>
      <c r="J4047" s="1" t="s">
        <v>6</v>
      </c>
      <c r="K4047" s="1" t="s">
        <v>24</v>
      </c>
      <c r="M4047" s="2">
        <v>42860</v>
      </c>
      <c r="N4047" s="1" t="s">
        <v>8</v>
      </c>
      <c r="O4047" s="2">
        <v>43956</v>
      </c>
    </row>
    <row r="4048" spans="1:15" ht="43.2" x14ac:dyDescent="0.3">
      <c r="A4048" s="1" t="s">
        <v>27870</v>
      </c>
      <c r="B4048" s="1" t="str">
        <f>"Anthony Skuse T Skuse Building and Plastering Contractor"</f>
        <v>Anthony Skuse T Skuse Building and Plastering Contractor</v>
      </c>
      <c r="C4048" s="1" t="s">
        <v>27871</v>
      </c>
      <c r="F4048" s="1" t="s">
        <v>15303</v>
      </c>
      <c r="H4048" s="1" t="s">
        <v>27872</v>
      </c>
      <c r="I4048" s="1" t="s">
        <v>5</v>
      </c>
      <c r="J4048" s="1" t="s">
        <v>6</v>
      </c>
      <c r="K4048" s="1" t="s">
        <v>24</v>
      </c>
      <c r="M4048" s="2">
        <v>42860</v>
      </c>
      <c r="N4048" s="1" t="s">
        <v>8</v>
      </c>
      <c r="O4048" s="2">
        <v>43956</v>
      </c>
    </row>
    <row r="4049" spans="1:15" ht="28.8" x14ac:dyDescent="0.3">
      <c r="A4049" s="1" t="s">
        <v>27873</v>
      </c>
      <c r="B4049" s="1" t="str">
        <f>"Brian Martin Martin Roofing"</f>
        <v>Brian Martin Martin Roofing</v>
      </c>
      <c r="C4049" s="1" t="s">
        <v>27874</v>
      </c>
      <c r="F4049" s="1" t="s">
        <v>298</v>
      </c>
      <c r="H4049" s="1" t="s">
        <v>27875</v>
      </c>
      <c r="I4049" s="1" t="s">
        <v>5</v>
      </c>
      <c r="J4049" s="1" t="s">
        <v>6</v>
      </c>
      <c r="K4049" s="1" t="s">
        <v>34</v>
      </c>
      <c r="M4049" s="2">
        <v>42860</v>
      </c>
      <c r="N4049" s="1" t="s">
        <v>8</v>
      </c>
      <c r="O4049" s="2">
        <v>43956</v>
      </c>
    </row>
    <row r="4050" spans="1:15" ht="28.8" x14ac:dyDescent="0.3">
      <c r="A4050" s="1" t="s">
        <v>27876</v>
      </c>
      <c r="B4050" s="1" t="str">
        <f>"Andrew Smith North Wales Sales Haulage"</f>
        <v>Andrew Smith North Wales Sales Haulage</v>
      </c>
      <c r="C4050" s="1" t="s">
        <v>27877</v>
      </c>
      <c r="F4050" s="1" t="s">
        <v>1184</v>
      </c>
      <c r="H4050" s="1" t="s">
        <v>27878</v>
      </c>
      <c r="I4050" s="1" t="s">
        <v>5</v>
      </c>
      <c r="J4050" s="1" t="s">
        <v>6</v>
      </c>
      <c r="K4050" s="1" t="s">
        <v>34</v>
      </c>
      <c r="M4050" s="2">
        <v>42860</v>
      </c>
      <c r="N4050" s="1" t="s">
        <v>8</v>
      </c>
      <c r="O4050" s="2">
        <v>43956</v>
      </c>
    </row>
    <row r="4051" spans="1:15" ht="28.8" x14ac:dyDescent="0.3">
      <c r="A4051" s="1" t="s">
        <v>28654</v>
      </c>
      <c r="B4051" s="1" t="str">
        <f>"Scott Bromilow Scott Bromilow"</f>
        <v>Scott Bromilow Scott Bromilow</v>
      </c>
      <c r="C4051" s="1" t="s">
        <v>28655</v>
      </c>
      <c r="D4051" s="1" t="s">
        <v>1010</v>
      </c>
      <c r="E4051" s="1" t="s">
        <v>15670</v>
      </c>
      <c r="F4051" s="1" t="s">
        <v>1346</v>
      </c>
      <c r="H4051" s="1" t="s">
        <v>28656</v>
      </c>
      <c r="I4051" s="1" t="s">
        <v>5</v>
      </c>
      <c r="J4051" s="1" t="s">
        <v>6</v>
      </c>
      <c r="K4051" s="1" t="s">
        <v>24</v>
      </c>
      <c r="M4051" s="2">
        <v>42860</v>
      </c>
      <c r="N4051" s="1" t="s">
        <v>8</v>
      </c>
      <c r="O4051" s="2">
        <v>43961</v>
      </c>
    </row>
    <row r="4052" spans="1:15" ht="28.8" x14ac:dyDescent="0.3">
      <c r="A4052" s="1" t="s">
        <v>28657</v>
      </c>
      <c r="B4052" s="1" t="str">
        <f>"TIMOTHY JAMES BOX A1 AUTOCARE"</f>
        <v>TIMOTHY JAMES BOX A1 AUTOCARE</v>
      </c>
      <c r="C4052" s="1" t="s">
        <v>28658</v>
      </c>
      <c r="D4052" s="1" t="s">
        <v>6091</v>
      </c>
      <c r="F4052" s="1" t="s">
        <v>4656</v>
      </c>
      <c r="H4052" s="1" t="s">
        <v>28659</v>
      </c>
      <c r="I4052" s="1" t="s">
        <v>5</v>
      </c>
      <c r="J4052" s="1" t="s">
        <v>6</v>
      </c>
      <c r="K4052" s="1" t="s">
        <v>24</v>
      </c>
      <c r="M4052" s="2">
        <v>42860</v>
      </c>
      <c r="N4052" s="1" t="s">
        <v>8</v>
      </c>
      <c r="O4052" s="2">
        <v>43956</v>
      </c>
    </row>
    <row r="4053" spans="1:15" ht="28.8" x14ac:dyDescent="0.3">
      <c r="A4053" s="1" t="s">
        <v>14687</v>
      </c>
      <c r="B4053" s="1" t="str">
        <f>"Majestic Roofing &amp; Cladding Limited"</f>
        <v>Majestic Roofing &amp; Cladding Limited</v>
      </c>
      <c r="C4053" s="1" t="s">
        <v>14688</v>
      </c>
      <c r="F4053" s="1" t="s">
        <v>6249</v>
      </c>
      <c r="H4053" s="1" t="s">
        <v>14689</v>
      </c>
      <c r="I4053" s="1" t="s">
        <v>19</v>
      </c>
      <c r="J4053" s="1" t="s">
        <v>6</v>
      </c>
      <c r="K4053" s="1" t="s">
        <v>34</v>
      </c>
      <c r="L4053" s="1">
        <v>10065778</v>
      </c>
      <c r="M4053" s="2">
        <v>42859</v>
      </c>
      <c r="N4053" s="1" t="s">
        <v>8</v>
      </c>
      <c r="O4053" s="2">
        <v>43955</v>
      </c>
    </row>
    <row r="4054" spans="1:15" x14ac:dyDescent="0.3">
      <c r="A4054" s="1" t="s">
        <v>14690</v>
      </c>
      <c r="B4054" s="1" t="str">
        <f>"builders"</f>
        <v>builders</v>
      </c>
      <c r="C4054" s="1" t="s">
        <v>14691</v>
      </c>
      <c r="F4054" s="1" t="s">
        <v>65</v>
      </c>
      <c r="H4054" s="1" t="s">
        <v>14692</v>
      </c>
      <c r="I4054" s="1" t="s">
        <v>125</v>
      </c>
      <c r="J4054" s="1" t="s">
        <v>6</v>
      </c>
      <c r="K4054" s="1" t="s">
        <v>24</v>
      </c>
      <c r="M4054" s="2">
        <v>42859</v>
      </c>
      <c r="N4054" s="1" t="s">
        <v>8</v>
      </c>
      <c r="O4054" s="2">
        <v>43955</v>
      </c>
    </row>
    <row r="4055" spans="1:15" ht="43.2" x14ac:dyDescent="0.3">
      <c r="A4055" s="1" t="s">
        <v>14693</v>
      </c>
      <c r="B4055" s="1" t="str">
        <f>"Tonyfelin Medical Centre"</f>
        <v>Tonyfelin Medical Centre</v>
      </c>
      <c r="C4055" s="1" t="s">
        <v>14694</v>
      </c>
      <c r="F4055" s="1" t="s">
        <v>103</v>
      </c>
      <c r="H4055" s="1" t="s">
        <v>14695</v>
      </c>
      <c r="I4055" s="1" t="s">
        <v>188</v>
      </c>
      <c r="J4055" s="1" t="s">
        <v>67</v>
      </c>
      <c r="K4055" s="1" t="s">
        <v>14</v>
      </c>
      <c r="M4055" s="2">
        <v>42859</v>
      </c>
      <c r="N4055" s="1" t="s">
        <v>8</v>
      </c>
      <c r="O4055" s="1" t="s">
        <v>68</v>
      </c>
    </row>
    <row r="4056" spans="1:15" ht="43.2" x14ac:dyDescent="0.3">
      <c r="A4056" s="1" t="s">
        <v>14696</v>
      </c>
      <c r="B4056" s="1" t="str">
        <f>"MM Engineered Solutions Ltd"</f>
        <v>MM Engineered Solutions Ltd</v>
      </c>
      <c r="C4056" s="1" t="s">
        <v>14697</v>
      </c>
      <c r="D4056" s="1" t="s">
        <v>1350</v>
      </c>
      <c r="F4056" s="1" t="s">
        <v>1351</v>
      </c>
      <c r="H4056" s="1" t="s">
        <v>1352</v>
      </c>
      <c r="I4056" s="1" t="s">
        <v>19</v>
      </c>
      <c r="J4056" s="1" t="s">
        <v>67</v>
      </c>
      <c r="K4056" s="1" t="s">
        <v>14</v>
      </c>
      <c r="M4056" s="2">
        <v>42859</v>
      </c>
      <c r="N4056" s="1" t="s">
        <v>8</v>
      </c>
      <c r="O4056" s="1" t="s">
        <v>68</v>
      </c>
    </row>
    <row r="4057" spans="1:15" ht="43.2" x14ac:dyDescent="0.3">
      <c r="A4057" s="1" t="s">
        <v>14698</v>
      </c>
      <c r="B4057" s="1" t="str">
        <f>"CJP BULK TRANSPORT LTD"</f>
        <v>CJP BULK TRANSPORT LTD</v>
      </c>
      <c r="C4057" s="1" t="s">
        <v>14699</v>
      </c>
      <c r="D4057" s="1" t="s">
        <v>14700</v>
      </c>
      <c r="F4057" s="1" t="s">
        <v>198</v>
      </c>
      <c r="H4057" s="1" t="s">
        <v>3720</v>
      </c>
      <c r="I4057" s="1" t="s">
        <v>19</v>
      </c>
      <c r="J4057" s="1" t="s">
        <v>6</v>
      </c>
      <c r="K4057" s="1" t="s">
        <v>34</v>
      </c>
      <c r="L4057" s="1">
        <v>3264323</v>
      </c>
      <c r="M4057" s="2">
        <v>42859</v>
      </c>
      <c r="N4057" s="1" t="s">
        <v>8</v>
      </c>
      <c r="O4057" s="2">
        <v>43955</v>
      </c>
    </row>
    <row r="4058" spans="1:15" ht="28.8" x14ac:dyDescent="0.3">
      <c r="A4058" s="1" t="s">
        <v>15617</v>
      </c>
      <c r="B4058" s="1" t="str">
        <f>"Complete Clearance Services Ltd"</f>
        <v>Complete Clearance Services Ltd</v>
      </c>
      <c r="C4058" s="1" t="s">
        <v>15618</v>
      </c>
      <c r="F4058" s="1" t="s">
        <v>364</v>
      </c>
      <c r="H4058" s="1" t="s">
        <v>15619</v>
      </c>
      <c r="I4058" s="1" t="s">
        <v>19</v>
      </c>
      <c r="J4058" s="1" t="s">
        <v>6</v>
      </c>
      <c r="K4058" s="1" t="s">
        <v>24</v>
      </c>
      <c r="L4058" s="1">
        <v>10745997</v>
      </c>
      <c r="M4058" s="2">
        <v>42859</v>
      </c>
      <c r="N4058" s="1" t="s">
        <v>8</v>
      </c>
      <c r="O4058" s="2">
        <v>43955</v>
      </c>
    </row>
    <row r="4059" spans="1:15" ht="43.2" x14ac:dyDescent="0.3">
      <c r="A4059" s="1" t="s">
        <v>27001</v>
      </c>
      <c r="B4059" s="1" t="str">
        <f>"Kevin Hart"</f>
        <v>Kevin Hart</v>
      </c>
      <c r="C4059" s="1" t="s">
        <v>27002</v>
      </c>
      <c r="F4059" s="1" t="s">
        <v>223</v>
      </c>
      <c r="H4059" s="1" t="s">
        <v>27003</v>
      </c>
      <c r="I4059" s="1" t="s">
        <v>5</v>
      </c>
      <c r="J4059" s="1" t="s">
        <v>67</v>
      </c>
      <c r="K4059" s="1" t="s">
        <v>14</v>
      </c>
      <c r="M4059" s="2">
        <v>42859</v>
      </c>
      <c r="N4059" s="1" t="s">
        <v>8</v>
      </c>
      <c r="O4059" s="1" t="s">
        <v>68</v>
      </c>
    </row>
    <row r="4060" spans="1:15" ht="28.8" x14ac:dyDescent="0.3">
      <c r="A4060" s="1" t="s">
        <v>27004</v>
      </c>
      <c r="B4060" s="1" t="str">
        <f>"RICHARD JENKINS RICHARD JENKINS"</f>
        <v>RICHARD JENKINS RICHARD JENKINS</v>
      </c>
      <c r="C4060" s="1" t="s">
        <v>27005</v>
      </c>
      <c r="F4060" s="1" t="s">
        <v>865</v>
      </c>
      <c r="H4060" s="1" t="s">
        <v>27006</v>
      </c>
      <c r="I4060" s="1" t="s">
        <v>5</v>
      </c>
      <c r="J4060" s="1" t="s">
        <v>6</v>
      </c>
      <c r="K4060" s="1" t="s">
        <v>24</v>
      </c>
      <c r="M4060" s="2">
        <v>42859</v>
      </c>
      <c r="N4060" s="1" t="s">
        <v>8</v>
      </c>
      <c r="O4060" s="2">
        <v>43955</v>
      </c>
    </row>
    <row r="4061" spans="1:15" ht="28.8" x14ac:dyDescent="0.3">
      <c r="A4061" s="1" t="s">
        <v>27007</v>
      </c>
      <c r="B4061" s="1" t="str">
        <f>"nigel jones N J Landscapes"</f>
        <v>nigel jones N J Landscapes</v>
      </c>
      <c r="C4061" s="1" t="s">
        <v>27008</v>
      </c>
      <c r="F4061" s="1" t="s">
        <v>3726</v>
      </c>
      <c r="H4061" s="1" t="s">
        <v>27009</v>
      </c>
      <c r="I4061" s="1" t="s">
        <v>5</v>
      </c>
      <c r="J4061" s="1" t="s">
        <v>6</v>
      </c>
      <c r="K4061" s="1" t="s">
        <v>34</v>
      </c>
      <c r="M4061" s="2">
        <v>42859</v>
      </c>
      <c r="N4061" s="1" t="s">
        <v>8</v>
      </c>
      <c r="O4061" s="2">
        <v>43955</v>
      </c>
    </row>
    <row r="4062" spans="1:15" ht="28.8" x14ac:dyDescent="0.3">
      <c r="A4062" s="1" t="s">
        <v>27010</v>
      </c>
      <c r="B4062" s="1" t="str">
        <f>"Marlon Johnston CJ Swimming Pools"</f>
        <v>Marlon Johnston CJ Swimming Pools</v>
      </c>
      <c r="C4062" s="1" t="s">
        <v>27011</v>
      </c>
      <c r="F4062" s="1" t="s">
        <v>214</v>
      </c>
      <c r="H4062" s="1" t="s">
        <v>27012</v>
      </c>
      <c r="I4062" s="1" t="s">
        <v>5</v>
      </c>
      <c r="J4062" s="1" t="s">
        <v>6</v>
      </c>
      <c r="K4062" s="1" t="s">
        <v>24</v>
      </c>
      <c r="M4062" s="2">
        <v>42859</v>
      </c>
      <c r="N4062" s="1" t="s">
        <v>8</v>
      </c>
      <c r="O4062" s="2">
        <v>43955</v>
      </c>
    </row>
    <row r="4063" spans="1:15" x14ac:dyDescent="0.3">
      <c r="A4063" s="1" t="s">
        <v>27858</v>
      </c>
      <c r="B4063" s="1" t="str">
        <f>"Richard West ElecServ"</f>
        <v>Richard West ElecServ</v>
      </c>
      <c r="C4063" s="1" t="s">
        <v>27859</v>
      </c>
      <c r="F4063" s="1" t="s">
        <v>457</v>
      </c>
      <c r="H4063" s="1" t="s">
        <v>22834</v>
      </c>
      <c r="I4063" s="1" t="s">
        <v>5</v>
      </c>
      <c r="J4063" s="1" t="s">
        <v>6</v>
      </c>
      <c r="K4063" s="1" t="s">
        <v>24</v>
      </c>
      <c r="M4063" s="2">
        <v>42859</v>
      </c>
      <c r="N4063" s="1" t="s">
        <v>8</v>
      </c>
      <c r="O4063" s="2">
        <v>43955</v>
      </c>
    </row>
    <row r="4064" spans="1:15" ht="43.2" x14ac:dyDescent="0.3">
      <c r="A4064" s="1" t="s">
        <v>27860</v>
      </c>
      <c r="B4064" s="1" t="str">
        <f>"Barrie Dodd"</f>
        <v>Barrie Dodd</v>
      </c>
      <c r="C4064" s="1" t="s">
        <v>27861</v>
      </c>
      <c r="F4064" s="1" t="s">
        <v>825</v>
      </c>
      <c r="H4064" s="1" t="s">
        <v>27862</v>
      </c>
      <c r="I4064" s="1" t="s">
        <v>5</v>
      </c>
      <c r="J4064" s="1" t="s">
        <v>67</v>
      </c>
      <c r="K4064" s="1" t="s">
        <v>14</v>
      </c>
      <c r="M4064" s="2">
        <v>42859</v>
      </c>
      <c r="N4064" s="1" t="s">
        <v>8</v>
      </c>
      <c r="O4064" s="1" t="s">
        <v>68</v>
      </c>
    </row>
    <row r="4065" spans="1:15" ht="43.2" x14ac:dyDescent="0.3">
      <c r="A4065" s="1" t="s">
        <v>27863</v>
      </c>
      <c r="B4065" s="1" t="str">
        <f>"lee nevill"</f>
        <v>lee nevill</v>
      </c>
      <c r="C4065" s="1" t="s">
        <v>27864</v>
      </c>
      <c r="D4065" s="1" t="s">
        <v>27865</v>
      </c>
      <c r="F4065" s="1" t="s">
        <v>205</v>
      </c>
      <c r="H4065" s="1" t="s">
        <v>27866</v>
      </c>
      <c r="I4065" s="1" t="s">
        <v>5</v>
      </c>
      <c r="J4065" s="1" t="s">
        <v>67</v>
      </c>
      <c r="K4065" s="1" t="s">
        <v>14</v>
      </c>
      <c r="M4065" s="2">
        <v>42859</v>
      </c>
      <c r="N4065" s="1" t="s">
        <v>8</v>
      </c>
      <c r="O4065" s="1" t="s">
        <v>68</v>
      </c>
    </row>
    <row r="4066" spans="1:15" ht="28.8" x14ac:dyDescent="0.3">
      <c r="A4066" s="1" t="s">
        <v>13855</v>
      </c>
      <c r="B4066" s="1" t="str">
        <f>"Charlies Stores Limited"</f>
        <v>Charlies Stores Limited</v>
      </c>
      <c r="C4066" s="1" t="s">
        <v>13399</v>
      </c>
      <c r="D4066" s="1" t="s">
        <v>2014</v>
      </c>
      <c r="F4066" s="1" t="s">
        <v>445</v>
      </c>
      <c r="H4066" s="1" t="s">
        <v>13284</v>
      </c>
      <c r="I4066" s="1" t="s">
        <v>19</v>
      </c>
      <c r="J4066" s="1" t="s">
        <v>6</v>
      </c>
      <c r="K4066" s="1" t="s">
        <v>1859</v>
      </c>
      <c r="L4066" s="1">
        <v>1761459</v>
      </c>
      <c r="M4066" s="2">
        <v>42858</v>
      </c>
      <c r="N4066" s="1" t="s">
        <v>8</v>
      </c>
      <c r="O4066" s="2">
        <v>43954</v>
      </c>
    </row>
    <row r="4067" spans="1:15" ht="43.2" x14ac:dyDescent="0.3">
      <c r="A4067" s="1" t="s">
        <v>13856</v>
      </c>
      <c r="B4067" s="1" t="str">
        <f>"Kingfisher Developments (Wales) Ltd"</f>
        <v>Kingfisher Developments (Wales) Ltd</v>
      </c>
      <c r="C4067" s="1" t="s">
        <v>13857</v>
      </c>
      <c r="F4067" s="1" t="s">
        <v>504</v>
      </c>
      <c r="H4067" s="1" t="s">
        <v>13858</v>
      </c>
      <c r="I4067" s="1" t="s">
        <v>19</v>
      </c>
      <c r="J4067" s="1" t="s">
        <v>6</v>
      </c>
      <c r="K4067" s="1" t="s">
        <v>34</v>
      </c>
      <c r="L4067" s="1">
        <v>2566209</v>
      </c>
      <c r="M4067" s="2">
        <v>42858</v>
      </c>
      <c r="N4067" s="1" t="s">
        <v>8</v>
      </c>
      <c r="O4067" s="2">
        <v>43954</v>
      </c>
    </row>
    <row r="4068" spans="1:15" ht="43.2" x14ac:dyDescent="0.3">
      <c r="A4068" s="1" t="s">
        <v>26291</v>
      </c>
      <c r="B4068" s="1" t="str">
        <f>"Michael Forshaw"</f>
        <v>Michael Forshaw</v>
      </c>
      <c r="C4068" s="1" t="s">
        <v>26292</v>
      </c>
      <c r="F4068" s="1" t="s">
        <v>174</v>
      </c>
      <c r="H4068" s="1" t="s">
        <v>26293</v>
      </c>
      <c r="I4068" s="1" t="s">
        <v>5</v>
      </c>
      <c r="J4068" s="1" t="s">
        <v>67</v>
      </c>
      <c r="K4068" s="1" t="s">
        <v>24</v>
      </c>
      <c r="M4068" s="2">
        <v>42858</v>
      </c>
      <c r="N4068" s="1" t="s">
        <v>8</v>
      </c>
      <c r="O4068" s="1" t="s">
        <v>68</v>
      </c>
    </row>
    <row r="4069" spans="1:15" ht="43.2" x14ac:dyDescent="0.3">
      <c r="A4069" s="1" t="s">
        <v>26294</v>
      </c>
      <c r="B4069" s="1" t="str">
        <f>"Thomas Griffiths"</f>
        <v>Thomas Griffiths</v>
      </c>
      <c r="C4069" s="1" t="s">
        <v>26295</v>
      </c>
      <c r="D4069" s="1" t="s">
        <v>2783</v>
      </c>
      <c r="F4069" s="1" t="s">
        <v>2200</v>
      </c>
      <c r="H4069" s="1" t="s">
        <v>26296</v>
      </c>
      <c r="I4069" s="1" t="s">
        <v>5</v>
      </c>
      <c r="J4069" s="1" t="s">
        <v>67</v>
      </c>
      <c r="K4069" s="1" t="s">
        <v>14</v>
      </c>
      <c r="M4069" s="2">
        <v>42858</v>
      </c>
      <c r="N4069" s="1" t="s">
        <v>8</v>
      </c>
      <c r="O4069" s="1" t="s">
        <v>68</v>
      </c>
    </row>
    <row r="4070" spans="1:15" ht="43.2" x14ac:dyDescent="0.3">
      <c r="A4070" s="1" t="s">
        <v>26297</v>
      </c>
      <c r="B4070" s="1" t="str">
        <f>"MARK WALLIS 14 ALBION PLACE KENFIG HILL"</f>
        <v>MARK WALLIS 14 ALBION PLACE KENFIG HILL</v>
      </c>
      <c r="C4070" s="1" t="s">
        <v>26298</v>
      </c>
      <c r="F4070" s="1" t="s">
        <v>865</v>
      </c>
      <c r="H4070" s="1" t="s">
        <v>26299</v>
      </c>
      <c r="I4070" s="1" t="s">
        <v>5</v>
      </c>
      <c r="J4070" s="1" t="s">
        <v>6</v>
      </c>
      <c r="K4070" s="1" t="s">
        <v>24</v>
      </c>
      <c r="M4070" s="2">
        <v>42858</v>
      </c>
      <c r="N4070" s="1" t="s">
        <v>8</v>
      </c>
      <c r="O4070" s="2">
        <v>43954</v>
      </c>
    </row>
    <row r="4071" spans="1:15" ht="43.2" x14ac:dyDescent="0.3">
      <c r="A4071" s="1" t="s">
        <v>26992</v>
      </c>
      <c r="B4071" s="1" t="str">
        <f>"Paul Crook"</f>
        <v>Paul Crook</v>
      </c>
      <c r="C4071" s="1" t="s">
        <v>26993</v>
      </c>
      <c r="D4071" s="1" t="s">
        <v>578</v>
      </c>
      <c r="F4071" s="1" t="s">
        <v>65</v>
      </c>
      <c r="H4071" s="1" t="s">
        <v>26994</v>
      </c>
      <c r="I4071" s="1" t="s">
        <v>5</v>
      </c>
      <c r="J4071" s="1" t="s">
        <v>67</v>
      </c>
      <c r="K4071" s="1" t="s">
        <v>14</v>
      </c>
      <c r="M4071" s="2">
        <v>42858</v>
      </c>
      <c r="N4071" s="1" t="s">
        <v>8</v>
      </c>
      <c r="O4071" s="1" t="s">
        <v>68</v>
      </c>
    </row>
    <row r="4072" spans="1:15" ht="28.8" x14ac:dyDescent="0.3">
      <c r="A4072" s="1" t="s">
        <v>26995</v>
      </c>
      <c r="B4072" s="1" t="str">
        <f>"TECWYN  JONES"</f>
        <v>TECWYN  JONES</v>
      </c>
      <c r="C4072" s="1" t="s">
        <v>26996</v>
      </c>
      <c r="F4072" s="1" t="s">
        <v>710</v>
      </c>
      <c r="H4072" s="1" t="s">
        <v>26997</v>
      </c>
      <c r="I4072" s="1" t="s">
        <v>5</v>
      </c>
      <c r="J4072" s="1" t="s">
        <v>6</v>
      </c>
      <c r="K4072" s="1" t="s">
        <v>34</v>
      </c>
      <c r="M4072" s="2">
        <v>42858</v>
      </c>
      <c r="N4072" s="1" t="s">
        <v>8</v>
      </c>
      <c r="O4072" s="2">
        <v>43954</v>
      </c>
    </row>
    <row r="4073" spans="1:15" ht="28.8" x14ac:dyDescent="0.3">
      <c r="A4073" s="1" t="s">
        <v>26998</v>
      </c>
      <c r="B4073" s="1" t="str">
        <f>"gareth hives Waste Clearance"</f>
        <v>gareth hives Waste Clearance</v>
      </c>
      <c r="C4073" s="1" t="s">
        <v>26999</v>
      </c>
      <c r="F4073" s="1" t="s">
        <v>1351</v>
      </c>
      <c r="H4073" s="1" t="s">
        <v>27000</v>
      </c>
      <c r="I4073" s="1" t="s">
        <v>5</v>
      </c>
      <c r="J4073" s="1" t="s">
        <v>6</v>
      </c>
      <c r="K4073" s="1" t="s">
        <v>24</v>
      </c>
      <c r="M4073" s="2">
        <v>42858</v>
      </c>
      <c r="N4073" s="1" t="s">
        <v>8</v>
      </c>
      <c r="O4073" s="2">
        <v>43954</v>
      </c>
    </row>
    <row r="4074" spans="1:15" ht="43.2" x14ac:dyDescent="0.3">
      <c r="A4074" s="1" t="s">
        <v>13841</v>
      </c>
      <c r="B4074" s="1" t="str">
        <f>"The Oliver James Gardening Company "</f>
        <v xml:space="preserve">The Oliver James Gardening Company </v>
      </c>
      <c r="C4074" s="1" t="s">
        <v>13842</v>
      </c>
      <c r="F4074" s="1" t="s">
        <v>1700</v>
      </c>
      <c r="H4074" s="1" t="s">
        <v>13843</v>
      </c>
      <c r="I4074" s="1" t="s">
        <v>19</v>
      </c>
      <c r="J4074" s="1" t="s">
        <v>67</v>
      </c>
      <c r="K4074" s="1" t="s">
        <v>14</v>
      </c>
      <c r="M4074" s="2">
        <v>42857</v>
      </c>
      <c r="N4074" s="1" t="s">
        <v>8</v>
      </c>
      <c r="O4074" s="1" t="s">
        <v>68</v>
      </c>
    </row>
    <row r="4075" spans="1:15" ht="43.2" x14ac:dyDescent="0.3">
      <c r="A4075" s="1" t="s">
        <v>13844</v>
      </c>
      <c r="B4075" s="1" t="str">
        <f>"PCI services"</f>
        <v>PCI services</v>
      </c>
      <c r="C4075" s="1" t="s">
        <v>10358</v>
      </c>
      <c r="D4075" s="1" t="s">
        <v>4511</v>
      </c>
      <c r="F4075" s="1" t="s">
        <v>865</v>
      </c>
      <c r="H4075" s="1" t="s">
        <v>4442</v>
      </c>
      <c r="I4075" s="1" t="s">
        <v>19</v>
      </c>
      <c r="J4075" s="1" t="s">
        <v>67</v>
      </c>
      <c r="K4075" s="1" t="s">
        <v>14</v>
      </c>
      <c r="M4075" s="2">
        <v>42857</v>
      </c>
      <c r="N4075" s="1" t="s">
        <v>8</v>
      </c>
      <c r="O4075" s="1" t="s">
        <v>68</v>
      </c>
    </row>
    <row r="4076" spans="1:15" ht="28.8" x14ac:dyDescent="0.3">
      <c r="A4076" s="1" t="s">
        <v>13845</v>
      </c>
      <c r="B4076" s="1" t="str">
        <f>"Welshpool Kitchen Company Limited"</f>
        <v>Welshpool Kitchen Company Limited</v>
      </c>
      <c r="C4076" s="1" t="s">
        <v>13846</v>
      </c>
      <c r="F4076" s="1" t="s">
        <v>2459</v>
      </c>
      <c r="H4076" s="1" t="s">
        <v>2880</v>
      </c>
      <c r="I4076" s="1" t="s">
        <v>19</v>
      </c>
      <c r="J4076" s="1" t="s">
        <v>6</v>
      </c>
      <c r="K4076" s="1" t="s">
        <v>24</v>
      </c>
      <c r="L4076" s="1">
        <v>8704695</v>
      </c>
      <c r="M4076" s="2">
        <v>42857</v>
      </c>
      <c r="N4076" s="1" t="s">
        <v>8</v>
      </c>
      <c r="O4076" s="2">
        <v>43953</v>
      </c>
    </row>
    <row r="4077" spans="1:15" ht="28.8" x14ac:dyDescent="0.3">
      <c r="A4077" s="1" t="s">
        <v>13847</v>
      </c>
      <c r="B4077" s="1" t="str">
        <f>"Cap Civil Engineering Limited"</f>
        <v>Cap Civil Engineering Limited</v>
      </c>
      <c r="C4077" s="1" t="s">
        <v>13848</v>
      </c>
      <c r="F4077" s="1" t="s">
        <v>27</v>
      </c>
      <c r="H4077" s="1" t="s">
        <v>13849</v>
      </c>
      <c r="I4077" s="1" t="s">
        <v>19</v>
      </c>
      <c r="J4077" s="1" t="s">
        <v>6</v>
      </c>
      <c r="K4077" s="1" t="s">
        <v>34</v>
      </c>
      <c r="L4077" s="1">
        <v>10304309</v>
      </c>
      <c r="M4077" s="2">
        <v>42857</v>
      </c>
      <c r="N4077" s="1" t="s">
        <v>8</v>
      </c>
      <c r="O4077" s="2">
        <v>43953</v>
      </c>
    </row>
    <row r="4078" spans="1:15" ht="43.2" x14ac:dyDescent="0.3">
      <c r="A4078" s="1" t="s">
        <v>13850</v>
      </c>
      <c r="B4078" s="1" t="str">
        <f>"BRON AFON COMMUNITY HOUSING LIMITED"</f>
        <v>BRON AFON COMMUNITY HOUSING LIMITED</v>
      </c>
      <c r="C4078" s="1" t="s">
        <v>2390</v>
      </c>
      <c r="F4078" s="1" t="s">
        <v>380</v>
      </c>
      <c r="H4078" s="1" t="s">
        <v>2391</v>
      </c>
      <c r="I4078" s="1" t="s">
        <v>125</v>
      </c>
      <c r="J4078" s="1" t="s">
        <v>6</v>
      </c>
      <c r="K4078" s="1" t="s">
        <v>34</v>
      </c>
      <c r="L4078" s="1" t="s">
        <v>13851</v>
      </c>
      <c r="M4078" s="2">
        <v>42857</v>
      </c>
      <c r="N4078" s="1" t="s">
        <v>8</v>
      </c>
      <c r="O4078" s="2">
        <v>43953</v>
      </c>
    </row>
    <row r="4079" spans="1:15" ht="28.8" x14ac:dyDescent="0.3">
      <c r="A4079" s="1" t="s">
        <v>13852</v>
      </c>
      <c r="B4079" s="1" t="str">
        <f>"Partneriaeth V Jones Cyf"</f>
        <v>Partneriaeth V Jones Cyf</v>
      </c>
      <c r="C4079" s="1" t="s">
        <v>13853</v>
      </c>
      <c r="D4079" s="1" t="s">
        <v>2504</v>
      </c>
      <c r="F4079" s="1" t="s">
        <v>3</v>
      </c>
      <c r="H4079" s="1" t="s">
        <v>13854</v>
      </c>
      <c r="I4079" s="1" t="s">
        <v>19</v>
      </c>
      <c r="J4079" s="1" t="s">
        <v>6</v>
      </c>
      <c r="K4079" s="1" t="s">
        <v>24</v>
      </c>
      <c r="L4079" s="1">
        <v>5421025</v>
      </c>
      <c r="M4079" s="2">
        <v>42857</v>
      </c>
      <c r="N4079" s="1" t="s">
        <v>8</v>
      </c>
      <c r="O4079" s="2">
        <v>43953</v>
      </c>
    </row>
    <row r="4080" spans="1:15" ht="43.2" x14ac:dyDescent="0.3">
      <c r="A4080" s="1" t="s">
        <v>26279</v>
      </c>
      <c r="B4080" s="1" t="str">
        <f>"Anthony Cullen"</f>
        <v>Anthony Cullen</v>
      </c>
      <c r="C4080" s="1" t="s">
        <v>26280</v>
      </c>
      <c r="F4080" s="1" t="s">
        <v>277</v>
      </c>
      <c r="H4080" s="1" t="s">
        <v>26281</v>
      </c>
      <c r="I4080" s="1" t="s">
        <v>5</v>
      </c>
      <c r="J4080" s="1" t="s">
        <v>67</v>
      </c>
      <c r="K4080" s="1" t="s">
        <v>14</v>
      </c>
      <c r="M4080" s="2">
        <v>42857</v>
      </c>
      <c r="N4080" s="1" t="s">
        <v>8</v>
      </c>
      <c r="O4080" s="1" t="s">
        <v>68</v>
      </c>
    </row>
    <row r="4081" spans="1:15" ht="57.6" x14ac:dyDescent="0.3">
      <c r="A4081" s="1" t="s">
        <v>26282</v>
      </c>
      <c r="B4081" s="1" t="str">
        <f>"Rhydian Davies R J Davies Property Maintenance and Management"</f>
        <v>Rhydian Davies R J Davies Property Maintenance and Management</v>
      </c>
      <c r="C4081" s="1" t="s">
        <v>26283</v>
      </c>
      <c r="F4081" s="1" t="s">
        <v>22</v>
      </c>
      <c r="H4081" s="1" t="s">
        <v>26284</v>
      </c>
      <c r="I4081" s="1" t="s">
        <v>5</v>
      </c>
      <c r="J4081" s="1" t="s">
        <v>6</v>
      </c>
      <c r="K4081" s="1" t="s">
        <v>34</v>
      </c>
      <c r="M4081" s="2">
        <v>42857</v>
      </c>
      <c r="N4081" s="1" t="s">
        <v>8</v>
      </c>
      <c r="O4081" s="2">
        <v>43953</v>
      </c>
    </row>
    <row r="4082" spans="1:15" ht="43.2" x14ac:dyDescent="0.3">
      <c r="A4082" s="1" t="s">
        <v>26285</v>
      </c>
      <c r="B4082" s="1" t="str">
        <f>"Christopher  Davies "</f>
        <v xml:space="preserve">Christopher  Davies </v>
      </c>
      <c r="C4082" s="1" t="s">
        <v>26286</v>
      </c>
      <c r="F4082" s="1" t="s">
        <v>950</v>
      </c>
      <c r="H4082" s="1" t="s">
        <v>26287</v>
      </c>
      <c r="I4082" s="1" t="s">
        <v>5</v>
      </c>
      <c r="J4082" s="1" t="s">
        <v>67</v>
      </c>
      <c r="K4082" s="1" t="s">
        <v>14</v>
      </c>
      <c r="M4082" s="2">
        <v>42857</v>
      </c>
      <c r="N4082" s="1" t="s">
        <v>8</v>
      </c>
      <c r="O4082" s="1" t="s">
        <v>68</v>
      </c>
    </row>
    <row r="4083" spans="1:15" ht="28.8" x14ac:dyDescent="0.3">
      <c r="A4083" s="1" t="s">
        <v>26288</v>
      </c>
      <c r="B4083" s="1" t="str">
        <f>"Michael Oliver Michael oliver"</f>
        <v>Michael Oliver Michael oliver</v>
      </c>
      <c r="C4083" s="1" t="s">
        <v>26289</v>
      </c>
      <c r="F4083" s="1" t="s">
        <v>37</v>
      </c>
      <c r="H4083" s="1" t="s">
        <v>26290</v>
      </c>
      <c r="I4083" s="1" t="s">
        <v>5</v>
      </c>
      <c r="J4083" s="1" t="s">
        <v>6</v>
      </c>
      <c r="K4083" s="1" t="s">
        <v>24</v>
      </c>
      <c r="M4083" s="2">
        <v>42857</v>
      </c>
      <c r="N4083" s="1" t="s">
        <v>8</v>
      </c>
      <c r="O4083" s="2">
        <v>43953</v>
      </c>
    </row>
    <row r="4084" spans="1:15" ht="28.8" x14ac:dyDescent="0.3">
      <c r="A4084" s="1" t="s">
        <v>19121</v>
      </c>
      <c r="B4084" s="1" t="str">
        <f>"Paul Bowkett Bowkett Haulage"</f>
        <v>Paul Bowkett Bowkett Haulage</v>
      </c>
      <c r="C4084" s="1" t="s">
        <v>19122</v>
      </c>
      <c r="F4084" s="1" t="s">
        <v>198</v>
      </c>
      <c r="H4084" s="1" t="s">
        <v>19123</v>
      </c>
      <c r="I4084" s="1" t="s">
        <v>5</v>
      </c>
      <c r="J4084" s="1" t="s">
        <v>6</v>
      </c>
      <c r="K4084" s="1" t="s">
        <v>24</v>
      </c>
      <c r="M4084" s="2">
        <v>42856</v>
      </c>
      <c r="N4084" s="1" t="s">
        <v>8</v>
      </c>
      <c r="O4084" s="2">
        <v>43952</v>
      </c>
    </row>
    <row r="4085" spans="1:15" x14ac:dyDescent="0.3">
      <c r="A4085" s="1" t="s">
        <v>3901</v>
      </c>
      <c r="B4085" s="1" t="str">
        <f>"Diabb Services Ltd."</f>
        <v>Diabb Services Ltd.</v>
      </c>
      <c r="C4085" s="1" t="s">
        <v>3902</v>
      </c>
      <c r="F4085" s="1" t="s">
        <v>3415</v>
      </c>
      <c r="H4085" s="1" t="s">
        <v>3903</v>
      </c>
      <c r="I4085" s="1" t="s">
        <v>19</v>
      </c>
      <c r="J4085" s="1" t="s">
        <v>6</v>
      </c>
      <c r="K4085" s="1" t="s">
        <v>24</v>
      </c>
      <c r="L4085" s="1">
        <v>6518771</v>
      </c>
      <c r="M4085" s="2">
        <v>42855</v>
      </c>
      <c r="N4085" s="1" t="s">
        <v>8</v>
      </c>
      <c r="O4085" s="2">
        <v>43951</v>
      </c>
    </row>
    <row r="4086" spans="1:15" ht="43.2" x14ac:dyDescent="0.3">
      <c r="A4086" s="1" t="s">
        <v>3904</v>
      </c>
      <c r="B4086" s="1" t="str">
        <f>"D &amp; P Properties"</f>
        <v>D &amp; P Properties</v>
      </c>
      <c r="C4086" s="1" t="s">
        <v>3905</v>
      </c>
      <c r="F4086" s="1" t="s">
        <v>223</v>
      </c>
      <c r="H4086" s="1" t="s">
        <v>3906</v>
      </c>
      <c r="I4086" s="1" t="s">
        <v>125</v>
      </c>
      <c r="J4086" s="1" t="s">
        <v>67</v>
      </c>
      <c r="K4086" s="1" t="s">
        <v>1859</v>
      </c>
      <c r="M4086" s="2">
        <v>42855</v>
      </c>
      <c r="N4086" s="1" t="s">
        <v>8</v>
      </c>
      <c r="O4086" s="1" t="s">
        <v>68</v>
      </c>
    </row>
    <row r="4087" spans="1:15" ht="43.2" x14ac:dyDescent="0.3">
      <c r="A4087" s="1" t="s">
        <v>3907</v>
      </c>
      <c r="B4087" s="1" t="str">
        <f>"Material Concepts Ltd"</f>
        <v>Material Concepts Ltd</v>
      </c>
      <c r="C4087" s="1" t="s">
        <v>3908</v>
      </c>
      <c r="F4087" s="1" t="s">
        <v>170</v>
      </c>
      <c r="H4087" s="1" t="s">
        <v>3909</v>
      </c>
      <c r="I4087" s="1" t="s">
        <v>19</v>
      </c>
      <c r="J4087" s="1" t="s">
        <v>67</v>
      </c>
      <c r="K4087" s="1" t="s">
        <v>14</v>
      </c>
      <c r="M4087" s="2">
        <v>42855</v>
      </c>
      <c r="N4087" s="1" t="s">
        <v>8</v>
      </c>
      <c r="O4087" s="1" t="s">
        <v>68</v>
      </c>
    </row>
    <row r="4088" spans="1:15" ht="28.8" x14ac:dyDescent="0.3">
      <c r="A4088" s="1" t="s">
        <v>19118</v>
      </c>
      <c r="B4088" s="1" t="str">
        <f>"Stephen Jeffrey Ballinger"</f>
        <v>Stephen Jeffrey Ballinger</v>
      </c>
      <c r="C4088" s="1" t="s">
        <v>19119</v>
      </c>
      <c r="F4088" s="1" t="s">
        <v>298</v>
      </c>
      <c r="H4088" s="1" t="s">
        <v>19120</v>
      </c>
      <c r="I4088" s="1" t="s">
        <v>5</v>
      </c>
      <c r="J4088" s="1" t="s">
        <v>6</v>
      </c>
      <c r="K4088" s="1" t="s">
        <v>24</v>
      </c>
      <c r="M4088" s="2">
        <v>42855</v>
      </c>
      <c r="N4088" s="1" t="s">
        <v>8</v>
      </c>
      <c r="O4088" s="2">
        <v>43951</v>
      </c>
    </row>
    <row r="4089" spans="1:15" ht="43.2" x14ac:dyDescent="0.3">
      <c r="A4089" s="1" t="s">
        <v>19099</v>
      </c>
      <c r="B4089" s="1" t="str">
        <f>"Michael Bryant"</f>
        <v>Michael Bryant</v>
      </c>
      <c r="C4089" s="1" t="s">
        <v>19100</v>
      </c>
      <c r="F4089" s="1" t="s">
        <v>3834</v>
      </c>
      <c r="H4089" s="1" t="s">
        <v>19101</v>
      </c>
      <c r="I4089" s="1" t="s">
        <v>5</v>
      </c>
      <c r="J4089" s="1" t="s">
        <v>67</v>
      </c>
      <c r="K4089" s="1" t="s">
        <v>14</v>
      </c>
      <c r="M4089" s="2">
        <v>42854</v>
      </c>
      <c r="N4089" s="1" t="s">
        <v>8</v>
      </c>
      <c r="O4089" s="1" t="s">
        <v>68</v>
      </c>
    </row>
    <row r="4090" spans="1:15" ht="43.2" x14ac:dyDescent="0.3">
      <c r="A4090" s="1" t="s">
        <v>19102</v>
      </c>
      <c r="B4090" s="1" t="str">
        <f>"ionel marinache"</f>
        <v>ionel marinache</v>
      </c>
      <c r="C4090" s="1" t="s">
        <v>19103</v>
      </c>
      <c r="F4090" s="1" t="s">
        <v>19104</v>
      </c>
      <c r="H4090" s="1" t="s">
        <v>19105</v>
      </c>
      <c r="I4090" s="1" t="s">
        <v>5</v>
      </c>
      <c r="J4090" s="1" t="s">
        <v>67</v>
      </c>
      <c r="K4090" s="1" t="s">
        <v>14</v>
      </c>
      <c r="M4090" s="2">
        <v>42854</v>
      </c>
      <c r="N4090" s="1" t="s">
        <v>8</v>
      </c>
      <c r="O4090" s="1" t="s">
        <v>68</v>
      </c>
    </row>
    <row r="4091" spans="1:15" ht="28.8" x14ac:dyDescent="0.3">
      <c r="A4091" s="1" t="s">
        <v>19106</v>
      </c>
      <c r="B4091" s="1" t="str">
        <f>"colin hughes A V Roofing"</f>
        <v>colin hughes A V Roofing</v>
      </c>
      <c r="C4091" s="1" t="s">
        <v>19107</v>
      </c>
      <c r="F4091" s="1" t="s">
        <v>65</v>
      </c>
      <c r="H4091" s="1" t="s">
        <v>19108</v>
      </c>
      <c r="I4091" s="1" t="s">
        <v>5</v>
      </c>
      <c r="J4091" s="1" t="s">
        <v>6</v>
      </c>
      <c r="K4091" s="1" t="s">
        <v>24</v>
      </c>
      <c r="M4091" s="2">
        <v>42854</v>
      </c>
      <c r="N4091" s="1" t="s">
        <v>8</v>
      </c>
      <c r="O4091" s="2">
        <v>43950</v>
      </c>
    </row>
    <row r="4092" spans="1:15" ht="28.8" x14ac:dyDescent="0.3">
      <c r="A4092" s="1" t="s">
        <v>19109</v>
      </c>
      <c r="B4092" s="1" t="str">
        <f>"Mark Pickvance Mark Pickvance"</f>
        <v>Mark Pickvance Mark Pickvance</v>
      </c>
      <c r="C4092" s="1" t="s">
        <v>19110</v>
      </c>
      <c r="F4092" s="1" t="s">
        <v>298</v>
      </c>
      <c r="H4092" s="1" t="s">
        <v>19111</v>
      </c>
      <c r="I4092" s="1" t="s">
        <v>5</v>
      </c>
      <c r="J4092" s="1" t="s">
        <v>6</v>
      </c>
      <c r="K4092" s="1" t="s">
        <v>24</v>
      </c>
      <c r="M4092" s="2">
        <v>42854</v>
      </c>
      <c r="N4092" s="1" t="s">
        <v>8</v>
      </c>
      <c r="O4092" s="2">
        <v>43950</v>
      </c>
    </row>
    <row r="4093" spans="1:15" ht="43.2" x14ac:dyDescent="0.3">
      <c r="A4093" s="1" t="s">
        <v>19112</v>
      </c>
      <c r="B4093" s="1" t="str">
        <f>"jim lott"</f>
        <v>jim lott</v>
      </c>
      <c r="C4093" s="1" t="s">
        <v>19113</v>
      </c>
      <c r="F4093" s="1" t="s">
        <v>621</v>
      </c>
      <c r="H4093" s="1" t="s">
        <v>19114</v>
      </c>
      <c r="I4093" s="1" t="s">
        <v>5</v>
      </c>
      <c r="J4093" s="1" t="s">
        <v>67</v>
      </c>
      <c r="K4093" s="1" t="s">
        <v>14</v>
      </c>
      <c r="M4093" s="2">
        <v>42854</v>
      </c>
      <c r="N4093" s="1" t="s">
        <v>8</v>
      </c>
      <c r="O4093" s="1" t="s">
        <v>68</v>
      </c>
    </row>
    <row r="4094" spans="1:15" ht="43.2" x14ac:dyDescent="0.3">
      <c r="A4094" s="1" t="s">
        <v>19115</v>
      </c>
      <c r="B4094" s="1" t="str">
        <f>"Paul Wilson"</f>
        <v>Paul Wilson</v>
      </c>
      <c r="C4094" s="1" t="s">
        <v>19116</v>
      </c>
      <c r="F4094" s="1" t="s">
        <v>65</v>
      </c>
      <c r="H4094" s="1" t="s">
        <v>19117</v>
      </c>
      <c r="I4094" s="1" t="s">
        <v>5</v>
      </c>
      <c r="J4094" s="1" t="s">
        <v>67</v>
      </c>
      <c r="K4094" s="1" t="s">
        <v>14</v>
      </c>
      <c r="M4094" s="2">
        <v>42854</v>
      </c>
      <c r="N4094" s="1" t="s">
        <v>8</v>
      </c>
      <c r="O4094" s="1" t="s">
        <v>68</v>
      </c>
    </row>
    <row r="4095" spans="1:15" ht="28.8" x14ac:dyDescent="0.3">
      <c r="A4095" s="1" t="s">
        <v>3898</v>
      </c>
      <c r="B4095" s="1" t="str">
        <f>"S &amp; M Pallets Limited"</f>
        <v>S &amp; M Pallets Limited</v>
      </c>
      <c r="C4095" s="1" t="s">
        <v>3899</v>
      </c>
      <c r="F4095" s="1" t="s">
        <v>65</v>
      </c>
      <c r="H4095" s="1" t="s">
        <v>3900</v>
      </c>
      <c r="I4095" s="1" t="s">
        <v>19</v>
      </c>
      <c r="J4095" s="1" t="s">
        <v>6</v>
      </c>
      <c r="K4095" s="1" t="s">
        <v>24</v>
      </c>
      <c r="L4095" s="1">
        <v>10387277</v>
      </c>
      <c r="M4095" s="2">
        <v>42853</v>
      </c>
      <c r="N4095" s="1" t="s">
        <v>8</v>
      </c>
      <c r="O4095" s="2">
        <v>43949</v>
      </c>
    </row>
    <row r="4096" spans="1:15" ht="28.8" x14ac:dyDescent="0.3">
      <c r="A4096" s="1" t="s">
        <v>19088</v>
      </c>
      <c r="B4096" s="1" t="str">
        <f>"William Brown W J Brown"</f>
        <v>William Brown W J Brown</v>
      </c>
      <c r="C4096" s="1" t="s">
        <v>19089</v>
      </c>
      <c r="F4096" s="1" t="s">
        <v>1278</v>
      </c>
      <c r="H4096" s="1" t="s">
        <v>19090</v>
      </c>
      <c r="I4096" s="1" t="s">
        <v>5</v>
      </c>
      <c r="J4096" s="1" t="s">
        <v>6</v>
      </c>
      <c r="K4096" s="1" t="s">
        <v>24</v>
      </c>
      <c r="M4096" s="2">
        <v>42853</v>
      </c>
      <c r="N4096" s="1" t="s">
        <v>8</v>
      </c>
      <c r="O4096" s="2">
        <v>43949</v>
      </c>
    </row>
    <row r="4097" spans="1:15" ht="28.8" x14ac:dyDescent="0.3">
      <c r="A4097" s="1" t="s">
        <v>19091</v>
      </c>
      <c r="B4097" s="1" t="str">
        <f>"Jonathan Burnell Jb gas "</f>
        <v xml:space="preserve">Jonathan Burnell Jb gas </v>
      </c>
      <c r="C4097" s="1" t="s">
        <v>19092</v>
      </c>
      <c r="F4097" s="1" t="s">
        <v>1556</v>
      </c>
      <c r="H4097" s="1" t="s">
        <v>19093</v>
      </c>
      <c r="I4097" s="1" t="s">
        <v>5</v>
      </c>
      <c r="J4097" s="1" t="s">
        <v>6</v>
      </c>
      <c r="K4097" s="1" t="s">
        <v>34</v>
      </c>
      <c r="M4097" s="2">
        <v>42853</v>
      </c>
      <c r="N4097" s="1" t="s">
        <v>8</v>
      </c>
      <c r="O4097" s="2">
        <v>43949</v>
      </c>
    </row>
    <row r="4098" spans="1:15" ht="43.2" x14ac:dyDescent="0.3">
      <c r="A4098" s="1" t="s">
        <v>19094</v>
      </c>
      <c r="B4098" s="1" t="str">
        <f>"KEVIN THOMAS FFENESTRI KEVIN THOMAS WINDOWS"</f>
        <v>KEVIN THOMAS FFENESTRI KEVIN THOMAS WINDOWS</v>
      </c>
      <c r="C4098" s="1" t="s">
        <v>19095</v>
      </c>
      <c r="F4098" s="1" t="s">
        <v>5958</v>
      </c>
      <c r="H4098" s="1" t="s">
        <v>19096</v>
      </c>
      <c r="I4098" s="1" t="s">
        <v>5</v>
      </c>
      <c r="J4098" s="1" t="s">
        <v>6</v>
      </c>
      <c r="K4098" s="1" t="s">
        <v>24</v>
      </c>
      <c r="M4098" s="2">
        <v>42853</v>
      </c>
      <c r="N4098" s="1" t="s">
        <v>8</v>
      </c>
      <c r="O4098" s="2">
        <v>43949</v>
      </c>
    </row>
    <row r="4099" spans="1:15" ht="28.8" x14ac:dyDescent="0.3">
      <c r="A4099" s="1" t="s">
        <v>19097</v>
      </c>
      <c r="B4099" s="1" t="str">
        <f>"GARY HUGHES Plumb Workz Ltd"</f>
        <v>GARY HUGHES Plumb Workz Ltd</v>
      </c>
      <c r="C4099" s="1" t="s">
        <v>19098</v>
      </c>
      <c r="D4099" s="1" t="s">
        <v>8264</v>
      </c>
      <c r="E4099" s="1" t="s">
        <v>475</v>
      </c>
      <c r="F4099" s="1" t="s">
        <v>83</v>
      </c>
      <c r="H4099" s="1" t="s">
        <v>4877</v>
      </c>
      <c r="I4099" s="1" t="s">
        <v>5</v>
      </c>
      <c r="J4099" s="1" t="s">
        <v>6</v>
      </c>
      <c r="K4099" s="1" t="s">
        <v>24</v>
      </c>
      <c r="M4099" s="2">
        <v>42853</v>
      </c>
      <c r="N4099" s="1" t="s">
        <v>8</v>
      </c>
      <c r="O4099" s="2">
        <v>43949</v>
      </c>
    </row>
    <row r="4100" spans="1:15" ht="28.8" x14ac:dyDescent="0.3">
      <c r="A4100" s="1" t="s">
        <v>29376</v>
      </c>
      <c r="B4100" s="1" t="str">
        <f>"Mark Francis MFP Installation"</f>
        <v>Mark Francis MFP Installation</v>
      </c>
      <c r="C4100" s="1" t="s">
        <v>29377</v>
      </c>
      <c r="F4100" s="1" t="s">
        <v>1975</v>
      </c>
      <c r="H4100" s="1" t="s">
        <v>29378</v>
      </c>
      <c r="I4100" s="1" t="s">
        <v>5</v>
      </c>
      <c r="J4100" s="1" t="s">
        <v>6</v>
      </c>
      <c r="K4100" s="1" t="s">
        <v>24</v>
      </c>
      <c r="M4100" s="2">
        <v>42853</v>
      </c>
      <c r="N4100" s="1" t="s">
        <v>8</v>
      </c>
      <c r="O4100" s="2">
        <v>43949</v>
      </c>
    </row>
    <row r="4101" spans="1:15" ht="43.2" x14ac:dyDescent="0.3">
      <c r="A4101" s="1" t="s">
        <v>17646</v>
      </c>
      <c r="B4101" s="1" t="str">
        <f>"Manchester Square Health Centre"</f>
        <v>Manchester Square Health Centre</v>
      </c>
      <c r="C4101" s="1" t="s">
        <v>17647</v>
      </c>
      <c r="F4101" s="1" t="s">
        <v>134</v>
      </c>
      <c r="H4101" s="1" t="s">
        <v>17648</v>
      </c>
      <c r="I4101" s="1" t="s">
        <v>125</v>
      </c>
      <c r="J4101" s="1" t="s">
        <v>67</v>
      </c>
      <c r="K4101" s="1" t="s">
        <v>14</v>
      </c>
      <c r="M4101" s="2">
        <v>42852</v>
      </c>
      <c r="N4101" s="1" t="s">
        <v>8</v>
      </c>
      <c r="O4101" s="1" t="s">
        <v>68</v>
      </c>
    </row>
    <row r="4102" spans="1:15" ht="43.2" x14ac:dyDescent="0.3">
      <c r="A4102" s="1" t="s">
        <v>17649</v>
      </c>
      <c r="B4102" s="1" t="str">
        <f>"Local Solutions"</f>
        <v>Local Solutions</v>
      </c>
      <c r="C4102" s="1" t="s">
        <v>17650</v>
      </c>
      <c r="D4102" s="1" t="s">
        <v>8016</v>
      </c>
      <c r="F4102" s="1" t="s">
        <v>607</v>
      </c>
      <c r="H4102" s="1" t="s">
        <v>17651</v>
      </c>
      <c r="I4102" s="1" t="s">
        <v>1872</v>
      </c>
      <c r="J4102" s="1" t="s">
        <v>67</v>
      </c>
      <c r="K4102" s="1" t="s">
        <v>14</v>
      </c>
      <c r="M4102" s="2">
        <v>42852</v>
      </c>
      <c r="N4102" s="1" t="s">
        <v>8</v>
      </c>
      <c r="O4102" s="1" t="s">
        <v>68</v>
      </c>
    </row>
    <row r="4103" spans="1:15" ht="28.8" x14ac:dyDescent="0.3">
      <c r="A4103" s="1" t="s">
        <v>17652</v>
      </c>
      <c r="B4103" s="1" t="str">
        <f>"Chester Chain Co Ltd"</f>
        <v>Chester Chain Co Ltd</v>
      </c>
      <c r="C4103" s="1" t="s">
        <v>17653</v>
      </c>
      <c r="D4103" s="1" t="s">
        <v>17654</v>
      </c>
      <c r="E4103" s="1" t="s">
        <v>16353</v>
      </c>
      <c r="F4103" s="1" t="s">
        <v>2950</v>
      </c>
      <c r="H4103" s="1" t="s">
        <v>16354</v>
      </c>
      <c r="I4103" s="1" t="s">
        <v>19</v>
      </c>
      <c r="J4103" s="1" t="s">
        <v>6</v>
      </c>
      <c r="K4103" s="1" t="s">
        <v>34</v>
      </c>
      <c r="L4103" s="1">
        <v>798486</v>
      </c>
      <c r="M4103" s="2">
        <v>42852</v>
      </c>
      <c r="N4103" s="1" t="s">
        <v>8</v>
      </c>
      <c r="O4103" s="2">
        <v>43948</v>
      </c>
    </row>
    <row r="4104" spans="1:15" ht="28.8" x14ac:dyDescent="0.3">
      <c r="A4104" s="1" t="s">
        <v>17655</v>
      </c>
      <c r="B4104" s="1" t="str">
        <f>"Jordan Civils Ltd."</f>
        <v>Jordan Civils Ltd.</v>
      </c>
      <c r="C4104" s="1" t="s">
        <v>16601</v>
      </c>
      <c r="D4104" s="1" t="s">
        <v>733</v>
      </c>
      <c r="F4104" s="1" t="s">
        <v>873</v>
      </c>
      <c r="H4104" s="1" t="s">
        <v>734</v>
      </c>
      <c r="I4104" s="1" t="s">
        <v>19</v>
      </c>
      <c r="J4104" s="1" t="s">
        <v>6</v>
      </c>
      <c r="K4104" s="1" t="s">
        <v>34</v>
      </c>
      <c r="L4104" s="1">
        <v>4446261</v>
      </c>
      <c r="M4104" s="2">
        <v>42852</v>
      </c>
      <c r="N4104" s="1" t="s">
        <v>8</v>
      </c>
      <c r="O4104" s="2">
        <v>43948</v>
      </c>
    </row>
    <row r="4105" spans="1:15" ht="28.8" x14ac:dyDescent="0.3">
      <c r="A4105" s="1" t="s">
        <v>17656</v>
      </c>
      <c r="B4105" s="1" t="str">
        <f>"I-Tel Supplies Ltd"</f>
        <v>I-Tel Supplies Ltd</v>
      </c>
      <c r="C4105" s="1" t="s">
        <v>17657</v>
      </c>
      <c r="D4105" s="1" t="s">
        <v>3853</v>
      </c>
      <c r="F4105" s="1" t="s">
        <v>27</v>
      </c>
      <c r="H4105" s="1" t="s">
        <v>3854</v>
      </c>
      <c r="I4105" s="1" t="s">
        <v>19</v>
      </c>
      <c r="J4105" s="1" t="s">
        <v>6</v>
      </c>
      <c r="K4105" s="1" t="s">
        <v>34</v>
      </c>
      <c r="L4105" s="1">
        <v>5883612</v>
      </c>
      <c r="M4105" s="2">
        <v>42852</v>
      </c>
      <c r="N4105" s="1" t="s">
        <v>8</v>
      </c>
      <c r="O4105" s="2">
        <v>43948</v>
      </c>
    </row>
    <row r="4106" spans="1:15" ht="43.2" x14ac:dyDescent="0.3">
      <c r="A4106" s="1" t="s">
        <v>28642</v>
      </c>
      <c r="B4106" s="1" t="str">
        <f>"David Heap"</f>
        <v>David Heap</v>
      </c>
      <c r="C4106" s="1" t="s">
        <v>28643</v>
      </c>
      <c r="F4106" s="1" t="s">
        <v>65</v>
      </c>
      <c r="H4106" s="1" t="s">
        <v>28644</v>
      </c>
      <c r="I4106" s="1" t="s">
        <v>5</v>
      </c>
      <c r="J4106" s="1" t="s">
        <v>67</v>
      </c>
      <c r="K4106" s="1" t="s">
        <v>14</v>
      </c>
      <c r="M4106" s="2">
        <v>42852</v>
      </c>
      <c r="N4106" s="1" t="s">
        <v>8</v>
      </c>
      <c r="O4106" s="1" t="s">
        <v>68</v>
      </c>
    </row>
    <row r="4107" spans="1:15" ht="43.2" x14ac:dyDescent="0.3">
      <c r="A4107" s="1" t="s">
        <v>28645</v>
      </c>
      <c r="B4107" s="1" t="str">
        <f>"Stuart Pickard"</f>
        <v>Stuart Pickard</v>
      </c>
      <c r="C4107" s="1" t="s">
        <v>28646</v>
      </c>
      <c r="F4107" s="1" t="s">
        <v>2277</v>
      </c>
      <c r="H4107" s="1" t="s">
        <v>28647</v>
      </c>
      <c r="I4107" s="1" t="s">
        <v>5</v>
      </c>
      <c r="J4107" s="1" t="s">
        <v>67</v>
      </c>
      <c r="K4107" s="1" t="s">
        <v>34</v>
      </c>
      <c r="M4107" s="2">
        <v>42852</v>
      </c>
      <c r="N4107" s="1" t="s">
        <v>8</v>
      </c>
      <c r="O4107" s="1" t="s">
        <v>68</v>
      </c>
    </row>
    <row r="4108" spans="1:15" ht="43.2" x14ac:dyDescent="0.3">
      <c r="A4108" s="1" t="s">
        <v>29367</v>
      </c>
      <c r="B4108" s="1" t="str">
        <f>"Catherine Pollard"</f>
        <v>Catherine Pollard</v>
      </c>
      <c r="C4108" s="1" t="s">
        <v>29368</v>
      </c>
      <c r="F4108" s="1" t="s">
        <v>27</v>
      </c>
      <c r="H4108" s="1" t="s">
        <v>29369</v>
      </c>
      <c r="I4108" s="1" t="s">
        <v>5</v>
      </c>
      <c r="J4108" s="1" t="s">
        <v>67</v>
      </c>
      <c r="K4108" s="1" t="s">
        <v>14</v>
      </c>
      <c r="M4108" s="2">
        <v>42852</v>
      </c>
      <c r="N4108" s="1" t="s">
        <v>8</v>
      </c>
      <c r="O4108" s="1" t="s">
        <v>68</v>
      </c>
    </row>
    <row r="4109" spans="1:15" ht="28.8" x14ac:dyDescent="0.3">
      <c r="A4109" s="1" t="s">
        <v>29370</v>
      </c>
      <c r="B4109" s="1" t="str">
        <f>"George Davies George Davies"</f>
        <v>George Davies George Davies</v>
      </c>
      <c r="C4109" s="1" t="s">
        <v>29371</v>
      </c>
      <c r="F4109" s="1" t="s">
        <v>65</v>
      </c>
      <c r="H4109" s="1" t="s">
        <v>29372</v>
      </c>
      <c r="I4109" s="1" t="s">
        <v>5</v>
      </c>
      <c r="J4109" s="1" t="s">
        <v>6</v>
      </c>
      <c r="K4109" s="1" t="s">
        <v>24</v>
      </c>
      <c r="M4109" s="2">
        <v>42852</v>
      </c>
      <c r="N4109" s="1" t="s">
        <v>8</v>
      </c>
      <c r="O4109" s="2">
        <v>43948</v>
      </c>
    </row>
    <row r="4110" spans="1:15" ht="28.8" x14ac:dyDescent="0.3">
      <c r="A4110" s="1" t="s">
        <v>29373</v>
      </c>
      <c r="B4110" s="1" t="str">
        <f>"Gilbert Jeffrey Musselwhite"</f>
        <v>Gilbert Jeffrey Musselwhite</v>
      </c>
      <c r="C4110" s="1" t="s">
        <v>29374</v>
      </c>
      <c r="F4110" s="1" t="s">
        <v>2817</v>
      </c>
      <c r="H4110" s="1" t="s">
        <v>29375</v>
      </c>
      <c r="I4110" s="1" t="s">
        <v>5</v>
      </c>
      <c r="J4110" s="1" t="s">
        <v>6</v>
      </c>
      <c r="K4110" s="1" t="s">
        <v>34</v>
      </c>
      <c r="M4110" s="2">
        <v>42852</v>
      </c>
      <c r="N4110" s="1" t="s">
        <v>8</v>
      </c>
      <c r="O4110" s="2">
        <v>43948</v>
      </c>
    </row>
    <row r="4111" spans="1:15" ht="43.2" x14ac:dyDescent="0.3">
      <c r="A4111" s="1" t="s">
        <v>16592</v>
      </c>
      <c r="B4111" s="1" t="str">
        <f>"Castle Hotel Bar"</f>
        <v>Castle Hotel Bar</v>
      </c>
      <c r="C4111" s="1" t="s">
        <v>16593</v>
      </c>
      <c r="F4111" s="1" t="s">
        <v>37</v>
      </c>
      <c r="H4111" s="1" t="s">
        <v>16594</v>
      </c>
      <c r="I4111" s="1" t="s">
        <v>19</v>
      </c>
      <c r="J4111" s="1" t="s">
        <v>67</v>
      </c>
      <c r="K4111" s="1" t="s">
        <v>14</v>
      </c>
      <c r="M4111" s="2">
        <v>42851</v>
      </c>
      <c r="N4111" s="1" t="s">
        <v>8</v>
      </c>
      <c r="O4111" s="1" t="s">
        <v>68</v>
      </c>
    </row>
    <row r="4112" spans="1:15" ht="28.8" x14ac:dyDescent="0.3">
      <c r="A4112" s="1" t="s">
        <v>16595</v>
      </c>
      <c r="B4112" s="1" t="str">
        <f>"Classic Fires &amp; Bathrooms Ltd."</f>
        <v>Classic Fires &amp; Bathrooms Ltd.</v>
      </c>
      <c r="C4112" s="1" t="s">
        <v>13746</v>
      </c>
      <c r="F4112" s="1" t="s">
        <v>2906</v>
      </c>
      <c r="H4112" s="1" t="s">
        <v>16596</v>
      </c>
      <c r="I4112" s="1" t="s">
        <v>19</v>
      </c>
      <c r="J4112" s="1" t="s">
        <v>6</v>
      </c>
      <c r="K4112" s="1" t="s">
        <v>34</v>
      </c>
      <c r="L4112" s="1">
        <v>4569599</v>
      </c>
      <c r="M4112" s="2">
        <v>42851</v>
      </c>
      <c r="N4112" s="1" t="s">
        <v>8</v>
      </c>
      <c r="O4112" s="2">
        <v>43947</v>
      </c>
    </row>
    <row r="4113" spans="1:15" ht="43.2" x14ac:dyDescent="0.3">
      <c r="A4113" s="1" t="s">
        <v>16597</v>
      </c>
      <c r="B4113" s="1" t="str">
        <f>"Highland Electrix (Bridgend) Ltd."</f>
        <v>Highland Electrix (Bridgend) Ltd.</v>
      </c>
      <c r="C4113" s="1" t="s">
        <v>12082</v>
      </c>
      <c r="D4113" s="1" t="s">
        <v>6518</v>
      </c>
      <c r="F4113" s="1" t="s">
        <v>865</v>
      </c>
      <c r="H4113" s="1" t="s">
        <v>12083</v>
      </c>
      <c r="I4113" s="1" t="s">
        <v>19</v>
      </c>
      <c r="J4113" s="1" t="s">
        <v>6</v>
      </c>
      <c r="K4113" s="1" t="s">
        <v>34</v>
      </c>
      <c r="L4113" s="1">
        <v>889412</v>
      </c>
      <c r="M4113" s="2">
        <v>42851</v>
      </c>
      <c r="N4113" s="1" t="s">
        <v>8</v>
      </c>
      <c r="O4113" s="2">
        <v>43947</v>
      </c>
    </row>
    <row r="4114" spans="1:15" ht="28.8" x14ac:dyDescent="0.3">
      <c r="A4114" s="1" t="s">
        <v>16598</v>
      </c>
      <c r="B4114" s="1" t="str">
        <f>"C  P  General Services Ltd."</f>
        <v>C  P  General Services Ltd.</v>
      </c>
      <c r="C4114" s="1" t="s">
        <v>16599</v>
      </c>
      <c r="D4114" s="1" t="s">
        <v>5091</v>
      </c>
      <c r="E4114" s="1" t="s">
        <v>1839</v>
      </c>
      <c r="F4114" s="1" t="s">
        <v>103</v>
      </c>
      <c r="H4114" s="1" t="s">
        <v>11059</v>
      </c>
      <c r="I4114" s="1" t="s">
        <v>19</v>
      </c>
      <c r="J4114" s="1" t="s">
        <v>6</v>
      </c>
      <c r="K4114" s="1" t="s">
        <v>24</v>
      </c>
      <c r="L4114" s="1">
        <v>4312288</v>
      </c>
      <c r="M4114" s="2">
        <v>42851</v>
      </c>
      <c r="N4114" s="1" t="s">
        <v>8</v>
      </c>
      <c r="O4114" s="2">
        <v>43947</v>
      </c>
    </row>
    <row r="4115" spans="1:15" ht="28.8" x14ac:dyDescent="0.3">
      <c r="A4115" s="1" t="s">
        <v>16600</v>
      </c>
      <c r="B4115" s="1" t="str">
        <f>"Stone Supplies (Wales) Ltd."</f>
        <v>Stone Supplies (Wales) Ltd.</v>
      </c>
      <c r="C4115" s="1" t="s">
        <v>16601</v>
      </c>
      <c r="D4115" s="1" t="s">
        <v>733</v>
      </c>
      <c r="F4115" s="1" t="s">
        <v>873</v>
      </c>
      <c r="H4115" s="1" t="s">
        <v>734</v>
      </c>
      <c r="I4115" s="1" t="s">
        <v>19</v>
      </c>
      <c r="J4115" s="1" t="s">
        <v>6</v>
      </c>
      <c r="K4115" s="1" t="s">
        <v>34</v>
      </c>
      <c r="L4115" s="1">
        <v>6499029</v>
      </c>
      <c r="M4115" s="2">
        <v>42851</v>
      </c>
      <c r="N4115" s="1" t="s">
        <v>8</v>
      </c>
      <c r="O4115" s="2">
        <v>43947</v>
      </c>
    </row>
    <row r="4116" spans="1:15" ht="43.2" x14ac:dyDescent="0.3">
      <c r="A4116" s="1" t="s">
        <v>28630</v>
      </c>
      <c r="B4116" s="1" t="str">
        <f>"Nicholas Owens Warm Tech Gas &amp; Electrical Services"</f>
        <v>Nicholas Owens Warm Tech Gas &amp; Electrical Services</v>
      </c>
      <c r="C4116" s="1" t="s">
        <v>28631</v>
      </c>
      <c r="F4116" s="1" t="s">
        <v>65</v>
      </c>
      <c r="H4116" s="1" t="s">
        <v>20533</v>
      </c>
      <c r="I4116" s="1" t="s">
        <v>5</v>
      </c>
      <c r="J4116" s="1" t="s">
        <v>6</v>
      </c>
      <c r="K4116" s="1" t="s">
        <v>24</v>
      </c>
      <c r="M4116" s="2">
        <v>42851</v>
      </c>
      <c r="N4116" s="1" t="s">
        <v>8</v>
      </c>
      <c r="O4116" s="2">
        <v>43947</v>
      </c>
    </row>
    <row r="4117" spans="1:15" ht="43.2" x14ac:dyDescent="0.3">
      <c r="A4117" s="1" t="s">
        <v>28632</v>
      </c>
      <c r="B4117" s="1" t="str">
        <f>"Nigel  Cutting "</f>
        <v xml:space="preserve">Nigel  Cutting </v>
      </c>
      <c r="C4117" s="1" t="s">
        <v>28633</v>
      </c>
      <c r="D4117" s="1" t="s">
        <v>28634</v>
      </c>
      <c r="F4117" s="1" t="s">
        <v>16590</v>
      </c>
      <c r="H4117" s="1" t="s">
        <v>28635</v>
      </c>
      <c r="I4117" s="1" t="s">
        <v>5</v>
      </c>
      <c r="J4117" s="1" t="s">
        <v>67</v>
      </c>
      <c r="K4117" s="1" t="s">
        <v>14</v>
      </c>
      <c r="M4117" s="2">
        <v>42851</v>
      </c>
      <c r="N4117" s="1" t="s">
        <v>8</v>
      </c>
      <c r="O4117" s="1" t="s">
        <v>68</v>
      </c>
    </row>
    <row r="4118" spans="1:15" ht="28.8" x14ac:dyDescent="0.3">
      <c r="A4118" s="1" t="s">
        <v>28636</v>
      </c>
      <c r="B4118" s="1" t="str">
        <f>"Paul Desmond Leach"</f>
        <v>Paul Desmond Leach</v>
      </c>
      <c r="C4118" s="1" t="s">
        <v>28637</v>
      </c>
      <c r="F4118" s="1" t="s">
        <v>12</v>
      </c>
      <c r="H4118" s="1" t="s">
        <v>28638</v>
      </c>
      <c r="I4118" s="1" t="s">
        <v>5</v>
      </c>
      <c r="J4118" s="1" t="s">
        <v>6</v>
      </c>
      <c r="K4118" s="1" t="s">
        <v>24</v>
      </c>
      <c r="M4118" s="2">
        <v>42851</v>
      </c>
      <c r="N4118" s="1" t="s">
        <v>8</v>
      </c>
      <c r="O4118" s="2">
        <v>43947</v>
      </c>
    </row>
    <row r="4119" spans="1:15" ht="43.2" x14ac:dyDescent="0.3">
      <c r="A4119" s="1" t="s">
        <v>28639</v>
      </c>
      <c r="B4119" s="1" t="str">
        <f>"Thomas Clancy"</f>
        <v>Thomas Clancy</v>
      </c>
      <c r="C4119" s="1" t="s">
        <v>28640</v>
      </c>
      <c r="F4119" s="1" t="s">
        <v>42</v>
      </c>
      <c r="H4119" s="1" t="s">
        <v>28641</v>
      </c>
      <c r="I4119" s="1" t="s">
        <v>5</v>
      </c>
      <c r="J4119" s="1" t="s">
        <v>67</v>
      </c>
      <c r="K4119" s="1" t="s">
        <v>14</v>
      </c>
      <c r="M4119" s="2">
        <v>42851</v>
      </c>
      <c r="N4119" s="1" t="s">
        <v>8</v>
      </c>
      <c r="O4119" s="1" t="s">
        <v>68</v>
      </c>
    </row>
    <row r="4120" spans="1:15" ht="43.2" x14ac:dyDescent="0.3">
      <c r="A4120" s="1" t="s">
        <v>15571</v>
      </c>
      <c r="B4120" s="1" t="str">
        <f>"Minfor Surgery"</f>
        <v>Minfor Surgery</v>
      </c>
      <c r="C4120" s="1" t="s">
        <v>15572</v>
      </c>
      <c r="F4120" s="1" t="s">
        <v>688</v>
      </c>
      <c r="H4120" s="1" t="s">
        <v>15573</v>
      </c>
      <c r="I4120" s="1" t="s">
        <v>125</v>
      </c>
      <c r="J4120" s="1" t="s">
        <v>67</v>
      </c>
      <c r="K4120" s="1" t="s">
        <v>14</v>
      </c>
      <c r="M4120" s="2">
        <v>42850</v>
      </c>
      <c r="N4120" s="1" t="s">
        <v>8</v>
      </c>
      <c r="O4120" s="1" t="s">
        <v>68</v>
      </c>
    </row>
    <row r="4121" spans="1:15" ht="43.2" x14ac:dyDescent="0.3">
      <c r="A4121" s="1" t="s">
        <v>15574</v>
      </c>
      <c r="B4121" s="1" t="str">
        <f>"Total Building Services Maintenance"</f>
        <v>Total Building Services Maintenance</v>
      </c>
      <c r="C4121" s="1" t="s">
        <v>15575</v>
      </c>
      <c r="D4121" s="1" t="s">
        <v>3853</v>
      </c>
      <c r="F4121" s="1" t="s">
        <v>123</v>
      </c>
      <c r="H4121" s="1" t="s">
        <v>15297</v>
      </c>
      <c r="I4121" s="1" t="s">
        <v>19</v>
      </c>
      <c r="J4121" s="1" t="s">
        <v>67</v>
      </c>
      <c r="K4121" s="1" t="s">
        <v>14</v>
      </c>
      <c r="M4121" s="2">
        <v>42850</v>
      </c>
      <c r="N4121" s="1" t="s">
        <v>8</v>
      </c>
      <c r="O4121" s="1" t="s">
        <v>68</v>
      </c>
    </row>
    <row r="4122" spans="1:15" ht="28.8" x14ac:dyDescent="0.3">
      <c r="A4122" s="1" t="s">
        <v>15576</v>
      </c>
      <c r="B4122" s="1" t="str">
        <f>"Chesworth Brothers Ltd"</f>
        <v>Chesworth Brothers Ltd</v>
      </c>
      <c r="C4122" s="1" t="s">
        <v>15577</v>
      </c>
      <c r="F4122" s="1" t="s">
        <v>2</v>
      </c>
      <c r="H4122" s="1" t="s">
        <v>15318</v>
      </c>
      <c r="I4122" s="1" t="s">
        <v>19</v>
      </c>
      <c r="J4122" s="1" t="s">
        <v>6</v>
      </c>
      <c r="K4122" s="1" t="s">
        <v>1859</v>
      </c>
      <c r="L4122" s="1">
        <v>3710167</v>
      </c>
      <c r="M4122" s="2">
        <v>42850</v>
      </c>
      <c r="N4122" s="1" t="s">
        <v>8</v>
      </c>
      <c r="O4122" s="2">
        <v>43946</v>
      </c>
    </row>
    <row r="4123" spans="1:15" ht="28.8" x14ac:dyDescent="0.3">
      <c r="A4123" s="1" t="s">
        <v>15578</v>
      </c>
      <c r="B4123" s="1" t="str">
        <f>"RIDGEWAY CONTRACTORS LTD"</f>
        <v>RIDGEWAY CONTRACTORS LTD</v>
      </c>
      <c r="C4123" s="1" t="s">
        <v>15579</v>
      </c>
      <c r="F4123" s="1" t="s">
        <v>4630</v>
      </c>
      <c r="H4123" s="1" t="s">
        <v>15580</v>
      </c>
      <c r="I4123" s="1" t="s">
        <v>19</v>
      </c>
      <c r="J4123" s="1" t="s">
        <v>6</v>
      </c>
      <c r="K4123" s="1" t="s">
        <v>34</v>
      </c>
      <c r="L4123" s="1">
        <v>4172681</v>
      </c>
      <c r="M4123" s="2">
        <v>42850</v>
      </c>
      <c r="N4123" s="1" t="s">
        <v>8</v>
      </c>
      <c r="O4123" s="2">
        <v>43946</v>
      </c>
    </row>
    <row r="4124" spans="1:15" ht="43.2" x14ac:dyDescent="0.3">
      <c r="A4124" s="1" t="s">
        <v>15581</v>
      </c>
      <c r="B4124" s="1" t="str">
        <f>"Global Furniture Alliance"</f>
        <v>Global Furniture Alliance</v>
      </c>
      <c r="C4124" s="1" t="s">
        <v>15582</v>
      </c>
      <c r="D4124" s="1" t="s">
        <v>8020</v>
      </c>
      <c r="F4124" s="1" t="s">
        <v>243</v>
      </c>
      <c r="H4124" s="1" t="s">
        <v>8022</v>
      </c>
      <c r="I4124" s="1" t="s">
        <v>19</v>
      </c>
      <c r="J4124" s="1" t="s">
        <v>67</v>
      </c>
      <c r="K4124" s="1" t="s">
        <v>14</v>
      </c>
      <c r="M4124" s="2">
        <v>42850</v>
      </c>
      <c r="N4124" s="1" t="s">
        <v>8</v>
      </c>
      <c r="O4124" s="1" t="s">
        <v>68</v>
      </c>
    </row>
    <row r="4125" spans="1:15" ht="28.8" x14ac:dyDescent="0.3">
      <c r="A4125" s="1" t="s">
        <v>15583</v>
      </c>
      <c r="B4125" s="1" t="str">
        <f>"A1 Clearances (North West) Ltd"</f>
        <v>A1 Clearances (North West) Ltd</v>
      </c>
      <c r="C4125" s="1" t="s">
        <v>15584</v>
      </c>
      <c r="D4125" s="1" t="s">
        <v>15585</v>
      </c>
      <c r="F4125" s="1" t="s">
        <v>720</v>
      </c>
      <c r="H4125" s="1" t="s">
        <v>15586</v>
      </c>
      <c r="I4125" s="1" t="s">
        <v>19</v>
      </c>
      <c r="J4125" s="1" t="s">
        <v>6</v>
      </c>
      <c r="K4125" s="1" t="s">
        <v>24</v>
      </c>
      <c r="L4125" s="1">
        <v>9541205</v>
      </c>
      <c r="M4125" s="2">
        <v>42850</v>
      </c>
      <c r="N4125" s="1" t="s">
        <v>8</v>
      </c>
      <c r="O4125" s="2">
        <v>43946</v>
      </c>
    </row>
    <row r="4126" spans="1:15" ht="43.2" x14ac:dyDescent="0.3">
      <c r="A4126" s="1" t="s">
        <v>16588</v>
      </c>
      <c r="B4126" s="1" t="str">
        <f>"B and m auto services "</f>
        <v xml:space="preserve">B and m auto services </v>
      </c>
      <c r="C4126" s="1" t="s">
        <v>16589</v>
      </c>
      <c r="F4126" s="1" t="s">
        <v>16590</v>
      </c>
      <c r="H4126" s="1" t="s">
        <v>16591</v>
      </c>
      <c r="I4126" s="1" t="s">
        <v>19</v>
      </c>
      <c r="J4126" s="1" t="s">
        <v>67</v>
      </c>
      <c r="K4126" s="1" t="s">
        <v>14</v>
      </c>
      <c r="M4126" s="2">
        <v>42850</v>
      </c>
      <c r="N4126" s="1" t="s">
        <v>8</v>
      </c>
      <c r="O4126" s="1" t="s">
        <v>68</v>
      </c>
    </row>
    <row r="4127" spans="1:15" ht="43.2" x14ac:dyDescent="0.3">
      <c r="A4127" s="1" t="s">
        <v>27834</v>
      </c>
      <c r="B4127" s="1" t="str">
        <f>"MIREIA BROTONS"</f>
        <v>MIREIA BROTONS</v>
      </c>
      <c r="C4127" s="1" t="s">
        <v>27835</v>
      </c>
      <c r="F4127" s="1" t="s">
        <v>277</v>
      </c>
      <c r="H4127" s="1" t="s">
        <v>27836</v>
      </c>
      <c r="I4127" s="1" t="s">
        <v>5</v>
      </c>
      <c r="J4127" s="1" t="s">
        <v>67</v>
      </c>
      <c r="K4127" s="1" t="s">
        <v>14</v>
      </c>
      <c r="M4127" s="2">
        <v>42850</v>
      </c>
      <c r="N4127" s="1" t="s">
        <v>8</v>
      </c>
      <c r="O4127" s="1" t="s">
        <v>68</v>
      </c>
    </row>
    <row r="4128" spans="1:15" ht="43.2" x14ac:dyDescent="0.3">
      <c r="A4128" s="1" t="s">
        <v>27837</v>
      </c>
      <c r="B4128" s="1" t="str">
        <f>"colin everest"</f>
        <v>colin everest</v>
      </c>
      <c r="C4128" s="1" t="s">
        <v>27838</v>
      </c>
      <c r="F4128" s="1" t="s">
        <v>27839</v>
      </c>
      <c r="H4128" s="1" t="s">
        <v>27840</v>
      </c>
      <c r="I4128" s="1" t="s">
        <v>5</v>
      </c>
      <c r="J4128" s="1" t="s">
        <v>67</v>
      </c>
      <c r="K4128" s="1" t="s">
        <v>14</v>
      </c>
      <c r="M4128" s="2">
        <v>42850</v>
      </c>
      <c r="N4128" s="1" t="s">
        <v>8</v>
      </c>
      <c r="O4128" s="1" t="s">
        <v>68</v>
      </c>
    </row>
    <row r="4129" spans="1:15" ht="43.2" x14ac:dyDescent="0.3">
      <c r="A4129" s="1" t="s">
        <v>28624</v>
      </c>
      <c r="B4129" s="1" t="str">
        <f>"Gary  Cooper "</f>
        <v xml:space="preserve">Gary  Cooper </v>
      </c>
      <c r="C4129" s="1" t="s">
        <v>28625</v>
      </c>
      <c r="F4129" s="1" t="s">
        <v>24957</v>
      </c>
      <c r="H4129" s="1" t="s">
        <v>28626</v>
      </c>
      <c r="I4129" s="1" t="s">
        <v>5</v>
      </c>
      <c r="J4129" s="1" t="s">
        <v>67</v>
      </c>
      <c r="K4129" s="1" t="s">
        <v>14</v>
      </c>
      <c r="M4129" s="2">
        <v>42850</v>
      </c>
      <c r="N4129" s="1" t="s">
        <v>8</v>
      </c>
      <c r="O4129" s="1" t="s">
        <v>68</v>
      </c>
    </row>
    <row r="4130" spans="1:15" ht="28.8" x14ac:dyDescent="0.3">
      <c r="A4130" s="1" t="s">
        <v>28627</v>
      </c>
      <c r="B4130" s="1" t="str">
        <f>"Carl Stephens CARL STEPHENS"</f>
        <v>Carl Stephens CARL STEPHENS</v>
      </c>
      <c r="C4130" s="1" t="s">
        <v>28628</v>
      </c>
      <c r="F4130" s="1" t="s">
        <v>27</v>
      </c>
      <c r="H4130" s="1" t="s">
        <v>28629</v>
      </c>
      <c r="I4130" s="1" t="s">
        <v>5</v>
      </c>
      <c r="J4130" s="1" t="s">
        <v>6</v>
      </c>
      <c r="K4130" s="1" t="s">
        <v>24</v>
      </c>
      <c r="M4130" s="2">
        <v>42850</v>
      </c>
      <c r="N4130" s="1" t="s">
        <v>8</v>
      </c>
      <c r="O4130" s="2">
        <v>43946</v>
      </c>
    </row>
    <row r="4131" spans="1:15" ht="28.8" x14ac:dyDescent="0.3">
      <c r="A4131" s="1" t="s">
        <v>13820</v>
      </c>
      <c r="B4131" s="1" t="str">
        <f>"Cotyledon Business and Management C"</f>
        <v>Cotyledon Business and Management C</v>
      </c>
      <c r="C4131" s="1" t="s">
        <v>13821</v>
      </c>
      <c r="F4131" s="1" t="s">
        <v>103</v>
      </c>
      <c r="H4131" s="1" t="s">
        <v>13822</v>
      </c>
      <c r="I4131" s="1" t="s">
        <v>19</v>
      </c>
      <c r="J4131" s="1" t="s">
        <v>6</v>
      </c>
      <c r="K4131" s="1" t="s">
        <v>1859</v>
      </c>
      <c r="L4131" s="1">
        <v>8922727</v>
      </c>
      <c r="M4131" s="2">
        <v>42849</v>
      </c>
      <c r="N4131" s="1" t="s">
        <v>8</v>
      </c>
      <c r="O4131" s="2">
        <v>43944</v>
      </c>
    </row>
    <row r="4132" spans="1:15" x14ac:dyDescent="0.3">
      <c r="A4132" s="1" t="s">
        <v>14639</v>
      </c>
      <c r="B4132" s="1" t="str">
        <f>"SC TRANS LIMITED"</f>
        <v>SC TRANS LIMITED</v>
      </c>
      <c r="C4132" s="1" t="s">
        <v>14640</v>
      </c>
      <c r="F4132" s="1" t="s">
        <v>1556</v>
      </c>
      <c r="H4132" s="1" t="s">
        <v>14641</v>
      </c>
      <c r="I4132" s="1" t="s">
        <v>19</v>
      </c>
      <c r="J4132" s="1" t="s">
        <v>6</v>
      </c>
      <c r="K4132" s="1" t="s">
        <v>24</v>
      </c>
      <c r="L4132" s="1">
        <v>10150988</v>
      </c>
      <c r="M4132" s="2">
        <v>42849</v>
      </c>
      <c r="N4132" s="1" t="s">
        <v>8</v>
      </c>
      <c r="O4132" s="2">
        <v>43945</v>
      </c>
    </row>
    <row r="4133" spans="1:15" ht="28.8" x14ac:dyDescent="0.3">
      <c r="A4133" s="1" t="s">
        <v>14642</v>
      </c>
      <c r="B4133" s="1" t="str">
        <f>"Groom Property Maintenance Limited"</f>
        <v>Groom Property Maintenance Limited</v>
      </c>
      <c r="C4133" s="1" t="s">
        <v>14643</v>
      </c>
      <c r="F4133" s="1" t="s">
        <v>42</v>
      </c>
      <c r="H4133" s="1" t="s">
        <v>14644</v>
      </c>
      <c r="I4133" s="1" t="s">
        <v>19</v>
      </c>
      <c r="J4133" s="1" t="s">
        <v>6</v>
      </c>
      <c r="K4133" s="1" t="s">
        <v>34</v>
      </c>
      <c r="L4133" s="1">
        <v>4232647</v>
      </c>
      <c r="M4133" s="2">
        <v>42849</v>
      </c>
      <c r="N4133" s="1" t="s">
        <v>8</v>
      </c>
      <c r="O4133" s="2">
        <v>43945</v>
      </c>
    </row>
    <row r="4134" spans="1:15" ht="28.8" x14ac:dyDescent="0.3">
      <c r="A4134" s="1" t="s">
        <v>14645</v>
      </c>
      <c r="B4134" s="1" t="str">
        <f>"CC Garden Design and Construction "</f>
        <v xml:space="preserve">CC Garden Design and Construction </v>
      </c>
      <c r="C4134" s="1" t="s">
        <v>14646</v>
      </c>
      <c r="F4134" s="1" t="s">
        <v>7147</v>
      </c>
      <c r="H4134" s="1" t="s">
        <v>8928</v>
      </c>
      <c r="I4134" s="1" t="s">
        <v>19</v>
      </c>
      <c r="J4134" s="1" t="s">
        <v>6</v>
      </c>
      <c r="K4134" s="1" t="s">
        <v>34</v>
      </c>
      <c r="L4134" s="1">
        <v>8333222</v>
      </c>
      <c r="M4134" s="2">
        <v>42849</v>
      </c>
      <c r="N4134" s="1" t="s">
        <v>8</v>
      </c>
      <c r="O4134" s="2">
        <v>43945</v>
      </c>
    </row>
    <row r="4135" spans="1:15" ht="43.2" x14ac:dyDescent="0.3">
      <c r="A4135" s="1" t="s">
        <v>14647</v>
      </c>
      <c r="B4135" s="1" t="str">
        <f>"Clevedon learning trust"</f>
        <v>Clevedon learning trust</v>
      </c>
      <c r="C4135" s="1" t="s">
        <v>14648</v>
      </c>
      <c r="F4135" s="1" t="s">
        <v>14649</v>
      </c>
      <c r="H4135" s="1" t="s">
        <v>14650</v>
      </c>
      <c r="I4135" s="1" t="s">
        <v>188</v>
      </c>
      <c r="J4135" s="1" t="s">
        <v>67</v>
      </c>
      <c r="K4135" s="1" t="s">
        <v>14</v>
      </c>
      <c r="M4135" s="2">
        <v>42849</v>
      </c>
      <c r="N4135" s="1" t="s">
        <v>8</v>
      </c>
      <c r="O4135" s="1" t="s">
        <v>68</v>
      </c>
    </row>
    <row r="4136" spans="1:15" ht="28.8" x14ac:dyDescent="0.3">
      <c r="A4136" s="1" t="s">
        <v>14651</v>
      </c>
      <c r="B4136" s="1" t="str">
        <f>"Harp International Ltd."</f>
        <v>Harp International Ltd.</v>
      </c>
      <c r="C4136" s="1" t="s">
        <v>14652</v>
      </c>
      <c r="F4136" s="1" t="s">
        <v>277</v>
      </c>
      <c r="H4136" s="1" t="s">
        <v>14653</v>
      </c>
      <c r="I4136" s="1" t="s">
        <v>19</v>
      </c>
      <c r="J4136" s="1" t="s">
        <v>6</v>
      </c>
      <c r="K4136" s="1" t="s">
        <v>34</v>
      </c>
      <c r="L4136" s="1">
        <v>2432294</v>
      </c>
      <c r="M4136" s="2">
        <v>42849</v>
      </c>
      <c r="N4136" s="1" t="s">
        <v>8</v>
      </c>
      <c r="O4136" s="2">
        <v>43945</v>
      </c>
    </row>
    <row r="4137" spans="1:15" ht="28.8" x14ac:dyDescent="0.3">
      <c r="A4137" s="1" t="s">
        <v>14654</v>
      </c>
      <c r="B4137" s="1" t="str">
        <f>"DRS Groundworks Ltd."</f>
        <v>DRS Groundworks Ltd.</v>
      </c>
      <c r="C4137" s="1" t="s">
        <v>14655</v>
      </c>
      <c r="F4137" s="1" t="s">
        <v>5645</v>
      </c>
      <c r="H4137" s="1" t="s">
        <v>14656</v>
      </c>
      <c r="I4137" s="1" t="s">
        <v>19</v>
      </c>
      <c r="J4137" s="1" t="s">
        <v>6</v>
      </c>
      <c r="K4137" s="1" t="s">
        <v>24</v>
      </c>
      <c r="L4137" s="1">
        <v>5402450</v>
      </c>
      <c r="M4137" s="2">
        <v>42849</v>
      </c>
      <c r="N4137" s="1" t="s">
        <v>8</v>
      </c>
      <c r="O4137" s="2">
        <v>43945</v>
      </c>
    </row>
    <row r="4138" spans="1:15" ht="28.8" x14ac:dyDescent="0.3">
      <c r="A4138" s="1" t="s">
        <v>14657</v>
      </c>
      <c r="B4138" s="1" t="str">
        <f>"DT Civils Ltd"</f>
        <v>DT Civils Ltd</v>
      </c>
      <c r="C4138" s="1" t="s">
        <v>8318</v>
      </c>
      <c r="D4138" s="1" t="s">
        <v>2965</v>
      </c>
      <c r="F4138" s="1" t="s">
        <v>8319</v>
      </c>
      <c r="H4138" s="1" t="s">
        <v>8320</v>
      </c>
      <c r="I4138" s="1" t="s">
        <v>19</v>
      </c>
      <c r="J4138" s="1" t="s">
        <v>6</v>
      </c>
      <c r="K4138" s="1" t="s">
        <v>34</v>
      </c>
      <c r="L4138" s="1">
        <v>4569587</v>
      </c>
      <c r="M4138" s="2">
        <v>42849</v>
      </c>
      <c r="N4138" s="1" t="s">
        <v>8</v>
      </c>
      <c r="O4138" s="2">
        <v>43945</v>
      </c>
    </row>
    <row r="4139" spans="1:15" ht="43.2" x14ac:dyDescent="0.3">
      <c r="A4139" s="1" t="s">
        <v>14658</v>
      </c>
      <c r="B4139" s="1" t="str">
        <f>"Home Farm Anglesey Limited"</f>
        <v>Home Farm Anglesey Limited</v>
      </c>
      <c r="C4139" s="1" t="s">
        <v>3468</v>
      </c>
      <c r="F4139" s="1" t="s">
        <v>14659</v>
      </c>
      <c r="H4139" s="1" t="s">
        <v>14660</v>
      </c>
      <c r="I4139" s="1" t="s">
        <v>19</v>
      </c>
      <c r="J4139" s="1" t="s">
        <v>67</v>
      </c>
      <c r="K4139" s="1" t="s">
        <v>14</v>
      </c>
      <c r="M4139" s="2">
        <v>42849</v>
      </c>
      <c r="N4139" s="1" t="s">
        <v>8</v>
      </c>
      <c r="O4139" s="1" t="s">
        <v>68</v>
      </c>
    </row>
    <row r="4140" spans="1:15" ht="43.2" x14ac:dyDescent="0.3">
      <c r="A4140" s="1" t="s">
        <v>14661</v>
      </c>
      <c r="B4140" s="1" t="str">
        <f>"FREIGHTAGE LTD"</f>
        <v>FREIGHTAGE LTD</v>
      </c>
      <c r="C4140" s="1" t="s">
        <v>14662</v>
      </c>
      <c r="D4140" s="1" t="s">
        <v>14663</v>
      </c>
      <c r="F4140" s="1" t="s">
        <v>3247</v>
      </c>
      <c r="H4140" s="1" t="s">
        <v>14664</v>
      </c>
      <c r="I4140" s="1" t="s">
        <v>19</v>
      </c>
      <c r="J4140" s="1" t="s">
        <v>67</v>
      </c>
      <c r="K4140" s="1" t="s">
        <v>14</v>
      </c>
      <c r="M4140" s="2">
        <v>42849</v>
      </c>
      <c r="N4140" s="1" t="s">
        <v>8</v>
      </c>
      <c r="O4140" s="1" t="s">
        <v>68</v>
      </c>
    </row>
    <row r="4141" spans="1:15" ht="28.8" x14ac:dyDescent="0.3">
      <c r="A4141" s="1" t="s">
        <v>15557</v>
      </c>
      <c r="B4141" s="1" t="str">
        <f>"Carreg Fawr Developments Ltd."</f>
        <v>Carreg Fawr Developments Ltd.</v>
      </c>
      <c r="C4141" s="1" t="s">
        <v>15558</v>
      </c>
      <c r="D4141" s="1" t="s">
        <v>14537</v>
      </c>
      <c r="F4141" s="1" t="s">
        <v>1175</v>
      </c>
      <c r="H4141" s="1" t="s">
        <v>15559</v>
      </c>
      <c r="I4141" s="1" t="s">
        <v>19</v>
      </c>
      <c r="J4141" s="1" t="s">
        <v>6</v>
      </c>
      <c r="K4141" s="1" t="s">
        <v>24</v>
      </c>
      <c r="L4141" s="1">
        <v>2221170</v>
      </c>
      <c r="M4141" s="2">
        <v>42849</v>
      </c>
      <c r="N4141" s="1" t="s">
        <v>8</v>
      </c>
      <c r="O4141" s="2">
        <v>43945</v>
      </c>
    </row>
    <row r="4142" spans="1:15" ht="43.2" x14ac:dyDescent="0.3">
      <c r="A4142" s="1" t="s">
        <v>15560</v>
      </c>
      <c r="B4142" s="1" t="str">
        <f>"Swansea University "</f>
        <v xml:space="preserve">Swansea University </v>
      </c>
      <c r="C4142" s="1" t="s">
        <v>3468</v>
      </c>
      <c r="D4142" s="1" t="s">
        <v>15561</v>
      </c>
      <c r="F4142" s="1" t="s">
        <v>65</v>
      </c>
      <c r="H4142" s="1" t="s">
        <v>15562</v>
      </c>
      <c r="I4142" s="1" t="s">
        <v>1872</v>
      </c>
      <c r="J4142" s="1" t="s">
        <v>67</v>
      </c>
      <c r="K4142" s="1" t="s">
        <v>14</v>
      </c>
      <c r="M4142" s="2">
        <v>42849</v>
      </c>
      <c r="N4142" s="1" t="s">
        <v>8</v>
      </c>
      <c r="O4142" s="1" t="s">
        <v>68</v>
      </c>
    </row>
    <row r="4143" spans="1:15" ht="43.2" x14ac:dyDescent="0.3">
      <c r="A4143" s="1" t="s">
        <v>15563</v>
      </c>
      <c r="B4143" s="1" t="str">
        <f>"Swansea University"</f>
        <v>Swansea University</v>
      </c>
      <c r="C4143" s="1" t="s">
        <v>15564</v>
      </c>
      <c r="F4143" s="1" t="s">
        <v>65</v>
      </c>
      <c r="H4143" s="1" t="s">
        <v>15565</v>
      </c>
      <c r="I4143" s="1" t="s">
        <v>1872</v>
      </c>
      <c r="J4143" s="1" t="s">
        <v>67</v>
      </c>
      <c r="K4143" s="1" t="s">
        <v>14</v>
      </c>
      <c r="M4143" s="2">
        <v>42849</v>
      </c>
      <c r="N4143" s="1" t="s">
        <v>8</v>
      </c>
      <c r="O4143" s="1" t="s">
        <v>68</v>
      </c>
    </row>
    <row r="4144" spans="1:15" ht="28.8" x14ac:dyDescent="0.3">
      <c r="A4144" s="1" t="s">
        <v>15566</v>
      </c>
      <c r="B4144" s="1" t="str">
        <f>"ACTION RAIL LIMITED"</f>
        <v>ACTION RAIL LIMITED</v>
      </c>
      <c r="C4144" s="1" t="s">
        <v>15567</v>
      </c>
      <c r="F4144" s="1" t="s">
        <v>27</v>
      </c>
      <c r="H4144" s="1" t="s">
        <v>15568</v>
      </c>
      <c r="I4144" s="1" t="s">
        <v>19</v>
      </c>
      <c r="J4144" s="1" t="s">
        <v>6</v>
      </c>
      <c r="K4144" s="1" t="s">
        <v>34</v>
      </c>
      <c r="L4144" s="1">
        <v>8030706</v>
      </c>
      <c r="M4144" s="2">
        <v>42849</v>
      </c>
      <c r="N4144" s="1" t="s">
        <v>8</v>
      </c>
      <c r="O4144" s="2">
        <v>43945</v>
      </c>
    </row>
    <row r="4145" spans="1:15" ht="43.2" x14ac:dyDescent="0.3">
      <c r="A4145" s="1" t="s">
        <v>15569</v>
      </c>
      <c r="B4145" s="1" t="str">
        <f>"Swift Pest Control Limited"</f>
        <v>Swift Pest Control Limited</v>
      </c>
      <c r="C4145" s="1" t="s">
        <v>15570</v>
      </c>
      <c r="F4145" s="1" t="s">
        <v>72</v>
      </c>
      <c r="H4145" s="1" t="s">
        <v>1701</v>
      </c>
      <c r="I4145" s="1" t="s">
        <v>19</v>
      </c>
      <c r="J4145" s="1" t="s">
        <v>67</v>
      </c>
      <c r="K4145" s="1" t="s">
        <v>14</v>
      </c>
      <c r="M4145" s="2">
        <v>42849</v>
      </c>
      <c r="N4145" s="1" t="s">
        <v>8</v>
      </c>
      <c r="O4145" s="1" t="s">
        <v>68</v>
      </c>
    </row>
    <row r="4146" spans="1:15" ht="43.2" x14ac:dyDescent="0.3">
      <c r="A4146" s="1" t="s">
        <v>26959</v>
      </c>
      <c r="B4146" s="1" t="str">
        <f>"DAYNA STERRY DAYNA STERRY'S SCRAP &amp; REMOVAL SERV"</f>
        <v>DAYNA STERRY DAYNA STERRY'S SCRAP &amp; REMOVAL SERV</v>
      </c>
      <c r="C4146" s="1" t="s">
        <v>26960</v>
      </c>
      <c r="F4146" s="1" t="s">
        <v>103</v>
      </c>
      <c r="H4146" s="1" t="s">
        <v>26961</v>
      </c>
      <c r="I4146" s="1" t="s">
        <v>5</v>
      </c>
      <c r="J4146" s="1" t="s">
        <v>6</v>
      </c>
      <c r="K4146" s="1" t="s">
        <v>24</v>
      </c>
      <c r="M4146" s="2">
        <v>42849</v>
      </c>
      <c r="N4146" s="1" t="s">
        <v>8</v>
      </c>
      <c r="O4146" s="2">
        <v>43945</v>
      </c>
    </row>
    <row r="4147" spans="1:15" ht="28.8" x14ac:dyDescent="0.3">
      <c r="A4147" s="1" t="s">
        <v>26962</v>
      </c>
      <c r="B4147" s="1" t="str">
        <f>"nicholas dix Nicholas Dix"</f>
        <v>nicholas dix Nicholas Dix</v>
      </c>
      <c r="C4147" s="1" t="s">
        <v>26963</v>
      </c>
      <c r="F4147" s="1" t="s">
        <v>930</v>
      </c>
      <c r="H4147" s="1" t="s">
        <v>26964</v>
      </c>
      <c r="I4147" s="1" t="s">
        <v>5</v>
      </c>
      <c r="J4147" s="1" t="s">
        <v>6</v>
      </c>
      <c r="K4147" s="1" t="s">
        <v>34</v>
      </c>
      <c r="M4147" s="2">
        <v>42849</v>
      </c>
      <c r="N4147" s="1" t="s">
        <v>8</v>
      </c>
      <c r="O4147" s="2">
        <v>43945</v>
      </c>
    </row>
    <row r="4148" spans="1:15" ht="28.8" x14ac:dyDescent="0.3">
      <c r="A4148" s="1" t="s">
        <v>26965</v>
      </c>
      <c r="B4148" s="1" t="str">
        <f>"Aaron Evans Clearways"</f>
        <v>Aaron Evans Clearways</v>
      </c>
      <c r="C4148" s="1" t="s">
        <v>26966</v>
      </c>
      <c r="F4148" s="1" t="s">
        <v>65</v>
      </c>
      <c r="H4148" s="1" t="s">
        <v>26967</v>
      </c>
      <c r="I4148" s="1" t="s">
        <v>5</v>
      </c>
      <c r="J4148" s="1" t="s">
        <v>6</v>
      </c>
      <c r="K4148" s="1" t="s">
        <v>34</v>
      </c>
      <c r="M4148" s="2">
        <v>42849</v>
      </c>
      <c r="N4148" s="1" t="s">
        <v>8</v>
      </c>
      <c r="O4148" s="2">
        <v>43945</v>
      </c>
    </row>
    <row r="4149" spans="1:15" ht="28.8" x14ac:dyDescent="0.3">
      <c r="A4149" s="1" t="s">
        <v>27828</v>
      </c>
      <c r="B4149" s="1" t="str">
        <f>"THOMAS COLLINS Mr Thomas Collins"</f>
        <v>THOMAS COLLINS Mr Thomas Collins</v>
      </c>
      <c r="C4149" s="1" t="s">
        <v>27829</v>
      </c>
      <c r="F4149" s="1" t="s">
        <v>214</v>
      </c>
      <c r="H4149" s="1" t="s">
        <v>27830</v>
      </c>
      <c r="I4149" s="1" t="s">
        <v>5</v>
      </c>
      <c r="J4149" s="1" t="s">
        <v>6</v>
      </c>
      <c r="K4149" s="1" t="s">
        <v>24</v>
      </c>
      <c r="M4149" s="2">
        <v>42849</v>
      </c>
      <c r="N4149" s="1" t="s">
        <v>8</v>
      </c>
      <c r="O4149" s="2">
        <v>43945</v>
      </c>
    </row>
    <row r="4150" spans="1:15" ht="28.8" x14ac:dyDescent="0.3">
      <c r="A4150" s="1" t="s">
        <v>27831</v>
      </c>
      <c r="B4150" s="1" t="str">
        <f>"Selwyn Howatson S Howatson Plant Hire"</f>
        <v>Selwyn Howatson S Howatson Plant Hire</v>
      </c>
      <c r="C4150" s="1" t="s">
        <v>27832</v>
      </c>
      <c r="F4150" s="1" t="s">
        <v>1700</v>
      </c>
      <c r="H4150" s="1" t="s">
        <v>27833</v>
      </c>
      <c r="I4150" s="1" t="s">
        <v>5</v>
      </c>
      <c r="J4150" s="1" t="s">
        <v>6</v>
      </c>
      <c r="K4150" s="1" t="s">
        <v>24</v>
      </c>
      <c r="M4150" s="2">
        <v>42849</v>
      </c>
      <c r="N4150" s="1" t="s">
        <v>8</v>
      </c>
      <c r="O4150" s="2">
        <v>43945</v>
      </c>
    </row>
    <row r="4151" spans="1:15" ht="28.8" x14ac:dyDescent="0.3">
      <c r="A4151" s="1" t="s">
        <v>26245</v>
      </c>
      <c r="B4151" s="1" t="str">
        <f>"peter burrows Peter Burrows"</f>
        <v>peter burrows Peter Burrows</v>
      </c>
      <c r="C4151" s="1" t="s">
        <v>26246</v>
      </c>
      <c r="F4151" s="1" t="s">
        <v>198</v>
      </c>
      <c r="H4151" s="1" t="s">
        <v>26247</v>
      </c>
      <c r="I4151" s="1" t="s">
        <v>5</v>
      </c>
      <c r="J4151" s="1" t="s">
        <v>6</v>
      </c>
      <c r="K4151" s="1" t="s">
        <v>24</v>
      </c>
      <c r="M4151" s="2">
        <v>42848</v>
      </c>
      <c r="N4151" s="1" t="s">
        <v>8</v>
      </c>
      <c r="O4151" s="2">
        <v>43944</v>
      </c>
    </row>
    <row r="4152" spans="1:15" ht="43.2" x14ac:dyDescent="0.3">
      <c r="A4152" s="1" t="s">
        <v>26248</v>
      </c>
      <c r="B4152" s="1" t="str">
        <f>"Luke Tottman "</f>
        <v xml:space="preserve">Luke Tottman </v>
      </c>
      <c r="C4152" s="1" t="s">
        <v>26249</v>
      </c>
      <c r="F4152" s="1" t="s">
        <v>5904</v>
      </c>
      <c r="H4152" s="1" t="s">
        <v>26250</v>
      </c>
      <c r="I4152" s="1" t="s">
        <v>5</v>
      </c>
      <c r="J4152" s="1" t="s">
        <v>67</v>
      </c>
      <c r="K4152" s="1" t="s">
        <v>14</v>
      </c>
      <c r="M4152" s="2">
        <v>42848</v>
      </c>
      <c r="N4152" s="1" t="s">
        <v>8</v>
      </c>
      <c r="O4152" s="1" t="s">
        <v>68</v>
      </c>
    </row>
    <row r="4153" spans="1:15" ht="28.8" x14ac:dyDescent="0.3">
      <c r="A4153" s="1" t="s">
        <v>26251</v>
      </c>
      <c r="B4153" s="1" t="str">
        <f>"Richard Gates pro-clean"</f>
        <v>Richard Gates pro-clean</v>
      </c>
      <c r="C4153" s="1" t="s">
        <v>26252</v>
      </c>
      <c r="D4153" s="1" t="s">
        <v>26253</v>
      </c>
      <c r="F4153" s="1" t="s">
        <v>140</v>
      </c>
      <c r="H4153" s="1" t="s">
        <v>26254</v>
      </c>
      <c r="I4153" s="1" t="s">
        <v>5</v>
      </c>
      <c r="J4153" s="1" t="s">
        <v>6</v>
      </c>
      <c r="K4153" s="1" t="s">
        <v>24</v>
      </c>
      <c r="M4153" s="2">
        <v>42848</v>
      </c>
      <c r="N4153" s="1" t="s">
        <v>8</v>
      </c>
      <c r="O4153" s="2">
        <v>43944</v>
      </c>
    </row>
    <row r="4154" spans="1:15" ht="28.8" x14ac:dyDescent="0.3">
      <c r="A4154" s="1" t="s">
        <v>26255</v>
      </c>
      <c r="B4154" s="1" t="str">
        <f>"Simon Robson Allheat and Plumbing Ltd"</f>
        <v>Simon Robson Allheat and Plumbing Ltd</v>
      </c>
      <c r="C4154" s="1" t="s">
        <v>26256</v>
      </c>
      <c r="F4154" s="1" t="s">
        <v>26257</v>
      </c>
      <c r="H4154" s="1" t="s">
        <v>26258</v>
      </c>
      <c r="I4154" s="1" t="s">
        <v>5</v>
      </c>
      <c r="J4154" s="1" t="s">
        <v>6</v>
      </c>
      <c r="K4154" s="1" t="s">
        <v>24</v>
      </c>
      <c r="M4154" s="2">
        <v>42848</v>
      </c>
      <c r="N4154" s="1" t="s">
        <v>8</v>
      </c>
      <c r="O4154" s="2">
        <v>43944</v>
      </c>
    </row>
    <row r="4155" spans="1:15" ht="43.2" x14ac:dyDescent="0.3">
      <c r="A4155" s="1" t="s">
        <v>26259</v>
      </c>
      <c r="B4155" s="1" t="str">
        <f>"Will Palmer"</f>
        <v>Will Palmer</v>
      </c>
      <c r="C4155" s="1" t="s">
        <v>26260</v>
      </c>
      <c r="F4155" s="1" t="s">
        <v>607</v>
      </c>
      <c r="H4155" s="1" t="s">
        <v>26261</v>
      </c>
      <c r="I4155" s="1" t="s">
        <v>5</v>
      </c>
      <c r="J4155" s="1" t="s">
        <v>67</v>
      </c>
      <c r="K4155" s="1" t="s">
        <v>14</v>
      </c>
      <c r="M4155" s="2">
        <v>42848</v>
      </c>
      <c r="N4155" s="1" t="s">
        <v>8</v>
      </c>
      <c r="O4155" s="1" t="s">
        <v>68</v>
      </c>
    </row>
    <row r="4156" spans="1:15" ht="43.2" x14ac:dyDescent="0.3">
      <c r="A4156" s="1" t="s">
        <v>26262</v>
      </c>
      <c r="B4156" s="1" t="str">
        <f>"BRIAN RHYS"</f>
        <v>BRIAN RHYS</v>
      </c>
      <c r="C4156" s="1" t="s">
        <v>26263</v>
      </c>
      <c r="F4156" s="1" t="s">
        <v>64</v>
      </c>
      <c r="H4156" s="1" t="s">
        <v>26264</v>
      </c>
      <c r="I4156" s="1" t="s">
        <v>5</v>
      </c>
      <c r="J4156" s="1" t="s">
        <v>67</v>
      </c>
      <c r="K4156" s="1" t="s">
        <v>14</v>
      </c>
      <c r="M4156" s="2">
        <v>42848</v>
      </c>
      <c r="N4156" s="1" t="s">
        <v>8</v>
      </c>
      <c r="O4156" s="1" t="s">
        <v>68</v>
      </c>
    </row>
    <row r="4157" spans="1:15" ht="43.2" x14ac:dyDescent="0.3">
      <c r="A4157" s="1" t="s">
        <v>13813</v>
      </c>
      <c r="B4157" s="1" t="str">
        <f>"West Hill Convenience Store"</f>
        <v>West Hill Convenience Store</v>
      </c>
      <c r="C4157" s="1" t="s">
        <v>13814</v>
      </c>
      <c r="F4157" s="1" t="s">
        <v>13815</v>
      </c>
      <c r="H4157" s="1" t="s">
        <v>13816</v>
      </c>
      <c r="I4157" s="1" t="s">
        <v>125</v>
      </c>
      <c r="J4157" s="1" t="s">
        <v>67</v>
      </c>
      <c r="K4157" s="1" t="s">
        <v>14</v>
      </c>
      <c r="M4157" s="2">
        <v>42847</v>
      </c>
      <c r="N4157" s="1" t="s">
        <v>8</v>
      </c>
      <c r="O4157" s="1" t="s">
        <v>68</v>
      </c>
    </row>
    <row r="4158" spans="1:15" ht="28.8" x14ac:dyDescent="0.3">
      <c r="A4158" s="1" t="s">
        <v>13817</v>
      </c>
      <c r="B4158" s="1" t="str">
        <f>"N.CHELEY LTD"</f>
        <v>N.CHELEY LTD</v>
      </c>
      <c r="C4158" s="1" t="s">
        <v>13818</v>
      </c>
      <c r="F4158" s="1" t="s">
        <v>65</v>
      </c>
      <c r="H4158" s="1" t="s">
        <v>13819</v>
      </c>
      <c r="I4158" s="1" t="s">
        <v>19</v>
      </c>
      <c r="J4158" s="1" t="s">
        <v>6</v>
      </c>
      <c r="K4158" s="1" t="s">
        <v>34</v>
      </c>
      <c r="L4158" s="1">
        <v>5817816</v>
      </c>
      <c r="M4158" s="2">
        <v>42847</v>
      </c>
      <c r="N4158" s="1" t="s">
        <v>8</v>
      </c>
      <c r="O4158" s="2">
        <v>43943</v>
      </c>
    </row>
    <row r="4159" spans="1:15" ht="28.8" x14ac:dyDescent="0.3">
      <c r="A4159" s="1" t="s">
        <v>26242</v>
      </c>
      <c r="B4159" s="1" t="str">
        <f>"david williams david williams"</f>
        <v>david williams david williams</v>
      </c>
      <c r="C4159" s="1" t="s">
        <v>26243</v>
      </c>
      <c r="F4159" s="1" t="s">
        <v>16099</v>
      </c>
      <c r="H4159" s="1" t="s">
        <v>26244</v>
      </c>
      <c r="I4159" s="1" t="s">
        <v>5</v>
      </c>
      <c r="J4159" s="1" t="s">
        <v>6</v>
      </c>
      <c r="K4159" s="1" t="s">
        <v>24</v>
      </c>
      <c r="M4159" s="2">
        <v>42847</v>
      </c>
      <c r="N4159" s="1" t="s">
        <v>8</v>
      </c>
      <c r="O4159" s="2">
        <v>43943</v>
      </c>
    </row>
    <row r="4160" spans="1:15" ht="43.2" x14ac:dyDescent="0.3">
      <c r="A4160" s="1" t="s">
        <v>12744</v>
      </c>
      <c r="B4160" s="1" t="str">
        <f>"PMG Cardiff LTD"</f>
        <v>PMG Cardiff LTD</v>
      </c>
      <c r="C4160" s="1" t="s">
        <v>12745</v>
      </c>
      <c r="F4160" s="1" t="s">
        <v>27</v>
      </c>
      <c r="H4160" s="1" t="s">
        <v>12746</v>
      </c>
      <c r="I4160" s="1" t="s">
        <v>19</v>
      </c>
      <c r="J4160" s="1" t="s">
        <v>67</v>
      </c>
      <c r="K4160" s="1" t="s">
        <v>14</v>
      </c>
      <c r="M4160" s="2">
        <v>42846</v>
      </c>
      <c r="N4160" s="1" t="s">
        <v>8</v>
      </c>
      <c r="O4160" s="1" t="s">
        <v>68</v>
      </c>
    </row>
    <row r="4161" spans="1:15" ht="28.8" x14ac:dyDescent="0.3">
      <c r="A4161" s="1" t="s">
        <v>12747</v>
      </c>
      <c r="B4161" s="1" t="str">
        <f>"Severn Skip &amp; Plant Hire"</f>
        <v>Severn Skip &amp; Plant Hire</v>
      </c>
      <c r="C4161" s="1" t="s">
        <v>12748</v>
      </c>
      <c r="F4161" s="1" t="s">
        <v>416</v>
      </c>
      <c r="H4161" s="1" t="s">
        <v>12749</v>
      </c>
      <c r="I4161" s="1" t="s">
        <v>125</v>
      </c>
      <c r="J4161" s="1" t="s">
        <v>6</v>
      </c>
      <c r="K4161" s="1" t="s">
        <v>24</v>
      </c>
      <c r="M4161" s="2">
        <v>42846</v>
      </c>
      <c r="N4161" s="1" t="s">
        <v>8</v>
      </c>
      <c r="O4161" s="2">
        <v>43942</v>
      </c>
    </row>
    <row r="4162" spans="1:15" ht="28.8" x14ac:dyDescent="0.3">
      <c r="A4162" s="1" t="s">
        <v>12750</v>
      </c>
      <c r="B4162" s="1" t="str">
        <f>"Lee Remediation Ltd"</f>
        <v>Lee Remediation Ltd</v>
      </c>
      <c r="C4162" s="1" t="s">
        <v>12751</v>
      </c>
      <c r="F4162" s="1" t="s">
        <v>2580</v>
      </c>
      <c r="H4162" s="1" t="s">
        <v>7148</v>
      </c>
      <c r="I4162" s="1" t="s">
        <v>19</v>
      </c>
      <c r="J4162" s="1" t="s">
        <v>6</v>
      </c>
      <c r="K4162" s="1" t="s">
        <v>34</v>
      </c>
      <c r="L4162" s="1">
        <v>6207126</v>
      </c>
      <c r="M4162" s="2">
        <v>42846</v>
      </c>
      <c r="N4162" s="1" t="s">
        <v>8</v>
      </c>
      <c r="O4162" s="2">
        <v>43942</v>
      </c>
    </row>
    <row r="4163" spans="1:15" ht="28.8" x14ac:dyDescent="0.3">
      <c r="A4163" s="1" t="s">
        <v>13803</v>
      </c>
      <c r="B4163" s="1" t="str">
        <f>"Micheldever Tyre Services "</f>
        <v xml:space="preserve">Micheldever Tyre Services </v>
      </c>
      <c r="C4163" s="1" t="s">
        <v>13804</v>
      </c>
      <c r="D4163" s="1" t="s">
        <v>13805</v>
      </c>
      <c r="F4163" s="1" t="s">
        <v>4923</v>
      </c>
      <c r="H4163" s="1" t="s">
        <v>13806</v>
      </c>
      <c r="I4163" s="1" t="s">
        <v>19</v>
      </c>
      <c r="J4163" s="1" t="s">
        <v>6</v>
      </c>
      <c r="K4163" s="1" t="s">
        <v>24</v>
      </c>
      <c r="L4163" s="1">
        <v>1817398</v>
      </c>
      <c r="M4163" s="2">
        <v>42846</v>
      </c>
      <c r="N4163" s="1" t="s">
        <v>8</v>
      </c>
      <c r="O4163" s="2">
        <v>43942</v>
      </c>
    </row>
    <row r="4164" spans="1:15" ht="28.8" x14ac:dyDescent="0.3">
      <c r="A4164" s="1" t="s">
        <v>13807</v>
      </c>
      <c r="B4164" s="1" t="str">
        <f>"M T H Preservations Ltd."</f>
        <v>M T H Preservations Ltd.</v>
      </c>
      <c r="C4164" s="1" t="s">
        <v>13808</v>
      </c>
      <c r="F4164" s="1" t="s">
        <v>607</v>
      </c>
      <c r="H4164" s="1" t="s">
        <v>13809</v>
      </c>
      <c r="I4164" s="1" t="s">
        <v>19</v>
      </c>
      <c r="J4164" s="1" t="s">
        <v>6</v>
      </c>
      <c r="K4164" s="1" t="s">
        <v>34</v>
      </c>
      <c r="L4164" s="1">
        <v>6474654</v>
      </c>
      <c r="M4164" s="2">
        <v>42846</v>
      </c>
      <c r="N4164" s="1" t="s">
        <v>8</v>
      </c>
      <c r="O4164" s="2">
        <v>43942</v>
      </c>
    </row>
    <row r="4165" spans="1:15" ht="43.2" x14ac:dyDescent="0.3">
      <c r="A4165" s="1" t="s">
        <v>13810</v>
      </c>
      <c r="B4165" s="1" t="str">
        <f>"TD holiday let service's ltd"</f>
        <v>TD holiday let service's ltd</v>
      </c>
      <c r="C4165" s="1" t="s">
        <v>13811</v>
      </c>
      <c r="D4165" s="1" t="s">
        <v>13812</v>
      </c>
      <c r="F4165" s="1" t="s">
        <v>151</v>
      </c>
      <c r="H4165" s="1" t="s">
        <v>11923</v>
      </c>
      <c r="I4165" s="1" t="s">
        <v>19</v>
      </c>
      <c r="J4165" s="1" t="s">
        <v>67</v>
      </c>
      <c r="K4165" s="1" t="s">
        <v>14</v>
      </c>
      <c r="M4165" s="2">
        <v>42846</v>
      </c>
      <c r="N4165" s="1" t="s">
        <v>8</v>
      </c>
      <c r="O4165" s="1" t="s">
        <v>68</v>
      </c>
    </row>
    <row r="4166" spans="1:15" ht="28.8" x14ac:dyDescent="0.3">
      <c r="A4166" s="1" t="s">
        <v>25493</v>
      </c>
      <c r="B4166" s="1" t="str">
        <f>"Patrick O'Brien P &amp; B Recycling"</f>
        <v>Patrick O'Brien P &amp; B Recycling</v>
      </c>
      <c r="C4166" s="1" t="s">
        <v>25494</v>
      </c>
      <c r="F4166" s="1" t="s">
        <v>1351</v>
      </c>
      <c r="H4166" s="1" t="s">
        <v>25495</v>
      </c>
      <c r="I4166" s="1" t="s">
        <v>5</v>
      </c>
      <c r="J4166" s="1" t="s">
        <v>6</v>
      </c>
      <c r="K4166" s="1" t="s">
        <v>24</v>
      </c>
      <c r="M4166" s="2">
        <v>42846</v>
      </c>
      <c r="N4166" s="1" t="s">
        <v>8</v>
      </c>
      <c r="O4166" s="2">
        <v>43942</v>
      </c>
    </row>
    <row r="4167" spans="1:15" ht="28.8" x14ac:dyDescent="0.3">
      <c r="A4167" s="1" t="s">
        <v>25496</v>
      </c>
      <c r="B4167" s="1" t="str">
        <f>"Steven Burgess Steven Burgess"</f>
        <v>Steven Burgess Steven Burgess</v>
      </c>
      <c r="C4167" s="1" t="s">
        <v>25497</v>
      </c>
      <c r="F4167" s="1" t="s">
        <v>710</v>
      </c>
      <c r="H4167" s="1" t="s">
        <v>25498</v>
      </c>
      <c r="I4167" s="1" t="s">
        <v>5</v>
      </c>
      <c r="J4167" s="1" t="s">
        <v>6</v>
      </c>
      <c r="K4167" s="1" t="s">
        <v>24</v>
      </c>
      <c r="M4167" s="2">
        <v>42846</v>
      </c>
      <c r="N4167" s="1" t="s">
        <v>8</v>
      </c>
      <c r="O4167" s="2">
        <v>43942</v>
      </c>
    </row>
    <row r="4168" spans="1:15" ht="43.2" x14ac:dyDescent="0.3">
      <c r="A4168" s="1" t="s">
        <v>26233</v>
      </c>
      <c r="B4168" s="1" t="str">
        <f>"Dilwyn Prosser Floorwise Contracts"</f>
        <v>Dilwyn Prosser Floorwise Contracts</v>
      </c>
      <c r="C4168" s="1" t="s">
        <v>11565</v>
      </c>
      <c r="F4168" s="1" t="s">
        <v>6080</v>
      </c>
      <c r="H4168" s="1" t="s">
        <v>11566</v>
      </c>
      <c r="I4168" s="1" t="s">
        <v>5</v>
      </c>
      <c r="J4168" s="1" t="s">
        <v>6</v>
      </c>
      <c r="K4168" s="1" t="s">
        <v>24</v>
      </c>
      <c r="M4168" s="2">
        <v>42846</v>
      </c>
      <c r="N4168" s="1" t="s">
        <v>8</v>
      </c>
      <c r="O4168" s="2">
        <v>43942</v>
      </c>
    </row>
    <row r="4169" spans="1:15" ht="28.8" x14ac:dyDescent="0.3">
      <c r="A4169" s="1" t="s">
        <v>26234</v>
      </c>
      <c r="B4169" s="1" t="str">
        <f>"Grant Leeding Hawarden Estate"</f>
        <v>Grant Leeding Hawarden Estate</v>
      </c>
      <c r="C4169" s="1" t="s">
        <v>26235</v>
      </c>
      <c r="F4169" s="1" t="s">
        <v>1346</v>
      </c>
      <c r="H4169" s="1" t="s">
        <v>26236</v>
      </c>
      <c r="I4169" s="1" t="s">
        <v>5</v>
      </c>
      <c r="J4169" s="1" t="s">
        <v>6</v>
      </c>
      <c r="K4169" s="1" t="s">
        <v>24</v>
      </c>
      <c r="M4169" s="2">
        <v>42846</v>
      </c>
      <c r="N4169" s="1" t="s">
        <v>8</v>
      </c>
      <c r="O4169" s="2">
        <v>43942</v>
      </c>
    </row>
    <row r="4170" spans="1:15" ht="43.2" x14ac:dyDescent="0.3">
      <c r="A4170" s="1" t="s">
        <v>26237</v>
      </c>
      <c r="B4170" s="1" t="str">
        <f>"David Lloyd D.Lloyd Building and Groundworks"</f>
        <v>David Lloyd D.Lloyd Building and Groundworks</v>
      </c>
      <c r="C4170" s="1" t="s">
        <v>26238</v>
      </c>
      <c r="F4170" s="1" t="s">
        <v>328</v>
      </c>
      <c r="H4170" s="1" t="s">
        <v>26239</v>
      </c>
      <c r="I4170" s="1" t="s">
        <v>5</v>
      </c>
      <c r="J4170" s="1" t="s">
        <v>6</v>
      </c>
      <c r="K4170" s="1" t="s">
        <v>34</v>
      </c>
      <c r="M4170" s="2">
        <v>42846</v>
      </c>
      <c r="N4170" s="1" t="s">
        <v>8</v>
      </c>
      <c r="O4170" s="2">
        <v>43942</v>
      </c>
    </row>
    <row r="4171" spans="1:15" ht="28.8" x14ac:dyDescent="0.3">
      <c r="A4171" s="1" t="s">
        <v>26240</v>
      </c>
      <c r="B4171" s="1" t="str">
        <f>"Robert Edgell Bobby's R C Tyres"</f>
        <v>Robert Edgell Bobby's R C Tyres</v>
      </c>
      <c r="C4171" s="1" t="s">
        <v>26241</v>
      </c>
      <c r="F4171" s="1" t="s">
        <v>17</v>
      </c>
      <c r="H4171" s="1" t="s">
        <v>13777</v>
      </c>
      <c r="I4171" s="1" t="s">
        <v>5</v>
      </c>
      <c r="J4171" s="1" t="s">
        <v>6</v>
      </c>
      <c r="K4171" s="1" t="s">
        <v>24</v>
      </c>
      <c r="M4171" s="2">
        <v>42846</v>
      </c>
      <c r="N4171" s="1" t="s">
        <v>8</v>
      </c>
      <c r="O4171" s="2">
        <v>43942</v>
      </c>
    </row>
    <row r="4172" spans="1:15" ht="28.8" x14ac:dyDescent="0.3">
      <c r="A4172" s="1" t="s">
        <v>11751</v>
      </c>
      <c r="B4172" s="1" t="str">
        <f>"Intelligent Lifecycle Solutions Ltd"</f>
        <v>Intelligent Lifecycle Solutions Ltd</v>
      </c>
      <c r="C4172" s="1" t="s">
        <v>11752</v>
      </c>
      <c r="F4172" s="1" t="s">
        <v>456</v>
      </c>
      <c r="H4172" s="1" t="s">
        <v>5002</v>
      </c>
      <c r="I4172" s="1" t="s">
        <v>19</v>
      </c>
      <c r="J4172" s="1" t="s">
        <v>6</v>
      </c>
      <c r="K4172" s="1" t="s">
        <v>34</v>
      </c>
      <c r="L4172" s="1">
        <v>8582222</v>
      </c>
      <c r="M4172" s="2">
        <v>42845</v>
      </c>
      <c r="N4172" s="1" t="s">
        <v>8</v>
      </c>
      <c r="O4172" s="2">
        <v>43941</v>
      </c>
    </row>
    <row r="4173" spans="1:15" ht="43.2" x14ac:dyDescent="0.3">
      <c r="A4173" s="1" t="s">
        <v>12723</v>
      </c>
      <c r="B4173" s="1" t="str">
        <f>"Silverstrand"</f>
        <v>Silverstrand</v>
      </c>
      <c r="C4173" s="1" t="s">
        <v>12220</v>
      </c>
      <c r="F4173" s="1" t="s">
        <v>5291</v>
      </c>
      <c r="H4173" s="1" t="s">
        <v>12221</v>
      </c>
      <c r="I4173" s="1" t="s">
        <v>19</v>
      </c>
      <c r="J4173" s="1" t="s">
        <v>67</v>
      </c>
      <c r="K4173" s="1" t="s">
        <v>14</v>
      </c>
      <c r="M4173" s="2">
        <v>42845</v>
      </c>
      <c r="N4173" s="1" t="s">
        <v>8</v>
      </c>
      <c r="O4173" s="1" t="s">
        <v>68</v>
      </c>
    </row>
    <row r="4174" spans="1:15" ht="43.2" x14ac:dyDescent="0.3">
      <c r="A4174" s="1" t="s">
        <v>12724</v>
      </c>
      <c r="B4174" s="1" t="str">
        <f>"eurocaps"</f>
        <v>eurocaps</v>
      </c>
      <c r="C4174" s="1" t="s">
        <v>12725</v>
      </c>
      <c r="F4174" s="1" t="s">
        <v>277</v>
      </c>
      <c r="H4174" s="1" t="s">
        <v>11604</v>
      </c>
      <c r="I4174" s="1" t="s">
        <v>19</v>
      </c>
      <c r="J4174" s="1" t="s">
        <v>67</v>
      </c>
      <c r="K4174" s="1" t="s">
        <v>14</v>
      </c>
      <c r="M4174" s="2">
        <v>42845</v>
      </c>
      <c r="N4174" s="1" t="s">
        <v>8</v>
      </c>
      <c r="O4174" s="1" t="s">
        <v>68</v>
      </c>
    </row>
    <row r="4175" spans="1:15" ht="28.8" x14ac:dyDescent="0.3">
      <c r="A4175" s="1" t="s">
        <v>12726</v>
      </c>
      <c r="B4175" s="1" t="str">
        <f>"Folbigg Fabrications Ltd"</f>
        <v>Folbigg Fabrications Ltd</v>
      </c>
      <c r="C4175" s="1" t="s">
        <v>12727</v>
      </c>
      <c r="D4175" s="1" t="s">
        <v>12728</v>
      </c>
      <c r="F4175" s="1" t="s">
        <v>3337</v>
      </c>
      <c r="H4175" s="1" t="s">
        <v>12729</v>
      </c>
      <c r="I4175" s="1" t="s">
        <v>19</v>
      </c>
      <c r="J4175" s="1" t="s">
        <v>6</v>
      </c>
      <c r="K4175" s="1" t="s">
        <v>24</v>
      </c>
      <c r="L4175" s="1">
        <v>4355554</v>
      </c>
      <c r="M4175" s="2">
        <v>42845</v>
      </c>
      <c r="N4175" s="1" t="s">
        <v>8</v>
      </c>
      <c r="O4175" s="2">
        <v>43941</v>
      </c>
    </row>
    <row r="4176" spans="1:15" ht="43.2" x14ac:dyDescent="0.3">
      <c r="A4176" s="1" t="s">
        <v>12730</v>
      </c>
      <c r="B4176" s="1" t="str">
        <f>"Canopy Tree Care"</f>
        <v>Canopy Tree Care</v>
      </c>
      <c r="C4176" s="1" t="s">
        <v>12731</v>
      </c>
      <c r="F4176" s="1" t="s">
        <v>5463</v>
      </c>
      <c r="H4176" s="1" t="s">
        <v>12732</v>
      </c>
      <c r="I4176" s="1" t="s">
        <v>125</v>
      </c>
      <c r="J4176" s="1" t="s">
        <v>67</v>
      </c>
      <c r="K4176" s="1" t="s">
        <v>14</v>
      </c>
      <c r="M4176" s="2">
        <v>42845</v>
      </c>
      <c r="N4176" s="1" t="s">
        <v>8</v>
      </c>
      <c r="O4176" s="1" t="s">
        <v>68</v>
      </c>
    </row>
    <row r="4177" spans="1:15" ht="28.8" x14ac:dyDescent="0.3">
      <c r="A4177" s="1" t="s">
        <v>12733</v>
      </c>
      <c r="B4177" s="1" t="str">
        <f>"Peter James &amp; Sons LTD"</f>
        <v>Peter James &amp; Sons LTD</v>
      </c>
      <c r="C4177" s="1" t="s">
        <v>12734</v>
      </c>
      <c r="D4177" s="1" t="s">
        <v>12735</v>
      </c>
      <c r="F4177" s="1" t="s">
        <v>1278</v>
      </c>
      <c r="H4177" s="1" t="s">
        <v>12736</v>
      </c>
      <c r="I4177" s="1" t="s">
        <v>19</v>
      </c>
      <c r="J4177" s="1" t="s">
        <v>6</v>
      </c>
      <c r="K4177" s="1" t="s">
        <v>34</v>
      </c>
      <c r="L4177" s="1">
        <v>9182516</v>
      </c>
      <c r="M4177" s="2">
        <v>42845</v>
      </c>
      <c r="N4177" s="1" t="s">
        <v>8</v>
      </c>
      <c r="O4177" s="2">
        <v>43941</v>
      </c>
    </row>
    <row r="4178" spans="1:15" ht="28.8" x14ac:dyDescent="0.3">
      <c r="A4178" s="1" t="s">
        <v>12737</v>
      </c>
      <c r="B4178" s="1" t="str">
        <f>"Smith and Son Construction"</f>
        <v>Smith and Son Construction</v>
      </c>
      <c r="C4178" s="1" t="s">
        <v>12738</v>
      </c>
      <c r="D4178" s="1" t="s">
        <v>12739</v>
      </c>
      <c r="F4178" s="1" t="s">
        <v>1556</v>
      </c>
      <c r="H4178" s="1" t="s">
        <v>12740</v>
      </c>
      <c r="I4178" s="1" t="s">
        <v>19</v>
      </c>
      <c r="J4178" s="1" t="s">
        <v>6</v>
      </c>
      <c r="K4178" s="1" t="s">
        <v>34</v>
      </c>
      <c r="L4178" s="1">
        <v>7355085</v>
      </c>
      <c r="M4178" s="2">
        <v>42845</v>
      </c>
      <c r="N4178" s="1" t="s">
        <v>8</v>
      </c>
      <c r="O4178" s="2">
        <v>43941</v>
      </c>
    </row>
    <row r="4179" spans="1:15" ht="28.8" x14ac:dyDescent="0.3">
      <c r="A4179" s="1" t="s">
        <v>12741</v>
      </c>
      <c r="B4179" s="1" t="str">
        <f>"Kurys Construction LLP"</f>
        <v>Kurys Construction LLP</v>
      </c>
      <c r="C4179" s="1" t="s">
        <v>12742</v>
      </c>
      <c r="F4179" s="1" t="s">
        <v>1511</v>
      </c>
      <c r="H4179" s="1" t="s">
        <v>12743</v>
      </c>
      <c r="I4179" s="1" t="s">
        <v>125</v>
      </c>
      <c r="J4179" s="1" t="s">
        <v>6</v>
      </c>
      <c r="K4179" s="1" t="s">
        <v>34</v>
      </c>
      <c r="M4179" s="2">
        <v>42845</v>
      </c>
      <c r="N4179" s="1" t="s">
        <v>8</v>
      </c>
      <c r="O4179" s="2">
        <v>43941</v>
      </c>
    </row>
    <row r="4180" spans="1:15" x14ac:dyDescent="0.3">
      <c r="A4180" s="1" t="s">
        <v>25490</v>
      </c>
      <c r="B4180" s="1" t="str">
        <f>"Thomas Wyn Hughes"</f>
        <v>Thomas Wyn Hughes</v>
      </c>
      <c r="C4180" s="1" t="s">
        <v>25491</v>
      </c>
      <c r="F4180" s="1" t="s">
        <v>17158</v>
      </c>
      <c r="H4180" s="1" t="s">
        <v>25492</v>
      </c>
      <c r="I4180" s="1" t="s">
        <v>5</v>
      </c>
      <c r="J4180" s="1" t="s">
        <v>6</v>
      </c>
      <c r="K4180" s="1" t="s">
        <v>24</v>
      </c>
      <c r="M4180" s="2">
        <v>42845</v>
      </c>
      <c r="N4180" s="1" t="s">
        <v>8</v>
      </c>
      <c r="O4180" s="2">
        <v>43941</v>
      </c>
    </row>
    <row r="4181" spans="1:15" ht="28.8" x14ac:dyDescent="0.3">
      <c r="A4181" s="1" t="s">
        <v>10740</v>
      </c>
      <c r="B4181" s="1" t="str">
        <f>"Greenlands Heating Supplies Limited"</f>
        <v>Greenlands Heating Supplies Limited</v>
      </c>
      <c r="C4181" s="1" t="s">
        <v>7910</v>
      </c>
      <c r="F4181" s="1" t="s">
        <v>641</v>
      </c>
      <c r="H4181" s="1" t="s">
        <v>10741</v>
      </c>
      <c r="I4181" s="1" t="s">
        <v>19</v>
      </c>
      <c r="J4181" s="1" t="s">
        <v>6</v>
      </c>
      <c r="K4181" s="1" t="s">
        <v>24</v>
      </c>
      <c r="L4181" s="1">
        <v>9356257</v>
      </c>
      <c r="M4181" s="2">
        <v>42844</v>
      </c>
      <c r="N4181" s="1" t="s">
        <v>8</v>
      </c>
      <c r="O4181" s="2">
        <v>43940</v>
      </c>
    </row>
    <row r="4182" spans="1:15" ht="28.8" x14ac:dyDescent="0.3">
      <c r="A4182" s="1" t="s">
        <v>10742</v>
      </c>
      <c r="B4182" s="1" t="str">
        <f>"SHL HIRE LTD "</f>
        <v xml:space="preserve">SHL HIRE LTD </v>
      </c>
      <c r="C4182" s="1" t="s">
        <v>10743</v>
      </c>
      <c r="F4182" s="1" t="s">
        <v>865</v>
      </c>
      <c r="H4182" s="1" t="s">
        <v>10744</v>
      </c>
      <c r="I4182" s="1" t="s">
        <v>19</v>
      </c>
      <c r="J4182" s="1" t="s">
        <v>6</v>
      </c>
      <c r="K4182" s="1" t="s">
        <v>34</v>
      </c>
      <c r="L4182" s="1">
        <v>7879031</v>
      </c>
      <c r="M4182" s="2">
        <v>42844</v>
      </c>
      <c r="N4182" s="1" t="s">
        <v>8</v>
      </c>
      <c r="O4182" s="2">
        <v>43940</v>
      </c>
    </row>
    <row r="4183" spans="1:15" ht="43.2" x14ac:dyDescent="0.3">
      <c r="A4183" s="1" t="s">
        <v>10745</v>
      </c>
      <c r="B4183" s="1" t="str">
        <f>"ADVANCED ELECTRICAL SOLUTIONS LTD"</f>
        <v>ADVANCED ELECTRICAL SOLUTIONS LTD</v>
      </c>
      <c r="C4183" s="1" t="s">
        <v>10746</v>
      </c>
      <c r="F4183" s="1" t="s">
        <v>156</v>
      </c>
      <c r="H4183" s="1" t="s">
        <v>10747</v>
      </c>
      <c r="I4183" s="1" t="s">
        <v>19</v>
      </c>
      <c r="J4183" s="1" t="s">
        <v>6</v>
      </c>
      <c r="K4183" s="1" t="s">
        <v>34</v>
      </c>
      <c r="L4183" s="1">
        <v>7150039</v>
      </c>
      <c r="M4183" s="2">
        <v>42844</v>
      </c>
      <c r="N4183" s="1" t="s">
        <v>8</v>
      </c>
      <c r="O4183" s="2">
        <v>43940</v>
      </c>
    </row>
    <row r="4184" spans="1:15" x14ac:dyDescent="0.3">
      <c r="A4184" s="1" t="s">
        <v>11748</v>
      </c>
      <c r="B4184" s="1" t="str">
        <f>"G&amp;C Carpentry"</f>
        <v>G&amp;C Carpentry</v>
      </c>
      <c r="C4184" s="1" t="s">
        <v>11749</v>
      </c>
      <c r="F4184" s="1" t="s">
        <v>1351</v>
      </c>
      <c r="H4184" s="1" t="s">
        <v>11750</v>
      </c>
      <c r="I4184" s="1" t="s">
        <v>19</v>
      </c>
      <c r="J4184" s="1" t="s">
        <v>6</v>
      </c>
      <c r="K4184" s="1" t="s">
        <v>24</v>
      </c>
      <c r="L4184" s="1">
        <v>9813388</v>
      </c>
      <c r="M4184" s="2">
        <v>42844</v>
      </c>
      <c r="N4184" s="1" t="s">
        <v>8</v>
      </c>
      <c r="O4184" s="2">
        <v>43940</v>
      </c>
    </row>
    <row r="4185" spans="1:15" ht="28.8" x14ac:dyDescent="0.3">
      <c r="A4185" s="1" t="s">
        <v>23844</v>
      </c>
      <c r="B4185" s="1" t="str">
        <f>"ANDREW KIPPAX A.S. Kippax"</f>
        <v>ANDREW KIPPAX A.S. Kippax</v>
      </c>
      <c r="C4185" s="1" t="s">
        <v>23845</v>
      </c>
      <c r="F4185" s="1" t="s">
        <v>4731</v>
      </c>
      <c r="H4185" s="1" t="s">
        <v>23846</v>
      </c>
      <c r="I4185" s="1" t="s">
        <v>5</v>
      </c>
      <c r="J4185" s="1" t="s">
        <v>6</v>
      </c>
      <c r="K4185" s="1" t="s">
        <v>24</v>
      </c>
      <c r="M4185" s="2">
        <v>42844</v>
      </c>
      <c r="N4185" s="1" t="s">
        <v>8</v>
      </c>
      <c r="O4185" s="2">
        <v>43940</v>
      </c>
    </row>
    <row r="4186" spans="1:15" ht="43.2" x14ac:dyDescent="0.3">
      <c r="A4186" s="1" t="s">
        <v>23847</v>
      </c>
      <c r="B4186" s="1" t="str">
        <f>"David Evans"</f>
        <v>David Evans</v>
      </c>
      <c r="C4186" s="1" t="s">
        <v>23848</v>
      </c>
      <c r="F4186" s="1" t="s">
        <v>5683</v>
      </c>
      <c r="H4186" s="1" t="s">
        <v>23849</v>
      </c>
      <c r="I4186" s="1" t="s">
        <v>5</v>
      </c>
      <c r="J4186" s="1" t="s">
        <v>67</v>
      </c>
      <c r="K4186" s="1" t="s">
        <v>14</v>
      </c>
      <c r="M4186" s="2">
        <v>42844</v>
      </c>
      <c r="N4186" s="1" t="s">
        <v>8</v>
      </c>
      <c r="O4186" s="1" t="s">
        <v>68</v>
      </c>
    </row>
    <row r="4187" spans="1:15" ht="43.2" x14ac:dyDescent="0.3">
      <c r="A4187" s="1" t="s">
        <v>23850</v>
      </c>
      <c r="B4187" s="1" t="str">
        <f>"Gareth Thomas"</f>
        <v>Gareth Thomas</v>
      </c>
      <c r="C4187" s="1" t="s">
        <v>23851</v>
      </c>
      <c r="F4187" s="1" t="s">
        <v>65</v>
      </c>
      <c r="H4187" s="1" t="s">
        <v>15001</v>
      </c>
      <c r="I4187" s="1" t="s">
        <v>5</v>
      </c>
      <c r="J4187" s="1" t="s">
        <v>67</v>
      </c>
      <c r="K4187" s="1" t="s">
        <v>14</v>
      </c>
      <c r="M4187" s="2">
        <v>42844</v>
      </c>
      <c r="N4187" s="1" t="s">
        <v>8</v>
      </c>
      <c r="O4187" s="1" t="s">
        <v>68</v>
      </c>
    </row>
    <row r="4188" spans="1:15" ht="28.8" x14ac:dyDescent="0.3">
      <c r="A4188" s="1" t="s">
        <v>23852</v>
      </c>
      <c r="B4188" s="1" t="str">
        <f>"Craig Worgan Worgan Group"</f>
        <v>Craig Worgan Worgan Group</v>
      </c>
      <c r="C4188" s="1" t="s">
        <v>23853</v>
      </c>
      <c r="F4188" s="1" t="s">
        <v>873</v>
      </c>
      <c r="H4188" s="1" t="s">
        <v>23854</v>
      </c>
      <c r="I4188" s="1" t="s">
        <v>5</v>
      </c>
      <c r="J4188" s="1" t="s">
        <v>6</v>
      </c>
      <c r="K4188" s="1" t="s">
        <v>34</v>
      </c>
      <c r="M4188" s="2">
        <v>42844</v>
      </c>
      <c r="N4188" s="1" t="s">
        <v>8</v>
      </c>
      <c r="O4188" s="2">
        <v>43940</v>
      </c>
    </row>
    <row r="4189" spans="1:15" ht="43.2" x14ac:dyDescent="0.3">
      <c r="A4189" s="1" t="s">
        <v>24692</v>
      </c>
      <c r="B4189" s="1" t="str">
        <f>"John Thomas J L Thomas Construction Co LTD"</f>
        <v>John Thomas J L Thomas Construction Co LTD</v>
      </c>
      <c r="C4189" s="1" t="s">
        <v>24693</v>
      </c>
      <c r="F4189" s="1" t="s">
        <v>2</v>
      </c>
      <c r="H4189" s="1" t="s">
        <v>24694</v>
      </c>
      <c r="I4189" s="1" t="s">
        <v>5</v>
      </c>
      <c r="J4189" s="1" t="s">
        <v>6</v>
      </c>
      <c r="K4189" s="1" t="s">
        <v>24</v>
      </c>
      <c r="M4189" s="2">
        <v>42844</v>
      </c>
      <c r="N4189" s="1" t="s">
        <v>8</v>
      </c>
      <c r="O4189" s="2">
        <v>43940</v>
      </c>
    </row>
    <row r="4190" spans="1:15" ht="28.8" x14ac:dyDescent="0.3">
      <c r="A4190" s="1" t="s">
        <v>24695</v>
      </c>
      <c r="B4190" s="1" t="str">
        <f>"ANDREW THOMAS"</f>
        <v>ANDREW THOMAS</v>
      </c>
      <c r="C4190" s="1" t="s">
        <v>24696</v>
      </c>
      <c r="F4190" s="1" t="s">
        <v>65</v>
      </c>
      <c r="H4190" s="1" t="s">
        <v>24697</v>
      </c>
      <c r="I4190" s="1" t="s">
        <v>5</v>
      </c>
      <c r="J4190" s="1" t="s">
        <v>6</v>
      </c>
      <c r="K4190" s="1" t="s">
        <v>24</v>
      </c>
      <c r="M4190" s="2">
        <v>42844</v>
      </c>
      <c r="N4190" s="1" t="s">
        <v>8</v>
      </c>
      <c r="O4190" s="2">
        <v>43940</v>
      </c>
    </row>
    <row r="4191" spans="1:15" ht="43.2" x14ac:dyDescent="0.3">
      <c r="A4191" s="1" t="s">
        <v>24698</v>
      </c>
      <c r="B4191" s="1" t="str">
        <f>"Donna Grimes"</f>
        <v>Donna Grimes</v>
      </c>
      <c r="C4191" s="1" t="s">
        <v>24699</v>
      </c>
      <c r="F4191" s="1" t="s">
        <v>1556</v>
      </c>
      <c r="H4191" s="1" t="s">
        <v>24700</v>
      </c>
      <c r="I4191" s="1" t="s">
        <v>5</v>
      </c>
      <c r="J4191" s="1" t="s">
        <v>67</v>
      </c>
      <c r="K4191" s="1" t="s">
        <v>14</v>
      </c>
      <c r="M4191" s="2">
        <v>42844</v>
      </c>
      <c r="N4191" s="1" t="s">
        <v>8</v>
      </c>
      <c r="O4191" s="1" t="s">
        <v>68</v>
      </c>
    </row>
    <row r="4192" spans="1:15" ht="43.2" x14ac:dyDescent="0.3">
      <c r="A4192" s="1" t="s">
        <v>24701</v>
      </c>
      <c r="B4192" s="1" t="str">
        <f>"Donna Grimes"</f>
        <v>Donna Grimes</v>
      </c>
      <c r="C4192" s="1" t="s">
        <v>24699</v>
      </c>
      <c r="F4192" s="1" t="s">
        <v>1556</v>
      </c>
      <c r="H4192" s="1" t="s">
        <v>24700</v>
      </c>
      <c r="I4192" s="1" t="s">
        <v>5</v>
      </c>
      <c r="J4192" s="1" t="s">
        <v>67</v>
      </c>
      <c r="K4192" s="1" t="s">
        <v>14</v>
      </c>
      <c r="M4192" s="2">
        <v>42844</v>
      </c>
      <c r="N4192" s="1" t="s">
        <v>8</v>
      </c>
      <c r="O4192" s="1" t="s">
        <v>68</v>
      </c>
    </row>
    <row r="4193" spans="1:15" ht="28.8" x14ac:dyDescent="0.3">
      <c r="A4193" s="1" t="s">
        <v>24702</v>
      </c>
      <c r="B4193" s="1" t="str">
        <f>"David  Price Regenerate"</f>
        <v>David  Price Regenerate</v>
      </c>
      <c r="C4193" s="1" t="s">
        <v>24703</v>
      </c>
      <c r="F4193" s="1" t="s">
        <v>91</v>
      </c>
      <c r="H4193" s="1" t="s">
        <v>1439</v>
      </c>
      <c r="I4193" s="1" t="s">
        <v>5</v>
      </c>
      <c r="J4193" s="1" t="s">
        <v>6</v>
      </c>
      <c r="K4193" s="1" t="s">
        <v>34</v>
      </c>
      <c r="M4193" s="2">
        <v>42844</v>
      </c>
      <c r="N4193" s="1" t="s">
        <v>8</v>
      </c>
      <c r="O4193" s="2">
        <v>43940</v>
      </c>
    </row>
    <row r="4194" spans="1:15" ht="28.8" x14ac:dyDescent="0.3">
      <c r="A4194" s="1" t="s">
        <v>24704</v>
      </c>
      <c r="B4194" s="1" t="str">
        <f>"Christian  Miller-New Vudu Garden Services"</f>
        <v>Christian  Miller-New Vudu Garden Services</v>
      </c>
      <c r="C4194" s="1" t="s">
        <v>24705</v>
      </c>
      <c r="F4194" s="1" t="s">
        <v>2961</v>
      </c>
      <c r="H4194" s="1" t="s">
        <v>24706</v>
      </c>
      <c r="I4194" s="1" t="s">
        <v>5</v>
      </c>
      <c r="J4194" s="1" t="s">
        <v>6</v>
      </c>
      <c r="K4194" s="1" t="s">
        <v>24</v>
      </c>
      <c r="M4194" s="2">
        <v>42844</v>
      </c>
      <c r="N4194" s="1" t="s">
        <v>8</v>
      </c>
      <c r="O4194" s="2">
        <v>43940</v>
      </c>
    </row>
    <row r="4195" spans="1:15" ht="43.2" x14ac:dyDescent="0.3">
      <c r="A4195" s="1" t="s">
        <v>24707</v>
      </c>
      <c r="B4195" s="1" t="str">
        <f>"Adrian Williams APW Home &amp; Garden Services"</f>
        <v>Adrian Williams APW Home &amp; Garden Services</v>
      </c>
      <c r="C4195" s="1" t="s">
        <v>24708</v>
      </c>
      <c r="F4195" s="1" t="s">
        <v>27</v>
      </c>
      <c r="H4195" s="1" t="s">
        <v>24709</v>
      </c>
      <c r="I4195" s="1" t="s">
        <v>5</v>
      </c>
      <c r="J4195" s="1" t="s">
        <v>6</v>
      </c>
      <c r="K4195" s="1" t="s">
        <v>34</v>
      </c>
      <c r="M4195" s="2">
        <v>42844</v>
      </c>
      <c r="N4195" s="1" t="s">
        <v>8</v>
      </c>
      <c r="O4195" s="2">
        <v>43940</v>
      </c>
    </row>
    <row r="4196" spans="1:15" ht="28.8" x14ac:dyDescent="0.3">
      <c r="A4196" s="1" t="s">
        <v>9681</v>
      </c>
      <c r="B4196" s="1" t="str">
        <f>"CAMSO UK LIMITED"</f>
        <v>CAMSO UK LIMITED</v>
      </c>
      <c r="C4196" s="1" t="s">
        <v>9682</v>
      </c>
      <c r="D4196" s="1" t="s">
        <v>9683</v>
      </c>
      <c r="F4196" s="1" t="s">
        <v>9684</v>
      </c>
      <c r="H4196" s="1" t="s">
        <v>4030</v>
      </c>
      <c r="I4196" s="1" t="s">
        <v>19</v>
      </c>
      <c r="J4196" s="1" t="s">
        <v>6</v>
      </c>
      <c r="K4196" s="1" t="s">
        <v>24</v>
      </c>
      <c r="L4196" s="1">
        <v>2589003</v>
      </c>
      <c r="M4196" s="2">
        <v>42843</v>
      </c>
      <c r="N4196" s="1" t="s">
        <v>8</v>
      </c>
      <c r="O4196" s="2">
        <v>43939</v>
      </c>
    </row>
    <row r="4197" spans="1:15" ht="28.8" x14ac:dyDescent="0.3">
      <c r="A4197" s="1" t="s">
        <v>9685</v>
      </c>
      <c r="B4197" s="1" t="str">
        <f>"EXL WINDOWS WALES"</f>
        <v>EXL WINDOWS WALES</v>
      </c>
      <c r="C4197" s="1" t="s">
        <v>9686</v>
      </c>
      <c r="F4197" s="1" t="s">
        <v>3992</v>
      </c>
      <c r="H4197" s="1" t="s">
        <v>9687</v>
      </c>
      <c r="I4197" s="1" t="s">
        <v>19</v>
      </c>
      <c r="J4197" s="1" t="s">
        <v>6</v>
      </c>
      <c r="K4197" s="1" t="s">
        <v>24</v>
      </c>
      <c r="L4197" s="1">
        <v>3134802</v>
      </c>
      <c r="M4197" s="2">
        <v>42843</v>
      </c>
      <c r="N4197" s="1" t="s">
        <v>8</v>
      </c>
      <c r="O4197" s="2">
        <v>43939</v>
      </c>
    </row>
    <row r="4198" spans="1:15" ht="28.8" x14ac:dyDescent="0.3">
      <c r="A4198" s="1" t="s">
        <v>10732</v>
      </c>
      <c r="B4198" s="1" t="str">
        <f>"AllFast Marine OffShore Ltd"</f>
        <v>AllFast Marine OffShore Ltd</v>
      </c>
      <c r="C4198" s="1" t="s">
        <v>10733</v>
      </c>
      <c r="F4198" s="1" t="s">
        <v>6881</v>
      </c>
      <c r="H4198" s="1" t="s">
        <v>10734</v>
      </c>
      <c r="I4198" s="1" t="s">
        <v>19</v>
      </c>
      <c r="J4198" s="1" t="s">
        <v>6</v>
      </c>
      <c r="K4198" s="1" t="s">
        <v>34</v>
      </c>
      <c r="L4198" s="1">
        <v>10228256</v>
      </c>
      <c r="M4198" s="2">
        <v>42843</v>
      </c>
      <c r="N4198" s="1" t="s">
        <v>8</v>
      </c>
      <c r="O4198" s="2">
        <v>43939</v>
      </c>
    </row>
    <row r="4199" spans="1:15" ht="43.2" x14ac:dyDescent="0.3">
      <c r="A4199" s="1" t="s">
        <v>10735</v>
      </c>
      <c r="B4199" s="1" t="str">
        <f>"Tom Prichard Contracting Ltd."</f>
        <v>Tom Prichard Contracting Ltd.</v>
      </c>
      <c r="C4199" s="1" t="s">
        <v>10736</v>
      </c>
      <c r="D4199" s="1" t="s">
        <v>733</v>
      </c>
      <c r="F4199" s="1" t="s">
        <v>873</v>
      </c>
      <c r="H4199" s="1" t="s">
        <v>734</v>
      </c>
      <c r="I4199" s="1" t="s">
        <v>19</v>
      </c>
      <c r="J4199" s="1" t="s">
        <v>6</v>
      </c>
      <c r="K4199" s="1" t="s">
        <v>34</v>
      </c>
      <c r="L4199" s="1">
        <v>5562841</v>
      </c>
      <c r="M4199" s="2">
        <v>42843</v>
      </c>
      <c r="N4199" s="1" t="s">
        <v>8</v>
      </c>
      <c r="O4199" s="2">
        <v>43939</v>
      </c>
    </row>
    <row r="4200" spans="1:15" ht="28.8" x14ac:dyDescent="0.3">
      <c r="A4200" s="1" t="s">
        <v>10737</v>
      </c>
      <c r="B4200" s="1" t="str">
        <f>"EVANS PLANT HIRE LTD"</f>
        <v>EVANS PLANT HIRE LTD</v>
      </c>
      <c r="C4200" s="1" t="s">
        <v>10738</v>
      </c>
      <c r="F4200" s="1" t="s">
        <v>56</v>
      </c>
      <c r="H4200" s="1" t="s">
        <v>10739</v>
      </c>
      <c r="I4200" s="1" t="s">
        <v>19</v>
      </c>
      <c r="J4200" s="1" t="s">
        <v>6</v>
      </c>
      <c r="K4200" s="1" t="s">
        <v>24</v>
      </c>
      <c r="L4200" s="1">
        <v>8329925</v>
      </c>
      <c r="M4200" s="2">
        <v>42843</v>
      </c>
      <c r="N4200" s="1" t="s">
        <v>8</v>
      </c>
      <c r="O4200" s="2">
        <v>43939</v>
      </c>
    </row>
    <row r="4201" spans="1:15" ht="43.2" x14ac:dyDescent="0.3">
      <c r="A4201" s="1" t="s">
        <v>23041</v>
      </c>
      <c r="B4201" s="1" t="str">
        <f>"Lee Scrivens"</f>
        <v>Lee Scrivens</v>
      </c>
      <c r="C4201" s="1" t="s">
        <v>23042</v>
      </c>
      <c r="F4201" s="1" t="s">
        <v>621</v>
      </c>
      <c r="H4201" s="1" t="s">
        <v>23043</v>
      </c>
      <c r="I4201" s="1" t="s">
        <v>5</v>
      </c>
      <c r="J4201" s="1" t="s">
        <v>67</v>
      </c>
      <c r="K4201" s="1" t="s">
        <v>14</v>
      </c>
      <c r="M4201" s="2">
        <v>42843</v>
      </c>
      <c r="N4201" s="1" t="s">
        <v>8</v>
      </c>
      <c r="O4201" s="1" t="s">
        <v>68</v>
      </c>
    </row>
    <row r="4202" spans="1:15" ht="28.8" x14ac:dyDescent="0.3">
      <c r="A4202" s="1" t="s">
        <v>23044</v>
      </c>
      <c r="B4202" s="1" t="str">
        <f>"David Britten DAB Hands (Wales"</f>
        <v>David Britten DAB Hands (Wales</v>
      </c>
      <c r="C4202" s="1" t="s">
        <v>23045</v>
      </c>
      <c r="D4202" s="1" t="s">
        <v>23046</v>
      </c>
      <c r="F4202" s="1" t="s">
        <v>706</v>
      </c>
      <c r="H4202" s="1" t="s">
        <v>23047</v>
      </c>
      <c r="I4202" s="1" t="s">
        <v>5</v>
      </c>
      <c r="J4202" s="1" t="s">
        <v>6</v>
      </c>
      <c r="K4202" s="1" t="s">
        <v>34</v>
      </c>
      <c r="M4202" s="2">
        <v>42843</v>
      </c>
      <c r="N4202" s="1" t="s">
        <v>8</v>
      </c>
      <c r="O4202" s="2">
        <v>43939</v>
      </c>
    </row>
    <row r="4203" spans="1:15" ht="43.2" x14ac:dyDescent="0.3">
      <c r="A4203" s="1" t="s">
        <v>23048</v>
      </c>
      <c r="B4203" s="1" t="str">
        <f>"Dennis Thomas"</f>
        <v>Dennis Thomas</v>
      </c>
      <c r="C4203" s="1" t="s">
        <v>23049</v>
      </c>
      <c r="F4203" s="1" t="s">
        <v>23050</v>
      </c>
      <c r="H4203" s="1" t="s">
        <v>23051</v>
      </c>
      <c r="I4203" s="1" t="s">
        <v>5</v>
      </c>
      <c r="J4203" s="1" t="s">
        <v>67</v>
      </c>
      <c r="K4203" s="1" t="s">
        <v>24</v>
      </c>
      <c r="M4203" s="2">
        <v>42843</v>
      </c>
      <c r="N4203" s="1" t="s">
        <v>8</v>
      </c>
      <c r="O4203" s="1" t="s">
        <v>68</v>
      </c>
    </row>
    <row r="4204" spans="1:15" ht="28.8" x14ac:dyDescent="0.3">
      <c r="A4204" s="1" t="s">
        <v>23831</v>
      </c>
      <c r="B4204" s="1" t="str">
        <f>"Peter Jenkins Mr Peter Jenkins"</f>
        <v>Peter Jenkins Mr Peter Jenkins</v>
      </c>
      <c r="C4204" s="1" t="s">
        <v>23832</v>
      </c>
      <c r="F4204" s="1" t="s">
        <v>91</v>
      </c>
      <c r="H4204" s="1" t="s">
        <v>23833</v>
      </c>
      <c r="I4204" s="1" t="s">
        <v>5</v>
      </c>
      <c r="J4204" s="1" t="s">
        <v>6</v>
      </c>
      <c r="K4204" s="1" t="s">
        <v>34</v>
      </c>
      <c r="M4204" s="2">
        <v>42843</v>
      </c>
      <c r="N4204" s="1" t="s">
        <v>8</v>
      </c>
      <c r="O4204" s="2">
        <v>43939</v>
      </c>
    </row>
    <row r="4205" spans="1:15" ht="28.8" x14ac:dyDescent="0.3">
      <c r="A4205" s="1" t="s">
        <v>23834</v>
      </c>
      <c r="B4205" s="1" t="str">
        <f>"Robin Parry Robin Parry"</f>
        <v>Robin Parry Robin Parry</v>
      </c>
      <c r="C4205" s="1" t="s">
        <v>23835</v>
      </c>
      <c r="F4205" s="1" t="s">
        <v>23836</v>
      </c>
      <c r="H4205" s="1" t="s">
        <v>23837</v>
      </c>
      <c r="I4205" s="1" t="s">
        <v>5</v>
      </c>
      <c r="J4205" s="1" t="s">
        <v>6</v>
      </c>
      <c r="K4205" s="1" t="s">
        <v>34</v>
      </c>
      <c r="M4205" s="2">
        <v>42843</v>
      </c>
      <c r="N4205" s="1" t="s">
        <v>8</v>
      </c>
      <c r="O4205" s="2">
        <v>43939</v>
      </c>
    </row>
    <row r="4206" spans="1:15" x14ac:dyDescent="0.3">
      <c r="A4206" s="1" t="s">
        <v>23838</v>
      </c>
      <c r="B4206" s="1" t="str">
        <f>"Dafydd Silas Davies"</f>
        <v>Dafydd Silas Davies</v>
      </c>
      <c r="C4206" s="1" t="s">
        <v>23839</v>
      </c>
      <c r="F4206" s="1" t="s">
        <v>50</v>
      </c>
      <c r="H4206" s="1" t="s">
        <v>23840</v>
      </c>
      <c r="I4206" s="1" t="s">
        <v>5</v>
      </c>
      <c r="J4206" s="1" t="s">
        <v>6</v>
      </c>
      <c r="K4206" s="1" t="s">
        <v>24</v>
      </c>
      <c r="M4206" s="2">
        <v>42843</v>
      </c>
      <c r="N4206" s="1" t="s">
        <v>8</v>
      </c>
      <c r="O4206" s="2">
        <v>43939</v>
      </c>
    </row>
    <row r="4207" spans="1:15" ht="28.8" x14ac:dyDescent="0.3">
      <c r="A4207" s="1" t="s">
        <v>23841</v>
      </c>
      <c r="B4207" s="1" t="str">
        <f>"KEVIN JAMES"</f>
        <v>KEVIN JAMES</v>
      </c>
      <c r="C4207" s="1" t="s">
        <v>23842</v>
      </c>
      <c r="F4207" s="1" t="s">
        <v>65</v>
      </c>
      <c r="H4207" s="1" t="s">
        <v>23843</v>
      </c>
      <c r="I4207" s="1" t="s">
        <v>5</v>
      </c>
      <c r="J4207" s="1" t="s">
        <v>6</v>
      </c>
      <c r="K4207" s="1" t="s">
        <v>34</v>
      </c>
      <c r="M4207" s="2">
        <v>42843</v>
      </c>
      <c r="N4207" s="1" t="s">
        <v>8</v>
      </c>
      <c r="O4207" s="2">
        <v>43939</v>
      </c>
    </row>
    <row r="4208" spans="1:15" ht="28.8" x14ac:dyDescent="0.3">
      <c r="A4208" s="1" t="s">
        <v>8483</v>
      </c>
      <c r="B4208" s="1" t="str">
        <f>"Shellard Builders"</f>
        <v>Shellard Builders</v>
      </c>
      <c r="C4208" s="1" t="s">
        <v>8484</v>
      </c>
      <c r="F4208" s="1" t="s">
        <v>27</v>
      </c>
      <c r="H4208" s="1" t="s">
        <v>8485</v>
      </c>
      <c r="I4208" s="1" t="s">
        <v>125</v>
      </c>
      <c r="J4208" s="1" t="s">
        <v>6</v>
      </c>
      <c r="K4208" s="1" t="s">
        <v>34</v>
      </c>
      <c r="M4208" s="2">
        <v>42841</v>
      </c>
      <c r="N4208" s="1" t="s">
        <v>8</v>
      </c>
      <c r="O4208" s="2">
        <v>43937</v>
      </c>
    </row>
    <row r="4209" spans="1:15" ht="43.2" x14ac:dyDescent="0.3">
      <c r="A4209" s="1" t="s">
        <v>22333</v>
      </c>
      <c r="B4209" s="1" t="str">
        <f>"Karl Vaughan Lawton Facilities"</f>
        <v>Karl Vaughan Lawton Facilities</v>
      </c>
      <c r="C4209" s="1" t="s">
        <v>22334</v>
      </c>
      <c r="F4209" s="1" t="s">
        <v>1184</v>
      </c>
      <c r="H4209" s="1" t="s">
        <v>12479</v>
      </c>
      <c r="I4209" s="1" t="s">
        <v>5</v>
      </c>
      <c r="J4209" s="1" t="s">
        <v>6</v>
      </c>
      <c r="K4209" s="1" t="s">
        <v>34</v>
      </c>
      <c r="M4209" s="2">
        <v>42841</v>
      </c>
      <c r="N4209" s="1" t="s">
        <v>8</v>
      </c>
      <c r="O4209" s="2">
        <v>43937</v>
      </c>
    </row>
    <row r="4210" spans="1:15" ht="43.2" x14ac:dyDescent="0.3">
      <c r="A4210" s="1" t="s">
        <v>23038</v>
      </c>
      <c r="B4210" s="1" t="str">
        <f>"James Stanley"</f>
        <v>James Stanley</v>
      </c>
      <c r="C4210" s="1" t="s">
        <v>23039</v>
      </c>
      <c r="F4210" s="1" t="s">
        <v>5350</v>
      </c>
      <c r="H4210" s="1" t="s">
        <v>23040</v>
      </c>
      <c r="I4210" s="1" t="s">
        <v>5</v>
      </c>
      <c r="J4210" s="1" t="s">
        <v>67</v>
      </c>
      <c r="K4210" s="1" t="s">
        <v>14</v>
      </c>
      <c r="M4210" s="2">
        <v>42841</v>
      </c>
      <c r="N4210" s="1" t="s">
        <v>8</v>
      </c>
      <c r="O4210" s="1" t="s">
        <v>68</v>
      </c>
    </row>
    <row r="4211" spans="1:15" ht="43.2" x14ac:dyDescent="0.3">
      <c r="A4211" s="1" t="s">
        <v>8480</v>
      </c>
      <c r="B4211" s="1" t="str">
        <f>"TRUST FLOORING LTD"</f>
        <v>TRUST FLOORING LTD</v>
      </c>
      <c r="C4211" s="1" t="s">
        <v>8481</v>
      </c>
      <c r="F4211" s="1" t="s">
        <v>170</v>
      </c>
      <c r="H4211" s="1" t="s">
        <v>8482</v>
      </c>
      <c r="I4211" s="1" t="s">
        <v>19</v>
      </c>
      <c r="J4211" s="1" t="s">
        <v>67</v>
      </c>
      <c r="K4211" s="1" t="s">
        <v>14</v>
      </c>
      <c r="M4211" s="2">
        <v>42839</v>
      </c>
      <c r="N4211" s="1" t="s">
        <v>8</v>
      </c>
      <c r="O4211" s="1" t="s">
        <v>68</v>
      </c>
    </row>
    <row r="4212" spans="1:15" ht="43.2" x14ac:dyDescent="0.3">
      <c r="A4212" s="1" t="s">
        <v>22325</v>
      </c>
      <c r="B4212" s="1" t="str">
        <f>"pete lewis"</f>
        <v>pete lewis</v>
      </c>
      <c r="C4212" s="1" t="s">
        <v>22326</v>
      </c>
      <c r="F4212" s="1" t="s">
        <v>5350</v>
      </c>
      <c r="H4212" s="1" t="s">
        <v>22327</v>
      </c>
      <c r="I4212" s="1" t="s">
        <v>5</v>
      </c>
      <c r="J4212" s="1" t="s">
        <v>67</v>
      </c>
      <c r="K4212" s="1" t="s">
        <v>14</v>
      </c>
      <c r="M4212" s="2">
        <v>42839</v>
      </c>
      <c r="N4212" s="1" t="s">
        <v>8</v>
      </c>
      <c r="O4212" s="1" t="s">
        <v>68</v>
      </c>
    </row>
    <row r="4213" spans="1:15" ht="28.8" x14ac:dyDescent="0.3">
      <c r="A4213" s="1" t="s">
        <v>22328</v>
      </c>
      <c r="B4213" s="1" t="str">
        <f>"Jason Evans J Evans Roofing"</f>
        <v>Jason Evans J Evans Roofing</v>
      </c>
      <c r="C4213" s="1" t="s">
        <v>22329</v>
      </c>
      <c r="F4213" s="1" t="s">
        <v>865</v>
      </c>
      <c r="H4213" s="1" t="s">
        <v>22330</v>
      </c>
      <c r="I4213" s="1" t="s">
        <v>5</v>
      </c>
      <c r="J4213" s="1" t="s">
        <v>6</v>
      </c>
      <c r="K4213" s="1" t="s">
        <v>24</v>
      </c>
      <c r="M4213" s="2">
        <v>42839</v>
      </c>
      <c r="N4213" s="1" t="s">
        <v>8</v>
      </c>
      <c r="O4213" s="2">
        <v>43935</v>
      </c>
    </row>
    <row r="4214" spans="1:15" ht="28.8" x14ac:dyDescent="0.3">
      <c r="A4214" s="1" t="s">
        <v>22331</v>
      </c>
      <c r="B4214" s="1" t="str">
        <f>"Michael Simms M. R. Simms"</f>
        <v>Michael Simms M. R. Simms</v>
      </c>
      <c r="C4214" s="1" t="s">
        <v>22332</v>
      </c>
      <c r="F4214" s="1" t="s">
        <v>438</v>
      </c>
      <c r="H4214" s="1" t="s">
        <v>7416</v>
      </c>
      <c r="I4214" s="1" t="s">
        <v>5</v>
      </c>
      <c r="J4214" s="1" t="s">
        <v>6</v>
      </c>
      <c r="K4214" s="1" t="s">
        <v>24</v>
      </c>
      <c r="M4214" s="2">
        <v>42839</v>
      </c>
      <c r="N4214" s="1" t="s">
        <v>8</v>
      </c>
      <c r="O4214" s="2">
        <v>43935</v>
      </c>
    </row>
    <row r="4215" spans="1:15" ht="28.8" x14ac:dyDescent="0.3">
      <c r="A4215" s="1" t="s">
        <v>7321</v>
      </c>
      <c r="B4215" s="1" t="str">
        <f>"JB Fabrication (Wrexham) Ltd"</f>
        <v>JB Fabrication (Wrexham) Ltd</v>
      </c>
      <c r="C4215" s="1" t="s">
        <v>7322</v>
      </c>
      <c r="F4215" s="1" t="s">
        <v>198</v>
      </c>
      <c r="H4215" s="1" t="s">
        <v>199</v>
      </c>
      <c r="I4215" s="1" t="s">
        <v>19</v>
      </c>
      <c r="J4215" s="1" t="s">
        <v>6</v>
      </c>
      <c r="K4215" s="1" t="s">
        <v>34</v>
      </c>
      <c r="L4215" s="1">
        <v>3370273</v>
      </c>
      <c r="M4215" s="2">
        <v>42838</v>
      </c>
      <c r="N4215" s="1" t="s">
        <v>8</v>
      </c>
      <c r="O4215" s="2">
        <v>43934</v>
      </c>
    </row>
    <row r="4216" spans="1:15" ht="28.8" x14ac:dyDescent="0.3">
      <c r="A4216" s="1" t="s">
        <v>7323</v>
      </c>
      <c r="B4216" s="1" t="str">
        <f>"Dunn &amp; Dyer (Electrical) Ltd"</f>
        <v>Dunn &amp; Dyer (Electrical) Ltd</v>
      </c>
      <c r="C4216" s="1" t="s">
        <v>7324</v>
      </c>
      <c r="F4216" s="1" t="s">
        <v>91</v>
      </c>
      <c r="H4216" s="1" t="s">
        <v>7325</v>
      </c>
      <c r="I4216" s="1" t="s">
        <v>19</v>
      </c>
      <c r="J4216" s="1" t="s">
        <v>6</v>
      </c>
      <c r="K4216" s="1" t="s">
        <v>24</v>
      </c>
      <c r="L4216" s="1">
        <v>484414</v>
      </c>
      <c r="M4216" s="2">
        <v>42838</v>
      </c>
      <c r="N4216" s="1" t="s">
        <v>8</v>
      </c>
      <c r="O4216" s="2">
        <v>43934</v>
      </c>
    </row>
    <row r="4217" spans="1:15" ht="28.8" x14ac:dyDescent="0.3">
      <c r="A4217" s="1" t="s">
        <v>8463</v>
      </c>
      <c r="B4217" s="1" t="str">
        <f>"Leckwith Concrete Products"</f>
        <v>Leckwith Concrete Products</v>
      </c>
      <c r="C4217" s="1" t="s">
        <v>8464</v>
      </c>
      <c r="D4217" s="1" t="s">
        <v>8465</v>
      </c>
      <c r="F4217" s="1" t="s">
        <v>27</v>
      </c>
      <c r="H4217" s="1" t="s">
        <v>6515</v>
      </c>
      <c r="I4217" s="1" t="s">
        <v>125</v>
      </c>
      <c r="J4217" s="1" t="s">
        <v>6</v>
      </c>
      <c r="K4217" s="1" t="s">
        <v>34</v>
      </c>
      <c r="M4217" s="2">
        <v>42838</v>
      </c>
      <c r="N4217" s="1" t="s">
        <v>8</v>
      </c>
      <c r="O4217" s="2">
        <v>43934</v>
      </c>
    </row>
    <row r="4218" spans="1:15" ht="43.2" x14ac:dyDescent="0.3">
      <c r="A4218" s="1" t="s">
        <v>8466</v>
      </c>
      <c r="B4218" s="1" t="str">
        <f>"S Jones &amp; sons(electrical contrctor"</f>
        <v>S Jones &amp; sons(electrical contrctor</v>
      </c>
      <c r="C4218" s="1" t="s">
        <v>8467</v>
      </c>
      <c r="F4218" s="1" t="s">
        <v>27</v>
      </c>
      <c r="H4218" s="1" t="s">
        <v>8468</v>
      </c>
      <c r="I4218" s="1" t="s">
        <v>19</v>
      </c>
      <c r="J4218" s="1" t="s">
        <v>6</v>
      </c>
      <c r="K4218" s="1" t="s">
        <v>34</v>
      </c>
      <c r="L4218" s="1">
        <v>5730354</v>
      </c>
      <c r="M4218" s="2">
        <v>42838</v>
      </c>
      <c r="N4218" s="1" t="s">
        <v>8</v>
      </c>
      <c r="O4218" s="2">
        <v>43934</v>
      </c>
    </row>
    <row r="4219" spans="1:15" ht="43.2" x14ac:dyDescent="0.3">
      <c r="A4219" s="1" t="s">
        <v>8469</v>
      </c>
      <c r="B4219" s="1" t="str">
        <f>"GW Sheppard"</f>
        <v>GW Sheppard</v>
      </c>
      <c r="C4219" s="1" t="s">
        <v>8470</v>
      </c>
      <c r="F4219" s="1" t="s">
        <v>3337</v>
      </c>
      <c r="H4219" s="1" t="s">
        <v>8471</v>
      </c>
      <c r="I4219" s="1" t="s">
        <v>125</v>
      </c>
      <c r="J4219" s="1" t="s">
        <v>67</v>
      </c>
      <c r="K4219" s="1" t="s">
        <v>14</v>
      </c>
      <c r="M4219" s="2">
        <v>42838</v>
      </c>
      <c r="N4219" s="1" t="s">
        <v>8</v>
      </c>
      <c r="O4219" s="1" t="s">
        <v>68</v>
      </c>
    </row>
    <row r="4220" spans="1:15" ht="28.8" x14ac:dyDescent="0.3">
      <c r="A4220" s="1" t="s">
        <v>8472</v>
      </c>
      <c r="B4220" s="1" t="str">
        <f>"Bailey Building and Roofing Ltd"</f>
        <v>Bailey Building and Roofing Ltd</v>
      </c>
      <c r="C4220" s="1" t="s">
        <v>8473</v>
      </c>
      <c r="F4220" s="1" t="s">
        <v>27</v>
      </c>
      <c r="H4220" s="1" t="s">
        <v>8474</v>
      </c>
      <c r="I4220" s="1" t="s">
        <v>19</v>
      </c>
      <c r="J4220" s="1" t="s">
        <v>6</v>
      </c>
      <c r="K4220" s="1" t="s">
        <v>24</v>
      </c>
      <c r="L4220" s="1">
        <v>7088508</v>
      </c>
      <c r="M4220" s="2">
        <v>42838</v>
      </c>
      <c r="N4220" s="1" t="s">
        <v>8</v>
      </c>
      <c r="O4220" s="2">
        <v>43934</v>
      </c>
    </row>
    <row r="4221" spans="1:15" ht="28.8" x14ac:dyDescent="0.3">
      <c r="A4221" s="1" t="s">
        <v>8475</v>
      </c>
      <c r="B4221" s="1" t="str">
        <f>"James Ratford Bridge Ltd."</f>
        <v>James Ratford Bridge Ltd.</v>
      </c>
      <c r="C4221" s="1" t="s">
        <v>8476</v>
      </c>
      <c r="F4221" s="1" t="s">
        <v>438</v>
      </c>
      <c r="H4221" s="1" t="s">
        <v>8477</v>
      </c>
      <c r="I4221" s="1" t="s">
        <v>19</v>
      </c>
      <c r="J4221" s="1" t="s">
        <v>6</v>
      </c>
      <c r="K4221" s="1" t="s">
        <v>24</v>
      </c>
      <c r="L4221" s="1">
        <v>4440728</v>
      </c>
      <c r="M4221" s="2">
        <v>42838</v>
      </c>
      <c r="N4221" s="1" t="s">
        <v>8</v>
      </c>
      <c r="O4221" s="2">
        <v>43934</v>
      </c>
    </row>
    <row r="4222" spans="1:15" ht="43.2" x14ac:dyDescent="0.3">
      <c r="A4222" s="1" t="s">
        <v>8478</v>
      </c>
      <c r="B4222" s="1" t="str">
        <f>"Paul nurse"</f>
        <v>Paul nurse</v>
      </c>
      <c r="C4222" s="1" t="s">
        <v>8479</v>
      </c>
      <c r="F4222" s="1" t="s">
        <v>42</v>
      </c>
      <c r="H4222" s="1" t="s">
        <v>1355</v>
      </c>
      <c r="I4222" s="1" t="s">
        <v>188</v>
      </c>
      <c r="J4222" s="1" t="s">
        <v>67</v>
      </c>
      <c r="K4222" s="1" t="s">
        <v>14</v>
      </c>
      <c r="M4222" s="2">
        <v>42838</v>
      </c>
      <c r="N4222" s="1" t="s">
        <v>8</v>
      </c>
      <c r="O4222" s="1" t="s">
        <v>68</v>
      </c>
    </row>
    <row r="4223" spans="1:15" ht="43.2" x14ac:dyDescent="0.3">
      <c r="A4223" s="1" t="s">
        <v>21472</v>
      </c>
      <c r="B4223" s="1" t="str">
        <f>"David Beckerley"</f>
        <v>David Beckerley</v>
      </c>
      <c r="C4223" s="1" t="s">
        <v>21473</v>
      </c>
      <c r="F4223" s="1" t="s">
        <v>27</v>
      </c>
      <c r="H4223" s="1" t="s">
        <v>21474</v>
      </c>
      <c r="I4223" s="1" t="s">
        <v>5</v>
      </c>
      <c r="J4223" s="1" t="s">
        <v>67</v>
      </c>
      <c r="K4223" s="1" t="s">
        <v>14</v>
      </c>
      <c r="M4223" s="2">
        <v>42838</v>
      </c>
      <c r="N4223" s="1" t="s">
        <v>8</v>
      </c>
      <c r="O4223" s="1" t="s">
        <v>68</v>
      </c>
    </row>
    <row r="4224" spans="1:15" ht="43.2" x14ac:dyDescent="0.3">
      <c r="A4224" s="1" t="s">
        <v>21475</v>
      </c>
      <c r="B4224" s="1" t="str">
        <f>"Ross Adams Adams Brothers Property Maintenance"</f>
        <v>Ross Adams Adams Brothers Property Maintenance</v>
      </c>
      <c r="C4224" s="1" t="s">
        <v>21476</v>
      </c>
      <c r="F4224" s="1" t="s">
        <v>4046</v>
      </c>
      <c r="H4224" s="1" t="s">
        <v>21477</v>
      </c>
      <c r="I4224" s="1" t="s">
        <v>5</v>
      </c>
      <c r="J4224" s="1" t="s">
        <v>6</v>
      </c>
      <c r="K4224" s="1" t="s">
        <v>24</v>
      </c>
      <c r="M4224" s="2">
        <v>42838</v>
      </c>
      <c r="N4224" s="1" t="s">
        <v>8</v>
      </c>
      <c r="O4224" s="2">
        <v>43934</v>
      </c>
    </row>
    <row r="4225" spans="1:15" ht="28.8" x14ac:dyDescent="0.3">
      <c r="A4225" s="1" t="s">
        <v>21478</v>
      </c>
      <c r="B4225" s="1" t="str">
        <f>"Robert Evans Wyn Evans Transport"</f>
        <v>Robert Evans Wyn Evans Transport</v>
      </c>
      <c r="C4225" s="1" t="s">
        <v>21479</v>
      </c>
      <c r="F4225" s="1" t="s">
        <v>1169</v>
      </c>
      <c r="H4225" s="1" t="s">
        <v>21480</v>
      </c>
      <c r="I4225" s="1" t="s">
        <v>5</v>
      </c>
      <c r="J4225" s="1" t="s">
        <v>6</v>
      </c>
      <c r="K4225" s="1" t="s">
        <v>24</v>
      </c>
      <c r="M4225" s="2">
        <v>42838</v>
      </c>
      <c r="N4225" s="1" t="s">
        <v>8</v>
      </c>
      <c r="O4225" s="2">
        <v>43934</v>
      </c>
    </row>
    <row r="4226" spans="1:15" ht="43.2" x14ac:dyDescent="0.3">
      <c r="A4226" s="1" t="s">
        <v>21481</v>
      </c>
      <c r="B4226" s="1" t="str">
        <f>"Sivatharushan Sivapragasam"</f>
        <v>Sivatharushan Sivapragasam</v>
      </c>
      <c r="C4226" s="1" t="s">
        <v>21482</v>
      </c>
      <c r="F4226" s="1" t="s">
        <v>21483</v>
      </c>
      <c r="H4226" s="1" t="s">
        <v>21484</v>
      </c>
      <c r="I4226" s="1" t="s">
        <v>5</v>
      </c>
      <c r="J4226" s="1" t="s">
        <v>67</v>
      </c>
      <c r="K4226" s="1" t="s">
        <v>14</v>
      </c>
      <c r="M4226" s="2">
        <v>42838</v>
      </c>
      <c r="N4226" s="1" t="s">
        <v>8</v>
      </c>
      <c r="O4226" s="1" t="s">
        <v>68</v>
      </c>
    </row>
    <row r="4227" spans="1:15" ht="28.8" x14ac:dyDescent="0.3">
      <c r="A4227" s="1" t="s">
        <v>21485</v>
      </c>
      <c r="B4227" s="1" t="str">
        <f>"David Glyn James"</f>
        <v>David Glyn James</v>
      </c>
      <c r="C4227" s="1" t="s">
        <v>21486</v>
      </c>
      <c r="F4227" s="1" t="s">
        <v>65</v>
      </c>
      <c r="H4227" s="1" t="s">
        <v>21487</v>
      </c>
      <c r="I4227" s="1" t="s">
        <v>5</v>
      </c>
      <c r="J4227" s="1" t="s">
        <v>6</v>
      </c>
      <c r="K4227" s="1" t="s">
        <v>34</v>
      </c>
      <c r="M4227" s="2">
        <v>42838</v>
      </c>
      <c r="N4227" s="1" t="s">
        <v>8</v>
      </c>
      <c r="O4227" s="2">
        <v>43934</v>
      </c>
    </row>
    <row r="4228" spans="1:15" ht="28.8" x14ac:dyDescent="0.3">
      <c r="A4228" s="1" t="s">
        <v>21488</v>
      </c>
      <c r="B4228" s="1" t="str">
        <f>"Marco Valente Conwy Pest Solutions"</f>
        <v>Marco Valente Conwy Pest Solutions</v>
      </c>
      <c r="C4228" s="1" t="s">
        <v>21489</v>
      </c>
      <c r="F4228" s="1" t="s">
        <v>1184</v>
      </c>
      <c r="H4228" s="1" t="s">
        <v>21490</v>
      </c>
      <c r="I4228" s="1" t="s">
        <v>5</v>
      </c>
      <c r="J4228" s="1" t="s">
        <v>6</v>
      </c>
      <c r="K4228" s="1" t="s">
        <v>34</v>
      </c>
      <c r="M4228" s="2">
        <v>42838</v>
      </c>
      <c r="N4228" s="1" t="s">
        <v>8</v>
      </c>
      <c r="O4228" s="2">
        <v>43934</v>
      </c>
    </row>
    <row r="4229" spans="1:15" ht="43.2" x14ac:dyDescent="0.3">
      <c r="A4229" s="1" t="s">
        <v>21491</v>
      </c>
      <c r="B4229" s="1" t="str">
        <f>"James Lee"</f>
        <v>James Lee</v>
      </c>
      <c r="C4229" s="1" t="s">
        <v>21492</v>
      </c>
      <c r="F4229" s="1" t="s">
        <v>445</v>
      </c>
      <c r="H4229" s="1" t="s">
        <v>21493</v>
      </c>
      <c r="I4229" s="1" t="s">
        <v>5</v>
      </c>
      <c r="J4229" s="1" t="s">
        <v>67</v>
      </c>
      <c r="K4229" s="1" t="s">
        <v>14</v>
      </c>
      <c r="M4229" s="2">
        <v>42838</v>
      </c>
      <c r="N4229" s="1" t="s">
        <v>8</v>
      </c>
      <c r="O4229" s="1" t="s">
        <v>68</v>
      </c>
    </row>
    <row r="4230" spans="1:15" ht="43.2" x14ac:dyDescent="0.3">
      <c r="A4230" s="1" t="s">
        <v>22307</v>
      </c>
      <c r="B4230" s="1" t="str">
        <f>"Ben Delaney"</f>
        <v>Ben Delaney</v>
      </c>
      <c r="C4230" s="1" t="s">
        <v>22308</v>
      </c>
      <c r="F4230" s="1" t="s">
        <v>65</v>
      </c>
      <c r="H4230" s="1" t="s">
        <v>22309</v>
      </c>
      <c r="I4230" s="1" t="s">
        <v>5</v>
      </c>
      <c r="J4230" s="1" t="s">
        <v>67</v>
      </c>
      <c r="K4230" s="1" t="s">
        <v>14</v>
      </c>
      <c r="M4230" s="2">
        <v>42838</v>
      </c>
      <c r="N4230" s="1" t="s">
        <v>8</v>
      </c>
      <c r="O4230" s="1" t="s">
        <v>68</v>
      </c>
    </row>
    <row r="4231" spans="1:15" ht="28.8" x14ac:dyDescent="0.3">
      <c r="A4231" s="1" t="s">
        <v>22310</v>
      </c>
      <c r="B4231" s="1" t="str">
        <f>"Stephen Farnham S &amp; A Landscapes"</f>
        <v>Stephen Farnham S &amp; A Landscapes</v>
      </c>
      <c r="C4231" s="1" t="s">
        <v>22311</v>
      </c>
      <c r="F4231" s="1" t="s">
        <v>27</v>
      </c>
      <c r="H4231" s="1" t="s">
        <v>22312</v>
      </c>
      <c r="I4231" s="1" t="s">
        <v>5</v>
      </c>
      <c r="J4231" s="1" t="s">
        <v>6</v>
      </c>
      <c r="K4231" s="1" t="s">
        <v>34</v>
      </c>
      <c r="M4231" s="2">
        <v>42838</v>
      </c>
      <c r="N4231" s="1" t="s">
        <v>8</v>
      </c>
      <c r="O4231" s="2">
        <v>43934</v>
      </c>
    </row>
    <row r="4232" spans="1:15" ht="28.8" x14ac:dyDescent="0.3">
      <c r="A4232" s="1" t="s">
        <v>22313</v>
      </c>
      <c r="B4232" s="1" t="str">
        <f>"Anthony Watson A.G.Watson Services"</f>
        <v>Anthony Watson A.G.Watson Services</v>
      </c>
      <c r="C4232" s="1" t="s">
        <v>22314</v>
      </c>
      <c r="F4232" s="1" t="s">
        <v>91</v>
      </c>
      <c r="H4232" s="1" t="s">
        <v>22315</v>
      </c>
      <c r="I4232" s="1" t="s">
        <v>5</v>
      </c>
      <c r="J4232" s="1" t="s">
        <v>6</v>
      </c>
      <c r="K4232" s="1" t="s">
        <v>34</v>
      </c>
      <c r="M4232" s="2">
        <v>42838</v>
      </c>
      <c r="N4232" s="1" t="s">
        <v>8</v>
      </c>
      <c r="O4232" s="2">
        <v>43934</v>
      </c>
    </row>
    <row r="4233" spans="1:15" ht="28.8" x14ac:dyDescent="0.3">
      <c r="A4233" s="1" t="s">
        <v>22316</v>
      </c>
      <c r="B4233" s="1" t="str">
        <f>"Martin  Hurlow Hurlow Construction"</f>
        <v>Martin  Hurlow Hurlow Construction</v>
      </c>
      <c r="C4233" s="1" t="s">
        <v>22317</v>
      </c>
      <c r="F4233" s="1" t="s">
        <v>714</v>
      </c>
      <c r="H4233" s="1" t="s">
        <v>22318</v>
      </c>
      <c r="I4233" s="1" t="s">
        <v>5</v>
      </c>
      <c r="J4233" s="1" t="s">
        <v>6</v>
      </c>
      <c r="K4233" s="1" t="s">
        <v>34</v>
      </c>
      <c r="M4233" s="2">
        <v>42838</v>
      </c>
      <c r="N4233" s="1" t="s">
        <v>8</v>
      </c>
      <c r="O4233" s="2">
        <v>43934</v>
      </c>
    </row>
    <row r="4234" spans="1:15" ht="28.8" x14ac:dyDescent="0.3">
      <c r="A4234" s="1" t="s">
        <v>22319</v>
      </c>
      <c r="B4234" s="1" t="str">
        <f>"nigel woosencraft treecare"</f>
        <v>nigel woosencraft treecare</v>
      </c>
      <c r="C4234" s="1" t="s">
        <v>22320</v>
      </c>
      <c r="F4234" s="1" t="s">
        <v>4127</v>
      </c>
      <c r="H4234" s="1" t="s">
        <v>22321</v>
      </c>
      <c r="I4234" s="1" t="s">
        <v>5</v>
      </c>
      <c r="J4234" s="1" t="s">
        <v>6</v>
      </c>
      <c r="K4234" s="1" t="s">
        <v>24</v>
      </c>
      <c r="M4234" s="2">
        <v>42838</v>
      </c>
      <c r="N4234" s="1" t="s">
        <v>8</v>
      </c>
      <c r="O4234" s="2">
        <v>43947</v>
      </c>
    </row>
    <row r="4235" spans="1:15" ht="43.2" x14ac:dyDescent="0.3">
      <c r="A4235" s="1" t="s">
        <v>22322</v>
      </c>
      <c r="B4235" s="1" t="str">
        <f>"Matthew  Pritchard  MP GARDENING AND WASTE"</f>
        <v>Matthew  Pritchard  MP GARDENING AND WASTE</v>
      </c>
      <c r="C4235" s="1" t="s">
        <v>22323</v>
      </c>
      <c r="F4235" s="1" t="s">
        <v>65</v>
      </c>
      <c r="H4235" s="1" t="s">
        <v>22324</v>
      </c>
      <c r="I4235" s="1" t="s">
        <v>5</v>
      </c>
      <c r="J4235" s="1" t="s">
        <v>6</v>
      </c>
      <c r="K4235" s="1" t="s">
        <v>24</v>
      </c>
      <c r="M4235" s="2">
        <v>42838</v>
      </c>
      <c r="N4235" s="1" t="s">
        <v>8</v>
      </c>
      <c r="O4235" s="2">
        <v>43934</v>
      </c>
    </row>
    <row r="4236" spans="1:15" ht="43.2" x14ac:dyDescent="0.3">
      <c r="A4236" s="1" t="s">
        <v>6247</v>
      </c>
      <c r="B4236" s="1" t="str">
        <f>"Polar rooflines limited "</f>
        <v xml:space="preserve">Polar rooflines limited </v>
      </c>
      <c r="C4236" s="1" t="s">
        <v>6248</v>
      </c>
      <c r="F4236" s="1" t="s">
        <v>6249</v>
      </c>
      <c r="H4236" s="1" t="s">
        <v>6250</v>
      </c>
      <c r="I4236" s="1" t="s">
        <v>19</v>
      </c>
      <c r="J4236" s="1" t="s">
        <v>67</v>
      </c>
      <c r="K4236" s="1" t="s">
        <v>14</v>
      </c>
      <c r="M4236" s="2">
        <v>42837</v>
      </c>
      <c r="N4236" s="1" t="s">
        <v>8</v>
      </c>
      <c r="O4236" s="1" t="s">
        <v>68</v>
      </c>
    </row>
    <row r="4237" spans="1:15" ht="28.8" x14ac:dyDescent="0.3">
      <c r="A4237" s="1" t="s">
        <v>6251</v>
      </c>
      <c r="B4237" s="1" t="str">
        <f>"HIGH PASTURES NURSING HOME LTD."</f>
        <v>HIGH PASTURES NURSING HOME LTD.</v>
      </c>
      <c r="C4237" s="1" t="s">
        <v>6252</v>
      </c>
      <c r="F4237" s="1" t="s">
        <v>1260</v>
      </c>
      <c r="H4237" s="1" t="s">
        <v>6253</v>
      </c>
      <c r="I4237" s="1" t="s">
        <v>19</v>
      </c>
      <c r="J4237" s="1" t="s">
        <v>6</v>
      </c>
      <c r="K4237" s="1" t="s">
        <v>34</v>
      </c>
      <c r="L4237" s="1">
        <v>3518795</v>
      </c>
      <c r="M4237" s="2">
        <v>42837</v>
      </c>
      <c r="N4237" s="1" t="s">
        <v>8</v>
      </c>
      <c r="O4237" s="2">
        <v>43933</v>
      </c>
    </row>
    <row r="4238" spans="1:15" ht="28.8" x14ac:dyDescent="0.3">
      <c r="A4238" s="1" t="s">
        <v>6254</v>
      </c>
      <c r="B4238" s="1" t="str">
        <f>"RHIWBALFF CONSTRUCTION"</f>
        <v>RHIWBALFF CONSTRUCTION</v>
      </c>
      <c r="C4238" s="1" t="s">
        <v>6255</v>
      </c>
      <c r="F4238" s="1" t="s">
        <v>27</v>
      </c>
      <c r="H4238" s="1" t="s">
        <v>6256</v>
      </c>
      <c r="I4238" s="1" t="s">
        <v>19</v>
      </c>
      <c r="J4238" s="1" t="s">
        <v>6</v>
      </c>
      <c r="K4238" s="1" t="s">
        <v>24</v>
      </c>
      <c r="L4238" s="1">
        <v>10153961</v>
      </c>
      <c r="M4238" s="2">
        <v>42837</v>
      </c>
      <c r="N4238" s="1" t="s">
        <v>8</v>
      </c>
      <c r="O4238" s="2">
        <v>43933</v>
      </c>
    </row>
    <row r="4239" spans="1:15" ht="43.2" x14ac:dyDescent="0.3">
      <c r="A4239" s="1" t="s">
        <v>6257</v>
      </c>
      <c r="B4239" s="1" t="str">
        <f>"Pre-Loved Furniture"</f>
        <v>Pre-Loved Furniture</v>
      </c>
      <c r="C4239" s="1" t="s">
        <v>6258</v>
      </c>
      <c r="F4239" s="1" t="s">
        <v>1240</v>
      </c>
      <c r="H4239" s="1" t="s">
        <v>6259</v>
      </c>
      <c r="I4239" s="1" t="s">
        <v>1872</v>
      </c>
      <c r="J4239" s="1" t="s">
        <v>67</v>
      </c>
      <c r="K4239" s="1" t="s">
        <v>14</v>
      </c>
      <c r="M4239" s="2">
        <v>42837</v>
      </c>
      <c r="N4239" s="1" t="s">
        <v>8</v>
      </c>
      <c r="O4239" s="1" t="s">
        <v>68</v>
      </c>
    </row>
    <row r="4240" spans="1:15" ht="43.2" x14ac:dyDescent="0.3">
      <c r="A4240" s="1" t="s">
        <v>6260</v>
      </c>
      <c r="B4240" s="1" t="str">
        <f>"continantial foo and wine"</f>
        <v>continantial foo and wine</v>
      </c>
      <c r="C4240" s="1" t="s">
        <v>6261</v>
      </c>
      <c r="F4240" s="1" t="s">
        <v>170</v>
      </c>
      <c r="H4240" s="1" t="s">
        <v>6262</v>
      </c>
      <c r="I4240" s="1" t="s">
        <v>19</v>
      </c>
      <c r="J4240" s="1" t="s">
        <v>67</v>
      </c>
      <c r="K4240" s="1" t="s">
        <v>14</v>
      </c>
      <c r="M4240" s="2">
        <v>42837</v>
      </c>
      <c r="N4240" s="1" t="s">
        <v>8</v>
      </c>
      <c r="O4240" s="1" t="s">
        <v>68</v>
      </c>
    </row>
    <row r="4241" spans="1:15" ht="43.2" x14ac:dyDescent="0.3">
      <c r="A4241" s="1" t="s">
        <v>7299</v>
      </c>
      <c r="B4241" s="1" t="str">
        <f>"Protectahome Ltd."</f>
        <v>Protectahome Ltd.</v>
      </c>
      <c r="C4241" s="1" t="s">
        <v>7300</v>
      </c>
      <c r="D4241" s="1" t="s">
        <v>7301</v>
      </c>
      <c r="E4241" s="1" t="s">
        <v>757</v>
      </c>
      <c r="F4241" s="1" t="s">
        <v>91</v>
      </c>
      <c r="H4241" s="1" t="s">
        <v>7302</v>
      </c>
      <c r="I4241" s="1" t="s">
        <v>19</v>
      </c>
      <c r="J4241" s="1" t="s">
        <v>67</v>
      </c>
      <c r="K4241" s="1" t="s">
        <v>24</v>
      </c>
      <c r="L4241" s="1">
        <v>1476443</v>
      </c>
      <c r="M4241" s="2">
        <v>42837</v>
      </c>
      <c r="N4241" s="1" t="s">
        <v>8</v>
      </c>
      <c r="O4241" s="1" t="s">
        <v>68</v>
      </c>
    </row>
    <row r="4242" spans="1:15" ht="28.8" x14ac:dyDescent="0.3">
      <c r="A4242" s="1" t="s">
        <v>7303</v>
      </c>
      <c r="B4242" s="1" t="str">
        <f>"Protectahome Ltd "</f>
        <v xml:space="preserve">Protectahome Ltd </v>
      </c>
      <c r="C4242" s="1" t="s">
        <v>7300</v>
      </c>
      <c r="D4242" s="1" t="s">
        <v>7301</v>
      </c>
      <c r="E4242" s="1" t="s">
        <v>757</v>
      </c>
      <c r="F4242" s="1" t="s">
        <v>91</v>
      </c>
      <c r="H4242" s="1" t="s">
        <v>7302</v>
      </c>
      <c r="I4242" s="1" t="s">
        <v>19</v>
      </c>
      <c r="J4242" s="1" t="s">
        <v>6</v>
      </c>
      <c r="K4242" s="1" t="s">
        <v>24</v>
      </c>
      <c r="L4242" s="1">
        <v>1476443</v>
      </c>
      <c r="M4242" s="2">
        <v>42837</v>
      </c>
      <c r="N4242" s="1" t="s">
        <v>8</v>
      </c>
      <c r="O4242" s="2">
        <v>43933</v>
      </c>
    </row>
    <row r="4243" spans="1:15" ht="28.8" x14ac:dyDescent="0.3">
      <c r="A4243" s="1" t="s">
        <v>7304</v>
      </c>
      <c r="B4243" s="1" t="str">
        <f>"Portland Decorating and Design "</f>
        <v xml:space="preserve">Portland Decorating and Design </v>
      </c>
      <c r="C4243" s="1" t="s">
        <v>7305</v>
      </c>
      <c r="F4243" s="1" t="s">
        <v>170</v>
      </c>
      <c r="H4243" s="1" t="s">
        <v>7306</v>
      </c>
      <c r="I4243" s="1" t="s">
        <v>19</v>
      </c>
      <c r="J4243" s="1" t="s">
        <v>6</v>
      </c>
      <c r="K4243" s="1" t="s">
        <v>24</v>
      </c>
      <c r="L4243" s="1">
        <v>8287308</v>
      </c>
      <c r="M4243" s="2">
        <v>42837</v>
      </c>
      <c r="N4243" s="1" t="s">
        <v>8</v>
      </c>
      <c r="O4243" s="2">
        <v>43933</v>
      </c>
    </row>
    <row r="4244" spans="1:15" ht="43.2" x14ac:dyDescent="0.3">
      <c r="A4244" s="1" t="s">
        <v>7307</v>
      </c>
      <c r="B4244" s="1" t="str">
        <f>"Total audio visual solutions ltd"</f>
        <v>Total audio visual solutions ltd</v>
      </c>
      <c r="C4244" s="1" t="s">
        <v>7308</v>
      </c>
      <c r="F4244" s="1" t="s">
        <v>7309</v>
      </c>
      <c r="H4244" s="1" t="s">
        <v>7310</v>
      </c>
      <c r="I4244" s="1" t="s">
        <v>19</v>
      </c>
      <c r="J4244" s="1" t="s">
        <v>67</v>
      </c>
      <c r="K4244" s="1" t="s">
        <v>14</v>
      </c>
      <c r="M4244" s="2">
        <v>42837</v>
      </c>
      <c r="N4244" s="1" t="s">
        <v>8</v>
      </c>
      <c r="O4244" s="1" t="s">
        <v>68</v>
      </c>
    </row>
    <row r="4245" spans="1:15" ht="43.2" x14ac:dyDescent="0.3">
      <c r="A4245" s="1" t="s">
        <v>7311</v>
      </c>
      <c r="B4245" s="1" t="str">
        <f>"Hay and District Bowling Club"</f>
        <v>Hay and District Bowling Club</v>
      </c>
      <c r="C4245" s="1" t="s">
        <v>7312</v>
      </c>
      <c r="D4245" s="1" t="s">
        <v>1705</v>
      </c>
      <c r="F4245" s="1" t="s">
        <v>7313</v>
      </c>
      <c r="H4245" s="1" t="s">
        <v>7314</v>
      </c>
      <c r="I4245" s="1" t="s">
        <v>1872</v>
      </c>
      <c r="J4245" s="1" t="s">
        <v>67</v>
      </c>
      <c r="K4245" s="1" t="s">
        <v>14</v>
      </c>
      <c r="M4245" s="2">
        <v>42837</v>
      </c>
      <c r="N4245" s="1" t="s">
        <v>8</v>
      </c>
      <c r="O4245" s="1" t="s">
        <v>68</v>
      </c>
    </row>
    <row r="4246" spans="1:15" ht="28.8" x14ac:dyDescent="0.3">
      <c r="A4246" s="1" t="s">
        <v>7315</v>
      </c>
      <c r="B4246" s="1" t="str">
        <f>"Owen Brothers Construction Ltd."</f>
        <v>Owen Brothers Construction Ltd.</v>
      </c>
      <c r="C4246" s="1" t="s">
        <v>7316</v>
      </c>
      <c r="F4246" s="1" t="s">
        <v>4630</v>
      </c>
      <c r="H4246" s="1" t="s">
        <v>7317</v>
      </c>
      <c r="I4246" s="1" t="s">
        <v>19</v>
      </c>
      <c r="J4246" s="1" t="s">
        <v>6</v>
      </c>
      <c r="K4246" s="1" t="s">
        <v>34</v>
      </c>
      <c r="L4246" s="1">
        <v>6410054</v>
      </c>
      <c r="M4246" s="2">
        <v>42837</v>
      </c>
      <c r="N4246" s="1" t="s">
        <v>8</v>
      </c>
      <c r="O4246" s="2">
        <v>43933</v>
      </c>
    </row>
    <row r="4247" spans="1:15" ht="28.8" x14ac:dyDescent="0.3">
      <c r="A4247" s="1" t="s">
        <v>7318</v>
      </c>
      <c r="B4247" s="1" t="str">
        <f>"Neath Brickwork Construction"</f>
        <v>Neath Brickwork Construction</v>
      </c>
      <c r="C4247" s="1" t="s">
        <v>7319</v>
      </c>
      <c r="F4247" s="1" t="s">
        <v>174</v>
      </c>
      <c r="H4247" s="1" t="s">
        <v>7320</v>
      </c>
      <c r="I4247" s="1" t="s">
        <v>125</v>
      </c>
      <c r="J4247" s="1" t="s">
        <v>6</v>
      </c>
      <c r="K4247" s="1" t="s">
        <v>24</v>
      </c>
      <c r="M4247" s="2">
        <v>42837</v>
      </c>
      <c r="N4247" s="1" t="s">
        <v>8</v>
      </c>
      <c r="O4247" s="2">
        <v>43933</v>
      </c>
    </row>
    <row r="4248" spans="1:15" ht="43.2" x14ac:dyDescent="0.3">
      <c r="A4248" s="1" t="s">
        <v>20705</v>
      </c>
      <c r="B4248" s="1" t="str">
        <f>"Harry Edwards"</f>
        <v>Harry Edwards</v>
      </c>
      <c r="C4248" s="1" t="s">
        <v>20706</v>
      </c>
      <c r="F4248" s="1" t="s">
        <v>20707</v>
      </c>
      <c r="H4248" s="1" t="s">
        <v>20708</v>
      </c>
      <c r="I4248" s="1" t="s">
        <v>5</v>
      </c>
      <c r="J4248" s="1" t="s">
        <v>67</v>
      </c>
      <c r="K4248" s="1" t="s">
        <v>14</v>
      </c>
      <c r="M4248" s="2">
        <v>42837</v>
      </c>
      <c r="N4248" s="1" t="s">
        <v>8</v>
      </c>
      <c r="O4248" s="1" t="s">
        <v>68</v>
      </c>
    </row>
    <row r="4249" spans="1:15" ht="28.8" x14ac:dyDescent="0.3">
      <c r="A4249" s="1" t="s">
        <v>21463</v>
      </c>
      <c r="B4249" s="1" t="str">
        <f>"Charles Sams Charles B. Sams Electrical"</f>
        <v>Charles Sams Charles B. Sams Electrical</v>
      </c>
      <c r="C4249" s="1" t="s">
        <v>21464</v>
      </c>
      <c r="F4249" s="1" t="s">
        <v>42</v>
      </c>
      <c r="H4249" s="1" t="s">
        <v>21465</v>
      </c>
      <c r="I4249" s="1" t="s">
        <v>5</v>
      </c>
      <c r="J4249" s="1" t="s">
        <v>6</v>
      </c>
      <c r="K4249" s="1" t="s">
        <v>24</v>
      </c>
      <c r="M4249" s="2">
        <v>42837</v>
      </c>
      <c r="N4249" s="1" t="s">
        <v>8</v>
      </c>
      <c r="O4249" s="2">
        <v>43933</v>
      </c>
    </row>
    <row r="4250" spans="1:15" ht="28.8" x14ac:dyDescent="0.3">
      <c r="A4250" s="1" t="s">
        <v>21466</v>
      </c>
      <c r="B4250" s="1" t="str">
        <f>"IAN Kendrick I Kendrick Builders"</f>
        <v>IAN Kendrick I Kendrick Builders</v>
      </c>
      <c r="C4250" s="1" t="s">
        <v>21467</v>
      </c>
      <c r="F4250" s="1" t="s">
        <v>364</v>
      </c>
      <c r="H4250" s="1" t="s">
        <v>21468</v>
      </c>
      <c r="I4250" s="1" t="s">
        <v>5</v>
      </c>
      <c r="J4250" s="1" t="s">
        <v>6</v>
      </c>
      <c r="K4250" s="1" t="s">
        <v>24</v>
      </c>
      <c r="M4250" s="2">
        <v>42837</v>
      </c>
      <c r="N4250" s="1" t="s">
        <v>8</v>
      </c>
      <c r="O4250" s="2">
        <v>43933</v>
      </c>
    </row>
    <row r="4251" spans="1:15" ht="28.8" x14ac:dyDescent="0.3">
      <c r="A4251" s="1" t="s">
        <v>21469</v>
      </c>
      <c r="B4251" s="1" t="str">
        <f>"Linton  Harper  L Harper Groundworks "</f>
        <v xml:space="preserve">Linton  Harper  L Harper Groundworks </v>
      </c>
      <c r="C4251" s="1" t="s">
        <v>21470</v>
      </c>
      <c r="F4251" s="1" t="s">
        <v>532</v>
      </c>
      <c r="H4251" s="1" t="s">
        <v>21471</v>
      </c>
      <c r="I4251" s="1" t="s">
        <v>5</v>
      </c>
      <c r="J4251" s="1" t="s">
        <v>6</v>
      </c>
      <c r="K4251" s="1" t="s">
        <v>34</v>
      </c>
      <c r="M4251" s="2">
        <v>42837</v>
      </c>
      <c r="N4251" s="1" t="s">
        <v>8</v>
      </c>
      <c r="O4251" s="2">
        <v>43933</v>
      </c>
    </row>
    <row r="4252" spans="1:15" ht="43.2" x14ac:dyDescent="0.3">
      <c r="A4252" s="1" t="s">
        <v>5022</v>
      </c>
      <c r="B4252" s="1" t="str">
        <f>"General Dynamics Land Sysytems"</f>
        <v>General Dynamics Land Sysytems</v>
      </c>
      <c r="C4252" s="1" t="s">
        <v>5023</v>
      </c>
      <c r="F4252" s="1" t="s">
        <v>739</v>
      </c>
      <c r="H4252" s="1" t="s">
        <v>5024</v>
      </c>
      <c r="I4252" s="1" t="s">
        <v>19</v>
      </c>
      <c r="J4252" s="1" t="s">
        <v>67</v>
      </c>
      <c r="K4252" s="1" t="s">
        <v>14</v>
      </c>
      <c r="M4252" s="2">
        <v>42836</v>
      </c>
      <c r="N4252" s="1" t="s">
        <v>8</v>
      </c>
      <c r="O4252" s="1" t="s">
        <v>68</v>
      </c>
    </row>
    <row r="4253" spans="1:15" ht="43.2" x14ac:dyDescent="0.3">
      <c r="A4253" s="1" t="s">
        <v>5025</v>
      </c>
      <c r="B4253" s="1" t="str">
        <f>"Derek's Tyre Services"</f>
        <v>Derek's Tyre Services</v>
      </c>
      <c r="C4253" s="1" t="s">
        <v>5026</v>
      </c>
      <c r="F4253" s="1" t="s">
        <v>2504</v>
      </c>
      <c r="H4253" s="1" t="s">
        <v>5027</v>
      </c>
      <c r="I4253" s="1" t="s">
        <v>125</v>
      </c>
      <c r="J4253" s="1" t="s">
        <v>67</v>
      </c>
      <c r="K4253" s="1" t="s">
        <v>24</v>
      </c>
      <c r="M4253" s="2">
        <v>42836</v>
      </c>
      <c r="N4253" s="1" t="s">
        <v>8</v>
      </c>
      <c r="O4253" s="1" t="s">
        <v>68</v>
      </c>
    </row>
    <row r="4254" spans="1:15" ht="28.8" x14ac:dyDescent="0.3">
      <c r="A4254" s="1" t="s">
        <v>5028</v>
      </c>
      <c r="B4254" s="1" t="str">
        <f>"A &amp; D Environmental Services Ltd."</f>
        <v>A &amp; D Environmental Services Ltd.</v>
      </c>
      <c r="C4254" s="1" t="s">
        <v>5029</v>
      </c>
      <c r="D4254" s="1" t="s">
        <v>5030</v>
      </c>
      <c r="F4254" s="1" t="s">
        <v>4507</v>
      </c>
      <c r="H4254" s="1" t="s">
        <v>5031</v>
      </c>
      <c r="I4254" s="1" t="s">
        <v>19</v>
      </c>
      <c r="J4254" s="1" t="s">
        <v>6</v>
      </c>
      <c r="K4254" s="1" t="s">
        <v>34</v>
      </c>
      <c r="L4254" s="1">
        <v>6497835</v>
      </c>
      <c r="M4254" s="2">
        <v>42836</v>
      </c>
      <c r="N4254" s="1" t="s">
        <v>8</v>
      </c>
      <c r="O4254" s="2">
        <v>43932</v>
      </c>
    </row>
    <row r="4255" spans="1:15" ht="57.6" x14ac:dyDescent="0.3">
      <c r="A4255" s="1" t="s">
        <v>5032</v>
      </c>
      <c r="B4255" s="1" t="str">
        <f>"T D TYRE RECYCLING LTD"</f>
        <v>T D TYRE RECYCLING LTD</v>
      </c>
      <c r="C4255" s="1" t="s">
        <v>5033</v>
      </c>
      <c r="D4255" s="1" t="s">
        <v>95</v>
      </c>
      <c r="F4255" s="1" t="s">
        <v>96</v>
      </c>
      <c r="H4255" s="1" t="s">
        <v>1270</v>
      </c>
      <c r="I4255" s="1" t="s">
        <v>19</v>
      </c>
      <c r="J4255" s="1" t="s">
        <v>6</v>
      </c>
      <c r="K4255" s="1" t="s">
        <v>34</v>
      </c>
      <c r="L4255" s="1">
        <v>7311680</v>
      </c>
      <c r="M4255" s="2">
        <v>42836</v>
      </c>
      <c r="N4255" s="1" t="s">
        <v>8</v>
      </c>
      <c r="O4255" s="2">
        <v>43932</v>
      </c>
    </row>
    <row r="4256" spans="1:15" ht="28.8" x14ac:dyDescent="0.3">
      <c r="A4256" s="1" t="s">
        <v>5034</v>
      </c>
      <c r="B4256" s="1" t="str">
        <f>"Bespoke Driveways Limited"</f>
        <v>Bespoke Driveways Limited</v>
      </c>
      <c r="C4256" s="1" t="s">
        <v>5035</v>
      </c>
      <c r="D4256" s="1" t="s">
        <v>5036</v>
      </c>
      <c r="F4256" s="1" t="s">
        <v>156</v>
      </c>
      <c r="H4256" s="1" t="s">
        <v>1298</v>
      </c>
      <c r="I4256" s="1" t="s">
        <v>19</v>
      </c>
      <c r="J4256" s="1" t="s">
        <v>6</v>
      </c>
      <c r="K4256" s="1" t="s">
        <v>24</v>
      </c>
      <c r="L4256" s="1">
        <v>10476659</v>
      </c>
      <c r="M4256" s="2">
        <v>42836</v>
      </c>
      <c r="N4256" s="1" t="s">
        <v>8</v>
      </c>
      <c r="O4256" s="2">
        <v>43932</v>
      </c>
    </row>
    <row r="4257" spans="1:15" ht="28.8" x14ac:dyDescent="0.3">
      <c r="A4257" s="1" t="s">
        <v>5037</v>
      </c>
      <c r="B4257" s="1" t="str">
        <f>"Bryn Recycling Limited"</f>
        <v>Bryn Recycling Limited</v>
      </c>
      <c r="C4257" s="1" t="s">
        <v>5038</v>
      </c>
      <c r="F4257" s="1" t="s">
        <v>364</v>
      </c>
      <c r="H4257" s="1" t="s">
        <v>5039</v>
      </c>
      <c r="I4257" s="1" t="s">
        <v>19</v>
      </c>
      <c r="J4257" s="1" t="s">
        <v>6</v>
      </c>
      <c r="K4257" s="1" t="s">
        <v>24</v>
      </c>
      <c r="L4257" s="1">
        <v>8802335</v>
      </c>
      <c r="M4257" s="2">
        <v>42836</v>
      </c>
      <c r="N4257" s="1" t="s">
        <v>8</v>
      </c>
      <c r="O4257" s="2">
        <v>43932</v>
      </c>
    </row>
    <row r="4258" spans="1:15" ht="43.2" x14ac:dyDescent="0.3">
      <c r="A4258" s="1" t="s">
        <v>5040</v>
      </c>
      <c r="B4258" s="1" t="str">
        <f>"fuminex ltd"</f>
        <v>fuminex ltd</v>
      </c>
      <c r="C4258" s="1" t="s">
        <v>5041</v>
      </c>
      <c r="F4258" s="1" t="s">
        <v>5042</v>
      </c>
      <c r="H4258" s="1" t="s">
        <v>5043</v>
      </c>
      <c r="I4258" s="1" t="s">
        <v>19</v>
      </c>
      <c r="J4258" s="1" t="s">
        <v>67</v>
      </c>
      <c r="K4258" s="1" t="s">
        <v>14</v>
      </c>
      <c r="M4258" s="2">
        <v>42836</v>
      </c>
      <c r="N4258" s="1" t="s">
        <v>8</v>
      </c>
      <c r="O4258" s="1" t="s">
        <v>68</v>
      </c>
    </row>
    <row r="4259" spans="1:15" ht="43.2" x14ac:dyDescent="0.3">
      <c r="A4259" s="1" t="s">
        <v>5044</v>
      </c>
      <c r="B4259" s="1" t="str">
        <f>"Meddygfa Hafan iechyd"</f>
        <v>Meddygfa Hafan iechyd</v>
      </c>
      <c r="C4259" s="1" t="s">
        <v>5045</v>
      </c>
      <c r="D4259" s="1" t="s">
        <v>5046</v>
      </c>
      <c r="F4259" s="1" t="s">
        <v>710</v>
      </c>
      <c r="H4259" s="1" t="s">
        <v>5047</v>
      </c>
      <c r="I4259" s="1" t="s">
        <v>188</v>
      </c>
      <c r="J4259" s="1" t="s">
        <v>67</v>
      </c>
      <c r="K4259" s="1" t="s">
        <v>14</v>
      </c>
      <c r="M4259" s="2">
        <v>42836</v>
      </c>
      <c r="N4259" s="1" t="s">
        <v>8</v>
      </c>
      <c r="O4259" s="1" t="s">
        <v>68</v>
      </c>
    </row>
    <row r="4260" spans="1:15" ht="28.8" x14ac:dyDescent="0.3">
      <c r="A4260" s="1" t="s">
        <v>5048</v>
      </c>
      <c r="B4260" s="1" t="str">
        <f>"Harley &amp; Clarke Construction Ltd."</f>
        <v>Harley &amp; Clarke Construction Ltd.</v>
      </c>
      <c r="C4260" s="1" t="s">
        <v>5049</v>
      </c>
      <c r="D4260" s="1" t="s">
        <v>746</v>
      </c>
      <c r="F4260" s="1" t="s">
        <v>324</v>
      </c>
      <c r="H4260" s="1" t="s">
        <v>1791</v>
      </c>
      <c r="I4260" s="1" t="s">
        <v>19</v>
      </c>
      <c r="J4260" s="1" t="s">
        <v>6</v>
      </c>
      <c r="K4260" s="1" t="s">
        <v>24</v>
      </c>
      <c r="L4260" s="1">
        <v>6136470</v>
      </c>
      <c r="M4260" s="2">
        <v>42836</v>
      </c>
      <c r="N4260" s="1" t="s">
        <v>8</v>
      </c>
      <c r="O4260" s="2">
        <v>43932</v>
      </c>
    </row>
    <row r="4261" spans="1:15" ht="43.2" x14ac:dyDescent="0.3">
      <c r="A4261" s="1" t="s">
        <v>5050</v>
      </c>
      <c r="B4261" s="1" t="str">
        <f>"Peter Jacks Butchers LTD"</f>
        <v>Peter Jacks Butchers LTD</v>
      </c>
      <c r="C4261" s="1" t="s">
        <v>5051</v>
      </c>
      <c r="F4261" s="1" t="s">
        <v>445</v>
      </c>
      <c r="H4261" s="1" t="s">
        <v>5052</v>
      </c>
      <c r="I4261" s="1" t="s">
        <v>19</v>
      </c>
      <c r="J4261" s="1" t="s">
        <v>67</v>
      </c>
      <c r="K4261" s="1" t="s">
        <v>14</v>
      </c>
      <c r="M4261" s="2">
        <v>42836</v>
      </c>
      <c r="N4261" s="1" t="s">
        <v>8</v>
      </c>
      <c r="O4261" s="1" t="s">
        <v>68</v>
      </c>
    </row>
    <row r="4262" spans="1:15" x14ac:dyDescent="0.3">
      <c r="A4262" s="1" t="s">
        <v>5053</v>
      </c>
      <c r="B4262" s="1" t="str">
        <f>"Aquadrain Ltd"</f>
        <v>Aquadrain Ltd</v>
      </c>
      <c r="C4262" s="1" t="s">
        <v>5054</v>
      </c>
      <c r="F4262" s="1" t="s">
        <v>4630</v>
      </c>
      <c r="H4262" s="1" t="s">
        <v>5055</v>
      </c>
      <c r="I4262" s="1" t="s">
        <v>19</v>
      </c>
      <c r="J4262" s="1" t="s">
        <v>6</v>
      </c>
      <c r="K4262" s="1" t="s">
        <v>24</v>
      </c>
      <c r="L4262" s="1">
        <v>6056187</v>
      </c>
      <c r="M4262" s="2">
        <v>42836</v>
      </c>
      <c r="N4262" s="1" t="s">
        <v>8</v>
      </c>
      <c r="O4262" s="2">
        <v>43932</v>
      </c>
    </row>
    <row r="4263" spans="1:15" ht="43.2" x14ac:dyDescent="0.3">
      <c r="A4263" s="1" t="s">
        <v>6239</v>
      </c>
      <c r="B4263" s="1" t="str">
        <f>"COWBRIDGE COMPOST LTD"</f>
        <v>COWBRIDGE COMPOST LTD</v>
      </c>
      <c r="C4263" s="1" t="s">
        <v>6240</v>
      </c>
      <c r="F4263" s="1" t="s">
        <v>782</v>
      </c>
      <c r="H4263" s="1" t="s">
        <v>5392</v>
      </c>
      <c r="I4263" s="1" t="s">
        <v>19</v>
      </c>
      <c r="J4263" s="1" t="s">
        <v>67</v>
      </c>
      <c r="K4263" s="1" t="s">
        <v>14</v>
      </c>
      <c r="M4263" s="2">
        <v>42836</v>
      </c>
      <c r="N4263" s="1" t="s">
        <v>8</v>
      </c>
      <c r="O4263" s="1" t="s">
        <v>68</v>
      </c>
    </row>
    <row r="4264" spans="1:15" x14ac:dyDescent="0.3">
      <c r="A4264" s="1" t="s">
        <v>6241</v>
      </c>
      <c r="B4264" s="1" t="str">
        <f>"Williams Haulage Ltd."</f>
        <v>Williams Haulage Ltd.</v>
      </c>
      <c r="C4264" s="1" t="s">
        <v>6242</v>
      </c>
      <c r="F4264" s="1" t="s">
        <v>2281</v>
      </c>
      <c r="H4264" s="1" t="s">
        <v>6243</v>
      </c>
      <c r="I4264" s="1" t="s">
        <v>19</v>
      </c>
      <c r="J4264" s="1" t="s">
        <v>6</v>
      </c>
      <c r="K4264" s="1" t="s">
        <v>24</v>
      </c>
      <c r="L4264" s="1">
        <v>3753246</v>
      </c>
      <c r="M4264" s="2">
        <v>42836</v>
      </c>
      <c r="N4264" s="1" t="s">
        <v>8</v>
      </c>
      <c r="O4264" s="2">
        <v>43932</v>
      </c>
    </row>
    <row r="4265" spans="1:15" ht="43.2" x14ac:dyDescent="0.3">
      <c r="A4265" s="1" t="s">
        <v>6244</v>
      </c>
      <c r="B4265" s="1" t="str">
        <f>"viclloyd utilities ltd"</f>
        <v>viclloyd utilities ltd</v>
      </c>
      <c r="C4265" s="1" t="s">
        <v>6245</v>
      </c>
      <c r="F4265" s="1" t="s">
        <v>825</v>
      </c>
      <c r="H4265" s="1" t="s">
        <v>6246</v>
      </c>
      <c r="I4265" s="1" t="s">
        <v>19</v>
      </c>
      <c r="J4265" s="1" t="s">
        <v>67</v>
      </c>
      <c r="K4265" s="1" t="s">
        <v>14</v>
      </c>
      <c r="M4265" s="2">
        <v>42836</v>
      </c>
      <c r="N4265" s="1" t="s">
        <v>8</v>
      </c>
      <c r="O4265" s="1" t="s">
        <v>68</v>
      </c>
    </row>
    <row r="4266" spans="1:15" x14ac:dyDescent="0.3">
      <c r="A4266" s="1" t="s">
        <v>19912</v>
      </c>
      <c r="B4266" s="1" t="str">
        <f>"Paul Morgan Paul's"</f>
        <v>Paul Morgan Paul's</v>
      </c>
      <c r="C4266" s="1" t="s">
        <v>19913</v>
      </c>
      <c r="F4266" s="1" t="s">
        <v>174</v>
      </c>
      <c r="H4266" s="1" t="s">
        <v>19914</v>
      </c>
      <c r="I4266" s="1" t="s">
        <v>5</v>
      </c>
      <c r="J4266" s="1" t="s">
        <v>6</v>
      </c>
      <c r="K4266" s="1" t="s">
        <v>24</v>
      </c>
      <c r="M4266" s="2">
        <v>42836</v>
      </c>
      <c r="N4266" s="1" t="s">
        <v>8</v>
      </c>
      <c r="O4266" s="2">
        <v>43932</v>
      </c>
    </row>
    <row r="4267" spans="1:15" ht="28.8" x14ac:dyDescent="0.3">
      <c r="A4267" s="1" t="s">
        <v>19915</v>
      </c>
      <c r="B4267" s="1" t="str">
        <f>"Vivian Griffiths"</f>
        <v>Vivian Griffiths</v>
      </c>
      <c r="C4267" s="1" t="s">
        <v>19916</v>
      </c>
      <c r="F4267" s="1" t="s">
        <v>2817</v>
      </c>
      <c r="H4267" s="1" t="s">
        <v>19917</v>
      </c>
      <c r="I4267" s="1" t="s">
        <v>5</v>
      </c>
      <c r="J4267" s="1" t="s">
        <v>6</v>
      </c>
      <c r="K4267" s="1" t="s">
        <v>34</v>
      </c>
      <c r="M4267" s="2">
        <v>42836</v>
      </c>
      <c r="N4267" s="1" t="s">
        <v>8</v>
      </c>
      <c r="O4267" s="2">
        <v>43932</v>
      </c>
    </row>
    <row r="4268" spans="1:15" ht="28.8" x14ac:dyDescent="0.3">
      <c r="A4268" s="1" t="s">
        <v>20696</v>
      </c>
      <c r="B4268" s="1" t="str">
        <f>"Edward Francis K &amp; C Gardening Services"</f>
        <v>Edward Francis K &amp; C Gardening Services</v>
      </c>
      <c r="C4268" s="1" t="s">
        <v>20697</v>
      </c>
      <c r="F4268" s="1" t="s">
        <v>65</v>
      </c>
      <c r="H4268" s="1" t="s">
        <v>20698</v>
      </c>
      <c r="I4268" s="1" t="s">
        <v>5</v>
      </c>
      <c r="J4268" s="1" t="s">
        <v>6</v>
      </c>
      <c r="K4268" s="1" t="s">
        <v>24</v>
      </c>
      <c r="M4268" s="2">
        <v>42836</v>
      </c>
      <c r="N4268" s="1" t="s">
        <v>8</v>
      </c>
      <c r="O4268" s="2">
        <v>43932</v>
      </c>
    </row>
    <row r="4269" spans="1:15" ht="57.6" x14ac:dyDescent="0.3">
      <c r="A4269" s="1" t="s">
        <v>20699</v>
      </c>
      <c r="B4269" s="1" t="str">
        <f>"NEALE WATHERSTON Gwendraeth Valley Windows &amp; Home Improvements"</f>
        <v>NEALE WATHERSTON Gwendraeth Valley Windows &amp; Home Improvements</v>
      </c>
      <c r="C4269" s="1" t="s">
        <v>20700</v>
      </c>
      <c r="F4269" s="1" t="s">
        <v>42</v>
      </c>
      <c r="H4269" s="1" t="s">
        <v>20701</v>
      </c>
      <c r="I4269" s="1" t="s">
        <v>5</v>
      </c>
      <c r="J4269" s="1" t="s">
        <v>6</v>
      </c>
      <c r="K4269" s="1" t="s">
        <v>24</v>
      </c>
      <c r="M4269" s="2">
        <v>42836</v>
      </c>
      <c r="N4269" s="1" t="s">
        <v>8</v>
      </c>
      <c r="O4269" s="2">
        <v>43932</v>
      </c>
    </row>
    <row r="4270" spans="1:15" ht="28.8" x14ac:dyDescent="0.3">
      <c r="A4270" s="1" t="s">
        <v>20702</v>
      </c>
      <c r="B4270" s="1" t="str">
        <f>"Jason Janes Jay' C Landscapes"</f>
        <v>Jason Janes Jay' C Landscapes</v>
      </c>
      <c r="C4270" s="1" t="s">
        <v>20703</v>
      </c>
      <c r="F4270" s="1" t="s">
        <v>65</v>
      </c>
      <c r="H4270" s="1" t="s">
        <v>20704</v>
      </c>
      <c r="I4270" s="1" t="s">
        <v>5</v>
      </c>
      <c r="J4270" s="1" t="s">
        <v>6</v>
      </c>
      <c r="K4270" s="1" t="s">
        <v>24</v>
      </c>
      <c r="M4270" s="2">
        <v>42836</v>
      </c>
      <c r="N4270" s="1" t="s">
        <v>8</v>
      </c>
      <c r="O4270" s="2">
        <v>43932</v>
      </c>
    </row>
    <row r="4271" spans="1:15" ht="43.2" x14ac:dyDescent="0.3">
      <c r="A4271" s="1" t="s">
        <v>3851</v>
      </c>
      <c r="B4271" s="1" t="str">
        <f>"GEE COMMUNICATIONS LTD"</f>
        <v>GEE COMMUNICATIONS LTD</v>
      </c>
      <c r="C4271" s="1" t="s">
        <v>3852</v>
      </c>
      <c r="D4271" s="1" t="s">
        <v>3853</v>
      </c>
      <c r="F4271" s="1" t="s">
        <v>27</v>
      </c>
      <c r="H4271" s="1" t="s">
        <v>3854</v>
      </c>
      <c r="I4271" s="1" t="s">
        <v>19</v>
      </c>
      <c r="J4271" s="1" t="s">
        <v>6</v>
      </c>
      <c r="K4271" s="1" t="s">
        <v>24</v>
      </c>
      <c r="L4271" s="1">
        <v>7007743</v>
      </c>
      <c r="M4271" s="2">
        <v>42835</v>
      </c>
      <c r="N4271" s="1" t="s">
        <v>8</v>
      </c>
      <c r="O4271" s="2">
        <v>43931</v>
      </c>
    </row>
    <row r="4272" spans="1:15" ht="28.8" x14ac:dyDescent="0.3">
      <c r="A4272" s="1" t="s">
        <v>3855</v>
      </c>
      <c r="B4272" s="1" t="str">
        <f>"JUD BUILDING &amp; MAINTENANCE LTD"</f>
        <v>JUD BUILDING &amp; MAINTENANCE LTD</v>
      </c>
      <c r="C4272" s="1" t="s">
        <v>3856</v>
      </c>
      <c r="F4272" s="1" t="s">
        <v>174</v>
      </c>
      <c r="H4272" s="1" t="s">
        <v>3857</v>
      </c>
      <c r="I4272" s="1" t="s">
        <v>19</v>
      </c>
      <c r="J4272" s="1" t="s">
        <v>6</v>
      </c>
      <c r="K4272" s="1" t="s">
        <v>24</v>
      </c>
      <c r="L4272" s="1">
        <v>8536839</v>
      </c>
      <c r="M4272" s="2">
        <v>42835</v>
      </c>
      <c r="N4272" s="1" t="s">
        <v>8</v>
      </c>
      <c r="O4272" s="2">
        <v>43931</v>
      </c>
    </row>
    <row r="4273" spans="1:15" ht="28.8" x14ac:dyDescent="0.3">
      <c r="A4273" s="1" t="s">
        <v>3858</v>
      </c>
      <c r="B4273" s="1" t="str">
        <f>"HT Installations Ltd"</f>
        <v>HT Installations Ltd</v>
      </c>
      <c r="C4273" s="1" t="s">
        <v>3859</v>
      </c>
      <c r="D4273" s="1" t="s">
        <v>3860</v>
      </c>
      <c r="F4273" s="1" t="s">
        <v>56</v>
      </c>
      <c r="H4273" s="1" t="s">
        <v>3861</v>
      </c>
      <c r="I4273" s="1" t="s">
        <v>19</v>
      </c>
      <c r="J4273" s="1" t="s">
        <v>6</v>
      </c>
      <c r="K4273" s="1" t="s">
        <v>34</v>
      </c>
      <c r="L4273" s="1">
        <v>4803720</v>
      </c>
      <c r="M4273" s="2">
        <v>42835</v>
      </c>
      <c r="N4273" s="1" t="s">
        <v>8</v>
      </c>
      <c r="O4273" s="2">
        <v>43931</v>
      </c>
    </row>
    <row r="4274" spans="1:15" ht="28.8" x14ac:dyDescent="0.3">
      <c r="A4274" s="1" t="s">
        <v>3862</v>
      </c>
      <c r="B4274" s="1" t="str">
        <f>"Biomed Care Services"</f>
        <v>Biomed Care Services</v>
      </c>
      <c r="C4274" s="1" t="s">
        <v>3863</v>
      </c>
      <c r="F4274" s="1" t="s">
        <v>3864</v>
      </c>
      <c r="H4274" s="1" t="s">
        <v>3865</v>
      </c>
      <c r="I4274" s="1" t="s">
        <v>19</v>
      </c>
      <c r="J4274" s="1" t="s">
        <v>6</v>
      </c>
      <c r="K4274" s="1" t="s">
        <v>1859</v>
      </c>
      <c r="L4274" s="1">
        <v>9890559</v>
      </c>
      <c r="M4274" s="2">
        <v>42835</v>
      </c>
      <c r="N4274" s="1" t="s">
        <v>8</v>
      </c>
      <c r="O4274" s="2">
        <v>43931</v>
      </c>
    </row>
    <row r="4275" spans="1:15" ht="28.8" x14ac:dyDescent="0.3">
      <c r="A4275" s="1" t="s">
        <v>3866</v>
      </c>
      <c r="B4275" s="1" t="str">
        <f>"Taplight Ltd."</f>
        <v>Taplight Ltd.</v>
      </c>
      <c r="C4275" s="1" t="s">
        <v>3867</v>
      </c>
      <c r="D4275" s="1" t="s">
        <v>3868</v>
      </c>
      <c r="F4275" s="1" t="s">
        <v>65</v>
      </c>
      <c r="H4275" s="1" t="s">
        <v>3869</v>
      </c>
      <c r="I4275" s="1" t="s">
        <v>19</v>
      </c>
      <c r="J4275" s="1" t="s">
        <v>6</v>
      </c>
      <c r="K4275" s="1" t="s">
        <v>24</v>
      </c>
      <c r="L4275" s="1">
        <v>3031360</v>
      </c>
      <c r="M4275" s="2">
        <v>42835</v>
      </c>
      <c r="N4275" s="1" t="s">
        <v>8</v>
      </c>
      <c r="O4275" s="2">
        <v>43931</v>
      </c>
    </row>
    <row r="4276" spans="1:15" ht="43.2" x14ac:dyDescent="0.3">
      <c r="A4276" s="1" t="s">
        <v>3870</v>
      </c>
      <c r="B4276" s="1" t="str">
        <f>"General Dynamics Land Systems"</f>
        <v>General Dynamics Land Systems</v>
      </c>
      <c r="C4276" s="1" t="s">
        <v>3871</v>
      </c>
      <c r="D4276" s="1" t="s">
        <v>3872</v>
      </c>
      <c r="E4276" s="1" t="s">
        <v>3873</v>
      </c>
      <c r="F4276" s="1" t="s">
        <v>621</v>
      </c>
      <c r="H4276" s="1" t="s">
        <v>3874</v>
      </c>
      <c r="I4276" s="1" t="s">
        <v>19</v>
      </c>
      <c r="J4276" s="1" t="s">
        <v>67</v>
      </c>
      <c r="K4276" s="1" t="s">
        <v>14</v>
      </c>
      <c r="M4276" s="2">
        <v>42835</v>
      </c>
      <c r="N4276" s="1" t="s">
        <v>8</v>
      </c>
      <c r="O4276" s="1" t="s">
        <v>68</v>
      </c>
    </row>
    <row r="4277" spans="1:15" ht="28.8" x14ac:dyDescent="0.3">
      <c r="A4277" s="1" t="s">
        <v>3875</v>
      </c>
      <c r="B4277" s="1" t="str">
        <f>"R G FENCING LTD"</f>
        <v>R G FENCING LTD</v>
      </c>
      <c r="C4277" s="1" t="s">
        <v>3876</v>
      </c>
      <c r="D4277" s="1" t="s">
        <v>3877</v>
      </c>
      <c r="F4277" s="1" t="s">
        <v>96</v>
      </c>
      <c r="H4277" s="1" t="s">
        <v>3878</v>
      </c>
      <c r="I4277" s="1" t="s">
        <v>19</v>
      </c>
      <c r="J4277" s="1" t="s">
        <v>6</v>
      </c>
      <c r="K4277" s="1" t="s">
        <v>24</v>
      </c>
      <c r="L4277" s="1">
        <v>4180024</v>
      </c>
      <c r="M4277" s="2">
        <v>42835</v>
      </c>
      <c r="N4277" s="1" t="s">
        <v>8</v>
      </c>
      <c r="O4277" s="2">
        <v>43931</v>
      </c>
    </row>
    <row r="4278" spans="1:15" ht="43.2" x14ac:dyDescent="0.3">
      <c r="A4278" s="1" t="s">
        <v>3879</v>
      </c>
      <c r="B4278" s="1" t="str">
        <f>"C PATRICK EVANS ENTERTAINMENT LTD"</f>
        <v>C PATRICK EVANS ENTERTAINMENT LTD</v>
      </c>
      <c r="C4278" s="1" t="s">
        <v>3880</v>
      </c>
      <c r="F4278" s="1" t="s">
        <v>1556</v>
      </c>
      <c r="H4278" s="1" t="s">
        <v>3881</v>
      </c>
      <c r="I4278" s="1" t="s">
        <v>19</v>
      </c>
      <c r="J4278" s="1" t="s">
        <v>67</v>
      </c>
      <c r="K4278" s="1" t="s">
        <v>24</v>
      </c>
      <c r="M4278" s="2">
        <v>42835</v>
      </c>
      <c r="N4278" s="1" t="s">
        <v>8</v>
      </c>
      <c r="O4278" s="1" t="s">
        <v>68</v>
      </c>
    </row>
    <row r="4279" spans="1:15" ht="43.2" x14ac:dyDescent="0.3">
      <c r="A4279" s="1" t="s">
        <v>3882</v>
      </c>
      <c r="B4279" s="1" t="str">
        <f>"Tywyn Construction Co."</f>
        <v>Tywyn Construction Co.</v>
      </c>
      <c r="C4279" s="1" t="s">
        <v>3883</v>
      </c>
      <c r="F4279" s="1" t="s">
        <v>3884</v>
      </c>
      <c r="H4279" s="1" t="s">
        <v>3885</v>
      </c>
      <c r="I4279" s="1" t="s">
        <v>125</v>
      </c>
      <c r="J4279" s="1" t="s">
        <v>67</v>
      </c>
      <c r="K4279" s="1" t="s">
        <v>34</v>
      </c>
      <c r="M4279" s="2">
        <v>42835</v>
      </c>
      <c r="N4279" s="1" t="s">
        <v>8</v>
      </c>
      <c r="O4279" s="1" t="s">
        <v>68</v>
      </c>
    </row>
    <row r="4280" spans="1:15" ht="28.8" x14ac:dyDescent="0.3">
      <c r="A4280" s="1" t="s">
        <v>3886</v>
      </c>
      <c r="B4280" s="1" t="str">
        <f>"Pathfinders Countryside Ltd."</f>
        <v>Pathfinders Countryside Ltd.</v>
      </c>
      <c r="C4280" s="1" t="s">
        <v>3887</v>
      </c>
      <c r="F4280" s="1" t="s">
        <v>3888</v>
      </c>
      <c r="H4280" s="1" t="s">
        <v>3889</v>
      </c>
      <c r="I4280" s="1" t="s">
        <v>19</v>
      </c>
      <c r="J4280" s="1" t="s">
        <v>6</v>
      </c>
      <c r="K4280" s="1" t="s">
        <v>24</v>
      </c>
      <c r="L4280" s="1">
        <v>4386829</v>
      </c>
      <c r="M4280" s="2">
        <v>42835</v>
      </c>
      <c r="N4280" s="1" t="s">
        <v>8</v>
      </c>
      <c r="O4280" s="2">
        <v>43931</v>
      </c>
    </row>
    <row r="4281" spans="1:15" ht="43.2" x14ac:dyDescent="0.3">
      <c r="A4281" s="1" t="s">
        <v>3890</v>
      </c>
      <c r="B4281" s="1" t="str">
        <f>"Bearmach Ltd"</f>
        <v>Bearmach Ltd</v>
      </c>
      <c r="C4281" s="1" t="s">
        <v>3891</v>
      </c>
      <c r="D4281" s="1" t="s">
        <v>3892</v>
      </c>
      <c r="E4281" s="1" t="s">
        <v>1839</v>
      </c>
      <c r="F4281" s="1" t="s">
        <v>103</v>
      </c>
      <c r="H4281" s="1" t="s">
        <v>3893</v>
      </c>
      <c r="I4281" s="1" t="s">
        <v>19</v>
      </c>
      <c r="J4281" s="1" t="s">
        <v>67</v>
      </c>
      <c r="K4281" s="1" t="s">
        <v>14</v>
      </c>
      <c r="M4281" s="2">
        <v>42835</v>
      </c>
      <c r="N4281" s="1" t="s">
        <v>8</v>
      </c>
      <c r="O4281" s="1" t="s">
        <v>68</v>
      </c>
    </row>
    <row r="4282" spans="1:15" ht="28.8" x14ac:dyDescent="0.3">
      <c r="A4282" s="1" t="s">
        <v>3894</v>
      </c>
      <c r="B4282" s="1" t="str">
        <f>"CHBW Rail Ltd"</f>
        <v>CHBW Rail Ltd</v>
      </c>
      <c r="C4282" s="1" t="s">
        <v>3895</v>
      </c>
      <c r="F4282" s="1" t="s">
        <v>3896</v>
      </c>
      <c r="H4282" s="1" t="s">
        <v>3897</v>
      </c>
      <c r="I4282" s="1" t="s">
        <v>19</v>
      </c>
      <c r="J4282" s="1" t="s">
        <v>6</v>
      </c>
      <c r="K4282" s="1" t="s">
        <v>34</v>
      </c>
      <c r="L4282" s="1">
        <v>7760442</v>
      </c>
      <c r="M4282" s="2">
        <v>42835</v>
      </c>
      <c r="N4282" s="1" t="s">
        <v>8</v>
      </c>
      <c r="O4282" s="2">
        <v>43931</v>
      </c>
    </row>
    <row r="4283" spans="1:15" ht="28.8" x14ac:dyDescent="0.3">
      <c r="A4283" s="1" t="s">
        <v>5019</v>
      </c>
      <c r="B4283" s="1" t="str">
        <f>"Carl's House Clearance  Scrap Metal"</f>
        <v>Carl's House Clearance  Scrap Metal</v>
      </c>
      <c r="C4283" s="1" t="s">
        <v>5020</v>
      </c>
      <c r="F4283" s="1" t="s">
        <v>65</v>
      </c>
      <c r="H4283" s="1" t="s">
        <v>5021</v>
      </c>
      <c r="I4283" s="1" t="s">
        <v>125</v>
      </c>
      <c r="J4283" s="1" t="s">
        <v>6</v>
      </c>
      <c r="K4283" s="1" t="s">
        <v>24</v>
      </c>
      <c r="M4283" s="2">
        <v>42835</v>
      </c>
      <c r="N4283" s="1" t="s">
        <v>8</v>
      </c>
      <c r="O4283" s="2">
        <v>43931</v>
      </c>
    </row>
    <row r="4284" spans="1:15" ht="43.2" x14ac:dyDescent="0.3">
      <c r="A4284" s="1" t="s">
        <v>17628</v>
      </c>
      <c r="B4284" s="1" t="str">
        <f>"Ammanford Town Council"</f>
        <v>Ammanford Town Council</v>
      </c>
      <c r="C4284" s="1" t="s">
        <v>17629</v>
      </c>
      <c r="F4284" s="1" t="s">
        <v>665</v>
      </c>
      <c r="H4284" s="1" t="s">
        <v>17630</v>
      </c>
      <c r="I4284" s="1" t="s">
        <v>188</v>
      </c>
      <c r="J4284" s="1" t="s">
        <v>67</v>
      </c>
      <c r="K4284" s="1" t="s">
        <v>14</v>
      </c>
      <c r="M4284" s="2">
        <v>42835</v>
      </c>
      <c r="N4284" s="1" t="s">
        <v>8</v>
      </c>
      <c r="O4284" s="1" t="s">
        <v>68</v>
      </c>
    </row>
    <row r="4285" spans="1:15" ht="43.2" x14ac:dyDescent="0.3">
      <c r="A4285" s="1" t="s">
        <v>17631</v>
      </c>
      <c r="B4285" s="1" t="str">
        <f>"Ammanford Town Council"</f>
        <v>Ammanford Town Council</v>
      </c>
      <c r="C4285" s="1" t="s">
        <v>17632</v>
      </c>
      <c r="D4285" s="1" t="s">
        <v>17633</v>
      </c>
      <c r="F4285" s="1" t="s">
        <v>665</v>
      </c>
      <c r="H4285" s="1" t="s">
        <v>17634</v>
      </c>
      <c r="I4285" s="1" t="s">
        <v>188</v>
      </c>
      <c r="J4285" s="1" t="s">
        <v>67</v>
      </c>
      <c r="K4285" s="1" t="s">
        <v>14</v>
      </c>
      <c r="M4285" s="2">
        <v>42835</v>
      </c>
      <c r="N4285" s="1" t="s">
        <v>8</v>
      </c>
      <c r="O4285" s="1" t="s">
        <v>68</v>
      </c>
    </row>
    <row r="4286" spans="1:15" ht="28.8" x14ac:dyDescent="0.3">
      <c r="A4286" s="1" t="s">
        <v>19071</v>
      </c>
      <c r="B4286" s="1" t="str">
        <f>"Matthew Nash Mr Matthew Nash"</f>
        <v>Matthew Nash Mr Matthew Nash</v>
      </c>
      <c r="C4286" s="1" t="s">
        <v>19072</v>
      </c>
      <c r="F4286" s="1" t="s">
        <v>91</v>
      </c>
      <c r="H4286" s="1" t="s">
        <v>19073</v>
      </c>
      <c r="I4286" s="1" t="s">
        <v>5</v>
      </c>
      <c r="J4286" s="1" t="s">
        <v>6</v>
      </c>
      <c r="K4286" s="1" t="s">
        <v>24</v>
      </c>
      <c r="M4286" s="2">
        <v>42835</v>
      </c>
      <c r="N4286" s="1" t="s">
        <v>8</v>
      </c>
      <c r="O4286" s="2">
        <v>43931</v>
      </c>
    </row>
    <row r="4287" spans="1:15" ht="43.2" x14ac:dyDescent="0.3">
      <c r="A4287" s="1" t="s">
        <v>19074</v>
      </c>
      <c r="B4287" s="1" t="str">
        <f>"Lewis  Morgan  LM Garden Maintenance and clearance"</f>
        <v>Lewis  Morgan  LM Garden Maintenance and clearance</v>
      </c>
      <c r="C4287" s="1" t="s">
        <v>19075</v>
      </c>
      <c r="F4287" s="1" t="s">
        <v>65</v>
      </c>
      <c r="H4287" s="1" t="s">
        <v>19076</v>
      </c>
      <c r="I4287" s="1" t="s">
        <v>5</v>
      </c>
      <c r="J4287" s="1" t="s">
        <v>6</v>
      </c>
      <c r="K4287" s="1" t="s">
        <v>24</v>
      </c>
      <c r="M4287" s="2">
        <v>42835</v>
      </c>
      <c r="N4287" s="1" t="s">
        <v>8</v>
      </c>
      <c r="O4287" s="2">
        <v>43931</v>
      </c>
    </row>
    <row r="4288" spans="1:15" ht="28.8" x14ac:dyDescent="0.3">
      <c r="A4288" s="1" t="s">
        <v>19077</v>
      </c>
      <c r="B4288" s="1" t="str">
        <f>"LESLIE GRIFFITHS GRIFFITH DELIVERY"</f>
        <v>LESLIE GRIFFITHS GRIFFITH DELIVERY</v>
      </c>
      <c r="C4288" s="1" t="s">
        <v>19078</v>
      </c>
      <c r="F4288" s="1" t="s">
        <v>1696</v>
      </c>
      <c r="H4288" s="1" t="s">
        <v>19079</v>
      </c>
      <c r="I4288" s="1" t="s">
        <v>5</v>
      </c>
      <c r="J4288" s="1" t="s">
        <v>6</v>
      </c>
      <c r="K4288" s="1" t="s">
        <v>24</v>
      </c>
      <c r="M4288" s="2">
        <v>42835</v>
      </c>
      <c r="N4288" s="1" t="s">
        <v>8</v>
      </c>
      <c r="O4288" s="2">
        <v>43931</v>
      </c>
    </row>
    <row r="4289" spans="1:15" ht="43.2" x14ac:dyDescent="0.3">
      <c r="A4289" s="1" t="s">
        <v>19080</v>
      </c>
      <c r="B4289" s="1" t="str">
        <f>"James Spilsbury"</f>
        <v>James Spilsbury</v>
      </c>
      <c r="C4289" s="1" t="s">
        <v>19081</v>
      </c>
      <c r="D4289" s="1" t="s">
        <v>19082</v>
      </c>
      <c r="F4289" s="1" t="s">
        <v>445</v>
      </c>
      <c r="H4289" s="1" t="s">
        <v>19083</v>
      </c>
      <c r="I4289" s="1" t="s">
        <v>5</v>
      </c>
      <c r="J4289" s="1" t="s">
        <v>67</v>
      </c>
      <c r="K4289" s="1" t="s">
        <v>24</v>
      </c>
      <c r="M4289" s="2">
        <v>42835</v>
      </c>
      <c r="N4289" s="1" t="s">
        <v>8</v>
      </c>
      <c r="O4289" s="1" t="s">
        <v>68</v>
      </c>
    </row>
    <row r="4290" spans="1:15" ht="43.2" x14ac:dyDescent="0.3">
      <c r="A4290" s="1" t="s">
        <v>19084</v>
      </c>
      <c r="B4290" s="1" t="str">
        <f>"James Spilsbury Spilsbury Plumbing and Heating Services"</f>
        <v>James Spilsbury Spilsbury Plumbing and Heating Services</v>
      </c>
      <c r="C4290" s="1" t="s">
        <v>19085</v>
      </c>
      <c r="D4290" s="1" t="s">
        <v>19086</v>
      </c>
      <c r="F4290" s="1" t="s">
        <v>445</v>
      </c>
      <c r="H4290" s="1" t="s">
        <v>19087</v>
      </c>
      <c r="I4290" s="1" t="s">
        <v>5</v>
      </c>
      <c r="J4290" s="1" t="s">
        <v>6</v>
      </c>
      <c r="K4290" s="1" t="s">
        <v>24</v>
      </c>
      <c r="M4290" s="2">
        <v>42835</v>
      </c>
      <c r="N4290" s="1" t="s">
        <v>8</v>
      </c>
      <c r="O4290" s="2">
        <v>43931</v>
      </c>
    </row>
    <row r="4291" spans="1:15" ht="28.8" x14ac:dyDescent="0.3">
      <c r="A4291" s="1" t="s">
        <v>19910</v>
      </c>
      <c r="B4291" s="1" t="str">
        <f>"robertino meli robertino meli"</f>
        <v>robertino meli robertino meli</v>
      </c>
      <c r="C4291" s="1" t="s">
        <v>19911</v>
      </c>
      <c r="F4291" s="1" t="s">
        <v>1351</v>
      </c>
      <c r="H4291" s="1" t="s">
        <v>8043</v>
      </c>
      <c r="I4291" s="1" t="s">
        <v>5</v>
      </c>
      <c r="J4291" s="1" t="s">
        <v>6</v>
      </c>
      <c r="K4291" s="1" t="s">
        <v>24</v>
      </c>
      <c r="M4291" s="2">
        <v>42835</v>
      </c>
      <c r="N4291" s="1" t="s">
        <v>8</v>
      </c>
      <c r="O4291" s="2">
        <v>43931</v>
      </c>
    </row>
    <row r="4292" spans="1:15" ht="28.8" x14ac:dyDescent="0.3">
      <c r="A4292" s="1" t="s">
        <v>29349</v>
      </c>
      <c r="B4292" s="1" t="str">
        <f>"Gareth Rees G rees heating "</f>
        <v xml:space="preserve">Gareth Rees G rees heating </v>
      </c>
      <c r="C4292" s="1" t="s">
        <v>29350</v>
      </c>
      <c r="F4292" s="1" t="s">
        <v>42</v>
      </c>
      <c r="H4292" s="1" t="s">
        <v>29351</v>
      </c>
      <c r="I4292" s="1" t="s">
        <v>5</v>
      </c>
      <c r="J4292" s="1" t="s">
        <v>6</v>
      </c>
      <c r="K4292" s="1" t="s">
        <v>34</v>
      </c>
      <c r="M4292" s="2">
        <v>42835</v>
      </c>
      <c r="N4292" s="1" t="s">
        <v>8</v>
      </c>
      <c r="O4292" s="2">
        <v>43931</v>
      </c>
    </row>
    <row r="4293" spans="1:15" ht="28.8" x14ac:dyDescent="0.3">
      <c r="A4293" s="1" t="s">
        <v>29339</v>
      </c>
      <c r="B4293" s="1" t="str">
        <f>"clive phillips mr clive phillips"</f>
        <v>clive phillips mr clive phillips</v>
      </c>
      <c r="C4293" s="1" t="s">
        <v>29340</v>
      </c>
      <c r="F4293" s="1" t="s">
        <v>174</v>
      </c>
      <c r="H4293" s="1" t="s">
        <v>29341</v>
      </c>
      <c r="I4293" s="1" t="s">
        <v>5</v>
      </c>
      <c r="J4293" s="1" t="s">
        <v>6</v>
      </c>
      <c r="K4293" s="1" t="s">
        <v>24</v>
      </c>
      <c r="M4293" s="2">
        <v>42834</v>
      </c>
      <c r="N4293" s="1" t="s">
        <v>8</v>
      </c>
      <c r="O4293" s="2">
        <v>43930</v>
      </c>
    </row>
    <row r="4294" spans="1:15" ht="43.2" x14ac:dyDescent="0.3">
      <c r="A4294" s="1" t="s">
        <v>29342</v>
      </c>
      <c r="B4294" s="1" t="str">
        <f>"PAUL MILLWARD"</f>
        <v>PAUL MILLWARD</v>
      </c>
      <c r="C4294" s="1" t="s">
        <v>29343</v>
      </c>
      <c r="D4294" s="1" t="s">
        <v>1739</v>
      </c>
      <c r="F4294" s="1" t="s">
        <v>607</v>
      </c>
      <c r="H4294" s="1" t="s">
        <v>29344</v>
      </c>
      <c r="I4294" s="1" t="s">
        <v>5</v>
      </c>
      <c r="J4294" s="1" t="s">
        <v>67</v>
      </c>
      <c r="K4294" s="1" t="s">
        <v>24</v>
      </c>
      <c r="M4294" s="2">
        <v>42834</v>
      </c>
      <c r="N4294" s="1" t="s">
        <v>8</v>
      </c>
      <c r="O4294" s="1" t="s">
        <v>68</v>
      </c>
    </row>
    <row r="4295" spans="1:15" ht="28.8" x14ac:dyDescent="0.3">
      <c r="A4295" s="1" t="s">
        <v>29345</v>
      </c>
      <c r="B4295" s="1" t="str">
        <f>"Alan Farrar Alfa Tree Services"</f>
        <v>Alan Farrar Alfa Tree Services</v>
      </c>
      <c r="C4295" s="1" t="s">
        <v>29346</v>
      </c>
      <c r="F4295" s="1" t="s">
        <v>29347</v>
      </c>
      <c r="H4295" s="1" t="s">
        <v>29348</v>
      </c>
      <c r="I4295" s="1" t="s">
        <v>5</v>
      </c>
      <c r="J4295" s="1" t="s">
        <v>6</v>
      </c>
      <c r="K4295" s="1" t="s">
        <v>34</v>
      </c>
      <c r="M4295" s="2">
        <v>42834</v>
      </c>
      <c r="N4295" s="1" t="s">
        <v>8</v>
      </c>
      <c r="O4295" s="2">
        <v>43930</v>
      </c>
    </row>
    <row r="4296" spans="1:15" ht="28.8" x14ac:dyDescent="0.3">
      <c r="A4296" s="1" t="s">
        <v>16560</v>
      </c>
      <c r="B4296" s="1" t="str">
        <f>"Wyn Griffiths &amp; Sons"</f>
        <v>Wyn Griffiths &amp; Sons</v>
      </c>
      <c r="C4296" s="1" t="s">
        <v>16561</v>
      </c>
      <c r="F4296" s="1" t="s">
        <v>374</v>
      </c>
      <c r="H4296" s="1" t="s">
        <v>16562</v>
      </c>
      <c r="I4296" s="1" t="s">
        <v>125</v>
      </c>
      <c r="J4296" s="1" t="s">
        <v>6</v>
      </c>
      <c r="K4296" s="1" t="s">
        <v>34</v>
      </c>
      <c r="M4296" s="2">
        <v>42832</v>
      </c>
      <c r="N4296" s="1" t="s">
        <v>8</v>
      </c>
      <c r="O4296" s="2">
        <v>43928</v>
      </c>
    </row>
    <row r="4297" spans="1:15" ht="43.2" x14ac:dyDescent="0.3">
      <c r="A4297" s="1" t="s">
        <v>16563</v>
      </c>
      <c r="B4297" s="1" t="str">
        <f>"Castell Howell Foods"</f>
        <v>Castell Howell Foods</v>
      </c>
      <c r="C4297" s="1" t="s">
        <v>16564</v>
      </c>
      <c r="D4297" s="1" t="s">
        <v>449</v>
      </c>
      <c r="F4297" s="1" t="s">
        <v>42</v>
      </c>
      <c r="H4297" s="1" t="s">
        <v>5571</v>
      </c>
      <c r="I4297" s="1" t="s">
        <v>19</v>
      </c>
      <c r="J4297" s="1" t="s">
        <v>67</v>
      </c>
      <c r="K4297" s="1" t="s">
        <v>14</v>
      </c>
      <c r="M4297" s="2">
        <v>42832</v>
      </c>
      <c r="N4297" s="1" t="s">
        <v>8</v>
      </c>
      <c r="O4297" s="1" t="s">
        <v>68</v>
      </c>
    </row>
    <row r="4298" spans="1:15" ht="28.8" x14ac:dyDescent="0.3">
      <c r="A4298" s="1" t="s">
        <v>16565</v>
      </c>
      <c r="B4298" s="1" t="str">
        <f>"MD Recycling"</f>
        <v>MD Recycling</v>
      </c>
      <c r="C4298" s="1" t="s">
        <v>16566</v>
      </c>
      <c r="F4298" s="1" t="s">
        <v>1511</v>
      </c>
      <c r="H4298" s="1" t="s">
        <v>16567</v>
      </c>
      <c r="I4298" s="1" t="s">
        <v>19</v>
      </c>
      <c r="J4298" s="1" t="s">
        <v>6</v>
      </c>
      <c r="K4298" s="1" t="s">
        <v>34</v>
      </c>
      <c r="L4298" s="1">
        <v>7317029</v>
      </c>
      <c r="M4298" s="2">
        <v>42832</v>
      </c>
      <c r="N4298" s="1" t="s">
        <v>8</v>
      </c>
      <c r="O4298" s="2">
        <v>43928</v>
      </c>
    </row>
    <row r="4299" spans="1:15" ht="28.8" x14ac:dyDescent="0.3">
      <c r="A4299" s="1" t="s">
        <v>16568</v>
      </c>
      <c r="B4299" s="1" t="str">
        <f>"Paul Hawkins Haulage Ltd."</f>
        <v>Paul Hawkins Haulage Ltd.</v>
      </c>
      <c r="C4299" s="1" t="s">
        <v>16569</v>
      </c>
      <c r="D4299" s="1" t="s">
        <v>10470</v>
      </c>
      <c r="F4299" s="1" t="s">
        <v>2950</v>
      </c>
      <c r="H4299" s="1" t="s">
        <v>16570</v>
      </c>
      <c r="I4299" s="1" t="s">
        <v>19</v>
      </c>
      <c r="J4299" s="1" t="s">
        <v>6</v>
      </c>
      <c r="K4299" s="1" t="s">
        <v>24</v>
      </c>
      <c r="L4299" s="1">
        <v>4594146</v>
      </c>
      <c r="M4299" s="2">
        <v>42832</v>
      </c>
      <c r="N4299" s="1" t="s">
        <v>8</v>
      </c>
      <c r="O4299" s="2">
        <v>43928</v>
      </c>
    </row>
    <row r="4300" spans="1:15" ht="28.8" x14ac:dyDescent="0.3">
      <c r="A4300" s="1" t="s">
        <v>17617</v>
      </c>
      <c r="B4300" s="1" t="str">
        <f>"RE-PRO LIMITED"</f>
        <v>RE-PRO LIMITED</v>
      </c>
      <c r="C4300" s="1" t="s">
        <v>17618</v>
      </c>
      <c r="F4300" s="1" t="s">
        <v>9464</v>
      </c>
      <c r="H4300" s="1" t="s">
        <v>17619</v>
      </c>
      <c r="I4300" s="1" t="s">
        <v>19</v>
      </c>
      <c r="J4300" s="1" t="s">
        <v>6</v>
      </c>
      <c r="K4300" s="1" t="s">
        <v>34</v>
      </c>
      <c r="L4300" s="1">
        <v>10666393</v>
      </c>
      <c r="M4300" s="2">
        <v>42832</v>
      </c>
      <c r="N4300" s="1" t="s">
        <v>8</v>
      </c>
      <c r="O4300" s="2">
        <v>43928</v>
      </c>
    </row>
    <row r="4301" spans="1:15" ht="28.8" x14ac:dyDescent="0.3">
      <c r="A4301" s="1" t="s">
        <v>17620</v>
      </c>
      <c r="B4301" s="1" t="str">
        <f>"GRO Environmental Ltd"</f>
        <v>GRO Environmental Ltd</v>
      </c>
      <c r="C4301" s="1" t="s">
        <v>16475</v>
      </c>
      <c r="F4301" s="1" t="s">
        <v>170</v>
      </c>
      <c r="H4301" s="1" t="s">
        <v>171</v>
      </c>
      <c r="I4301" s="1" t="s">
        <v>19</v>
      </c>
      <c r="J4301" s="1" t="s">
        <v>6</v>
      </c>
      <c r="K4301" s="1" t="s">
        <v>34</v>
      </c>
      <c r="L4301" s="1">
        <v>10489397</v>
      </c>
      <c r="M4301" s="2">
        <v>42832</v>
      </c>
      <c r="N4301" s="1" t="s">
        <v>8</v>
      </c>
      <c r="O4301" s="2">
        <v>43928</v>
      </c>
    </row>
    <row r="4302" spans="1:15" ht="28.8" x14ac:dyDescent="0.3">
      <c r="A4302" s="1" t="s">
        <v>17621</v>
      </c>
      <c r="B4302" s="1" t="str">
        <f>"SUSTAINABLE ENERGY (UK) LTD"</f>
        <v>SUSTAINABLE ENERGY (UK) LTD</v>
      </c>
      <c r="C4302" s="1" t="s">
        <v>17622</v>
      </c>
      <c r="F4302" s="1" t="s">
        <v>739</v>
      </c>
      <c r="H4302" s="1" t="s">
        <v>17623</v>
      </c>
      <c r="I4302" s="1" t="s">
        <v>19</v>
      </c>
      <c r="J4302" s="1" t="s">
        <v>6</v>
      </c>
      <c r="K4302" s="1" t="s">
        <v>24</v>
      </c>
      <c r="L4302" s="1">
        <v>6212465</v>
      </c>
      <c r="M4302" s="2">
        <v>42832</v>
      </c>
      <c r="N4302" s="1" t="s">
        <v>8</v>
      </c>
      <c r="O4302" s="2">
        <v>43928</v>
      </c>
    </row>
    <row r="4303" spans="1:15" ht="28.8" x14ac:dyDescent="0.3">
      <c r="A4303" s="1" t="s">
        <v>17624</v>
      </c>
      <c r="B4303" s="1" t="str">
        <f>"FLINTSHIRE LOGISTICS LIMITED"</f>
        <v>FLINTSHIRE LOGISTICS LIMITED</v>
      </c>
      <c r="C4303" s="1" t="s">
        <v>17625</v>
      </c>
      <c r="D4303" s="1" t="s">
        <v>17626</v>
      </c>
      <c r="F4303" s="1" t="s">
        <v>607</v>
      </c>
      <c r="H4303" s="1" t="s">
        <v>17627</v>
      </c>
      <c r="I4303" s="1" t="s">
        <v>19</v>
      </c>
      <c r="J4303" s="1" t="s">
        <v>6</v>
      </c>
      <c r="K4303" s="1" t="s">
        <v>24</v>
      </c>
      <c r="L4303" s="1">
        <v>10521187</v>
      </c>
      <c r="M4303" s="2">
        <v>42832</v>
      </c>
      <c r="N4303" s="1" t="s">
        <v>8</v>
      </c>
      <c r="O4303" s="2">
        <v>43953</v>
      </c>
    </row>
    <row r="4304" spans="1:15" ht="43.2" x14ac:dyDescent="0.3">
      <c r="A4304" s="1" t="s">
        <v>28592</v>
      </c>
      <c r="B4304" s="1" t="str">
        <f>"CHRISTOPHER JONES"</f>
        <v>CHRISTOPHER JONES</v>
      </c>
      <c r="C4304" s="1" t="s">
        <v>22068</v>
      </c>
      <c r="F4304" s="1" t="s">
        <v>3415</v>
      </c>
      <c r="H4304" s="1" t="s">
        <v>3199</v>
      </c>
      <c r="I4304" s="1" t="s">
        <v>5</v>
      </c>
      <c r="J4304" s="1" t="s">
        <v>67</v>
      </c>
      <c r="K4304" s="1" t="s">
        <v>14</v>
      </c>
      <c r="M4304" s="2">
        <v>42832</v>
      </c>
      <c r="N4304" s="1" t="s">
        <v>8</v>
      </c>
      <c r="O4304" s="1" t="s">
        <v>68</v>
      </c>
    </row>
    <row r="4305" spans="1:15" ht="43.2" x14ac:dyDescent="0.3">
      <c r="A4305" s="1" t="s">
        <v>28593</v>
      </c>
      <c r="B4305" s="1" t="str">
        <f>"Louise  Evans"</f>
        <v>Louise  Evans</v>
      </c>
      <c r="C4305" s="1" t="s">
        <v>28594</v>
      </c>
      <c r="F4305" s="1" t="s">
        <v>798</v>
      </c>
      <c r="H4305" s="1" t="s">
        <v>17086</v>
      </c>
      <c r="I4305" s="1" t="s">
        <v>5</v>
      </c>
      <c r="J4305" s="1" t="s">
        <v>67</v>
      </c>
      <c r="K4305" s="1" t="s">
        <v>14</v>
      </c>
      <c r="M4305" s="2">
        <v>42832</v>
      </c>
      <c r="N4305" s="1" t="s">
        <v>8</v>
      </c>
      <c r="O4305" s="1" t="s">
        <v>68</v>
      </c>
    </row>
    <row r="4306" spans="1:15" ht="28.8" x14ac:dyDescent="0.3">
      <c r="A4306" s="1" t="s">
        <v>28595</v>
      </c>
      <c r="B4306" s="1" t="str">
        <f>"Mark Weaver M W Roofing"</f>
        <v>Mark Weaver M W Roofing</v>
      </c>
      <c r="C4306" s="1" t="s">
        <v>28596</v>
      </c>
      <c r="F4306" s="1" t="s">
        <v>1351</v>
      </c>
      <c r="H4306" s="1" t="s">
        <v>28597</v>
      </c>
      <c r="I4306" s="1" t="s">
        <v>5</v>
      </c>
      <c r="J4306" s="1" t="s">
        <v>6</v>
      </c>
      <c r="K4306" s="1" t="s">
        <v>24</v>
      </c>
      <c r="M4306" s="2">
        <v>42832</v>
      </c>
      <c r="N4306" s="1" t="s">
        <v>8</v>
      </c>
      <c r="O4306" s="2">
        <v>43928</v>
      </c>
    </row>
    <row r="4307" spans="1:15" x14ac:dyDescent="0.3">
      <c r="A4307" s="1" t="s">
        <v>28598</v>
      </c>
      <c r="B4307" s="1" t="str">
        <f>"john rees Envirowaste"</f>
        <v>john rees Envirowaste</v>
      </c>
      <c r="C4307" s="1" t="s">
        <v>28599</v>
      </c>
      <c r="D4307" s="1" t="s">
        <v>21772</v>
      </c>
      <c r="F4307" s="1" t="s">
        <v>1175</v>
      </c>
      <c r="H4307" s="1" t="s">
        <v>28600</v>
      </c>
      <c r="I4307" s="1" t="s">
        <v>5</v>
      </c>
      <c r="J4307" s="1" t="s">
        <v>6</v>
      </c>
      <c r="K4307" s="1" t="s">
        <v>24</v>
      </c>
      <c r="M4307" s="2">
        <v>42832</v>
      </c>
      <c r="N4307" s="1" t="s">
        <v>8</v>
      </c>
      <c r="O4307" s="2">
        <v>43928</v>
      </c>
    </row>
    <row r="4308" spans="1:15" ht="28.8" x14ac:dyDescent="0.3">
      <c r="A4308" s="1" t="s">
        <v>28601</v>
      </c>
      <c r="B4308" s="1" t="str">
        <f>"Gary Ford GF Gardening &amp; Home Services"</f>
        <v>Gary Ford GF Gardening &amp; Home Services</v>
      </c>
      <c r="C4308" s="1" t="s">
        <v>28602</v>
      </c>
      <c r="F4308" s="1" t="s">
        <v>65</v>
      </c>
      <c r="H4308" s="1" t="s">
        <v>28603</v>
      </c>
      <c r="I4308" s="1" t="s">
        <v>5</v>
      </c>
      <c r="J4308" s="1" t="s">
        <v>6</v>
      </c>
      <c r="K4308" s="1" t="s">
        <v>24</v>
      </c>
      <c r="M4308" s="2">
        <v>42832</v>
      </c>
      <c r="N4308" s="1" t="s">
        <v>8</v>
      </c>
      <c r="O4308" s="2">
        <v>43928</v>
      </c>
    </row>
    <row r="4309" spans="1:15" ht="28.8" x14ac:dyDescent="0.3">
      <c r="A4309" s="1" t="s">
        <v>28604</v>
      </c>
      <c r="B4309" s="1" t="str">
        <f>"owain richards Shapescapes"</f>
        <v>owain richards Shapescapes</v>
      </c>
      <c r="C4309" s="1" t="s">
        <v>28605</v>
      </c>
      <c r="F4309" s="1" t="s">
        <v>930</v>
      </c>
      <c r="H4309" s="1" t="s">
        <v>28606</v>
      </c>
      <c r="I4309" s="1" t="s">
        <v>5</v>
      </c>
      <c r="J4309" s="1" t="s">
        <v>6</v>
      </c>
      <c r="K4309" s="1" t="s">
        <v>24</v>
      </c>
      <c r="M4309" s="2">
        <v>42832</v>
      </c>
      <c r="N4309" s="1" t="s">
        <v>8</v>
      </c>
      <c r="O4309" s="2">
        <v>43928</v>
      </c>
    </row>
    <row r="4310" spans="1:15" ht="43.2" x14ac:dyDescent="0.3">
      <c r="A4310" s="1" t="s">
        <v>28607</v>
      </c>
      <c r="B4310" s="1" t="str">
        <f>"Athar Rashid Property trader NTS letting &amp; sale"</f>
        <v>Athar Rashid Property trader NTS letting &amp; sale</v>
      </c>
      <c r="C4310" s="1" t="s">
        <v>28608</v>
      </c>
      <c r="F4310" s="1" t="s">
        <v>91</v>
      </c>
      <c r="H4310" s="1" t="s">
        <v>7886</v>
      </c>
      <c r="I4310" s="1" t="s">
        <v>5</v>
      </c>
      <c r="J4310" s="1" t="s">
        <v>6</v>
      </c>
      <c r="K4310" s="1" t="s">
        <v>34</v>
      </c>
      <c r="M4310" s="2">
        <v>42832</v>
      </c>
      <c r="N4310" s="1" t="s">
        <v>8</v>
      </c>
      <c r="O4310" s="2">
        <v>43928</v>
      </c>
    </row>
    <row r="4311" spans="1:15" ht="28.8" x14ac:dyDescent="0.3">
      <c r="A4311" s="1" t="s">
        <v>15527</v>
      </c>
      <c r="B4311" s="1" t="str">
        <f>"Howe Engineering Ltd."</f>
        <v>Howe Engineering Ltd.</v>
      </c>
      <c r="C4311" s="1" t="s">
        <v>15528</v>
      </c>
      <c r="D4311" s="1" t="s">
        <v>15529</v>
      </c>
      <c r="E4311" s="1" t="s">
        <v>546</v>
      </c>
      <c r="F4311" s="1" t="s">
        <v>91</v>
      </c>
      <c r="H4311" s="1" t="s">
        <v>15530</v>
      </c>
      <c r="I4311" s="1" t="s">
        <v>19</v>
      </c>
      <c r="J4311" s="1" t="s">
        <v>6</v>
      </c>
      <c r="K4311" s="1" t="s">
        <v>24</v>
      </c>
      <c r="L4311" s="1">
        <v>4614675</v>
      </c>
      <c r="M4311" s="2">
        <v>42831</v>
      </c>
      <c r="N4311" s="1" t="s">
        <v>8</v>
      </c>
      <c r="O4311" s="2">
        <v>43927</v>
      </c>
    </row>
    <row r="4312" spans="1:15" ht="28.8" x14ac:dyDescent="0.3">
      <c r="A4312" s="1" t="s">
        <v>16552</v>
      </c>
      <c r="B4312" s="1" t="str">
        <f>"AJ Pipeline (Anglesey) Ltd"</f>
        <v>AJ Pipeline (Anglesey) Ltd</v>
      </c>
      <c r="C4312" s="1" t="s">
        <v>16553</v>
      </c>
      <c r="D4312" s="1" t="s">
        <v>678</v>
      </c>
      <c r="F4312" s="1" t="s">
        <v>6084</v>
      </c>
      <c r="H4312" s="1" t="s">
        <v>16554</v>
      </c>
      <c r="I4312" s="1" t="s">
        <v>19</v>
      </c>
      <c r="J4312" s="1" t="s">
        <v>6</v>
      </c>
      <c r="K4312" s="1" t="s">
        <v>34</v>
      </c>
      <c r="L4312" s="1">
        <v>8423455</v>
      </c>
      <c r="M4312" s="2">
        <v>42831</v>
      </c>
      <c r="N4312" s="1" t="s">
        <v>8</v>
      </c>
      <c r="O4312" s="2">
        <v>43927</v>
      </c>
    </row>
    <row r="4313" spans="1:15" ht="43.2" x14ac:dyDescent="0.3">
      <c r="A4313" s="1" t="s">
        <v>16555</v>
      </c>
      <c r="B4313" s="1" t="str">
        <f>"Fire-Rite UK Ltd"</f>
        <v>Fire-Rite UK Ltd</v>
      </c>
      <c r="C4313" s="1" t="s">
        <v>16556</v>
      </c>
      <c r="D4313" s="1" t="s">
        <v>1839</v>
      </c>
      <c r="F4313" s="1" t="s">
        <v>103</v>
      </c>
      <c r="H4313" s="1" t="s">
        <v>14520</v>
      </c>
      <c r="I4313" s="1" t="s">
        <v>19</v>
      </c>
      <c r="J4313" s="1" t="s">
        <v>6</v>
      </c>
      <c r="K4313" s="1" t="s">
        <v>24</v>
      </c>
      <c r="L4313" s="1">
        <v>3697360</v>
      </c>
      <c r="M4313" s="2">
        <v>42831</v>
      </c>
      <c r="N4313" s="1" t="s">
        <v>8</v>
      </c>
      <c r="O4313" s="2">
        <v>43927</v>
      </c>
    </row>
    <row r="4314" spans="1:15" ht="43.2" x14ac:dyDescent="0.3">
      <c r="A4314" s="1" t="s">
        <v>16557</v>
      </c>
      <c r="B4314" s="1" t="str">
        <f>"Nick price"</f>
        <v>Nick price</v>
      </c>
      <c r="C4314" s="1" t="s">
        <v>16558</v>
      </c>
      <c r="F4314" s="1" t="s">
        <v>445</v>
      </c>
      <c r="H4314" s="1" t="s">
        <v>16559</v>
      </c>
      <c r="I4314" s="1" t="s">
        <v>188</v>
      </c>
      <c r="J4314" s="1" t="s">
        <v>67</v>
      </c>
      <c r="K4314" s="1" t="s">
        <v>14</v>
      </c>
      <c r="M4314" s="2">
        <v>42831</v>
      </c>
      <c r="N4314" s="1" t="s">
        <v>8</v>
      </c>
      <c r="O4314" s="1" t="s">
        <v>68</v>
      </c>
    </row>
    <row r="4315" spans="1:15" ht="43.2" x14ac:dyDescent="0.3">
      <c r="A4315" s="1" t="s">
        <v>27800</v>
      </c>
      <c r="B4315" s="1" t="str">
        <f>"Robert Smith"</f>
        <v>Robert Smith</v>
      </c>
      <c r="C4315" s="1" t="s">
        <v>27801</v>
      </c>
      <c r="F4315" s="1" t="s">
        <v>27802</v>
      </c>
      <c r="H4315" s="1" t="s">
        <v>27803</v>
      </c>
      <c r="I4315" s="1" t="s">
        <v>5</v>
      </c>
      <c r="J4315" s="1" t="s">
        <v>67</v>
      </c>
      <c r="K4315" s="1" t="s">
        <v>14</v>
      </c>
      <c r="M4315" s="2">
        <v>42831</v>
      </c>
      <c r="N4315" s="1" t="s">
        <v>8</v>
      </c>
      <c r="O4315" s="1" t="s">
        <v>68</v>
      </c>
    </row>
    <row r="4316" spans="1:15" ht="43.2" x14ac:dyDescent="0.3">
      <c r="A4316" s="1" t="s">
        <v>28586</v>
      </c>
      <c r="B4316" s="1" t="str">
        <f>"Tegwyn  Evans"</f>
        <v>Tegwyn  Evans</v>
      </c>
      <c r="C4316" s="1" t="s">
        <v>28587</v>
      </c>
      <c r="F4316" s="1" t="s">
        <v>50</v>
      </c>
      <c r="H4316" s="1" t="s">
        <v>21456</v>
      </c>
      <c r="I4316" s="1" t="s">
        <v>5</v>
      </c>
      <c r="J4316" s="1" t="s">
        <v>67</v>
      </c>
      <c r="K4316" s="1" t="s">
        <v>14</v>
      </c>
      <c r="M4316" s="2">
        <v>42831</v>
      </c>
      <c r="N4316" s="1" t="s">
        <v>8</v>
      </c>
      <c r="O4316" s="1" t="s">
        <v>68</v>
      </c>
    </row>
    <row r="4317" spans="1:15" ht="28.8" x14ac:dyDescent="0.3">
      <c r="A4317" s="1" t="s">
        <v>28588</v>
      </c>
      <c r="B4317" s="1" t="str">
        <f>"Ian Roberts Llandudno house clearance"</f>
        <v>Ian Roberts Llandudno house clearance</v>
      </c>
      <c r="C4317" s="1" t="s">
        <v>28589</v>
      </c>
      <c r="D4317" s="1" t="s">
        <v>28590</v>
      </c>
      <c r="F4317" s="1" t="s">
        <v>3242</v>
      </c>
      <c r="H4317" s="1" t="s">
        <v>28591</v>
      </c>
      <c r="I4317" s="1" t="s">
        <v>5</v>
      </c>
      <c r="J4317" s="1" t="s">
        <v>6</v>
      </c>
      <c r="K4317" s="1" t="s">
        <v>34</v>
      </c>
      <c r="M4317" s="2">
        <v>42831</v>
      </c>
      <c r="N4317" s="1" t="s">
        <v>8</v>
      </c>
      <c r="O4317" s="2">
        <v>43927</v>
      </c>
    </row>
    <row r="4318" spans="1:15" ht="28.8" x14ac:dyDescent="0.3">
      <c r="A4318" s="1" t="s">
        <v>15515</v>
      </c>
      <c r="B4318" s="1" t="str">
        <f>"K &amp; C Bevan Plant Hire"</f>
        <v>K &amp; C Bevan Plant Hire</v>
      </c>
      <c r="C4318" s="1" t="s">
        <v>15516</v>
      </c>
      <c r="F4318" s="1" t="s">
        <v>4507</v>
      </c>
      <c r="H4318" s="1" t="s">
        <v>15517</v>
      </c>
      <c r="I4318" s="1" t="s">
        <v>125</v>
      </c>
      <c r="J4318" s="1" t="s">
        <v>6</v>
      </c>
      <c r="K4318" s="1" t="s">
        <v>24</v>
      </c>
      <c r="M4318" s="2">
        <v>42830</v>
      </c>
      <c r="N4318" s="1" t="s">
        <v>8</v>
      </c>
      <c r="O4318" s="2">
        <v>43926</v>
      </c>
    </row>
    <row r="4319" spans="1:15" ht="28.8" x14ac:dyDescent="0.3">
      <c r="A4319" s="1" t="s">
        <v>15518</v>
      </c>
      <c r="B4319" s="1" t="str">
        <f>"C.J.ELSE (S.WALES) LTD"</f>
        <v>C.J.ELSE (S.WALES) LTD</v>
      </c>
      <c r="C4319" s="1" t="s">
        <v>15519</v>
      </c>
      <c r="F4319" s="1" t="s">
        <v>888</v>
      </c>
      <c r="H4319" s="1" t="s">
        <v>15520</v>
      </c>
      <c r="I4319" s="1" t="s">
        <v>19</v>
      </c>
      <c r="J4319" s="1" t="s">
        <v>6</v>
      </c>
      <c r="K4319" s="1" t="s">
        <v>34</v>
      </c>
      <c r="L4319" s="1">
        <v>1603737</v>
      </c>
      <c r="M4319" s="2">
        <v>42830</v>
      </c>
      <c r="N4319" s="1" t="s">
        <v>8</v>
      </c>
      <c r="O4319" s="2">
        <v>43926</v>
      </c>
    </row>
    <row r="4320" spans="1:15" ht="28.8" x14ac:dyDescent="0.3">
      <c r="A4320" s="1" t="s">
        <v>15521</v>
      </c>
      <c r="B4320" s="1" t="str">
        <f>"Griffin Haulage ltd"</f>
        <v>Griffin Haulage ltd</v>
      </c>
      <c r="C4320" s="1" t="s">
        <v>15522</v>
      </c>
      <c r="F4320" s="1" t="s">
        <v>1351</v>
      </c>
      <c r="H4320" s="1" t="s">
        <v>15523</v>
      </c>
      <c r="I4320" s="1" t="s">
        <v>19</v>
      </c>
      <c r="J4320" s="1" t="s">
        <v>6</v>
      </c>
      <c r="K4320" s="1" t="s">
        <v>34</v>
      </c>
      <c r="L4320" s="1">
        <v>9715044</v>
      </c>
      <c r="M4320" s="2">
        <v>42830</v>
      </c>
      <c r="N4320" s="1" t="s">
        <v>8</v>
      </c>
      <c r="O4320" s="2">
        <v>43926</v>
      </c>
    </row>
    <row r="4321" spans="1:15" ht="28.8" x14ac:dyDescent="0.3">
      <c r="A4321" s="1" t="s">
        <v>15524</v>
      </c>
      <c r="B4321" s="1" t="str">
        <f>"J.C.Matthews - Heating Engineers"</f>
        <v>J.C.Matthews - Heating Engineers</v>
      </c>
      <c r="C4321" s="1" t="s">
        <v>15525</v>
      </c>
      <c r="D4321" s="1" t="s">
        <v>6400</v>
      </c>
      <c r="F4321" s="1" t="s">
        <v>1486</v>
      </c>
      <c r="H4321" s="1" t="s">
        <v>15526</v>
      </c>
      <c r="I4321" s="1" t="s">
        <v>125</v>
      </c>
      <c r="J4321" s="1" t="s">
        <v>6</v>
      </c>
      <c r="K4321" s="1" t="s">
        <v>34</v>
      </c>
      <c r="M4321" s="2">
        <v>42830</v>
      </c>
      <c r="N4321" s="1" t="s">
        <v>8</v>
      </c>
      <c r="O4321" s="2">
        <v>43926</v>
      </c>
    </row>
    <row r="4322" spans="1:15" ht="28.8" x14ac:dyDescent="0.3">
      <c r="A4322" s="1" t="s">
        <v>27791</v>
      </c>
      <c r="B4322" s="1" t="str">
        <f>"Richard Pearce Ohm electrics"</f>
        <v>Richard Pearce Ohm electrics</v>
      </c>
      <c r="C4322" s="1" t="s">
        <v>27792</v>
      </c>
      <c r="D4322" s="1" t="s">
        <v>9100</v>
      </c>
      <c r="E4322" s="1" t="s">
        <v>5248</v>
      </c>
      <c r="F4322" s="1" t="s">
        <v>1175</v>
      </c>
      <c r="H4322" s="1" t="s">
        <v>27793</v>
      </c>
      <c r="I4322" s="1" t="s">
        <v>5</v>
      </c>
      <c r="J4322" s="1" t="s">
        <v>6</v>
      </c>
      <c r="K4322" s="1" t="s">
        <v>24</v>
      </c>
      <c r="M4322" s="2">
        <v>42830</v>
      </c>
      <c r="N4322" s="1" t="s">
        <v>8</v>
      </c>
      <c r="O4322" s="2">
        <v>43926</v>
      </c>
    </row>
    <row r="4323" spans="1:15" ht="28.8" x14ac:dyDescent="0.3">
      <c r="A4323" s="1" t="s">
        <v>27794</v>
      </c>
      <c r="B4323" s="1" t="str">
        <f>"William Stuart Anderson"</f>
        <v>William Stuart Anderson</v>
      </c>
      <c r="C4323" s="1" t="s">
        <v>27795</v>
      </c>
      <c r="F4323" s="1" t="s">
        <v>42</v>
      </c>
      <c r="H4323" s="1" t="s">
        <v>8683</v>
      </c>
      <c r="I4323" s="1" t="s">
        <v>5</v>
      </c>
      <c r="J4323" s="1" t="s">
        <v>6</v>
      </c>
      <c r="K4323" s="1" t="s">
        <v>24</v>
      </c>
      <c r="M4323" s="2">
        <v>42830</v>
      </c>
      <c r="N4323" s="1" t="s">
        <v>8</v>
      </c>
      <c r="O4323" s="2">
        <v>43926</v>
      </c>
    </row>
    <row r="4324" spans="1:15" ht="28.8" x14ac:dyDescent="0.3">
      <c r="A4324" s="1" t="s">
        <v>27796</v>
      </c>
      <c r="B4324" s="1" t="str">
        <f>"Stewart Anthony Mills A-Plus Roofing"</f>
        <v>Stewart Anthony Mills A-Plus Roofing</v>
      </c>
      <c r="C4324" s="1" t="s">
        <v>27797</v>
      </c>
      <c r="F4324" s="1" t="s">
        <v>12</v>
      </c>
      <c r="H4324" s="1" t="s">
        <v>27798</v>
      </c>
      <c r="I4324" s="1" t="s">
        <v>5</v>
      </c>
      <c r="J4324" s="1" t="s">
        <v>6</v>
      </c>
      <c r="K4324" s="1" t="s">
        <v>24</v>
      </c>
      <c r="M4324" s="2">
        <v>42830</v>
      </c>
      <c r="N4324" s="1" t="s">
        <v>8</v>
      </c>
      <c r="O4324" s="2">
        <v>43926</v>
      </c>
    </row>
    <row r="4325" spans="1:15" ht="28.8" x14ac:dyDescent="0.3">
      <c r="A4325" s="1" t="s">
        <v>27799</v>
      </c>
      <c r="B4325" s="1" t="str">
        <f>"Sarah Thomas SARAH THOMAS"</f>
        <v>Sarah Thomas SARAH THOMAS</v>
      </c>
      <c r="C4325" s="1" t="s">
        <v>20238</v>
      </c>
      <c r="F4325" s="1" t="s">
        <v>4507</v>
      </c>
      <c r="H4325" s="1" t="s">
        <v>16801</v>
      </c>
      <c r="I4325" s="1" t="s">
        <v>5</v>
      </c>
      <c r="J4325" s="1" t="s">
        <v>6</v>
      </c>
      <c r="K4325" s="1" t="s">
        <v>24</v>
      </c>
      <c r="M4325" s="2">
        <v>42830</v>
      </c>
      <c r="N4325" s="1" t="s">
        <v>8</v>
      </c>
      <c r="O4325" s="2">
        <v>43926</v>
      </c>
    </row>
    <row r="4326" spans="1:15" ht="43.2" x14ac:dyDescent="0.3">
      <c r="A4326" s="1" t="s">
        <v>14603</v>
      </c>
      <c r="B4326" s="1" t="str">
        <f>"Cape-Able Cuts"</f>
        <v>Cape-Able Cuts</v>
      </c>
      <c r="C4326" s="1" t="s">
        <v>14604</v>
      </c>
      <c r="F4326" s="1" t="s">
        <v>8319</v>
      </c>
      <c r="H4326" s="1" t="s">
        <v>14605</v>
      </c>
      <c r="I4326" s="1" t="s">
        <v>125</v>
      </c>
      <c r="J4326" s="1" t="s">
        <v>67</v>
      </c>
      <c r="K4326" s="1" t="s">
        <v>14</v>
      </c>
      <c r="M4326" s="2">
        <v>42829</v>
      </c>
      <c r="N4326" s="1" t="s">
        <v>8</v>
      </c>
      <c r="O4326" s="1" t="s">
        <v>68</v>
      </c>
    </row>
    <row r="4327" spans="1:15" ht="28.8" x14ac:dyDescent="0.3">
      <c r="A4327" s="1" t="s">
        <v>14606</v>
      </c>
      <c r="B4327" s="1" t="str">
        <f>"Preswylfa LTDGriffith Roberts &amp; Son"</f>
        <v>Preswylfa LTDGriffith Roberts &amp; Son</v>
      </c>
      <c r="C4327" s="1" t="s">
        <v>14607</v>
      </c>
      <c r="F4327" s="1" t="s">
        <v>328</v>
      </c>
      <c r="H4327" s="1" t="s">
        <v>11768</v>
      </c>
      <c r="I4327" s="1" t="s">
        <v>19</v>
      </c>
      <c r="J4327" s="1" t="s">
        <v>6</v>
      </c>
      <c r="K4327" s="1" t="s">
        <v>24</v>
      </c>
      <c r="L4327" s="1">
        <v>7217206</v>
      </c>
      <c r="M4327" s="2">
        <v>42829</v>
      </c>
      <c r="N4327" s="1" t="s">
        <v>8</v>
      </c>
      <c r="O4327" s="2">
        <v>43925</v>
      </c>
    </row>
    <row r="4328" spans="1:15" ht="28.8" x14ac:dyDescent="0.3">
      <c r="A4328" s="1" t="s">
        <v>14608</v>
      </c>
      <c r="B4328" s="1" t="str">
        <f>"CJM Plumbing Services Ltd."</f>
        <v>CJM Plumbing Services Ltd.</v>
      </c>
      <c r="C4328" s="1" t="s">
        <v>14609</v>
      </c>
      <c r="F4328" s="1" t="s">
        <v>91</v>
      </c>
      <c r="H4328" s="1" t="s">
        <v>14610</v>
      </c>
      <c r="I4328" s="1" t="s">
        <v>19</v>
      </c>
      <c r="J4328" s="1" t="s">
        <v>6</v>
      </c>
      <c r="K4328" s="1" t="s">
        <v>24</v>
      </c>
      <c r="L4328" s="1">
        <v>5286493</v>
      </c>
      <c r="M4328" s="2">
        <v>42829</v>
      </c>
      <c r="N4328" s="1" t="s">
        <v>8</v>
      </c>
      <c r="O4328" s="2">
        <v>43925</v>
      </c>
    </row>
    <row r="4329" spans="1:15" ht="28.8" x14ac:dyDescent="0.3">
      <c r="A4329" s="1" t="s">
        <v>14611</v>
      </c>
      <c r="B4329" s="1" t="str">
        <f>"CDM Environmental Ltd"</f>
        <v>CDM Environmental Ltd</v>
      </c>
      <c r="C4329" s="1" t="s">
        <v>14612</v>
      </c>
      <c r="F4329" s="1" t="s">
        <v>27</v>
      </c>
      <c r="H4329" s="1" t="s">
        <v>14613</v>
      </c>
      <c r="I4329" s="1" t="s">
        <v>19</v>
      </c>
      <c r="J4329" s="1" t="s">
        <v>6</v>
      </c>
      <c r="K4329" s="1" t="s">
        <v>34</v>
      </c>
      <c r="L4329" s="1">
        <v>10674851</v>
      </c>
      <c r="M4329" s="2">
        <v>42829</v>
      </c>
      <c r="N4329" s="1" t="s">
        <v>8</v>
      </c>
      <c r="O4329" s="2">
        <v>43925</v>
      </c>
    </row>
    <row r="4330" spans="1:15" ht="28.8" x14ac:dyDescent="0.3">
      <c r="A4330" s="1" t="s">
        <v>14614</v>
      </c>
      <c r="B4330" s="1" t="str">
        <f>"Three Nations LTD"</f>
        <v>Three Nations LTD</v>
      </c>
      <c r="C4330" s="1" t="s">
        <v>14615</v>
      </c>
      <c r="D4330" s="1" t="s">
        <v>14616</v>
      </c>
      <c r="F4330" s="1" t="s">
        <v>380</v>
      </c>
      <c r="H4330" s="1" t="s">
        <v>14617</v>
      </c>
      <c r="I4330" s="1" t="s">
        <v>19</v>
      </c>
      <c r="J4330" s="1" t="s">
        <v>6</v>
      </c>
      <c r="K4330" s="1" t="s">
        <v>24</v>
      </c>
      <c r="L4330" s="1">
        <v>6847183</v>
      </c>
      <c r="M4330" s="2">
        <v>42829</v>
      </c>
      <c r="N4330" s="1" t="s">
        <v>8</v>
      </c>
      <c r="O4330" s="2">
        <v>43925</v>
      </c>
    </row>
    <row r="4331" spans="1:15" ht="43.2" x14ac:dyDescent="0.3">
      <c r="A4331" s="1" t="s">
        <v>15506</v>
      </c>
      <c r="B4331" s="1" t="str">
        <f>"AFM (SW) Ltd"</f>
        <v>AFM (SW) Ltd</v>
      </c>
      <c r="C4331" s="1" t="s">
        <v>15507</v>
      </c>
      <c r="D4331" s="1" t="s">
        <v>5091</v>
      </c>
      <c r="E4331" s="1" t="s">
        <v>1839</v>
      </c>
      <c r="F4331" s="1" t="s">
        <v>103</v>
      </c>
      <c r="H4331" s="1" t="s">
        <v>15508</v>
      </c>
      <c r="I4331" s="1" t="s">
        <v>19</v>
      </c>
      <c r="J4331" s="1" t="s">
        <v>67</v>
      </c>
      <c r="K4331" s="1" t="s">
        <v>14</v>
      </c>
      <c r="M4331" s="2">
        <v>42829</v>
      </c>
      <c r="N4331" s="1" t="s">
        <v>8</v>
      </c>
      <c r="O4331" s="1" t="s">
        <v>68</v>
      </c>
    </row>
    <row r="4332" spans="1:15" ht="28.8" x14ac:dyDescent="0.3">
      <c r="A4332" s="1" t="s">
        <v>15509</v>
      </c>
      <c r="B4332" s="1" t="str">
        <f>"DECORATIVE HEATING LTD"</f>
        <v>DECORATIVE HEATING LTD</v>
      </c>
      <c r="C4332" s="1" t="s">
        <v>15510</v>
      </c>
      <c r="F4332" s="1" t="s">
        <v>27</v>
      </c>
      <c r="H4332" s="1" t="s">
        <v>15511</v>
      </c>
      <c r="I4332" s="1" t="s">
        <v>19</v>
      </c>
      <c r="J4332" s="1" t="s">
        <v>6</v>
      </c>
      <c r="K4332" s="1" t="s">
        <v>24</v>
      </c>
      <c r="L4332" s="1">
        <v>4804011</v>
      </c>
      <c r="M4332" s="2">
        <v>42829</v>
      </c>
      <c r="N4332" s="1" t="s">
        <v>8</v>
      </c>
      <c r="O4332" s="2">
        <v>43925</v>
      </c>
    </row>
    <row r="4333" spans="1:15" ht="43.2" x14ac:dyDescent="0.3">
      <c r="A4333" s="1" t="s">
        <v>15512</v>
      </c>
      <c r="B4333" s="1" t="str">
        <f>"Pips Plant Hire"</f>
        <v>Pips Plant Hire</v>
      </c>
      <c r="C4333" s="1" t="s">
        <v>15513</v>
      </c>
      <c r="D4333" s="1" t="s">
        <v>955</v>
      </c>
      <c r="F4333" s="1" t="s">
        <v>445</v>
      </c>
      <c r="H4333" s="1" t="s">
        <v>15514</v>
      </c>
      <c r="I4333" s="1" t="s">
        <v>19</v>
      </c>
      <c r="J4333" s="1" t="s">
        <v>67</v>
      </c>
      <c r="K4333" s="1" t="s">
        <v>14</v>
      </c>
      <c r="M4333" s="2">
        <v>42829</v>
      </c>
      <c r="N4333" s="1" t="s">
        <v>8</v>
      </c>
      <c r="O4333" s="1" t="s">
        <v>68</v>
      </c>
    </row>
    <row r="4334" spans="1:15" ht="43.2" x14ac:dyDescent="0.3">
      <c r="A4334" s="1" t="s">
        <v>26929</v>
      </c>
      <c r="B4334" s="1" t="str">
        <f>"Robert Thatcher LITTLE RED TRACTOR COMPANY"</f>
        <v>Robert Thatcher LITTLE RED TRACTOR COMPANY</v>
      </c>
      <c r="C4334" s="1" t="s">
        <v>26930</v>
      </c>
      <c r="F4334" s="1" t="s">
        <v>198</v>
      </c>
      <c r="H4334" s="1" t="s">
        <v>26931</v>
      </c>
      <c r="I4334" s="1" t="s">
        <v>5</v>
      </c>
      <c r="J4334" s="1" t="s">
        <v>6</v>
      </c>
      <c r="K4334" s="1" t="s">
        <v>24</v>
      </c>
      <c r="M4334" s="2">
        <v>42829</v>
      </c>
      <c r="N4334" s="1" t="s">
        <v>8</v>
      </c>
      <c r="O4334" s="2">
        <v>43927</v>
      </c>
    </row>
    <row r="4335" spans="1:15" ht="28.8" x14ac:dyDescent="0.3">
      <c r="A4335" s="1" t="s">
        <v>26932</v>
      </c>
      <c r="B4335" s="1" t="str">
        <f>"michael jones mj scrap metal"</f>
        <v>michael jones mj scrap metal</v>
      </c>
      <c r="C4335" s="1" t="s">
        <v>26933</v>
      </c>
      <c r="F4335" s="1" t="s">
        <v>16099</v>
      </c>
      <c r="H4335" s="1" t="s">
        <v>26934</v>
      </c>
      <c r="I4335" s="1" t="s">
        <v>5</v>
      </c>
      <c r="J4335" s="1" t="s">
        <v>6</v>
      </c>
      <c r="K4335" s="1" t="s">
        <v>24</v>
      </c>
      <c r="M4335" s="2">
        <v>42829</v>
      </c>
      <c r="N4335" s="1" t="s">
        <v>8</v>
      </c>
      <c r="O4335" s="2">
        <v>43925</v>
      </c>
    </row>
    <row r="4336" spans="1:15" ht="28.8" x14ac:dyDescent="0.3">
      <c r="A4336" s="1" t="s">
        <v>26935</v>
      </c>
      <c r="B4336" s="1" t="str">
        <f>"Lee Clelland Mr Lee Clelland"</f>
        <v>Lee Clelland Mr Lee Clelland</v>
      </c>
      <c r="C4336" s="1" t="s">
        <v>26936</v>
      </c>
      <c r="F4336" s="1" t="s">
        <v>5110</v>
      </c>
      <c r="H4336" s="1" t="s">
        <v>26937</v>
      </c>
      <c r="I4336" s="1" t="s">
        <v>5</v>
      </c>
      <c r="J4336" s="1" t="s">
        <v>6</v>
      </c>
      <c r="K4336" s="1" t="s">
        <v>24</v>
      </c>
      <c r="M4336" s="2">
        <v>42829</v>
      </c>
      <c r="N4336" s="1" t="s">
        <v>8</v>
      </c>
      <c r="O4336" s="2">
        <v>43925</v>
      </c>
    </row>
    <row r="4337" spans="1:15" ht="43.2" x14ac:dyDescent="0.3">
      <c r="A4337" s="1" t="s">
        <v>27778</v>
      </c>
      <c r="B4337" s="1" t="str">
        <f>"Jayne Arrowsmith"</f>
        <v>Jayne Arrowsmith</v>
      </c>
      <c r="C4337" s="1" t="s">
        <v>27779</v>
      </c>
      <c r="F4337" s="1" t="s">
        <v>2277</v>
      </c>
      <c r="H4337" s="1" t="s">
        <v>27780</v>
      </c>
      <c r="I4337" s="1" t="s">
        <v>5</v>
      </c>
      <c r="J4337" s="1" t="s">
        <v>67</v>
      </c>
      <c r="K4337" s="1" t="s">
        <v>14</v>
      </c>
      <c r="M4337" s="2">
        <v>42829</v>
      </c>
      <c r="N4337" s="1" t="s">
        <v>8</v>
      </c>
      <c r="O4337" s="1" t="s">
        <v>68</v>
      </c>
    </row>
    <row r="4338" spans="1:15" ht="28.8" x14ac:dyDescent="0.3">
      <c r="A4338" s="1" t="s">
        <v>27781</v>
      </c>
      <c r="B4338" s="1" t="str">
        <f>"John Kearsley John Kearsley"</f>
        <v>John Kearsley John Kearsley</v>
      </c>
      <c r="C4338" s="1" t="s">
        <v>27782</v>
      </c>
      <c r="D4338" s="1" t="s">
        <v>27783</v>
      </c>
      <c r="F4338" s="1" t="s">
        <v>198</v>
      </c>
      <c r="H4338" s="1" t="s">
        <v>10010</v>
      </c>
      <c r="I4338" s="1" t="s">
        <v>5</v>
      </c>
      <c r="J4338" s="1" t="s">
        <v>6</v>
      </c>
      <c r="K4338" s="1" t="s">
        <v>24</v>
      </c>
      <c r="M4338" s="2">
        <v>42829</v>
      </c>
      <c r="N4338" s="1" t="s">
        <v>8</v>
      </c>
      <c r="O4338" s="2">
        <v>43925</v>
      </c>
    </row>
    <row r="4339" spans="1:15" ht="28.8" x14ac:dyDescent="0.3">
      <c r="A4339" s="1" t="s">
        <v>27784</v>
      </c>
      <c r="B4339" s="1" t="str">
        <f>"Philip Bailey P Bailey Roofing"</f>
        <v>Philip Bailey P Bailey Roofing</v>
      </c>
      <c r="C4339" s="1" t="s">
        <v>27785</v>
      </c>
      <c r="F4339" s="1" t="s">
        <v>457</v>
      </c>
      <c r="H4339" s="1" t="s">
        <v>27786</v>
      </c>
      <c r="I4339" s="1" t="s">
        <v>5</v>
      </c>
      <c r="J4339" s="1" t="s">
        <v>6</v>
      </c>
      <c r="K4339" s="1" t="s">
        <v>24</v>
      </c>
      <c r="M4339" s="2">
        <v>42829</v>
      </c>
      <c r="N4339" s="1" t="s">
        <v>8</v>
      </c>
      <c r="O4339" s="2">
        <v>43925</v>
      </c>
    </row>
    <row r="4340" spans="1:15" ht="43.2" x14ac:dyDescent="0.3">
      <c r="A4340" s="1" t="s">
        <v>27787</v>
      </c>
      <c r="B4340" s="1" t="str">
        <f>"Balwinder  Kaur"</f>
        <v>Balwinder  Kaur</v>
      </c>
      <c r="C4340" s="1" t="s">
        <v>27788</v>
      </c>
      <c r="F4340" s="1" t="s">
        <v>27789</v>
      </c>
      <c r="H4340" s="1" t="s">
        <v>27790</v>
      </c>
      <c r="I4340" s="1" t="s">
        <v>5</v>
      </c>
      <c r="J4340" s="1" t="s">
        <v>67</v>
      </c>
      <c r="K4340" s="1" t="s">
        <v>14</v>
      </c>
      <c r="M4340" s="2">
        <v>42829</v>
      </c>
      <c r="N4340" s="1" t="s">
        <v>8</v>
      </c>
      <c r="O4340" s="1" t="s">
        <v>68</v>
      </c>
    </row>
    <row r="4341" spans="1:15" ht="43.2" x14ac:dyDescent="0.3">
      <c r="A4341" s="1" t="s">
        <v>13778</v>
      </c>
      <c r="B4341" s="1" t="str">
        <f>"J J JONES (WHOLESALE COAL MERCHANTS) LTD"</f>
        <v>J J JONES (WHOLESALE COAL MERCHANTS) LTD</v>
      </c>
      <c r="C4341" s="1" t="s">
        <v>13779</v>
      </c>
      <c r="D4341" s="1" t="s">
        <v>13780</v>
      </c>
      <c r="F4341" s="1" t="s">
        <v>13781</v>
      </c>
      <c r="H4341" s="1" t="s">
        <v>13782</v>
      </c>
      <c r="I4341" s="1" t="s">
        <v>19</v>
      </c>
      <c r="J4341" s="1" t="s">
        <v>6</v>
      </c>
      <c r="K4341" s="1" t="s">
        <v>34</v>
      </c>
      <c r="L4341" s="1">
        <v>7102939</v>
      </c>
      <c r="M4341" s="2">
        <v>42828</v>
      </c>
      <c r="N4341" s="1" t="s">
        <v>8</v>
      </c>
      <c r="O4341" s="2">
        <v>43924</v>
      </c>
    </row>
    <row r="4342" spans="1:15" ht="43.2" x14ac:dyDescent="0.3">
      <c r="A4342" s="1" t="s">
        <v>13783</v>
      </c>
      <c r="B4342" s="1" t="str">
        <f>"Excel Precision Engineering Services Ltd."</f>
        <v>Excel Precision Engineering Services Ltd.</v>
      </c>
      <c r="C4342" s="1" t="s">
        <v>13784</v>
      </c>
      <c r="F4342" s="1" t="s">
        <v>42</v>
      </c>
      <c r="H4342" s="1" t="s">
        <v>43</v>
      </c>
      <c r="I4342" s="1" t="s">
        <v>19</v>
      </c>
      <c r="J4342" s="1" t="s">
        <v>67</v>
      </c>
      <c r="K4342" s="1" t="s">
        <v>24</v>
      </c>
      <c r="L4342" s="1">
        <v>2923936</v>
      </c>
      <c r="M4342" s="2">
        <v>42828</v>
      </c>
      <c r="N4342" s="1" t="s">
        <v>8</v>
      </c>
      <c r="O4342" s="1" t="s">
        <v>68</v>
      </c>
    </row>
    <row r="4343" spans="1:15" ht="43.2" x14ac:dyDescent="0.3">
      <c r="A4343" s="1" t="s">
        <v>13785</v>
      </c>
      <c r="B4343" s="1" t="str">
        <f>"Carpet Man Wandsworth"</f>
        <v>Carpet Man Wandsworth</v>
      </c>
      <c r="C4343" s="1" t="s">
        <v>13786</v>
      </c>
      <c r="F4343" s="1" t="s">
        <v>170</v>
      </c>
      <c r="H4343" s="1" t="s">
        <v>13787</v>
      </c>
      <c r="I4343" s="1" t="s">
        <v>19</v>
      </c>
      <c r="J4343" s="1" t="s">
        <v>67</v>
      </c>
      <c r="K4343" s="1" t="s">
        <v>14</v>
      </c>
      <c r="M4343" s="2">
        <v>42828</v>
      </c>
      <c r="N4343" s="1" t="s">
        <v>8</v>
      </c>
      <c r="O4343" s="1" t="s">
        <v>68</v>
      </c>
    </row>
    <row r="4344" spans="1:15" ht="43.2" x14ac:dyDescent="0.3">
      <c r="A4344" s="1" t="s">
        <v>13788</v>
      </c>
      <c r="B4344" s="1" t="str">
        <f>"J.Harries Electrical"</f>
        <v>J.Harries Electrical</v>
      </c>
      <c r="C4344" s="1" t="s">
        <v>13789</v>
      </c>
      <c r="F4344" s="1" t="s">
        <v>1991</v>
      </c>
      <c r="H4344" s="1" t="s">
        <v>13790</v>
      </c>
      <c r="I4344" s="1" t="s">
        <v>19</v>
      </c>
      <c r="J4344" s="1" t="s">
        <v>67</v>
      </c>
      <c r="K4344" s="1" t="s">
        <v>14</v>
      </c>
      <c r="M4344" s="2">
        <v>42828</v>
      </c>
      <c r="N4344" s="1" t="s">
        <v>8</v>
      </c>
      <c r="O4344" s="1" t="s">
        <v>68</v>
      </c>
    </row>
    <row r="4345" spans="1:15" ht="43.2" x14ac:dyDescent="0.3">
      <c r="A4345" s="1" t="s">
        <v>14599</v>
      </c>
      <c r="B4345" s="1" t="str">
        <f>"Arcadia Ryde Ltd"</f>
        <v>Arcadia Ryde Ltd</v>
      </c>
      <c r="C4345" s="1" t="s">
        <v>14600</v>
      </c>
      <c r="F4345" s="1" t="s">
        <v>14601</v>
      </c>
      <c r="H4345" s="1" t="s">
        <v>14602</v>
      </c>
      <c r="I4345" s="1" t="s">
        <v>19</v>
      </c>
      <c r="J4345" s="1" t="s">
        <v>67</v>
      </c>
      <c r="K4345" s="1" t="s">
        <v>14</v>
      </c>
      <c r="M4345" s="2">
        <v>42828</v>
      </c>
      <c r="N4345" s="1" t="s">
        <v>8</v>
      </c>
      <c r="O4345" s="1" t="s">
        <v>68</v>
      </c>
    </row>
    <row r="4346" spans="1:15" ht="43.2" x14ac:dyDescent="0.3">
      <c r="A4346" s="1" t="s">
        <v>26214</v>
      </c>
      <c r="B4346" s="1" t="str">
        <f>"David Patrick  Morgan Dai morgans garden services"</f>
        <v>David Patrick  Morgan Dai morgans garden services</v>
      </c>
      <c r="C4346" s="1" t="s">
        <v>26215</v>
      </c>
      <c r="F4346" s="1" t="s">
        <v>865</v>
      </c>
      <c r="H4346" s="1" t="s">
        <v>26216</v>
      </c>
      <c r="I4346" s="1" t="s">
        <v>5</v>
      </c>
      <c r="J4346" s="1" t="s">
        <v>6</v>
      </c>
      <c r="K4346" s="1" t="s">
        <v>34</v>
      </c>
      <c r="M4346" s="2">
        <v>42828</v>
      </c>
      <c r="N4346" s="1" t="s">
        <v>8</v>
      </c>
      <c r="O4346" s="2">
        <v>43924</v>
      </c>
    </row>
    <row r="4347" spans="1:15" ht="28.8" x14ac:dyDescent="0.3">
      <c r="A4347" s="1" t="s">
        <v>26926</v>
      </c>
      <c r="B4347" s="1" t="str">
        <f>"PETER CAVE MR PETER CAVE"</f>
        <v>PETER CAVE MR PETER CAVE</v>
      </c>
      <c r="C4347" s="1" t="s">
        <v>26927</v>
      </c>
      <c r="F4347" s="1" t="s">
        <v>103</v>
      </c>
      <c r="H4347" s="1" t="s">
        <v>26928</v>
      </c>
      <c r="I4347" s="1" t="s">
        <v>5</v>
      </c>
      <c r="J4347" s="1" t="s">
        <v>6</v>
      </c>
      <c r="K4347" s="1" t="s">
        <v>24</v>
      </c>
      <c r="M4347" s="2">
        <v>42828</v>
      </c>
      <c r="N4347" s="1" t="s">
        <v>8</v>
      </c>
      <c r="O4347" s="2">
        <v>43924</v>
      </c>
    </row>
    <row r="4348" spans="1:15" x14ac:dyDescent="0.3">
      <c r="A4348" s="1" t="s">
        <v>13765</v>
      </c>
      <c r="B4348" s="1" t="str">
        <f>"Maidment Flooring Ltd."</f>
        <v>Maidment Flooring Ltd.</v>
      </c>
      <c r="C4348" s="1" t="s">
        <v>13766</v>
      </c>
      <c r="F4348" s="1" t="s">
        <v>27</v>
      </c>
      <c r="H4348" s="1" t="s">
        <v>13767</v>
      </c>
      <c r="I4348" s="1" t="s">
        <v>19</v>
      </c>
      <c r="J4348" s="1" t="s">
        <v>6</v>
      </c>
      <c r="K4348" s="1" t="s">
        <v>24</v>
      </c>
      <c r="L4348" s="1">
        <v>4544252</v>
      </c>
      <c r="M4348" s="2">
        <v>42827</v>
      </c>
      <c r="N4348" s="1" t="s">
        <v>8</v>
      </c>
      <c r="O4348" s="2">
        <v>43923</v>
      </c>
    </row>
    <row r="4349" spans="1:15" ht="43.2" x14ac:dyDescent="0.3">
      <c r="A4349" s="1" t="s">
        <v>13768</v>
      </c>
      <c r="B4349" s="1" t="str">
        <f>"Nicks Garden services limited "</f>
        <v xml:space="preserve">Nicks Garden services limited </v>
      </c>
      <c r="C4349" s="1" t="s">
        <v>13769</v>
      </c>
      <c r="F4349" s="1" t="s">
        <v>13770</v>
      </c>
      <c r="H4349" s="1" t="s">
        <v>13771</v>
      </c>
      <c r="I4349" s="1" t="s">
        <v>19</v>
      </c>
      <c r="J4349" s="1" t="s">
        <v>67</v>
      </c>
      <c r="K4349" s="1" t="s">
        <v>14</v>
      </c>
      <c r="M4349" s="2">
        <v>42827</v>
      </c>
      <c r="N4349" s="1" t="s">
        <v>8</v>
      </c>
      <c r="O4349" s="1" t="s">
        <v>68</v>
      </c>
    </row>
    <row r="4350" spans="1:15" ht="43.2" x14ac:dyDescent="0.3">
      <c r="A4350" s="1" t="s">
        <v>13772</v>
      </c>
      <c r="B4350" s="1" t="str">
        <f>"B. A. Morgan LTD "</f>
        <v xml:space="preserve">B. A. Morgan LTD </v>
      </c>
      <c r="C4350" s="1" t="s">
        <v>13773</v>
      </c>
      <c r="F4350" s="1" t="s">
        <v>5683</v>
      </c>
      <c r="H4350" s="1" t="s">
        <v>13774</v>
      </c>
      <c r="I4350" s="1" t="s">
        <v>19</v>
      </c>
      <c r="J4350" s="1" t="s">
        <v>67</v>
      </c>
      <c r="K4350" s="1" t="s">
        <v>14</v>
      </c>
      <c r="M4350" s="2">
        <v>42827</v>
      </c>
      <c r="N4350" s="1" t="s">
        <v>8</v>
      </c>
      <c r="O4350" s="1" t="s">
        <v>68</v>
      </c>
    </row>
    <row r="4351" spans="1:15" ht="43.2" x14ac:dyDescent="0.3">
      <c r="A4351" s="1" t="s">
        <v>13775</v>
      </c>
      <c r="B4351" s="1" t="str">
        <f>"Dyfed Gardening Services"</f>
        <v>Dyfed Gardening Services</v>
      </c>
      <c r="C4351" s="1" t="s">
        <v>13776</v>
      </c>
      <c r="F4351" s="1" t="s">
        <v>1385</v>
      </c>
      <c r="H4351" s="1" t="s">
        <v>13777</v>
      </c>
      <c r="I4351" s="1" t="s">
        <v>125</v>
      </c>
      <c r="J4351" s="1" t="s">
        <v>67</v>
      </c>
      <c r="K4351" s="1" t="s">
        <v>14</v>
      </c>
      <c r="M4351" s="2">
        <v>42827</v>
      </c>
      <c r="N4351" s="1" t="s">
        <v>8</v>
      </c>
      <c r="O4351" s="1" t="s">
        <v>68</v>
      </c>
    </row>
    <row r="4352" spans="1:15" ht="43.2" x14ac:dyDescent="0.3">
      <c r="A4352" s="1" t="s">
        <v>26203</v>
      </c>
      <c r="B4352" s="1" t="str">
        <f>"Andrew Price"</f>
        <v>Andrew Price</v>
      </c>
      <c r="C4352" s="1" t="s">
        <v>26204</v>
      </c>
      <c r="F4352" s="1" t="s">
        <v>174</v>
      </c>
      <c r="H4352" s="1" t="s">
        <v>26205</v>
      </c>
      <c r="I4352" s="1" t="s">
        <v>5</v>
      </c>
      <c r="J4352" s="1" t="s">
        <v>67</v>
      </c>
      <c r="K4352" s="1" t="s">
        <v>14</v>
      </c>
      <c r="M4352" s="2">
        <v>42827</v>
      </c>
      <c r="N4352" s="1" t="s">
        <v>8</v>
      </c>
      <c r="O4352" s="1" t="s">
        <v>68</v>
      </c>
    </row>
    <row r="4353" spans="1:15" ht="43.2" x14ac:dyDescent="0.3">
      <c r="A4353" s="1" t="s">
        <v>26206</v>
      </c>
      <c r="B4353" s="1" t="str">
        <f>"Andrew Mitchell Andrew Mitchell garden &amp; home maint"</f>
        <v>Andrew Mitchell Andrew Mitchell garden &amp; home maint</v>
      </c>
      <c r="C4353" s="1" t="s">
        <v>26207</v>
      </c>
      <c r="F4353" s="1" t="s">
        <v>9261</v>
      </c>
      <c r="H4353" s="1" t="s">
        <v>26208</v>
      </c>
      <c r="I4353" s="1" t="s">
        <v>5</v>
      </c>
      <c r="J4353" s="1" t="s">
        <v>6</v>
      </c>
      <c r="K4353" s="1" t="s">
        <v>34</v>
      </c>
      <c r="M4353" s="2">
        <v>42827</v>
      </c>
      <c r="N4353" s="1" t="s">
        <v>8</v>
      </c>
      <c r="O4353" s="2">
        <v>43923</v>
      </c>
    </row>
    <row r="4354" spans="1:15" ht="28.8" x14ac:dyDescent="0.3">
      <c r="A4354" s="1" t="s">
        <v>26209</v>
      </c>
      <c r="B4354" s="1" t="str">
        <f>"Martin  Dykstra Vision X Group"</f>
        <v>Martin  Dykstra Vision X Group</v>
      </c>
      <c r="C4354" s="1" t="s">
        <v>26210</v>
      </c>
      <c r="F4354" s="1" t="s">
        <v>865</v>
      </c>
      <c r="H4354" s="1" t="s">
        <v>5871</v>
      </c>
      <c r="I4354" s="1" t="s">
        <v>5</v>
      </c>
      <c r="J4354" s="1" t="s">
        <v>6</v>
      </c>
      <c r="K4354" s="1" t="s">
        <v>34</v>
      </c>
      <c r="M4354" s="2">
        <v>42827</v>
      </c>
      <c r="N4354" s="1" t="s">
        <v>8</v>
      </c>
      <c r="O4354" s="2">
        <v>43923</v>
      </c>
    </row>
    <row r="4355" spans="1:15" ht="43.2" x14ac:dyDescent="0.3">
      <c r="A4355" s="1" t="s">
        <v>26211</v>
      </c>
      <c r="B4355" s="1" t="str">
        <f>"Ryan Jenkins"</f>
        <v>Ryan Jenkins</v>
      </c>
      <c r="C4355" s="1" t="s">
        <v>26212</v>
      </c>
      <c r="F4355" s="1" t="s">
        <v>17</v>
      </c>
      <c r="H4355" s="1" t="s">
        <v>26213</v>
      </c>
      <c r="I4355" s="1" t="s">
        <v>5</v>
      </c>
      <c r="J4355" s="1" t="s">
        <v>67</v>
      </c>
      <c r="K4355" s="1" t="s">
        <v>14</v>
      </c>
      <c r="M4355" s="2">
        <v>42827</v>
      </c>
      <c r="N4355" s="1" t="s">
        <v>8</v>
      </c>
      <c r="O4355" s="1" t="s">
        <v>68</v>
      </c>
    </row>
    <row r="4356" spans="1:15" ht="28.8" x14ac:dyDescent="0.3">
      <c r="A4356" s="1" t="s">
        <v>26194</v>
      </c>
      <c r="B4356" s="1" t="str">
        <f>"Alan Watson A M Wastson"</f>
        <v>Alan Watson A M Wastson</v>
      </c>
      <c r="C4356" s="1" t="s">
        <v>26195</v>
      </c>
      <c r="F4356" s="1" t="s">
        <v>9261</v>
      </c>
      <c r="H4356" s="1" t="s">
        <v>26196</v>
      </c>
      <c r="I4356" s="1" t="s">
        <v>5</v>
      </c>
      <c r="J4356" s="1" t="s">
        <v>6</v>
      </c>
      <c r="K4356" s="1" t="s">
        <v>24</v>
      </c>
      <c r="M4356" s="2">
        <v>42826</v>
      </c>
      <c r="N4356" s="1" t="s">
        <v>8</v>
      </c>
      <c r="O4356" s="2">
        <v>43922</v>
      </c>
    </row>
    <row r="4357" spans="1:15" ht="43.2" x14ac:dyDescent="0.3">
      <c r="A4357" s="1" t="s">
        <v>26197</v>
      </c>
      <c r="B4357" s="1" t="str">
        <f>"William  Morrissey  Liam Morrissey Contractors "</f>
        <v xml:space="preserve">William  Morrissey  Liam Morrissey Contractors </v>
      </c>
      <c r="C4357" s="1" t="s">
        <v>26198</v>
      </c>
      <c r="F4357" s="1" t="s">
        <v>4831</v>
      </c>
      <c r="H4357" s="1" t="s">
        <v>26199</v>
      </c>
      <c r="I4357" s="1" t="s">
        <v>5</v>
      </c>
      <c r="J4357" s="1" t="s">
        <v>6</v>
      </c>
      <c r="K4357" s="1" t="s">
        <v>34</v>
      </c>
      <c r="M4357" s="2">
        <v>42826</v>
      </c>
      <c r="N4357" s="1" t="s">
        <v>8</v>
      </c>
      <c r="O4357" s="2">
        <v>43922</v>
      </c>
    </row>
    <row r="4358" spans="1:15" ht="28.8" x14ac:dyDescent="0.3">
      <c r="A4358" s="1" t="s">
        <v>26200</v>
      </c>
      <c r="B4358" s="1" t="str">
        <f>"dariusz kandula  DK.Windows "</f>
        <v xml:space="preserve">dariusz kandula  DK.Windows </v>
      </c>
      <c r="C4358" s="1" t="s">
        <v>26201</v>
      </c>
      <c r="F4358" s="1" t="s">
        <v>7211</v>
      </c>
      <c r="H4358" s="1" t="s">
        <v>26202</v>
      </c>
      <c r="I4358" s="1" t="s">
        <v>5</v>
      </c>
      <c r="J4358" s="1" t="s">
        <v>6</v>
      </c>
      <c r="K4358" s="1" t="s">
        <v>24</v>
      </c>
      <c r="M4358" s="2">
        <v>42826</v>
      </c>
      <c r="N4358" s="1" t="s">
        <v>8</v>
      </c>
      <c r="O4358" s="2">
        <v>43922</v>
      </c>
    </row>
    <row r="4359" spans="1:15" ht="43.2" x14ac:dyDescent="0.3">
      <c r="A4359" s="1" t="s">
        <v>12699</v>
      </c>
      <c r="B4359" s="1" t="str">
        <f>"Trefalun ltd"</f>
        <v>Trefalun ltd</v>
      </c>
      <c r="C4359" s="1" t="s">
        <v>12700</v>
      </c>
      <c r="F4359" s="1" t="s">
        <v>714</v>
      </c>
      <c r="H4359" s="1" t="s">
        <v>12701</v>
      </c>
      <c r="I4359" s="1" t="s">
        <v>19</v>
      </c>
      <c r="J4359" s="1" t="s">
        <v>67</v>
      </c>
      <c r="K4359" s="1" t="s">
        <v>14</v>
      </c>
      <c r="M4359" s="2">
        <v>42825</v>
      </c>
      <c r="N4359" s="1" t="s">
        <v>8</v>
      </c>
      <c r="O4359" s="1" t="s">
        <v>68</v>
      </c>
    </row>
    <row r="4360" spans="1:15" ht="28.8" x14ac:dyDescent="0.3">
      <c r="A4360" s="1" t="s">
        <v>12702</v>
      </c>
      <c r="B4360" s="1" t="str">
        <f>"Smart Seal Paving"</f>
        <v>Smart Seal Paving</v>
      </c>
      <c r="C4360" s="1" t="s">
        <v>12703</v>
      </c>
      <c r="F4360" s="1" t="s">
        <v>65</v>
      </c>
      <c r="H4360" s="1" t="s">
        <v>12704</v>
      </c>
      <c r="I4360" s="1" t="s">
        <v>125</v>
      </c>
      <c r="J4360" s="1" t="s">
        <v>6</v>
      </c>
      <c r="K4360" s="1" t="s">
        <v>24</v>
      </c>
      <c r="M4360" s="2">
        <v>42825</v>
      </c>
      <c r="N4360" s="1" t="s">
        <v>8</v>
      </c>
      <c r="O4360" s="2">
        <v>43932</v>
      </c>
    </row>
    <row r="4361" spans="1:15" x14ac:dyDescent="0.3">
      <c r="A4361" s="1" t="s">
        <v>12705</v>
      </c>
      <c r="B4361" s="1" t="str">
        <f>"CLASSY CLEAN UK LTD "</f>
        <v xml:space="preserve">CLASSY CLEAN UK LTD </v>
      </c>
      <c r="C4361" s="1" t="s">
        <v>12706</v>
      </c>
      <c r="F4361" s="1" t="s">
        <v>457</v>
      </c>
      <c r="H4361" s="1" t="s">
        <v>12707</v>
      </c>
      <c r="I4361" s="1" t="s">
        <v>19</v>
      </c>
      <c r="J4361" s="1" t="s">
        <v>6</v>
      </c>
      <c r="K4361" s="1" t="s">
        <v>24</v>
      </c>
      <c r="L4361" s="1">
        <v>9499174</v>
      </c>
      <c r="M4361" s="2">
        <v>42825</v>
      </c>
      <c r="N4361" s="1" t="s">
        <v>8</v>
      </c>
      <c r="O4361" s="2">
        <v>43921</v>
      </c>
    </row>
    <row r="4362" spans="1:15" ht="28.8" x14ac:dyDescent="0.3">
      <c r="A4362" s="1" t="s">
        <v>25481</v>
      </c>
      <c r="B4362" s="1" t="str">
        <f>"stefan  jarman STEFAN JARMAN"</f>
        <v>stefan  jarman STEFAN JARMAN</v>
      </c>
      <c r="C4362" s="1" t="s">
        <v>25482</v>
      </c>
      <c r="F4362" s="1" t="s">
        <v>1175</v>
      </c>
      <c r="H4362" s="1" t="s">
        <v>25483</v>
      </c>
      <c r="I4362" s="1" t="s">
        <v>5</v>
      </c>
      <c r="J4362" s="1" t="s">
        <v>6</v>
      </c>
      <c r="K4362" s="1" t="s">
        <v>24</v>
      </c>
      <c r="M4362" s="2">
        <v>42825</v>
      </c>
      <c r="N4362" s="1" t="s">
        <v>8</v>
      </c>
      <c r="O4362" s="2">
        <v>43921</v>
      </c>
    </row>
    <row r="4363" spans="1:15" ht="28.8" x14ac:dyDescent="0.3">
      <c r="A4363" s="1" t="s">
        <v>11725</v>
      </c>
      <c r="B4363" s="1" t="str">
        <f>"Alan Hill Window Systems"</f>
        <v>Alan Hill Window Systems</v>
      </c>
      <c r="C4363" s="1" t="s">
        <v>11726</v>
      </c>
      <c r="F4363" s="1" t="s">
        <v>103</v>
      </c>
      <c r="H4363" s="1" t="s">
        <v>2607</v>
      </c>
      <c r="I4363" s="1" t="s">
        <v>19</v>
      </c>
      <c r="J4363" s="1" t="s">
        <v>6</v>
      </c>
      <c r="K4363" s="1" t="s">
        <v>24</v>
      </c>
      <c r="L4363" s="1">
        <v>8993458</v>
      </c>
      <c r="M4363" s="2">
        <v>42824</v>
      </c>
      <c r="N4363" s="1" t="s">
        <v>8</v>
      </c>
      <c r="O4363" s="2">
        <v>43920</v>
      </c>
    </row>
    <row r="4364" spans="1:15" ht="43.2" x14ac:dyDescent="0.3">
      <c r="A4364" s="1" t="s">
        <v>11727</v>
      </c>
      <c r="B4364" s="1" t="str">
        <f>"R. N. ROBERTS (LLANEDEYRN) LTD"</f>
        <v>R. N. ROBERTS (LLANEDEYRN) LTD</v>
      </c>
      <c r="C4364" s="1" t="s">
        <v>11728</v>
      </c>
      <c r="D4364" s="1" t="s">
        <v>11729</v>
      </c>
      <c r="F4364" s="1" t="s">
        <v>1137</v>
      </c>
      <c r="H4364" s="1" t="s">
        <v>11730</v>
      </c>
      <c r="I4364" s="1" t="s">
        <v>19</v>
      </c>
      <c r="J4364" s="1" t="s">
        <v>67</v>
      </c>
      <c r="K4364" s="1" t="s">
        <v>14</v>
      </c>
      <c r="M4364" s="2">
        <v>42824</v>
      </c>
      <c r="N4364" s="1" t="s">
        <v>8</v>
      </c>
      <c r="O4364" s="1" t="s">
        <v>68</v>
      </c>
    </row>
    <row r="4365" spans="1:15" ht="28.8" x14ac:dyDescent="0.3">
      <c r="A4365" s="1" t="s">
        <v>12683</v>
      </c>
      <c r="B4365" s="1" t="str">
        <f>"Phoenix Building Services"</f>
        <v>Phoenix Building Services</v>
      </c>
      <c r="C4365" s="1" t="s">
        <v>12684</v>
      </c>
      <c r="F4365" s="1" t="s">
        <v>65</v>
      </c>
      <c r="H4365" s="1" t="s">
        <v>4762</v>
      </c>
      <c r="I4365" s="1" t="s">
        <v>19</v>
      </c>
      <c r="J4365" s="1" t="s">
        <v>6</v>
      </c>
      <c r="K4365" s="1" t="s">
        <v>34</v>
      </c>
      <c r="L4365" s="1">
        <v>4519309</v>
      </c>
      <c r="M4365" s="2">
        <v>42824</v>
      </c>
      <c r="N4365" s="1" t="s">
        <v>8</v>
      </c>
      <c r="O4365" s="2">
        <v>43920</v>
      </c>
    </row>
    <row r="4366" spans="1:15" ht="28.8" x14ac:dyDescent="0.3">
      <c r="A4366" s="1" t="s">
        <v>12685</v>
      </c>
      <c r="B4366" s="1" t="str">
        <f>"Co-Options Ltd."</f>
        <v>Co-Options Ltd.</v>
      </c>
      <c r="C4366" s="1" t="s">
        <v>12686</v>
      </c>
      <c r="D4366" s="1" t="s">
        <v>476</v>
      </c>
      <c r="F4366" s="1" t="s">
        <v>73</v>
      </c>
      <c r="H4366" s="1" t="s">
        <v>8030</v>
      </c>
      <c r="I4366" s="1" t="s">
        <v>19</v>
      </c>
      <c r="J4366" s="1" t="s">
        <v>6</v>
      </c>
      <c r="K4366" s="1" t="s">
        <v>24</v>
      </c>
      <c r="L4366" s="1">
        <v>2419790</v>
      </c>
      <c r="M4366" s="2">
        <v>42824</v>
      </c>
      <c r="N4366" s="1" t="s">
        <v>8</v>
      </c>
      <c r="O4366" s="2">
        <v>43920</v>
      </c>
    </row>
    <row r="4367" spans="1:15" ht="28.8" x14ac:dyDescent="0.3">
      <c r="A4367" s="1" t="s">
        <v>12687</v>
      </c>
      <c r="B4367" s="1" t="str">
        <f>"D.R.G. Rennie &amp; Son"</f>
        <v>D.R.G. Rennie &amp; Son</v>
      </c>
      <c r="C4367" s="1" t="s">
        <v>12688</v>
      </c>
      <c r="F4367" s="1" t="s">
        <v>198</v>
      </c>
      <c r="H4367" s="1" t="s">
        <v>12689</v>
      </c>
      <c r="I4367" s="1" t="s">
        <v>125</v>
      </c>
      <c r="J4367" s="1" t="s">
        <v>6</v>
      </c>
      <c r="K4367" s="1" t="s">
        <v>24</v>
      </c>
      <c r="M4367" s="2">
        <v>42824</v>
      </c>
      <c r="N4367" s="1" t="s">
        <v>8</v>
      </c>
      <c r="O4367" s="2">
        <v>43920</v>
      </c>
    </row>
    <row r="4368" spans="1:15" ht="28.8" x14ac:dyDescent="0.3">
      <c r="A4368" s="1" t="s">
        <v>12690</v>
      </c>
      <c r="B4368" s="1" t="str">
        <f>"Greener Estates limited"</f>
        <v>Greener Estates limited</v>
      </c>
      <c r="C4368" s="1" t="s">
        <v>12691</v>
      </c>
      <c r="F4368" s="1" t="s">
        <v>298</v>
      </c>
      <c r="H4368" s="1" t="s">
        <v>12692</v>
      </c>
      <c r="I4368" s="1" t="s">
        <v>19</v>
      </c>
      <c r="J4368" s="1" t="s">
        <v>6</v>
      </c>
      <c r="K4368" s="1" t="s">
        <v>34</v>
      </c>
      <c r="L4368" s="1">
        <v>9048149</v>
      </c>
      <c r="M4368" s="2">
        <v>42824</v>
      </c>
      <c r="N4368" s="1" t="s">
        <v>8</v>
      </c>
      <c r="O4368" s="2">
        <v>43920</v>
      </c>
    </row>
    <row r="4369" spans="1:15" ht="28.8" x14ac:dyDescent="0.3">
      <c r="A4369" s="1" t="s">
        <v>12693</v>
      </c>
      <c r="B4369" s="1" t="str">
        <f>"WW Building Services"</f>
        <v>WW Building Services</v>
      </c>
      <c r="C4369" s="1" t="s">
        <v>12694</v>
      </c>
      <c r="F4369" s="1" t="s">
        <v>27</v>
      </c>
      <c r="H4369" s="1" t="s">
        <v>12695</v>
      </c>
      <c r="I4369" s="1" t="s">
        <v>125</v>
      </c>
      <c r="J4369" s="1" t="s">
        <v>6</v>
      </c>
      <c r="K4369" s="1" t="s">
        <v>24</v>
      </c>
      <c r="M4369" s="2">
        <v>42824</v>
      </c>
      <c r="N4369" s="1" t="s">
        <v>8</v>
      </c>
      <c r="O4369" s="2">
        <v>43940</v>
      </c>
    </row>
    <row r="4370" spans="1:15" ht="28.8" x14ac:dyDescent="0.3">
      <c r="A4370" s="1" t="s">
        <v>12696</v>
      </c>
      <c r="B4370" s="1" t="str">
        <f>"J J Heating Services Ltd"</f>
        <v>J J Heating Services Ltd</v>
      </c>
      <c r="C4370" s="1" t="s">
        <v>12697</v>
      </c>
      <c r="F4370" s="1" t="s">
        <v>2504</v>
      </c>
      <c r="H4370" s="1" t="s">
        <v>12698</v>
      </c>
      <c r="I4370" s="1" t="s">
        <v>19</v>
      </c>
      <c r="J4370" s="1" t="s">
        <v>6</v>
      </c>
      <c r="K4370" s="1" t="s">
        <v>34</v>
      </c>
      <c r="L4370" s="1">
        <v>9971191</v>
      </c>
      <c r="M4370" s="2">
        <v>42824</v>
      </c>
      <c r="N4370" s="1" t="s">
        <v>8</v>
      </c>
      <c r="O4370" s="2">
        <v>43920</v>
      </c>
    </row>
    <row r="4371" spans="1:15" ht="43.2" x14ac:dyDescent="0.3">
      <c r="A4371" s="1" t="s">
        <v>24670</v>
      </c>
      <c r="B4371" s="1" t="str">
        <f>"Paul Pietrzyba"</f>
        <v>Paul Pietrzyba</v>
      </c>
      <c r="C4371" s="1" t="s">
        <v>24671</v>
      </c>
      <c r="F4371" s="1" t="s">
        <v>22418</v>
      </c>
      <c r="H4371" s="1" t="s">
        <v>24672</v>
      </c>
      <c r="I4371" s="1" t="s">
        <v>5</v>
      </c>
      <c r="J4371" s="1" t="s">
        <v>67</v>
      </c>
      <c r="K4371" s="1" t="s">
        <v>14</v>
      </c>
      <c r="M4371" s="2">
        <v>42824</v>
      </c>
      <c r="N4371" s="1" t="s">
        <v>8</v>
      </c>
      <c r="O4371" s="1" t="s">
        <v>68</v>
      </c>
    </row>
    <row r="4372" spans="1:15" ht="43.2" x14ac:dyDescent="0.3">
      <c r="A4372" s="1" t="s">
        <v>24673</v>
      </c>
      <c r="B4372" s="1" t="str">
        <f>"Graham Williams Graham Williams Plant Hire &amp; Haulage"</f>
        <v>Graham Williams Graham Williams Plant Hire &amp; Haulage</v>
      </c>
      <c r="C4372" s="1" t="s">
        <v>24674</v>
      </c>
      <c r="F4372" s="1" t="s">
        <v>42</v>
      </c>
      <c r="H4372" s="1" t="s">
        <v>24675</v>
      </c>
      <c r="I4372" s="1" t="s">
        <v>5</v>
      </c>
      <c r="J4372" s="1" t="s">
        <v>6</v>
      </c>
      <c r="K4372" s="1" t="s">
        <v>24</v>
      </c>
      <c r="M4372" s="2">
        <v>42824</v>
      </c>
      <c r="N4372" s="1" t="s">
        <v>8</v>
      </c>
      <c r="O4372" s="2">
        <v>43920</v>
      </c>
    </row>
    <row r="4373" spans="1:15" ht="43.2" x14ac:dyDescent="0.3">
      <c r="A4373" s="1" t="s">
        <v>25469</v>
      </c>
      <c r="B4373" s="1" t="str">
        <f>"Dean Escott"</f>
        <v>Dean Escott</v>
      </c>
      <c r="C4373" s="1" t="s">
        <v>25470</v>
      </c>
      <c r="F4373" s="1" t="s">
        <v>27</v>
      </c>
      <c r="H4373" s="1" t="s">
        <v>25471</v>
      </c>
      <c r="I4373" s="1" t="s">
        <v>5</v>
      </c>
      <c r="J4373" s="1" t="s">
        <v>67</v>
      </c>
      <c r="K4373" s="1" t="s">
        <v>14</v>
      </c>
      <c r="M4373" s="2">
        <v>42824</v>
      </c>
      <c r="N4373" s="1" t="s">
        <v>8</v>
      </c>
      <c r="O4373" s="1" t="s">
        <v>68</v>
      </c>
    </row>
    <row r="4374" spans="1:15" ht="28.8" x14ac:dyDescent="0.3">
      <c r="A4374" s="1" t="s">
        <v>25472</v>
      </c>
      <c r="B4374" s="1" t="str">
        <f>"Andrew Tobin Andrew Tobin Garden Services"</f>
        <v>Andrew Tobin Andrew Tobin Garden Services</v>
      </c>
      <c r="C4374" s="1" t="s">
        <v>19055</v>
      </c>
      <c r="F4374" s="1" t="s">
        <v>27</v>
      </c>
      <c r="H4374" s="1" t="s">
        <v>19056</v>
      </c>
      <c r="I4374" s="1" t="s">
        <v>5</v>
      </c>
      <c r="J4374" s="1" t="s">
        <v>6</v>
      </c>
      <c r="K4374" s="1" t="s">
        <v>24</v>
      </c>
      <c r="M4374" s="2">
        <v>42824</v>
      </c>
      <c r="N4374" s="1" t="s">
        <v>8</v>
      </c>
      <c r="O4374" s="2">
        <v>43920</v>
      </c>
    </row>
    <row r="4375" spans="1:15" ht="43.2" x14ac:dyDescent="0.3">
      <c r="A4375" s="1" t="s">
        <v>25473</v>
      </c>
      <c r="B4375" s="1" t="str">
        <f>"Laurence Williams Chrysalis building contractors"</f>
        <v>Laurence Williams Chrysalis building contractors</v>
      </c>
      <c r="C4375" s="1" t="s">
        <v>25474</v>
      </c>
      <c r="F4375" s="1" t="s">
        <v>42</v>
      </c>
      <c r="H4375" s="1" t="s">
        <v>25475</v>
      </c>
      <c r="I4375" s="1" t="s">
        <v>5</v>
      </c>
      <c r="J4375" s="1" t="s">
        <v>6</v>
      </c>
      <c r="K4375" s="1" t="s">
        <v>24</v>
      </c>
      <c r="M4375" s="2">
        <v>42824</v>
      </c>
      <c r="N4375" s="1" t="s">
        <v>8</v>
      </c>
      <c r="O4375" s="2">
        <v>43920</v>
      </c>
    </row>
    <row r="4376" spans="1:15" ht="43.2" x14ac:dyDescent="0.3">
      <c r="A4376" s="1" t="s">
        <v>25476</v>
      </c>
      <c r="B4376" s="1" t="str">
        <f>"ERIC MACKAY"</f>
        <v>ERIC MACKAY</v>
      </c>
      <c r="C4376" s="1" t="s">
        <v>25477</v>
      </c>
      <c r="D4376" s="1" t="s">
        <v>25478</v>
      </c>
      <c r="F4376" s="1" t="s">
        <v>25479</v>
      </c>
      <c r="H4376" s="1" t="s">
        <v>25480</v>
      </c>
      <c r="I4376" s="1" t="s">
        <v>5</v>
      </c>
      <c r="J4376" s="1" t="s">
        <v>67</v>
      </c>
      <c r="K4376" s="1" t="s">
        <v>14</v>
      </c>
      <c r="M4376" s="2">
        <v>42824</v>
      </c>
      <c r="N4376" s="1" t="s">
        <v>8</v>
      </c>
      <c r="O4376" s="1" t="s">
        <v>68</v>
      </c>
    </row>
    <row r="4377" spans="1:15" ht="28.8" x14ac:dyDescent="0.3">
      <c r="A4377" s="1" t="s">
        <v>10691</v>
      </c>
      <c r="B4377" s="1" t="str">
        <f>"M &amp; SDP Roofing Contractors Ltd"</f>
        <v>M &amp; SDP Roofing Contractors Ltd</v>
      </c>
      <c r="C4377" s="1" t="s">
        <v>10692</v>
      </c>
      <c r="F4377" s="1" t="s">
        <v>438</v>
      </c>
      <c r="H4377" s="1" t="s">
        <v>10693</v>
      </c>
      <c r="I4377" s="1" t="s">
        <v>19</v>
      </c>
      <c r="J4377" s="1" t="s">
        <v>6</v>
      </c>
      <c r="K4377" s="1" t="s">
        <v>34</v>
      </c>
      <c r="L4377" s="1">
        <v>6364079</v>
      </c>
      <c r="M4377" s="2">
        <v>42823</v>
      </c>
      <c r="N4377" s="1" t="s">
        <v>8</v>
      </c>
      <c r="O4377" s="2">
        <v>43919</v>
      </c>
    </row>
    <row r="4378" spans="1:15" ht="43.2" x14ac:dyDescent="0.3">
      <c r="A4378" s="1" t="s">
        <v>10694</v>
      </c>
      <c r="B4378" s="1" t="str">
        <f>"lc optics ltd"</f>
        <v>lc optics ltd</v>
      </c>
      <c r="C4378" s="1" t="s">
        <v>10695</v>
      </c>
      <c r="F4378" s="1" t="s">
        <v>10696</v>
      </c>
      <c r="H4378" s="1" t="s">
        <v>10697</v>
      </c>
      <c r="I4378" s="1" t="s">
        <v>19</v>
      </c>
      <c r="J4378" s="1" t="s">
        <v>67</v>
      </c>
      <c r="K4378" s="1" t="s">
        <v>24</v>
      </c>
      <c r="L4378" s="1">
        <v>8058127</v>
      </c>
      <c r="M4378" s="2">
        <v>42823</v>
      </c>
      <c r="N4378" s="1" t="s">
        <v>8</v>
      </c>
      <c r="O4378" s="1" t="s">
        <v>68</v>
      </c>
    </row>
    <row r="4379" spans="1:15" ht="28.8" x14ac:dyDescent="0.3">
      <c r="A4379" s="1" t="s">
        <v>10698</v>
      </c>
      <c r="B4379" s="1" t="str">
        <f>"Doherty Contract Services Limited"</f>
        <v>Doherty Contract Services Limited</v>
      </c>
      <c r="C4379" s="1" t="s">
        <v>10699</v>
      </c>
      <c r="F4379" s="1" t="s">
        <v>174</v>
      </c>
      <c r="H4379" s="1" t="s">
        <v>10700</v>
      </c>
      <c r="I4379" s="1" t="s">
        <v>19</v>
      </c>
      <c r="J4379" s="1" t="s">
        <v>6</v>
      </c>
      <c r="K4379" s="1" t="s">
        <v>34</v>
      </c>
      <c r="L4379" s="1">
        <v>8864160</v>
      </c>
      <c r="M4379" s="2">
        <v>42823</v>
      </c>
      <c r="N4379" s="1" t="s">
        <v>8</v>
      </c>
      <c r="O4379" s="2">
        <v>43919</v>
      </c>
    </row>
    <row r="4380" spans="1:15" ht="57.6" x14ac:dyDescent="0.3">
      <c r="A4380" s="1" t="s">
        <v>10701</v>
      </c>
      <c r="B4380" s="1" t="str">
        <f>"J&amp;G JOINERY AND BUILDING MAINTENANCE LIMITED"</f>
        <v>J&amp;G JOINERY AND BUILDING MAINTENANCE LIMITED</v>
      </c>
      <c r="C4380" s="1" t="s">
        <v>10702</v>
      </c>
      <c r="F4380" s="1" t="s">
        <v>1175</v>
      </c>
      <c r="H4380" s="1" t="s">
        <v>10703</v>
      </c>
      <c r="I4380" s="1" t="s">
        <v>19</v>
      </c>
      <c r="J4380" s="1" t="s">
        <v>6</v>
      </c>
      <c r="K4380" s="1" t="s">
        <v>34</v>
      </c>
      <c r="L4380" s="1">
        <v>7705547</v>
      </c>
      <c r="M4380" s="2">
        <v>42823</v>
      </c>
      <c r="N4380" s="1" t="s">
        <v>8</v>
      </c>
      <c r="O4380" s="2">
        <v>43948</v>
      </c>
    </row>
    <row r="4381" spans="1:15" ht="28.8" x14ac:dyDescent="0.3">
      <c r="A4381" s="1" t="s">
        <v>10704</v>
      </c>
      <c r="B4381" s="1" t="str">
        <f>"LEWIS CIVIL ENGINEERING LTD"</f>
        <v>LEWIS CIVIL ENGINEERING LTD</v>
      </c>
      <c r="C4381" s="1" t="s">
        <v>10705</v>
      </c>
      <c r="F4381" s="1" t="s">
        <v>873</v>
      </c>
      <c r="H4381" s="1" t="s">
        <v>10706</v>
      </c>
      <c r="I4381" s="1" t="s">
        <v>19</v>
      </c>
      <c r="J4381" s="1" t="s">
        <v>6</v>
      </c>
      <c r="K4381" s="1" t="s">
        <v>24</v>
      </c>
      <c r="L4381" s="1">
        <v>1835363</v>
      </c>
      <c r="M4381" s="2">
        <v>42823</v>
      </c>
      <c r="N4381" s="1" t="s">
        <v>8</v>
      </c>
      <c r="O4381" s="2">
        <v>43919</v>
      </c>
    </row>
    <row r="4382" spans="1:15" ht="43.2" x14ac:dyDescent="0.3">
      <c r="A4382" s="1" t="s">
        <v>11724</v>
      </c>
      <c r="B4382" s="1" t="str">
        <f>"Beechwood Refrigeration &amp; AC Ltd"</f>
        <v>Beechwood Refrigeration &amp; AC Ltd</v>
      </c>
      <c r="C4382" s="1" t="s">
        <v>10877</v>
      </c>
      <c r="F4382" s="1" t="s">
        <v>91</v>
      </c>
      <c r="H4382" s="1" t="s">
        <v>10878</v>
      </c>
      <c r="I4382" s="1" t="s">
        <v>19</v>
      </c>
      <c r="J4382" s="1" t="s">
        <v>67</v>
      </c>
      <c r="K4382" s="1" t="s">
        <v>14</v>
      </c>
      <c r="M4382" s="2">
        <v>42823</v>
      </c>
      <c r="N4382" s="1" t="s">
        <v>8</v>
      </c>
      <c r="O4382" s="1" t="s">
        <v>68</v>
      </c>
    </row>
    <row r="4383" spans="1:15" ht="43.2" x14ac:dyDescent="0.3">
      <c r="A4383" s="1" t="s">
        <v>23821</v>
      </c>
      <c r="B4383" s="1" t="str">
        <f>"Dave Byrne"</f>
        <v>Dave Byrne</v>
      </c>
      <c r="C4383" s="1" t="s">
        <v>23822</v>
      </c>
      <c r="F4383" s="1" t="s">
        <v>1346</v>
      </c>
      <c r="H4383" s="1" t="s">
        <v>23823</v>
      </c>
      <c r="I4383" s="1" t="s">
        <v>5</v>
      </c>
      <c r="J4383" s="1" t="s">
        <v>67</v>
      </c>
      <c r="K4383" s="1" t="s">
        <v>14</v>
      </c>
      <c r="M4383" s="2">
        <v>42823</v>
      </c>
      <c r="N4383" s="1" t="s">
        <v>8</v>
      </c>
      <c r="O4383" s="1" t="s">
        <v>68</v>
      </c>
    </row>
    <row r="4384" spans="1:15" ht="28.8" x14ac:dyDescent="0.3">
      <c r="A4384" s="1" t="s">
        <v>24658</v>
      </c>
      <c r="B4384" s="1" t="str">
        <f>"Steven Hutchings"</f>
        <v>Steven Hutchings</v>
      </c>
      <c r="C4384" s="1" t="s">
        <v>24659</v>
      </c>
      <c r="F4384" s="1" t="s">
        <v>27</v>
      </c>
      <c r="H4384" s="1" t="s">
        <v>24660</v>
      </c>
      <c r="I4384" s="1" t="s">
        <v>5</v>
      </c>
      <c r="J4384" s="1" t="s">
        <v>6</v>
      </c>
      <c r="K4384" s="1" t="s">
        <v>34</v>
      </c>
      <c r="M4384" s="2">
        <v>42823</v>
      </c>
      <c r="N4384" s="1" t="s">
        <v>8</v>
      </c>
      <c r="O4384" s="2">
        <v>43918</v>
      </c>
    </row>
    <row r="4385" spans="1:15" ht="28.8" x14ac:dyDescent="0.3">
      <c r="A4385" s="1" t="s">
        <v>24661</v>
      </c>
      <c r="B4385" s="1" t="str">
        <f>"Melvyn  Williams Task The Team"</f>
        <v>Melvyn  Williams Task The Team</v>
      </c>
      <c r="C4385" s="1" t="s">
        <v>24662</v>
      </c>
      <c r="F4385" s="1" t="s">
        <v>865</v>
      </c>
      <c r="H4385" s="1" t="s">
        <v>24663</v>
      </c>
      <c r="I4385" s="1" t="s">
        <v>5</v>
      </c>
      <c r="J4385" s="1" t="s">
        <v>6</v>
      </c>
      <c r="K4385" s="1" t="s">
        <v>34</v>
      </c>
      <c r="M4385" s="2">
        <v>42823</v>
      </c>
      <c r="N4385" s="1" t="s">
        <v>8</v>
      </c>
      <c r="O4385" s="2">
        <v>43919</v>
      </c>
    </row>
    <row r="4386" spans="1:15" ht="28.8" x14ac:dyDescent="0.3">
      <c r="A4386" s="1" t="s">
        <v>24664</v>
      </c>
      <c r="B4386" s="1" t="str">
        <f>"Mark Robinson Mark Robinson"</f>
        <v>Mark Robinson Mark Robinson</v>
      </c>
      <c r="C4386" s="1" t="s">
        <v>24665</v>
      </c>
      <c r="F4386" s="1" t="s">
        <v>27</v>
      </c>
      <c r="H4386" s="1" t="s">
        <v>24666</v>
      </c>
      <c r="I4386" s="1" t="s">
        <v>5</v>
      </c>
      <c r="J4386" s="1" t="s">
        <v>6</v>
      </c>
      <c r="K4386" s="1" t="s">
        <v>24</v>
      </c>
      <c r="M4386" s="2">
        <v>42823</v>
      </c>
      <c r="N4386" s="1" t="s">
        <v>8</v>
      </c>
      <c r="O4386" s="2">
        <v>43919</v>
      </c>
    </row>
    <row r="4387" spans="1:15" ht="43.2" x14ac:dyDescent="0.3">
      <c r="A4387" s="1" t="s">
        <v>24667</v>
      </c>
      <c r="B4387" s="1" t="str">
        <f>"Nathan Rowlands Rowlands Rubbish Removels "</f>
        <v xml:space="preserve">Nathan Rowlands Rowlands Rubbish Removels </v>
      </c>
      <c r="C4387" s="1" t="s">
        <v>24668</v>
      </c>
      <c r="F4387" s="1" t="s">
        <v>27</v>
      </c>
      <c r="H4387" s="1" t="s">
        <v>24669</v>
      </c>
      <c r="I4387" s="1" t="s">
        <v>5</v>
      </c>
      <c r="J4387" s="1" t="s">
        <v>6</v>
      </c>
      <c r="K4387" s="1" t="s">
        <v>24</v>
      </c>
      <c r="M4387" s="2">
        <v>42823</v>
      </c>
      <c r="N4387" s="1" t="s">
        <v>8</v>
      </c>
      <c r="O4387" s="2">
        <v>43919</v>
      </c>
    </row>
    <row r="4388" spans="1:15" ht="28.8" x14ac:dyDescent="0.3">
      <c r="A4388" s="1" t="s">
        <v>9642</v>
      </c>
      <c r="B4388" s="1" t="str">
        <f>"SEVERN SANDS LTD"</f>
        <v>SEVERN SANDS LTD</v>
      </c>
      <c r="C4388" s="1" t="s">
        <v>9643</v>
      </c>
      <c r="F4388" s="1" t="s">
        <v>91</v>
      </c>
      <c r="H4388" s="1" t="s">
        <v>9644</v>
      </c>
      <c r="I4388" s="1" t="s">
        <v>19</v>
      </c>
      <c r="J4388" s="1" t="s">
        <v>6</v>
      </c>
      <c r="K4388" s="1" t="s">
        <v>34</v>
      </c>
      <c r="L4388" s="1">
        <v>1675002</v>
      </c>
      <c r="M4388" s="2">
        <v>42822</v>
      </c>
      <c r="N4388" s="1" t="s">
        <v>8</v>
      </c>
      <c r="O4388" s="2">
        <v>43918</v>
      </c>
    </row>
    <row r="4389" spans="1:15" ht="43.2" x14ac:dyDescent="0.3">
      <c r="A4389" s="1" t="s">
        <v>9645</v>
      </c>
      <c r="B4389" s="1" t="str">
        <f>"Conwy County Borough Council"</f>
        <v>Conwy County Borough Council</v>
      </c>
      <c r="C4389" s="1" t="s">
        <v>9646</v>
      </c>
      <c r="F4389" s="1" t="s">
        <v>1260</v>
      </c>
      <c r="H4389" s="1" t="s">
        <v>9647</v>
      </c>
      <c r="I4389" s="1" t="s">
        <v>188</v>
      </c>
      <c r="J4389" s="1" t="s">
        <v>67</v>
      </c>
      <c r="K4389" s="1" t="s">
        <v>24</v>
      </c>
      <c r="M4389" s="2">
        <v>42822</v>
      </c>
      <c r="N4389" s="1" t="s">
        <v>8</v>
      </c>
      <c r="O4389" s="1" t="s">
        <v>68</v>
      </c>
    </row>
    <row r="4390" spans="1:15" ht="28.8" x14ac:dyDescent="0.3">
      <c r="A4390" s="1" t="s">
        <v>9648</v>
      </c>
      <c r="B4390" s="1" t="str">
        <f>"Mita Logistics Ltd."</f>
        <v>Mita Logistics Ltd.</v>
      </c>
      <c r="C4390" s="1" t="s">
        <v>9649</v>
      </c>
      <c r="F4390" s="1" t="s">
        <v>1278</v>
      </c>
      <c r="H4390" s="1" t="s">
        <v>9650</v>
      </c>
      <c r="I4390" s="1" t="s">
        <v>19</v>
      </c>
      <c r="J4390" s="1" t="s">
        <v>6</v>
      </c>
      <c r="K4390" s="1" t="s">
        <v>34</v>
      </c>
      <c r="L4390" s="1">
        <v>6243052</v>
      </c>
      <c r="M4390" s="2">
        <v>42822</v>
      </c>
      <c r="N4390" s="1" t="s">
        <v>8</v>
      </c>
      <c r="O4390" s="2">
        <v>43918</v>
      </c>
    </row>
    <row r="4391" spans="1:15" ht="43.2" x14ac:dyDescent="0.3">
      <c r="A4391" s="1" t="s">
        <v>9651</v>
      </c>
      <c r="B4391" s="1" t="str">
        <f>"Barber refrigeration Ltd"</f>
        <v>Barber refrigeration Ltd</v>
      </c>
      <c r="C4391" s="1" t="s">
        <v>9652</v>
      </c>
      <c r="D4391" s="1" t="s">
        <v>2479</v>
      </c>
      <c r="F4391" s="1" t="s">
        <v>1351</v>
      </c>
      <c r="H4391" s="1" t="s">
        <v>9653</v>
      </c>
      <c r="I4391" s="1" t="s">
        <v>19</v>
      </c>
      <c r="J4391" s="1" t="s">
        <v>67</v>
      </c>
      <c r="K4391" s="1" t="s">
        <v>14</v>
      </c>
      <c r="M4391" s="2">
        <v>42822</v>
      </c>
      <c r="N4391" s="1" t="s">
        <v>8</v>
      </c>
      <c r="O4391" s="1" t="s">
        <v>68</v>
      </c>
    </row>
    <row r="4392" spans="1:15" ht="43.2" x14ac:dyDescent="0.3">
      <c r="A4392" s="1" t="s">
        <v>9654</v>
      </c>
      <c r="B4392" s="1" t="str">
        <f>"General Dynamics United Kingdom Ltd"</f>
        <v>General Dynamics United Kingdom Ltd</v>
      </c>
      <c r="C4392" s="1" t="s">
        <v>9655</v>
      </c>
      <c r="D4392" s="1" t="s">
        <v>3873</v>
      </c>
      <c r="F4392" s="1" t="s">
        <v>621</v>
      </c>
      <c r="H4392" s="1" t="s">
        <v>9656</v>
      </c>
      <c r="I4392" s="1" t="s">
        <v>19</v>
      </c>
      <c r="J4392" s="1" t="s">
        <v>67</v>
      </c>
      <c r="K4392" s="1" t="s">
        <v>14</v>
      </c>
      <c r="M4392" s="2">
        <v>42822</v>
      </c>
      <c r="N4392" s="1" t="s">
        <v>8</v>
      </c>
      <c r="O4392" s="1" t="s">
        <v>68</v>
      </c>
    </row>
    <row r="4393" spans="1:15" ht="28.8" x14ac:dyDescent="0.3">
      <c r="A4393" s="1" t="s">
        <v>10685</v>
      </c>
      <c r="B4393" s="1" t="str">
        <f>"ARTISAN FLOORING LTD"</f>
        <v>ARTISAN FLOORING LTD</v>
      </c>
      <c r="C4393" s="1" t="s">
        <v>9239</v>
      </c>
      <c r="D4393" s="1" t="s">
        <v>9240</v>
      </c>
      <c r="E4393" s="1" t="s">
        <v>2623</v>
      </c>
      <c r="F4393" s="1" t="s">
        <v>65</v>
      </c>
      <c r="H4393" s="1" t="s">
        <v>9241</v>
      </c>
      <c r="I4393" s="1" t="s">
        <v>19</v>
      </c>
      <c r="J4393" s="1" t="s">
        <v>6</v>
      </c>
      <c r="K4393" s="1" t="s">
        <v>24</v>
      </c>
      <c r="L4393" s="1">
        <v>5382403</v>
      </c>
      <c r="M4393" s="2">
        <v>42822</v>
      </c>
      <c r="N4393" s="1" t="s">
        <v>8</v>
      </c>
      <c r="O4393" s="2">
        <v>43918</v>
      </c>
    </row>
    <row r="4394" spans="1:15" ht="28.8" x14ac:dyDescent="0.3">
      <c r="A4394" s="1" t="s">
        <v>10686</v>
      </c>
      <c r="B4394" s="1" t="str">
        <f>"MZ Fire Suppression Ltd"</f>
        <v>MZ Fire Suppression Ltd</v>
      </c>
      <c r="C4394" s="1" t="s">
        <v>10687</v>
      </c>
      <c r="F4394" s="1" t="s">
        <v>746</v>
      </c>
      <c r="H4394" s="1" t="s">
        <v>960</v>
      </c>
      <c r="I4394" s="1" t="s">
        <v>19</v>
      </c>
      <c r="J4394" s="1" t="s">
        <v>6</v>
      </c>
      <c r="K4394" s="1" t="s">
        <v>24</v>
      </c>
      <c r="L4394" s="1">
        <v>10319873</v>
      </c>
      <c r="M4394" s="2">
        <v>42822</v>
      </c>
      <c r="N4394" s="1" t="s">
        <v>8</v>
      </c>
      <c r="O4394" s="2">
        <v>43918</v>
      </c>
    </row>
    <row r="4395" spans="1:15" ht="28.8" x14ac:dyDescent="0.3">
      <c r="A4395" s="1" t="s">
        <v>10688</v>
      </c>
      <c r="B4395" s="1" t="str">
        <f>"ojjones &amp; son ltd"</f>
        <v>ojjones &amp; son ltd</v>
      </c>
      <c r="C4395" s="1" t="s">
        <v>10689</v>
      </c>
      <c r="F4395" s="1" t="s">
        <v>2504</v>
      </c>
      <c r="H4395" s="1" t="s">
        <v>10690</v>
      </c>
      <c r="I4395" s="1" t="s">
        <v>19</v>
      </c>
      <c r="J4395" s="1" t="s">
        <v>6</v>
      </c>
      <c r="K4395" s="1" t="s">
        <v>34</v>
      </c>
      <c r="L4395" s="1">
        <v>5887158</v>
      </c>
      <c r="M4395" s="2">
        <v>42822</v>
      </c>
      <c r="N4395" s="1" t="s">
        <v>8</v>
      </c>
      <c r="O4395" s="2">
        <v>43918</v>
      </c>
    </row>
    <row r="4396" spans="1:15" ht="28.8" x14ac:dyDescent="0.3">
      <c r="A4396" s="1" t="s">
        <v>23014</v>
      </c>
      <c r="B4396" s="1" t="str">
        <f>"Kevin Dorrington K Dorrington"</f>
        <v>Kevin Dorrington K Dorrington</v>
      </c>
      <c r="C4396" s="1" t="s">
        <v>23015</v>
      </c>
      <c r="F4396" s="1" t="s">
        <v>91</v>
      </c>
      <c r="H4396" s="1" t="s">
        <v>23016</v>
      </c>
      <c r="I4396" s="1" t="s">
        <v>5</v>
      </c>
      <c r="J4396" s="1" t="s">
        <v>6</v>
      </c>
      <c r="K4396" s="1" t="s">
        <v>34</v>
      </c>
      <c r="M4396" s="2">
        <v>42822</v>
      </c>
      <c r="N4396" s="1" t="s">
        <v>8</v>
      </c>
      <c r="O4396" s="2">
        <v>43918</v>
      </c>
    </row>
    <row r="4397" spans="1:15" ht="43.2" x14ac:dyDescent="0.3">
      <c r="A4397" s="1" t="s">
        <v>23017</v>
      </c>
      <c r="B4397" s="1" t="str">
        <f>"Michael Rogers"</f>
        <v>Michael Rogers</v>
      </c>
      <c r="C4397" s="1" t="s">
        <v>23018</v>
      </c>
      <c r="F4397" s="1" t="s">
        <v>416</v>
      </c>
      <c r="H4397" s="1" t="s">
        <v>23019</v>
      </c>
      <c r="I4397" s="1" t="s">
        <v>5</v>
      </c>
      <c r="J4397" s="1" t="s">
        <v>67</v>
      </c>
      <c r="K4397" s="1" t="s">
        <v>14</v>
      </c>
      <c r="M4397" s="2">
        <v>42822</v>
      </c>
      <c r="N4397" s="1" t="s">
        <v>8</v>
      </c>
      <c r="O4397" s="1" t="s">
        <v>68</v>
      </c>
    </row>
    <row r="4398" spans="1:15" ht="43.2" x14ac:dyDescent="0.3">
      <c r="A4398" s="1" t="s">
        <v>23020</v>
      </c>
      <c r="B4398" s="1" t="str">
        <f>"Jatinderpal Bajwa"</f>
        <v>Jatinderpal Bajwa</v>
      </c>
      <c r="C4398" s="1" t="s">
        <v>23021</v>
      </c>
      <c r="F4398" s="1" t="s">
        <v>91</v>
      </c>
      <c r="H4398" s="1" t="s">
        <v>23022</v>
      </c>
      <c r="I4398" s="1" t="s">
        <v>5</v>
      </c>
      <c r="J4398" s="1" t="s">
        <v>67</v>
      </c>
      <c r="K4398" s="1" t="s">
        <v>14</v>
      </c>
      <c r="M4398" s="2">
        <v>42822</v>
      </c>
      <c r="N4398" s="1" t="s">
        <v>8</v>
      </c>
      <c r="O4398" s="1" t="s">
        <v>68</v>
      </c>
    </row>
    <row r="4399" spans="1:15" ht="43.2" x14ac:dyDescent="0.3">
      <c r="A4399" s="1" t="s">
        <v>23818</v>
      </c>
      <c r="B4399" s="1" t="str">
        <f>"Paul Williams"</f>
        <v>Paul Williams</v>
      </c>
      <c r="C4399" s="1" t="s">
        <v>23819</v>
      </c>
      <c r="F4399" s="1" t="s">
        <v>19104</v>
      </c>
      <c r="H4399" s="1" t="s">
        <v>23820</v>
      </c>
      <c r="I4399" s="1" t="s">
        <v>5</v>
      </c>
      <c r="J4399" s="1" t="s">
        <v>67</v>
      </c>
      <c r="K4399" s="1" t="s">
        <v>14</v>
      </c>
      <c r="M4399" s="2">
        <v>42822</v>
      </c>
      <c r="N4399" s="1" t="s">
        <v>8</v>
      </c>
      <c r="O4399" s="1" t="s">
        <v>68</v>
      </c>
    </row>
    <row r="4400" spans="1:15" ht="28.8" x14ac:dyDescent="0.3">
      <c r="A4400" s="1" t="s">
        <v>8456</v>
      </c>
      <c r="B4400" s="1" t="str">
        <f>"G Evans Holding Company Limited"</f>
        <v>G Evans Holding Company Limited</v>
      </c>
      <c r="C4400" s="1" t="s">
        <v>8457</v>
      </c>
      <c r="D4400" s="1" t="s">
        <v>8458</v>
      </c>
      <c r="F4400" s="1" t="s">
        <v>532</v>
      </c>
      <c r="H4400" s="1" t="s">
        <v>8459</v>
      </c>
      <c r="I4400" s="1" t="s">
        <v>19</v>
      </c>
      <c r="J4400" s="1" t="s">
        <v>6</v>
      </c>
      <c r="K4400" s="1" t="s">
        <v>24</v>
      </c>
      <c r="L4400" s="1">
        <v>7141634</v>
      </c>
      <c r="M4400" s="2">
        <v>42821</v>
      </c>
      <c r="N4400" s="1" t="s">
        <v>8</v>
      </c>
      <c r="O4400" s="2">
        <v>43917</v>
      </c>
    </row>
    <row r="4401" spans="1:15" ht="28.8" x14ac:dyDescent="0.3">
      <c r="A4401" s="1" t="s">
        <v>8460</v>
      </c>
      <c r="B4401" s="1" t="str">
        <f>"G A HUGHES A'I GWMNI CYFYNGEDIG"</f>
        <v>G A HUGHES A'I GWMNI CYFYNGEDIG</v>
      </c>
      <c r="C4401" s="1" t="s">
        <v>8461</v>
      </c>
      <c r="F4401" s="1" t="s">
        <v>710</v>
      </c>
      <c r="H4401" s="1" t="s">
        <v>8462</v>
      </c>
      <c r="I4401" s="1" t="s">
        <v>19</v>
      </c>
      <c r="J4401" s="1" t="s">
        <v>6</v>
      </c>
      <c r="K4401" s="1" t="s">
        <v>24</v>
      </c>
      <c r="L4401" s="1">
        <v>8931526</v>
      </c>
      <c r="M4401" s="2">
        <v>42821</v>
      </c>
      <c r="N4401" s="1" t="s">
        <v>8</v>
      </c>
      <c r="O4401" s="2">
        <v>43917</v>
      </c>
    </row>
    <row r="4402" spans="1:15" ht="28.8" x14ac:dyDescent="0.3">
      <c r="A4402" s="1" t="s">
        <v>9636</v>
      </c>
      <c r="B4402" s="1" t="str">
        <f>"ACS (NW)Ltd"</f>
        <v>ACS (NW)Ltd</v>
      </c>
      <c r="C4402" s="1" t="s">
        <v>9637</v>
      </c>
      <c r="F4402" s="1" t="s">
        <v>1184</v>
      </c>
      <c r="H4402" s="1" t="s">
        <v>9638</v>
      </c>
      <c r="I4402" s="1" t="s">
        <v>19</v>
      </c>
      <c r="J4402" s="1" t="s">
        <v>6</v>
      </c>
      <c r="K4402" s="1" t="s">
        <v>24</v>
      </c>
      <c r="L4402" s="1">
        <v>10483464</v>
      </c>
      <c r="M4402" s="2">
        <v>42821</v>
      </c>
      <c r="N4402" s="1" t="s">
        <v>8</v>
      </c>
      <c r="O4402" s="2">
        <v>43917</v>
      </c>
    </row>
    <row r="4403" spans="1:15" ht="28.8" x14ac:dyDescent="0.3">
      <c r="A4403" s="1" t="s">
        <v>9639</v>
      </c>
      <c r="B4403" s="1" t="str">
        <f>"Alpha Building Group Ltd"</f>
        <v>Alpha Building Group Ltd</v>
      </c>
      <c r="C4403" s="1" t="s">
        <v>9640</v>
      </c>
      <c r="F4403" s="1" t="s">
        <v>32</v>
      </c>
      <c r="H4403" s="1" t="s">
        <v>9641</v>
      </c>
      <c r="I4403" s="1" t="s">
        <v>19</v>
      </c>
      <c r="J4403" s="1" t="s">
        <v>6</v>
      </c>
      <c r="K4403" s="1" t="s">
        <v>34</v>
      </c>
      <c r="L4403" s="1">
        <v>9785042</v>
      </c>
      <c r="M4403" s="2">
        <v>42821</v>
      </c>
      <c r="N4403" s="1" t="s">
        <v>8</v>
      </c>
      <c r="O4403" s="2">
        <v>43917</v>
      </c>
    </row>
    <row r="4404" spans="1:15" ht="43.2" x14ac:dyDescent="0.3">
      <c r="A4404" s="1" t="s">
        <v>22298</v>
      </c>
      <c r="B4404" s="1" t="str">
        <f>"Edward Edwards"</f>
        <v>Edward Edwards</v>
      </c>
      <c r="C4404" s="1" t="s">
        <v>22299</v>
      </c>
      <c r="F4404" s="1" t="s">
        <v>1366</v>
      </c>
      <c r="H4404" s="1" t="s">
        <v>22300</v>
      </c>
      <c r="I4404" s="1" t="s">
        <v>5</v>
      </c>
      <c r="J4404" s="1" t="s">
        <v>67</v>
      </c>
      <c r="K4404" s="1" t="s">
        <v>14</v>
      </c>
      <c r="M4404" s="2">
        <v>42821</v>
      </c>
      <c r="N4404" s="1" t="s">
        <v>8</v>
      </c>
      <c r="O4404" s="1" t="s">
        <v>68</v>
      </c>
    </row>
    <row r="4405" spans="1:15" ht="28.8" x14ac:dyDescent="0.3">
      <c r="A4405" s="1" t="s">
        <v>22301</v>
      </c>
      <c r="B4405" s="1" t="str">
        <f>"Keith  Hallam"</f>
        <v>Keith  Hallam</v>
      </c>
      <c r="C4405" s="1" t="s">
        <v>22302</v>
      </c>
      <c r="F4405" s="1" t="s">
        <v>198</v>
      </c>
      <c r="H4405" s="1" t="s">
        <v>22303</v>
      </c>
      <c r="I4405" s="1" t="s">
        <v>5</v>
      </c>
      <c r="J4405" s="1" t="s">
        <v>6</v>
      </c>
      <c r="K4405" s="1" t="s">
        <v>24</v>
      </c>
      <c r="M4405" s="2">
        <v>42821</v>
      </c>
      <c r="N4405" s="1" t="s">
        <v>8</v>
      </c>
      <c r="O4405" s="2">
        <v>43917</v>
      </c>
    </row>
    <row r="4406" spans="1:15" ht="43.2" x14ac:dyDescent="0.3">
      <c r="A4406" s="1" t="s">
        <v>22304</v>
      </c>
      <c r="B4406" s="1" t="str">
        <f>"Keith Thompson"</f>
        <v>Keith Thompson</v>
      </c>
      <c r="C4406" s="1" t="s">
        <v>22305</v>
      </c>
      <c r="F4406" s="1" t="s">
        <v>532</v>
      </c>
      <c r="H4406" s="1" t="s">
        <v>22306</v>
      </c>
      <c r="I4406" s="1" t="s">
        <v>5</v>
      </c>
      <c r="J4406" s="1" t="s">
        <v>67</v>
      </c>
      <c r="K4406" s="1" t="s">
        <v>14</v>
      </c>
      <c r="M4406" s="2">
        <v>42821</v>
      </c>
      <c r="N4406" s="1" t="s">
        <v>8</v>
      </c>
      <c r="O4406" s="1" t="s">
        <v>68</v>
      </c>
    </row>
    <row r="4407" spans="1:15" ht="28.8" x14ac:dyDescent="0.3">
      <c r="A4407" s="1" t="s">
        <v>23005</v>
      </c>
      <c r="B4407" s="1" t="str">
        <f>"Sion Morris S W Morris"</f>
        <v>Sion Morris S W Morris</v>
      </c>
      <c r="C4407" s="1" t="s">
        <v>23006</v>
      </c>
      <c r="F4407" s="1" t="s">
        <v>119</v>
      </c>
      <c r="H4407" s="1" t="s">
        <v>23007</v>
      </c>
      <c r="I4407" s="1" t="s">
        <v>5</v>
      </c>
      <c r="J4407" s="1" t="s">
        <v>6</v>
      </c>
      <c r="K4407" s="1" t="s">
        <v>24</v>
      </c>
      <c r="M4407" s="2">
        <v>42821</v>
      </c>
      <c r="N4407" s="1" t="s">
        <v>8</v>
      </c>
      <c r="O4407" s="2">
        <v>43917</v>
      </c>
    </row>
    <row r="4408" spans="1:15" ht="28.8" x14ac:dyDescent="0.3">
      <c r="A4408" s="1" t="s">
        <v>23008</v>
      </c>
      <c r="B4408" s="1" t="str">
        <f>"Iain Jardine Iain Jardine"</f>
        <v>Iain Jardine Iain Jardine</v>
      </c>
      <c r="C4408" s="1" t="s">
        <v>23009</v>
      </c>
      <c r="F4408" s="1" t="s">
        <v>27</v>
      </c>
      <c r="H4408" s="1" t="s">
        <v>23010</v>
      </c>
      <c r="I4408" s="1" t="s">
        <v>5</v>
      </c>
      <c r="J4408" s="1" t="s">
        <v>6</v>
      </c>
      <c r="K4408" s="1" t="s">
        <v>24</v>
      </c>
      <c r="M4408" s="2">
        <v>42821</v>
      </c>
      <c r="N4408" s="1" t="s">
        <v>8</v>
      </c>
      <c r="O4408" s="2">
        <v>43917</v>
      </c>
    </row>
    <row r="4409" spans="1:15" ht="28.8" x14ac:dyDescent="0.3">
      <c r="A4409" s="1" t="s">
        <v>23011</v>
      </c>
      <c r="B4409" s="1" t="str">
        <f>"ivor john g.v.waste disposal"</f>
        <v>ivor john g.v.waste disposal</v>
      </c>
      <c r="C4409" s="1" t="s">
        <v>23012</v>
      </c>
      <c r="F4409" s="1" t="s">
        <v>865</v>
      </c>
      <c r="H4409" s="1" t="s">
        <v>23013</v>
      </c>
      <c r="I4409" s="1" t="s">
        <v>5</v>
      </c>
      <c r="J4409" s="1" t="s">
        <v>6</v>
      </c>
      <c r="K4409" s="1" t="s">
        <v>24</v>
      </c>
      <c r="M4409" s="2">
        <v>42821</v>
      </c>
      <c r="N4409" s="1" t="s">
        <v>8</v>
      </c>
      <c r="O4409" s="2">
        <v>43917</v>
      </c>
    </row>
    <row r="4410" spans="1:15" ht="28.8" x14ac:dyDescent="0.3">
      <c r="A4410" s="1" t="s">
        <v>22287</v>
      </c>
      <c r="B4410" s="1" t="str">
        <f>"Kerry jones Environment Wales "</f>
        <v xml:space="preserve">Kerry jones Environment Wales </v>
      </c>
      <c r="C4410" s="1" t="s">
        <v>22285</v>
      </c>
      <c r="F4410" s="1" t="s">
        <v>65</v>
      </c>
      <c r="H4410" s="1" t="s">
        <v>22286</v>
      </c>
      <c r="I4410" s="1" t="s">
        <v>5</v>
      </c>
      <c r="J4410" s="1" t="s">
        <v>6</v>
      </c>
      <c r="K4410" s="1" t="s">
        <v>34</v>
      </c>
      <c r="M4410" s="2">
        <v>42820</v>
      </c>
      <c r="N4410" s="1" t="s">
        <v>8</v>
      </c>
      <c r="O4410" s="2">
        <v>43916</v>
      </c>
    </row>
    <row r="4411" spans="1:15" ht="28.8" x14ac:dyDescent="0.3">
      <c r="A4411" s="1" t="s">
        <v>22288</v>
      </c>
      <c r="B4411" s="1" t="str">
        <f>"brian ross b r paving"</f>
        <v>brian ross b r paving</v>
      </c>
      <c r="C4411" s="1" t="s">
        <v>22289</v>
      </c>
      <c r="F4411" s="1" t="s">
        <v>65</v>
      </c>
      <c r="H4411" s="1" t="s">
        <v>22290</v>
      </c>
      <c r="I4411" s="1" t="s">
        <v>5</v>
      </c>
      <c r="J4411" s="1" t="s">
        <v>6</v>
      </c>
      <c r="K4411" s="1" t="s">
        <v>24</v>
      </c>
      <c r="M4411" s="2">
        <v>42820</v>
      </c>
      <c r="N4411" s="1" t="s">
        <v>8</v>
      </c>
      <c r="O4411" s="2">
        <v>43916</v>
      </c>
    </row>
    <row r="4412" spans="1:15" ht="28.8" x14ac:dyDescent="0.3">
      <c r="A4412" s="1" t="s">
        <v>22291</v>
      </c>
      <c r="B4412" s="1" t="str">
        <f>"Matt Stephens Matt Stephens "</f>
        <v xml:space="preserve">Matt Stephens Matt Stephens </v>
      </c>
      <c r="C4412" s="1" t="s">
        <v>22292</v>
      </c>
      <c r="F4412" s="1" t="s">
        <v>416</v>
      </c>
      <c r="H4412" s="1" t="s">
        <v>22293</v>
      </c>
      <c r="I4412" s="1" t="s">
        <v>5</v>
      </c>
      <c r="J4412" s="1" t="s">
        <v>6</v>
      </c>
      <c r="K4412" s="1" t="s">
        <v>24</v>
      </c>
      <c r="M4412" s="2">
        <v>42820</v>
      </c>
      <c r="N4412" s="1" t="s">
        <v>8</v>
      </c>
      <c r="O4412" s="2">
        <v>43916</v>
      </c>
    </row>
    <row r="4413" spans="1:15" ht="43.2" x14ac:dyDescent="0.3">
      <c r="A4413" s="1" t="s">
        <v>22294</v>
      </c>
      <c r="B4413" s="1" t="str">
        <f>"Mark Owen"</f>
        <v>Mark Owen</v>
      </c>
      <c r="C4413" s="1" t="s">
        <v>22295</v>
      </c>
      <c r="D4413" s="1" t="s">
        <v>22296</v>
      </c>
      <c r="F4413" s="1" t="s">
        <v>865</v>
      </c>
      <c r="H4413" s="1" t="s">
        <v>22297</v>
      </c>
      <c r="I4413" s="1" t="s">
        <v>5</v>
      </c>
      <c r="J4413" s="1" t="s">
        <v>67</v>
      </c>
      <c r="K4413" s="1" t="s">
        <v>24</v>
      </c>
      <c r="M4413" s="2">
        <v>42820</v>
      </c>
      <c r="N4413" s="1" t="s">
        <v>8</v>
      </c>
      <c r="O4413" s="1" t="s">
        <v>68</v>
      </c>
    </row>
    <row r="4414" spans="1:15" ht="28.8" x14ac:dyDescent="0.3">
      <c r="A4414" s="1" t="s">
        <v>7294</v>
      </c>
      <c r="B4414" s="1" t="str">
        <f>"Inside outside property services "</f>
        <v xml:space="preserve">Inside outside property services </v>
      </c>
      <c r="C4414" s="1" t="s">
        <v>7295</v>
      </c>
      <c r="F4414" s="1" t="s">
        <v>174</v>
      </c>
      <c r="H4414" s="1" t="s">
        <v>7296</v>
      </c>
      <c r="I4414" s="1" t="s">
        <v>19</v>
      </c>
      <c r="J4414" s="1" t="s">
        <v>6</v>
      </c>
      <c r="K4414" s="1" t="s">
        <v>24</v>
      </c>
      <c r="L4414" s="1">
        <v>10598503</v>
      </c>
      <c r="M4414" s="2">
        <v>42819</v>
      </c>
      <c r="N4414" s="1" t="s">
        <v>8</v>
      </c>
      <c r="O4414" s="2">
        <v>43915</v>
      </c>
    </row>
    <row r="4415" spans="1:15" ht="28.8" x14ac:dyDescent="0.3">
      <c r="A4415" s="1" t="s">
        <v>7297</v>
      </c>
      <c r="B4415" s="1" t="str">
        <f>"ASHVALE CONTRACTORS LTD"</f>
        <v>ASHVALE CONTRACTORS LTD</v>
      </c>
      <c r="C4415" s="1" t="s">
        <v>7298</v>
      </c>
      <c r="F4415" s="1" t="s">
        <v>27</v>
      </c>
      <c r="H4415" s="1" t="s">
        <v>5114</v>
      </c>
      <c r="I4415" s="1" t="s">
        <v>19</v>
      </c>
      <c r="J4415" s="1" t="s">
        <v>6</v>
      </c>
      <c r="K4415" s="1" t="s">
        <v>24</v>
      </c>
      <c r="L4415" s="1">
        <v>6770080</v>
      </c>
      <c r="M4415" s="2">
        <v>42819</v>
      </c>
      <c r="N4415" s="1" t="s">
        <v>8</v>
      </c>
      <c r="O4415" s="2">
        <v>43915</v>
      </c>
    </row>
    <row r="4416" spans="1:15" ht="43.2" x14ac:dyDescent="0.3">
      <c r="A4416" s="1" t="s">
        <v>21457</v>
      </c>
      <c r="B4416" s="1" t="str">
        <f>"David Edwards"</f>
        <v>David Edwards</v>
      </c>
      <c r="C4416" s="1" t="s">
        <v>21458</v>
      </c>
      <c r="F4416" s="1" t="s">
        <v>416</v>
      </c>
      <c r="H4416" s="1" t="s">
        <v>21459</v>
      </c>
      <c r="I4416" s="1" t="s">
        <v>5</v>
      </c>
      <c r="J4416" s="1" t="s">
        <v>67</v>
      </c>
      <c r="K4416" s="1" t="s">
        <v>14</v>
      </c>
      <c r="M4416" s="2">
        <v>42819</v>
      </c>
      <c r="N4416" s="1" t="s">
        <v>8</v>
      </c>
      <c r="O4416" s="1" t="s">
        <v>68</v>
      </c>
    </row>
    <row r="4417" spans="1:15" ht="28.8" x14ac:dyDescent="0.3">
      <c r="A4417" s="1" t="s">
        <v>21460</v>
      </c>
      <c r="B4417" s="1" t="str">
        <f>"Tony Oakley The digger man"</f>
        <v>Tony Oakley The digger man</v>
      </c>
      <c r="C4417" s="1" t="s">
        <v>21461</v>
      </c>
      <c r="F4417" s="1" t="s">
        <v>96</v>
      </c>
      <c r="H4417" s="1" t="s">
        <v>21462</v>
      </c>
      <c r="I4417" s="1" t="s">
        <v>5</v>
      </c>
      <c r="J4417" s="1" t="s">
        <v>6</v>
      </c>
      <c r="K4417" s="1" t="s">
        <v>34</v>
      </c>
      <c r="M4417" s="2">
        <v>42819</v>
      </c>
      <c r="N4417" s="1" t="s">
        <v>8</v>
      </c>
      <c r="O4417" s="2">
        <v>43915</v>
      </c>
    </row>
    <row r="4418" spans="1:15" ht="43.2" x14ac:dyDescent="0.3">
      <c r="A4418" s="1" t="s">
        <v>22278</v>
      </c>
      <c r="B4418" s="1" t="str">
        <f>"Philip Allington P&amp;L Building &amp; Maintenance"</f>
        <v>Philip Allington P&amp;L Building &amp; Maintenance</v>
      </c>
      <c r="C4418" s="1" t="s">
        <v>22279</v>
      </c>
      <c r="F4418" s="1" t="s">
        <v>1169</v>
      </c>
      <c r="H4418" s="1" t="s">
        <v>22280</v>
      </c>
      <c r="I4418" s="1" t="s">
        <v>5</v>
      </c>
      <c r="J4418" s="1" t="s">
        <v>6</v>
      </c>
      <c r="K4418" s="1" t="s">
        <v>34</v>
      </c>
      <c r="M4418" s="2">
        <v>42819</v>
      </c>
      <c r="N4418" s="1" t="s">
        <v>8</v>
      </c>
      <c r="O4418" s="2">
        <v>43915</v>
      </c>
    </row>
    <row r="4419" spans="1:15" ht="43.2" x14ac:dyDescent="0.3">
      <c r="A4419" s="1" t="s">
        <v>22281</v>
      </c>
      <c r="B4419" s="1" t="str">
        <f>"Steven Burr"</f>
        <v>Steven Burr</v>
      </c>
      <c r="C4419" s="1" t="s">
        <v>22282</v>
      </c>
      <c r="F4419" s="1" t="s">
        <v>10569</v>
      </c>
      <c r="H4419" s="1" t="s">
        <v>22283</v>
      </c>
      <c r="I4419" s="1" t="s">
        <v>5</v>
      </c>
      <c r="J4419" s="1" t="s">
        <v>67</v>
      </c>
      <c r="K4419" s="1" t="s">
        <v>14</v>
      </c>
      <c r="M4419" s="2">
        <v>42819</v>
      </c>
      <c r="N4419" s="1" t="s">
        <v>8</v>
      </c>
      <c r="O4419" s="1" t="s">
        <v>68</v>
      </c>
    </row>
    <row r="4420" spans="1:15" ht="43.2" x14ac:dyDescent="0.3">
      <c r="A4420" s="1" t="s">
        <v>22284</v>
      </c>
      <c r="B4420" s="1" t="str">
        <f>"Kerry jones"</f>
        <v>Kerry jones</v>
      </c>
      <c r="C4420" s="1" t="s">
        <v>22285</v>
      </c>
      <c r="F4420" s="1" t="s">
        <v>65</v>
      </c>
      <c r="H4420" s="1" t="s">
        <v>22286</v>
      </c>
      <c r="I4420" s="1" t="s">
        <v>5</v>
      </c>
      <c r="J4420" s="1" t="s">
        <v>67</v>
      </c>
      <c r="K4420" s="1" t="s">
        <v>14</v>
      </c>
      <c r="M4420" s="2">
        <v>42819</v>
      </c>
      <c r="N4420" s="1" t="s">
        <v>8</v>
      </c>
      <c r="O4420" s="1" t="s">
        <v>68</v>
      </c>
    </row>
    <row r="4421" spans="1:15" ht="28.8" x14ac:dyDescent="0.3">
      <c r="A4421" s="1" t="s">
        <v>7288</v>
      </c>
      <c r="B4421" s="1" t="str">
        <f>"MCGILLS CAR &amp; COMMERCIALS LTD"</f>
        <v>MCGILLS CAR &amp; COMMERCIALS LTD</v>
      </c>
      <c r="C4421" s="1" t="s">
        <v>7289</v>
      </c>
      <c r="F4421" s="1" t="s">
        <v>1278</v>
      </c>
      <c r="H4421" s="1" t="s">
        <v>7290</v>
      </c>
      <c r="I4421" s="1" t="s">
        <v>19</v>
      </c>
      <c r="J4421" s="1" t="s">
        <v>6</v>
      </c>
      <c r="K4421" s="1" t="s">
        <v>34</v>
      </c>
      <c r="L4421" s="1">
        <v>6684869</v>
      </c>
      <c r="M4421" s="2">
        <v>42818</v>
      </c>
      <c r="N4421" s="1" t="s">
        <v>8</v>
      </c>
      <c r="O4421" s="2">
        <v>43914</v>
      </c>
    </row>
    <row r="4422" spans="1:15" x14ac:dyDescent="0.3">
      <c r="A4422" s="1" t="s">
        <v>7291</v>
      </c>
      <c r="B4422" s="1" t="str">
        <f>"GM Williams Plant Ltd"</f>
        <v>GM Williams Plant Ltd</v>
      </c>
      <c r="C4422" s="1" t="s">
        <v>7292</v>
      </c>
      <c r="F4422" s="1" t="s">
        <v>1400</v>
      </c>
      <c r="H4422" s="1" t="s">
        <v>7293</v>
      </c>
      <c r="I4422" s="1" t="s">
        <v>19</v>
      </c>
      <c r="J4422" s="1" t="s">
        <v>6</v>
      </c>
      <c r="K4422" s="1" t="s">
        <v>24</v>
      </c>
      <c r="L4422" s="1">
        <v>7795329</v>
      </c>
      <c r="M4422" s="2">
        <v>42818</v>
      </c>
      <c r="N4422" s="1" t="s">
        <v>8</v>
      </c>
      <c r="O4422" s="2">
        <v>43914</v>
      </c>
    </row>
    <row r="4423" spans="1:15" ht="43.2" x14ac:dyDescent="0.3">
      <c r="A4423" s="1" t="s">
        <v>20693</v>
      </c>
      <c r="B4423" s="1" t="str">
        <f>"martin rickard Manwithavanincornwall "</f>
        <v xml:space="preserve">martin rickard Manwithavanincornwall </v>
      </c>
      <c r="C4423" s="1" t="s">
        <v>20694</v>
      </c>
      <c r="F4423" s="1" t="s">
        <v>11042</v>
      </c>
      <c r="H4423" s="1" t="s">
        <v>20695</v>
      </c>
      <c r="I4423" s="1" t="s">
        <v>5</v>
      </c>
      <c r="J4423" s="1" t="s">
        <v>6</v>
      </c>
      <c r="K4423" s="1" t="s">
        <v>34</v>
      </c>
      <c r="M4423" s="2">
        <v>42818</v>
      </c>
      <c r="N4423" s="1" t="s">
        <v>8</v>
      </c>
      <c r="O4423" s="2">
        <v>43914</v>
      </c>
    </row>
    <row r="4424" spans="1:15" ht="43.2" x14ac:dyDescent="0.3">
      <c r="A4424" s="1" t="s">
        <v>21438</v>
      </c>
      <c r="B4424" s="1" t="str">
        <f>"darren windle Darren Windle Property Maintenance"</f>
        <v>darren windle Darren Windle Property Maintenance</v>
      </c>
      <c r="C4424" s="1" t="s">
        <v>21439</v>
      </c>
      <c r="F4424" s="1" t="s">
        <v>298</v>
      </c>
      <c r="H4424" s="1" t="s">
        <v>21440</v>
      </c>
      <c r="I4424" s="1" t="s">
        <v>5</v>
      </c>
      <c r="J4424" s="1" t="s">
        <v>6</v>
      </c>
      <c r="K4424" s="1" t="s">
        <v>34</v>
      </c>
      <c r="M4424" s="2">
        <v>42818</v>
      </c>
      <c r="N4424" s="1" t="s">
        <v>8</v>
      </c>
      <c r="O4424" s="2">
        <v>43914</v>
      </c>
    </row>
    <row r="4425" spans="1:15" ht="43.2" x14ac:dyDescent="0.3">
      <c r="A4425" s="1" t="s">
        <v>21441</v>
      </c>
      <c r="B4425" s="1" t="str">
        <f>"Nick Beynon"</f>
        <v>Nick Beynon</v>
      </c>
      <c r="C4425" s="1" t="s">
        <v>21442</v>
      </c>
      <c r="F4425" s="1" t="s">
        <v>174</v>
      </c>
      <c r="H4425" s="1" t="s">
        <v>21443</v>
      </c>
      <c r="I4425" s="1" t="s">
        <v>5</v>
      </c>
      <c r="J4425" s="1" t="s">
        <v>67</v>
      </c>
      <c r="K4425" s="1" t="s">
        <v>14</v>
      </c>
      <c r="M4425" s="2">
        <v>42818</v>
      </c>
      <c r="N4425" s="1" t="s">
        <v>8</v>
      </c>
      <c r="O4425" s="1" t="s">
        <v>68</v>
      </c>
    </row>
    <row r="4426" spans="1:15" ht="28.8" x14ac:dyDescent="0.3">
      <c r="A4426" s="1" t="s">
        <v>21444</v>
      </c>
      <c r="B4426" s="1" t="str">
        <f>"STEPHEN LEE BURCHELL SSD METALS"</f>
        <v>STEPHEN LEE BURCHELL SSD METALS</v>
      </c>
      <c r="C4426" s="1" t="s">
        <v>21445</v>
      </c>
      <c r="F4426" s="1" t="s">
        <v>5645</v>
      </c>
      <c r="H4426" s="1" t="s">
        <v>21446</v>
      </c>
      <c r="I4426" s="1" t="s">
        <v>5</v>
      </c>
      <c r="J4426" s="1" t="s">
        <v>6</v>
      </c>
      <c r="K4426" s="1" t="s">
        <v>24</v>
      </c>
      <c r="M4426" s="2">
        <v>42818</v>
      </c>
      <c r="N4426" s="1" t="s">
        <v>8</v>
      </c>
      <c r="O4426" s="2">
        <v>43914</v>
      </c>
    </row>
    <row r="4427" spans="1:15" ht="28.8" x14ac:dyDescent="0.3">
      <c r="A4427" s="1" t="s">
        <v>21447</v>
      </c>
      <c r="B4427" s="1" t="str">
        <f>"jonathon glenister Squeaky clean"</f>
        <v>jonathon glenister Squeaky clean</v>
      </c>
      <c r="C4427" s="1" t="s">
        <v>21448</v>
      </c>
      <c r="F4427" s="1" t="s">
        <v>42</v>
      </c>
      <c r="H4427" s="1" t="s">
        <v>21449</v>
      </c>
      <c r="I4427" s="1" t="s">
        <v>5</v>
      </c>
      <c r="J4427" s="1" t="s">
        <v>6</v>
      </c>
      <c r="K4427" s="1" t="s">
        <v>24</v>
      </c>
      <c r="M4427" s="2">
        <v>42818</v>
      </c>
      <c r="N4427" s="1" t="s">
        <v>8</v>
      </c>
      <c r="O4427" s="2">
        <v>43914</v>
      </c>
    </row>
    <row r="4428" spans="1:15" ht="28.8" x14ac:dyDescent="0.3">
      <c r="A4428" s="1" t="s">
        <v>21450</v>
      </c>
      <c r="B4428" s="1" t="str">
        <f>"Haydn Roberts H R Metals &amp; Recovery"</f>
        <v>Haydn Roberts H R Metals &amp; Recovery</v>
      </c>
      <c r="C4428" s="1" t="s">
        <v>21451</v>
      </c>
      <c r="F4428" s="1" t="s">
        <v>21452</v>
      </c>
      <c r="H4428" s="1" t="s">
        <v>21453</v>
      </c>
      <c r="I4428" s="1" t="s">
        <v>5</v>
      </c>
      <c r="J4428" s="1" t="s">
        <v>6</v>
      </c>
      <c r="K4428" s="1" t="s">
        <v>24</v>
      </c>
      <c r="M4428" s="2">
        <v>42818</v>
      </c>
      <c r="N4428" s="1" t="s">
        <v>8</v>
      </c>
      <c r="O4428" s="2">
        <v>43914</v>
      </c>
    </row>
    <row r="4429" spans="1:15" ht="43.2" x14ac:dyDescent="0.3">
      <c r="A4429" s="1" t="s">
        <v>21454</v>
      </c>
      <c r="B4429" s="1" t="str">
        <f>"Gary Rees"</f>
        <v>Gary Rees</v>
      </c>
      <c r="C4429" s="1" t="s">
        <v>21455</v>
      </c>
      <c r="F4429" s="1" t="s">
        <v>50</v>
      </c>
      <c r="H4429" s="1" t="s">
        <v>21456</v>
      </c>
      <c r="I4429" s="1" t="s">
        <v>5</v>
      </c>
      <c r="J4429" s="1" t="s">
        <v>67</v>
      </c>
      <c r="K4429" s="1" t="s">
        <v>34</v>
      </c>
      <c r="M4429" s="2">
        <v>42818</v>
      </c>
      <c r="N4429" s="1" t="s">
        <v>8</v>
      </c>
      <c r="O4429" s="1" t="s">
        <v>68</v>
      </c>
    </row>
    <row r="4430" spans="1:15" ht="43.2" x14ac:dyDescent="0.3">
      <c r="A4430" s="1" t="s">
        <v>6207</v>
      </c>
      <c r="B4430" s="1" t="str">
        <f>"GLANTAWE LANDSCAPES &amp; TREE SERVICES"</f>
        <v>GLANTAWE LANDSCAPES &amp; TREE SERVICES</v>
      </c>
      <c r="C4430" s="1" t="s">
        <v>6208</v>
      </c>
      <c r="F4430" s="1" t="s">
        <v>65</v>
      </c>
      <c r="H4430" s="1" t="s">
        <v>6209</v>
      </c>
      <c r="I4430" s="1" t="s">
        <v>19</v>
      </c>
      <c r="J4430" s="1" t="s">
        <v>6</v>
      </c>
      <c r="K4430" s="1" t="s">
        <v>34</v>
      </c>
      <c r="L4430" s="1">
        <v>9982605</v>
      </c>
      <c r="M4430" s="2">
        <v>42817</v>
      </c>
      <c r="N4430" s="1" t="s">
        <v>8</v>
      </c>
      <c r="O4430" s="2">
        <v>43913</v>
      </c>
    </row>
    <row r="4431" spans="1:15" ht="28.8" x14ac:dyDescent="0.3">
      <c r="A4431" s="1" t="s">
        <v>6210</v>
      </c>
      <c r="B4431" s="1" t="str">
        <f>"Joyner PA  Cymru"</f>
        <v>Joyner PA  Cymru</v>
      </c>
      <c r="C4431" s="1" t="s">
        <v>6211</v>
      </c>
      <c r="D4431" s="1" t="s">
        <v>6212</v>
      </c>
      <c r="F4431" s="1" t="s">
        <v>156</v>
      </c>
      <c r="H4431" s="1" t="s">
        <v>6213</v>
      </c>
      <c r="I4431" s="1" t="s">
        <v>19</v>
      </c>
      <c r="J4431" s="1" t="s">
        <v>6</v>
      </c>
      <c r="K4431" s="1" t="s">
        <v>24</v>
      </c>
      <c r="L4431" s="1">
        <v>2225651</v>
      </c>
      <c r="M4431" s="2">
        <v>42817</v>
      </c>
      <c r="N4431" s="1" t="s">
        <v>8</v>
      </c>
      <c r="O4431" s="2">
        <v>43913</v>
      </c>
    </row>
    <row r="4432" spans="1:15" ht="28.8" x14ac:dyDescent="0.3">
      <c r="A4432" s="1" t="s">
        <v>6214</v>
      </c>
      <c r="B4432" s="1" t="str">
        <f>"Landed In The Garden"</f>
        <v>Landed In The Garden</v>
      </c>
      <c r="C4432" s="1" t="s">
        <v>6215</v>
      </c>
      <c r="F4432" s="1" t="s">
        <v>65</v>
      </c>
      <c r="H4432" s="1" t="s">
        <v>6216</v>
      </c>
      <c r="I4432" s="1" t="s">
        <v>125</v>
      </c>
      <c r="J4432" s="1" t="s">
        <v>6</v>
      </c>
      <c r="K4432" s="1" t="s">
        <v>24</v>
      </c>
      <c r="M4432" s="2">
        <v>42817</v>
      </c>
      <c r="N4432" s="1" t="s">
        <v>8</v>
      </c>
      <c r="O4432" s="2">
        <v>43913</v>
      </c>
    </row>
    <row r="4433" spans="1:15" ht="43.2" x14ac:dyDescent="0.3">
      <c r="A4433" s="1" t="s">
        <v>6217</v>
      </c>
      <c r="B4433" s="1" t="str">
        <f>"Browns Waste Management &amp; Recycling"</f>
        <v>Browns Waste Management &amp; Recycling</v>
      </c>
      <c r="C4433" s="1" t="s">
        <v>6218</v>
      </c>
      <c r="D4433" s="1" t="s">
        <v>6219</v>
      </c>
      <c r="F4433" s="1" t="s">
        <v>42</v>
      </c>
      <c r="H4433" s="1" t="s">
        <v>6220</v>
      </c>
      <c r="I4433" s="1" t="s">
        <v>19</v>
      </c>
      <c r="J4433" s="1" t="s">
        <v>6</v>
      </c>
      <c r="K4433" s="1" t="s">
        <v>34</v>
      </c>
      <c r="L4433" s="1">
        <v>4827468</v>
      </c>
      <c r="M4433" s="2">
        <v>42817</v>
      </c>
      <c r="N4433" s="1" t="s">
        <v>8</v>
      </c>
      <c r="O4433" s="2">
        <v>43913</v>
      </c>
    </row>
    <row r="4434" spans="1:15" ht="43.2" x14ac:dyDescent="0.3">
      <c r="A4434" s="1" t="s">
        <v>6221</v>
      </c>
      <c r="B4434" s="1" t="str">
        <f>"Domestic Appliance Repairs"</f>
        <v>Domestic Appliance Repairs</v>
      </c>
      <c r="C4434" s="1" t="s">
        <v>6222</v>
      </c>
      <c r="F4434" s="1" t="s">
        <v>146</v>
      </c>
      <c r="H4434" s="1" t="s">
        <v>6223</v>
      </c>
      <c r="I4434" s="1" t="s">
        <v>125</v>
      </c>
      <c r="J4434" s="1" t="s">
        <v>67</v>
      </c>
      <c r="K4434" s="1" t="s">
        <v>14</v>
      </c>
      <c r="M4434" s="2">
        <v>42817</v>
      </c>
      <c r="N4434" s="1" t="s">
        <v>8</v>
      </c>
      <c r="O4434" s="1" t="s">
        <v>68</v>
      </c>
    </row>
    <row r="4435" spans="1:15" x14ac:dyDescent="0.3">
      <c r="A4435" s="1" t="s">
        <v>6224</v>
      </c>
      <c r="B4435" s="1" t="str">
        <f>"morris plant hire ltd"</f>
        <v>morris plant hire ltd</v>
      </c>
      <c r="C4435" s="1" t="s">
        <v>6225</v>
      </c>
      <c r="F4435" s="1" t="s">
        <v>416</v>
      </c>
      <c r="H4435" s="1" t="s">
        <v>3402</v>
      </c>
      <c r="I4435" s="1" t="s">
        <v>19</v>
      </c>
      <c r="J4435" s="1" t="s">
        <v>6</v>
      </c>
      <c r="K4435" s="1" t="s">
        <v>24</v>
      </c>
      <c r="L4435" s="1">
        <v>4766311</v>
      </c>
      <c r="M4435" s="2">
        <v>42817</v>
      </c>
      <c r="N4435" s="1" t="s">
        <v>8</v>
      </c>
      <c r="O4435" s="2">
        <v>43913</v>
      </c>
    </row>
    <row r="4436" spans="1:15" ht="28.8" x14ac:dyDescent="0.3">
      <c r="A4436" s="1" t="s">
        <v>6226</v>
      </c>
      <c r="B4436" s="1" t="str">
        <f>"O.M.OWEN &amp; SONS"</f>
        <v>O.M.OWEN &amp; SONS</v>
      </c>
      <c r="C4436" s="1" t="s">
        <v>6227</v>
      </c>
      <c r="F4436" s="1" t="s">
        <v>2757</v>
      </c>
      <c r="H4436" s="1" t="s">
        <v>6228</v>
      </c>
      <c r="I4436" s="1" t="s">
        <v>125</v>
      </c>
      <c r="J4436" s="1" t="s">
        <v>6</v>
      </c>
      <c r="K4436" s="1" t="s">
        <v>24</v>
      </c>
      <c r="M4436" s="2">
        <v>42817</v>
      </c>
      <c r="N4436" s="1" t="s">
        <v>8</v>
      </c>
      <c r="O4436" s="2">
        <v>43913</v>
      </c>
    </row>
    <row r="4437" spans="1:15" ht="28.8" x14ac:dyDescent="0.3">
      <c r="A4437" s="1" t="s">
        <v>6229</v>
      </c>
      <c r="B4437" s="1" t="str">
        <f>"R.V. Elliott &amp; Co Ltd"</f>
        <v>R.V. Elliott &amp; Co Ltd</v>
      </c>
      <c r="C4437" s="1" t="s">
        <v>6230</v>
      </c>
      <c r="F4437" s="1" t="s">
        <v>27</v>
      </c>
      <c r="H4437" s="1" t="s">
        <v>6231</v>
      </c>
      <c r="I4437" s="1" t="s">
        <v>19</v>
      </c>
      <c r="J4437" s="1" t="s">
        <v>6</v>
      </c>
      <c r="K4437" s="1" t="s">
        <v>34</v>
      </c>
      <c r="L4437" s="1">
        <v>1047271</v>
      </c>
      <c r="M4437" s="2">
        <v>42817</v>
      </c>
      <c r="N4437" s="1" t="s">
        <v>8</v>
      </c>
      <c r="O4437" s="2">
        <v>43913</v>
      </c>
    </row>
    <row r="4438" spans="1:15" ht="28.8" x14ac:dyDescent="0.3">
      <c r="A4438" s="1" t="s">
        <v>6232</v>
      </c>
      <c r="B4438" s="1" t="str">
        <f>"B Scully Building Contractors Ltd"</f>
        <v>B Scully Building Contractors Ltd</v>
      </c>
      <c r="C4438" s="1" t="s">
        <v>6233</v>
      </c>
      <c r="D4438" s="1" t="s">
        <v>6234</v>
      </c>
      <c r="F4438" s="1" t="s">
        <v>32</v>
      </c>
      <c r="H4438" s="1" t="s">
        <v>6235</v>
      </c>
      <c r="I4438" s="1" t="s">
        <v>19</v>
      </c>
      <c r="J4438" s="1" t="s">
        <v>6</v>
      </c>
      <c r="K4438" s="1" t="s">
        <v>34</v>
      </c>
      <c r="L4438" s="1">
        <v>8611193</v>
      </c>
      <c r="M4438" s="2">
        <v>42817</v>
      </c>
      <c r="N4438" s="1" t="s">
        <v>8</v>
      </c>
      <c r="O4438" s="2">
        <v>43913</v>
      </c>
    </row>
    <row r="4439" spans="1:15" ht="28.8" x14ac:dyDescent="0.3">
      <c r="A4439" s="1" t="s">
        <v>6236</v>
      </c>
      <c r="B4439" s="1" t="str">
        <f>"Rhys's gardening"</f>
        <v>Rhys's gardening</v>
      </c>
      <c r="C4439" s="1" t="s">
        <v>6237</v>
      </c>
      <c r="F4439" s="1" t="s">
        <v>865</v>
      </c>
      <c r="H4439" s="1" t="s">
        <v>6238</v>
      </c>
      <c r="I4439" s="1" t="s">
        <v>125</v>
      </c>
      <c r="J4439" s="1" t="s">
        <v>6</v>
      </c>
      <c r="K4439" s="1" t="s">
        <v>24</v>
      </c>
      <c r="M4439" s="2">
        <v>42817</v>
      </c>
      <c r="N4439" s="1" t="s">
        <v>8</v>
      </c>
      <c r="O4439" s="2">
        <v>43913</v>
      </c>
    </row>
    <row r="4440" spans="1:15" ht="28.8" x14ac:dyDescent="0.3">
      <c r="A4440" s="1" t="s">
        <v>20670</v>
      </c>
      <c r="B4440" s="1" t="str">
        <f>"neil morris prospect windows "</f>
        <v xml:space="preserve">neil morris prospect windows </v>
      </c>
      <c r="C4440" s="1" t="s">
        <v>20671</v>
      </c>
      <c r="F4440" s="1" t="s">
        <v>91</v>
      </c>
      <c r="H4440" s="1" t="s">
        <v>20672</v>
      </c>
      <c r="I4440" s="1" t="s">
        <v>5</v>
      </c>
      <c r="J4440" s="1" t="s">
        <v>6</v>
      </c>
      <c r="K4440" s="1" t="s">
        <v>24</v>
      </c>
      <c r="M4440" s="2">
        <v>42817</v>
      </c>
      <c r="N4440" s="1" t="s">
        <v>8</v>
      </c>
      <c r="O4440" s="2">
        <v>43913</v>
      </c>
    </row>
    <row r="4441" spans="1:15" ht="28.8" x14ac:dyDescent="0.3">
      <c r="A4441" s="1" t="s">
        <v>20673</v>
      </c>
      <c r="B4441" s="1" t="str">
        <f>"michael davies michael davies"</f>
        <v>michael davies michael davies</v>
      </c>
      <c r="C4441" s="1" t="s">
        <v>20674</v>
      </c>
      <c r="F4441" s="1" t="s">
        <v>65</v>
      </c>
      <c r="H4441" s="1" t="s">
        <v>20675</v>
      </c>
      <c r="I4441" s="1" t="s">
        <v>5</v>
      </c>
      <c r="J4441" s="1" t="s">
        <v>6</v>
      </c>
      <c r="K4441" s="1" t="s">
        <v>24</v>
      </c>
      <c r="M4441" s="2">
        <v>42817</v>
      </c>
      <c r="N4441" s="1" t="s">
        <v>8</v>
      </c>
      <c r="O4441" s="2">
        <v>43913</v>
      </c>
    </row>
    <row r="4442" spans="1:15" ht="43.2" x14ac:dyDescent="0.3">
      <c r="A4442" s="1" t="s">
        <v>20676</v>
      </c>
      <c r="B4442" s="1" t="str">
        <f>"Paul Gammon"</f>
        <v>Paul Gammon</v>
      </c>
      <c r="C4442" s="1" t="s">
        <v>20677</v>
      </c>
      <c r="D4442" s="1" t="s">
        <v>6353</v>
      </c>
      <c r="F4442" s="1" t="s">
        <v>401</v>
      </c>
      <c r="H4442" s="1" t="s">
        <v>20678</v>
      </c>
      <c r="I4442" s="1" t="s">
        <v>5</v>
      </c>
      <c r="J4442" s="1" t="s">
        <v>67</v>
      </c>
      <c r="K4442" s="1" t="s">
        <v>14</v>
      </c>
      <c r="M4442" s="2">
        <v>42817</v>
      </c>
      <c r="N4442" s="1" t="s">
        <v>8</v>
      </c>
      <c r="O4442" s="1" t="s">
        <v>68</v>
      </c>
    </row>
    <row r="4443" spans="1:15" ht="28.8" x14ac:dyDescent="0.3">
      <c r="A4443" s="1" t="s">
        <v>20679</v>
      </c>
      <c r="B4443" s="1" t="str">
        <f>"Viv Williams Viv Williams Skip Hire"</f>
        <v>Viv Williams Viv Williams Skip Hire</v>
      </c>
      <c r="C4443" s="1" t="s">
        <v>20680</v>
      </c>
      <c r="F4443" s="1" t="s">
        <v>1511</v>
      </c>
      <c r="H4443" s="1" t="s">
        <v>20681</v>
      </c>
      <c r="I4443" s="1" t="s">
        <v>5</v>
      </c>
      <c r="J4443" s="1" t="s">
        <v>6</v>
      </c>
      <c r="K4443" s="1" t="s">
        <v>24</v>
      </c>
      <c r="M4443" s="2">
        <v>42817</v>
      </c>
      <c r="N4443" s="1" t="s">
        <v>8</v>
      </c>
      <c r="O4443" s="2">
        <v>43913</v>
      </c>
    </row>
    <row r="4444" spans="1:15" ht="28.8" x14ac:dyDescent="0.3">
      <c r="A4444" s="1" t="s">
        <v>20682</v>
      </c>
      <c r="B4444" s="1" t="str">
        <f>"luke wiegold lukes scrap"</f>
        <v>luke wiegold lukes scrap</v>
      </c>
      <c r="C4444" s="1" t="s">
        <v>20683</v>
      </c>
      <c r="F4444" s="1" t="s">
        <v>103</v>
      </c>
      <c r="H4444" s="1" t="s">
        <v>20684</v>
      </c>
      <c r="I4444" s="1" t="s">
        <v>5</v>
      </c>
      <c r="J4444" s="1" t="s">
        <v>6</v>
      </c>
      <c r="K4444" s="1" t="s">
        <v>34</v>
      </c>
      <c r="M4444" s="2">
        <v>42817</v>
      </c>
      <c r="N4444" s="1" t="s">
        <v>8</v>
      </c>
      <c r="O4444" s="2">
        <v>43913</v>
      </c>
    </row>
    <row r="4445" spans="1:15" x14ac:dyDescent="0.3">
      <c r="A4445" s="1" t="s">
        <v>20685</v>
      </c>
      <c r="B4445" s="1" t="str">
        <f>"Burley Lee BL Recycling"</f>
        <v>Burley Lee BL Recycling</v>
      </c>
      <c r="C4445" s="1" t="s">
        <v>20686</v>
      </c>
      <c r="D4445" s="1" t="s">
        <v>20687</v>
      </c>
      <c r="E4445" s="1" t="s">
        <v>20688</v>
      </c>
      <c r="F4445" s="1" t="s">
        <v>123</v>
      </c>
      <c r="G4445" s="1" t="s">
        <v>27</v>
      </c>
      <c r="H4445" s="1" t="s">
        <v>20689</v>
      </c>
      <c r="I4445" s="1" t="s">
        <v>5</v>
      </c>
      <c r="J4445" s="1" t="s">
        <v>6</v>
      </c>
      <c r="K4445" s="1" t="s">
        <v>24</v>
      </c>
      <c r="M4445" s="2">
        <v>42817</v>
      </c>
      <c r="N4445" s="1" t="s">
        <v>8</v>
      </c>
      <c r="O4445" s="2">
        <v>43912</v>
      </c>
    </row>
    <row r="4446" spans="1:15" x14ac:dyDescent="0.3">
      <c r="A4446" s="1" t="s">
        <v>20690</v>
      </c>
      <c r="B4446" s="1" t="str">
        <f>"Ryan Price RAG Roofing"</f>
        <v>Ryan Price RAG Roofing</v>
      </c>
      <c r="C4446" s="1" t="s">
        <v>20691</v>
      </c>
      <c r="F4446" s="1" t="s">
        <v>174</v>
      </c>
      <c r="H4446" s="1" t="s">
        <v>20692</v>
      </c>
      <c r="I4446" s="1" t="s">
        <v>5</v>
      </c>
      <c r="J4446" s="1" t="s">
        <v>6</v>
      </c>
      <c r="K4446" s="1" t="s">
        <v>24</v>
      </c>
      <c r="M4446" s="2">
        <v>42817</v>
      </c>
      <c r="N4446" s="1" t="s">
        <v>8</v>
      </c>
      <c r="O4446" s="2">
        <v>43913</v>
      </c>
    </row>
    <row r="4447" spans="1:15" x14ac:dyDescent="0.3">
      <c r="A4447" s="1" t="s">
        <v>5016</v>
      </c>
      <c r="B4447" s="1" t="str">
        <f>"Phillips and Morris"</f>
        <v>Phillips and Morris</v>
      </c>
      <c r="C4447" s="1" t="s">
        <v>5017</v>
      </c>
      <c r="F4447" s="1" t="s">
        <v>3389</v>
      </c>
      <c r="H4447" s="1" t="s">
        <v>5018</v>
      </c>
      <c r="I4447" s="1" t="s">
        <v>125</v>
      </c>
      <c r="J4447" s="1" t="s">
        <v>6</v>
      </c>
      <c r="K4447" s="1" t="s">
        <v>24</v>
      </c>
      <c r="M4447" s="2">
        <v>42816</v>
      </c>
      <c r="N4447" s="1" t="s">
        <v>8</v>
      </c>
      <c r="O4447" s="2">
        <v>43912</v>
      </c>
    </row>
    <row r="4448" spans="1:15" ht="28.8" x14ac:dyDescent="0.3">
      <c r="A4448" s="1" t="s">
        <v>6201</v>
      </c>
      <c r="B4448" s="1" t="str">
        <f>"CELTIC TYRE SERVICES (BRIDGEND) LTD"</f>
        <v>CELTIC TYRE SERVICES (BRIDGEND) LTD</v>
      </c>
      <c r="C4448" s="1" t="s">
        <v>6202</v>
      </c>
      <c r="F4448" s="1" t="s">
        <v>179</v>
      </c>
      <c r="H4448" s="1" t="s">
        <v>6203</v>
      </c>
      <c r="I4448" s="1" t="s">
        <v>19</v>
      </c>
      <c r="J4448" s="1" t="s">
        <v>6</v>
      </c>
      <c r="K4448" s="1" t="s">
        <v>24</v>
      </c>
      <c r="L4448" s="1">
        <v>780155</v>
      </c>
      <c r="M4448" s="2">
        <v>42816</v>
      </c>
      <c r="N4448" s="1" t="s">
        <v>8</v>
      </c>
      <c r="O4448" s="2">
        <v>43912</v>
      </c>
    </row>
    <row r="4449" spans="1:15" ht="28.8" x14ac:dyDescent="0.3">
      <c r="A4449" s="1" t="s">
        <v>6204</v>
      </c>
      <c r="B4449" s="1" t="str">
        <f>"M.I.Haslam Carpentry and Building C"</f>
        <v>M.I.Haslam Carpentry and Building C</v>
      </c>
      <c r="C4449" s="1" t="s">
        <v>6205</v>
      </c>
      <c r="F4449" s="1" t="s">
        <v>3726</v>
      </c>
      <c r="H4449" s="1" t="s">
        <v>6206</v>
      </c>
      <c r="I4449" s="1" t="s">
        <v>19</v>
      </c>
      <c r="J4449" s="1" t="s">
        <v>6</v>
      </c>
      <c r="K4449" s="1" t="s">
        <v>34</v>
      </c>
      <c r="L4449" s="1">
        <v>7722333</v>
      </c>
      <c r="M4449" s="2">
        <v>42816</v>
      </c>
      <c r="N4449" s="1" t="s">
        <v>8</v>
      </c>
      <c r="O4449" s="2">
        <v>43912</v>
      </c>
    </row>
    <row r="4450" spans="1:15" ht="28.8" x14ac:dyDescent="0.3">
      <c r="A4450" s="1" t="s">
        <v>19065</v>
      </c>
      <c r="B4450" s="1" t="str">
        <f>"Eifion Evans Parciau Plant Hire"</f>
        <v>Eifion Evans Parciau Plant Hire</v>
      </c>
      <c r="C4450" s="1" t="s">
        <v>19066</v>
      </c>
      <c r="F4450" s="1" t="s">
        <v>710</v>
      </c>
      <c r="H4450" s="1" t="s">
        <v>19067</v>
      </c>
      <c r="I4450" s="1" t="s">
        <v>5</v>
      </c>
      <c r="J4450" s="1" t="s">
        <v>6</v>
      </c>
      <c r="K4450" s="1" t="s">
        <v>34</v>
      </c>
      <c r="M4450" s="2">
        <v>42816</v>
      </c>
      <c r="N4450" s="1" t="s">
        <v>8</v>
      </c>
      <c r="O4450" s="2">
        <v>43912</v>
      </c>
    </row>
    <row r="4451" spans="1:15" ht="28.8" x14ac:dyDescent="0.3">
      <c r="A4451" s="1" t="s">
        <v>19068</v>
      </c>
      <c r="B4451" s="1" t="str">
        <f>"EUGENE PADDISON EUGENE PADDISON"</f>
        <v>EUGENE PADDISON EUGENE PADDISON</v>
      </c>
      <c r="C4451" s="1" t="s">
        <v>19069</v>
      </c>
      <c r="F4451" s="1" t="s">
        <v>65</v>
      </c>
      <c r="H4451" s="1" t="s">
        <v>19070</v>
      </c>
      <c r="I4451" s="1" t="s">
        <v>5</v>
      </c>
      <c r="J4451" s="1" t="s">
        <v>6</v>
      </c>
      <c r="K4451" s="1" t="s">
        <v>24</v>
      </c>
      <c r="M4451" s="2">
        <v>42816</v>
      </c>
      <c r="N4451" s="1" t="s">
        <v>8</v>
      </c>
      <c r="O4451" s="2">
        <v>43912</v>
      </c>
    </row>
    <row r="4452" spans="1:15" x14ac:dyDescent="0.3">
      <c r="A4452" s="1" t="s">
        <v>19893</v>
      </c>
      <c r="B4452" s="1" t="str">
        <f>"John Alan  Jones"</f>
        <v>John Alan  Jones</v>
      </c>
      <c r="C4452" s="1" t="s">
        <v>19894</v>
      </c>
      <c r="F4452" s="1" t="s">
        <v>1184</v>
      </c>
      <c r="H4452" s="1" t="s">
        <v>19895</v>
      </c>
      <c r="I4452" s="1" t="s">
        <v>5</v>
      </c>
      <c r="J4452" s="1" t="s">
        <v>6</v>
      </c>
      <c r="K4452" s="1" t="s">
        <v>24</v>
      </c>
      <c r="M4452" s="2">
        <v>42816</v>
      </c>
      <c r="N4452" s="1" t="s">
        <v>8</v>
      </c>
      <c r="O4452" s="2">
        <v>43912</v>
      </c>
    </row>
    <row r="4453" spans="1:15" ht="43.2" x14ac:dyDescent="0.3">
      <c r="A4453" s="1" t="s">
        <v>19896</v>
      </c>
      <c r="B4453" s="1" t="str">
        <f>"Andrew Barter"</f>
        <v>Andrew Barter</v>
      </c>
      <c r="C4453" s="1" t="s">
        <v>19897</v>
      </c>
      <c r="F4453" s="1" t="s">
        <v>380</v>
      </c>
      <c r="H4453" s="1" t="s">
        <v>19898</v>
      </c>
      <c r="I4453" s="1" t="s">
        <v>5</v>
      </c>
      <c r="J4453" s="1" t="s">
        <v>67</v>
      </c>
      <c r="K4453" s="1" t="s">
        <v>14</v>
      </c>
      <c r="M4453" s="2">
        <v>42816</v>
      </c>
      <c r="N4453" s="1" t="s">
        <v>8</v>
      </c>
      <c r="O4453" s="1" t="s">
        <v>68</v>
      </c>
    </row>
    <row r="4454" spans="1:15" ht="28.8" x14ac:dyDescent="0.3">
      <c r="A4454" s="1" t="s">
        <v>19899</v>
      </c>
      <c r="B4454" s="1" t="str">
        <f>"Jonathan Norbury J &amp; N Metals"</f>
        <v>Jonathan Norbury J &amp; N Metals</v>
      </c>
      <c r="C4454" s="1" t="s">
        <v>19900</v>
      </c>
      <c r="F4454" s="1" t="s">
        <v>2817</v>
      </c>
      <c r="H4454" s="1" t="s">
        <v>19901</v>
      </c>
      <c r="I4454" s="1" t="s">
        <v>5</v>
      </c>
      <c r="J4454" s="1" t="s">
        <v>6</v>
      </c>
      <c r="K4454" s="1" t="s">
        <v>34</v>
      </c>
      <c r="M4454" s="2">
        <v>42816</v>
      </c>
      <c r="N4454" s="1" t="s">
        <v>8</v>
      </c>
      <c r="O4454" s="2">
        <v>43912</v>
      </c>
    </row>
    <row r="4455" spans="1:15" ht="43.2" x14ac:dyDescent="0.3">
      <c r="A4455" s="1" t="s">
        <v>19902</v>
      </c>
      <c r="B4455" s="1" t="str">
        <f>"David Fildes"</f>
        <v>David Fildes</v>
      </c>
      <c r="C4455" s="1" t="s">
        <v>19903</v>
      </c>
      <c r="F4455" s="1" t="s">
        <v>19904</v>
      </c>
      <c r="H4455" s="1" t="s">
        <v>19905</v>
      </c>
      <c r="I4455" s="1" t="s">
        <v>5</v>
      </c>
      <c r="J4455" s="1" t="s">
        <v>67</v>
      </c>
      <c r="K4455" s="1" t="s">
        <v>14</v>
      </c>
      <c r="M4455" s="2">
        <v>42816</v>
      </c>
      <c r="N4455" s="1" t="s">
        <v>8</v>
      </c>
      <c r="O4455" s="1" t="s">
        <v>68</v>
      </c>
    </row>
    <row r="4456" spans="1:15" ht="28.8" x14ac:dyDescent="0.3">
      <c r="A4456" s="1" t="s">
        <v>19906</v>
      </c>
      <c r="B4456" s="1" t="str">
        <f>"picton morris Picton Morris"</f>
        <v>picton morris Picton Morris</v>
      </c>
      <c r="C4456" s="1" t="s">
        <v>19907</v>
      </c>
      <c r="F4456" s="1" t="s">
        <v>438</v>
      </c>
      <c r="H4456" s="1" t="s">
        <v>19908</v>
      </c>
      <c r="I4456" s="1" t="s">
        <v>5</v>
      </c>
      <c r="J4456" s="1" t="s">
        <v>6</v>
      </c>
      <c r="K4456" s="1" t="s">
        <v>34</v>
      </c>
      <c r="M4456" s="2">
        <v>42816</v>
      </c>
      <c r="N4456" s="1" t="s">
        <v>8</v>
      </c>
      <c r="O4456" s="2">
        <v>43912</v>
      </c>
    </row>
    <row r="4457" spans="1:15" ht="28.8" x14ac:dyDescent="0.3">
      <c r="A4457" s="1" t="s">
        <v>19909</v>
      </c>
      <c r="B4457" s="1" t="str">
        <f>"SIMON STONE CROWNHILL"</f>
        <v>SIMON STONE CROWNHILL</v>
      </c>
      <c r="C4457" s="1" t="s">
        <v>18719</v>
      </c>
      <c r="D4457" s="1" t="s">
        <v>1286</v>
      </c>
      <c r="F4457" s="1" t="s">
        <v>401</v>
      </c>
      <c r="H4457" s="1" t="s">
        <v>18720</v>
      </c>
      <c r="I4457" s="1" t="s">
        <v>5</v>
      </c>
      <c r="J4457" s="1" t="s">
        <v>6</v>
      </c>
      <c r="K4457" s="1" t="s">
        <v>24</v>
      </c>
      <c r="M4457" s="2">
        <v>42816</v>
      </c>
      <c r="N4457" s="1" t="s">
        <v>8</v>
      </c>
      <c r="O4457" s="2">
        <v>43912</v>
      </c>
    </row>
    <row r="4458" spans="1:15" ht="28.8" x14ac:dyDescent="0.3">
      <c r="A4458" s="1" t="s">
        <v>20667</v>
      </c>
      <c r="B4458" s="1" t="str">
        <f>"Craig Lester Brooke Landscapes"</f>
        <v>Craig Lester Brooke Landscapes</v>
      </c>
      <c r="C4458" s="1" t="s">
        <v>20668</v>
      </c>
      <c r="F4458" s="1" t="s">
        <v>27</v>
      </c>
      <c r="H4458" s="1" t="s">
        <v>20669</v>
      </c>
      <c r="I4458" s="1" t="s">
        <v>5</v>
      </c>
      <c r="J4458" s="1" t="s">
        <v>6</v>
      </c>
      <c r="K4458" s="1" t="s">
        <v>34</v>
      </c>
      <c r="M4458" s="2">
        <v>42816</v>
      </c>
      <c r="N4458" s="1" t="s">
        <v>8</v>
      </c>
      <c r="O4458" s="2">
        <v>43912</v>
      </c>
    </row>
    <row r="4459" spans="1:15" ht="28.8" x14ac:dyDescent="0.3">
      <c r="A4459" s="1" t="s">
        <v>3826</v>
      </c>
      <c r="B4459" s="1" t="str">
        <f>"H &amp; V Fusion &amp; Drilling Ltd."</f>
        <v>H &amp; V Fusion &amp; Drilling Ltd.</v>
      </c>
      <c r="C4459" s="1" t="s">
        <v>3827</v>
      </c>
      <c r="F4459" s="1" t="s">
        <v>91</v>
      </c>
      <c r="H4459" s="1" t="s">
        <v>3828</v>
      </c>
      <c r="I4459" s="1" t="s">
        <v>19</v>
      </c>
      <c r="J4459" s="1" t="s">
        <v>6</v>
      </c>
      <c r="K4459" s="1" t="s">
        <v>34</v>
      </c>
      <c r="L4459" s="1">
        <v>4199964</v>
      </c>
      <c r="M4459" s="2">
        <v>42815</v>
      </c>
      <c r="N4459" s="1" t="s">
        <v>8</v>
      </c>
      <c r="O4459" s="2">
        <v>43911</v>
      </c>
    </row>
    <row r="4460" spans="1:15" ht="43.2" x14ac:dyDescent="0.3">
      <c r="A4460" s="1" t="s">
        <v>3829</v>
      </c>
      <c r="B4460" s="1" t="str">
        <f>"DUCT HYGIENE LTD"</f>
        <v>DUCT HYGIENE LTD</v>
      </c>
      <c r="C4460" s="1" t="s">
        <v>3830</v>
      </c>
      <c r="F4460" s="1" t="s">
        <v>198</v>
      </c>
      <c r="H4460" s="1" t="s">
        <v>3831</v>
      </c>
      <c r="I4460" s="1" t="s">
        <v>19</v>
      </c>
      <c r="J4460" s="1" t="s">
        <v>67</v>
      </c>
      <c r="K4460" s="1" t="s">
        <v>24</v>
      </c>
      <c r="L4460" s="1">
        <v>5081318</v>
      </c>
      <c r="M4460" s="2">
        <v>42815</v>
      </c>
      <c r="N4460" s="1" t="s">
        <v>8</v>
      </c>
      <c r="O4460" s="1" t="s">
        <v>68</v>
      </c>
    </row>
    <row r="4461" spans="1:15" ht="43.2" x14ac:dyDescent="0.3">
      <c r="A4461" s="1" t="s">
        <v>3832</v>
      </c>
      <c r="B4461" s="1" t="str">
        <f>"A.M.PEST SOLUTIONS LTD"</f>
        <v>A.M.PEST SOLUTIONS LTD</v>
      </c>
      <c r="C4461" s="1" t="s">
        <v>3833</v>
      </c>
      <c r="F4461" s="1" t="s">
        <v>3834</v>
      </c>
      <c r="H4461" s="1" t="s">
        <v>3835</v>
      </c>
      <c r="I4461" s="1" t="s">
        <v>19</v>
      </c>
      <c r="J4461" s="1" t="s">
        <v>67</v>
      </c>
      <c r="K4461" s="1" t="s">
        <v>14</v>
      </c>
      <c r="M4461" s="2">
        <v>42815</v>
      </c>
      <c r="N4461" s="1" t="s">
        <v>8</v>
      </c>
      <c r="O4461" s="1" t="s">
        <v>68</v>
      </c>
    </row>
    <row r="4462" spans="1:15" ht="43.2" x14ac:dyDescent="0.3">
      <c r="A4462" s="1" t="s">
        <v>3836</v>
      </c>
      <c r="B4462" s="1" t="str">
        <f>"Green Cleen (North Devon) Limited"</f>
        <v>Green Cleen (North Devon) Limited</v>
      </c>
      <c r="C4462" s="1" t="s">
        <v>3837</v>
      </c>
      <c r="F4462" s="1" t="s">
        <v>3838</v>
      </c>
      <c r="H4462" s="1" t="s">
        <v>3839</v>
      </c>
      <c r="I4462" s="1" t="s">
        <v>19</v>
      </c>
      <c r="J4462" s="1" t="s">
        <v>67</v>
      </c>
      <c r="K4462" s="1" t="s">
        <v>14</v>
      </c>
      <c r="M4462" s="2">
        <v>42815</v>
      </c>
      <c r="N4462" s="1" t="s">
        <v>8</v>
      </c>
      <c r="O4462" s="1" t="s">
        <v>68</v>
      </c>
    </row>
    <row r="4463" spans="1:15" ht="28.8" x14ac:dyDescent="0.3">
      <c r="A4463" s="1" t="s">
        <v>3840</v>
      </c>
      <c r="B4463" s="1" t="str">
        <f>"Derwen Recycling Ltd. "</f>
        <v xml:space="preserve">Derwen Recycling Ltd. </v>
      </c>
      <c r="C4463" s="1" t="s">
        <v>3841</v>
      </c>
      <c r="D4463" s="1" t="s">
        <v>3842</v>
      </c>
      <c r="F4463" s="1" t="s">
        <v>32</v>
      </c>
      <c r="H4463" s="1" t="s">
        <v>3843</v>
      </c>
      <c r="I4463" s="1" t="s">
        <v>19</v>
      </c>
      <c r="J4463" s="1" t="s">
        <v>6</v>
      </c>
      <c r="K4463" s="1" t="s">
        <v>34</v>
      </c>
      <c r="L4463" s="1">
        <v>8737258</v>
      </c>
      <c r="M4463" s="2">
        <v>42815</v>
      </c>
      <c r="N4463" s="1" t="s">
        <v>8</v>
      </c>
      <c r="O4463" s="2">
        <v>43911</v>
      </c>
    </row>
    <row r="4464" spans="1:15" ht="28.8" x14ac:dyDescent="0.3">
      <c r="A4464" s="1" t="s">
        <v>3844</v>
      </c>
      <c r="B4464" s="1" t="str">
        <f>"SRCNW LTD"</f>
        <v>SRCNW LTD</v>
      </c>
      <c r="C4464" s="1" t="s">
        <v>3845</v>
      </c>
      <c r="D4464" s="1" t="s">
        <v>3846</v>
      </c>
      <c r="F4464" s="1" t="s">
        <v>1169</v>
      </c>
      <c r="H4464" s="1" t="s">
        <v>3847</v>
      </c>
      <c r="I4464" s="1" t="s">
        <v>19</v>
      </c>
      <c r="J4464" s="1" t="s">
        <v>6</v>
      </c>
      <c r="K4464" s="1" t="s">
        <v>24</v>
      </c>
      <c r="L4464" s="1">
        <v>7270432</v>
      </c>
      <c r="M4464" s="2">
        <v>42815</v>
      </c>
      <c r="N4464" s="1" t="s">
        <v>8</v>
      </c>
      <c r="O4464" s="2">
        <v>43911</v>
      </c>
    </row>
    <row r="4465" spans="1:15" ht="43.2" x14ac:dyDescent="0.3">
      <c r="A4465" s="1" t="s">
        <v>3848</v>
      </c>
      <c r="B4465" s="1" t="str">
        <f>"wellness pharmacy"</f>
        <v>wellness pharmacy</v>
      </c>
      <c r="C4465" s="1" t="s">
        <v>3849</v>
      </c>
      <c r="F4465" s="1" t="s">
        <v>27</v>
      </c>
      <c r="H4465" s="1" t="s">
        <v>3850</v>
      </c>
      <c r="I4465" s="1" t="s">
        <v>188</v>
      </c>
      <c r="J4465" s="1" t="s">
        <v>67</v>
      </c>
      <c r="K4465" s="1" t="s">
        <v>14</v>
      </c>
      <c r="M4465" s="2">
        <v>42815</v>
      </c>
      <c r="N4465" s="1" t="s">
        <v>8</v>
      </c>
      <c r="O4465" s="1" t="s">
        <v>68</v>
      </c>
    </row>
    <row r="4466" spans="1:15" ht="43.2" x14ac:dyDescent="0.3">
      <c r="A4466" s="1" t="s">
        <v>17643</v>
      </c>
      <c r="B4466" s="1" t="str">
        <f>"Owen lewis and son"</f>
        <v>Owen lewis and son</v>
      </c>
      <c r="C4466" s="1" t="s">
        <v>17644</v>
      </c>
      <c r="F4466" s="1" t="s">
        <v>1511</v>
      </c>
      <c r="H4466" s="1" t="s">
        <v>17645</v>
      </c>
      <c r="I4466" s="1" t="s">
        <v>125</v>
      </c>
      <c r="J4466" s="1" t="s">
        <v>67</v>
      </c>
      <c r="K4466" s="1" t="s">
        <v>34</v>
      </c>
      <c r="M4466" s="2">
        <v>42815</v>
      </c>
      <c r="N4466" s="1" t="s">
        <v>8</v>
      </c>
      <c r="O4466" s="1" t="s">
        <v>68</v>
      </c>
    </row>
    <row r="4467" spans="1:15" ht="43.2" x14ac:dyDescent="0.3">
      <c r="A4467" s="1" t="s">
        <v>19049</v>
      </c>
      <c r="B4467" s="1" t="str">
        <f>"James Davies Environmental Landcare"</f>
        <v>James Davies Environmental Landcare</v>
      </c>
      <c r="C4467" s="1" t="s">
        <v>19050</v>
      </c>
      <c r="F4467" s="1" t="s">
        <v>401</v>
      </c>
      <c r="H4467" s="1" t="s">
        <v>19051</v>
      </c>
      <c r="I4467" s="1" t="s">
        <v>5</v>
      </c>
      <c r="J4467" s="1" t="s">
        <v>6</v>
      </c>
      <c r="K4467" s="1" t="s">
        <v>34</v>
      </c>
      <c r="M4467" s="2">
        <v>42815</v>
      </c>
      <c r="N4467" s="1" t="s">
        <v>8</v>
      </c>
      <c r="O4467" s="2">
        <v>43911</v>
      </c>
    </row>
    <row r="4468" spans="1:15" ht="43.2" x14ac:dyDescent="0.3">
      <c r="A4468" s="1" t="s">
        <v>19052</v>
      </c>
      <c r="B4468" s="1" t="str">
        <f>"Henry Price Mr Henry Price"</f>
        <v>Henry Price Mr Henry Price</v>
      </c>
      <c r="C4468" s="1" t="s">
        <v>19053</v>
      </c>
      <c r="F4468" s="1" t="s">
        <v>1175</v>
      </c>
      <c r="H4468" s="1" t="s">
        <v>13918</v>
      </c>
      <c r="I4468" s="1" t="s">
        <v>5</v>
      </c>
      <c r="J4468" s="1" t="s">
        <v>6</v>
      </c>
      <c r="K4468" s="1" t="s">
        <v>24</v>
      </c>
      <c r="M4468" s="2">
        <v>42815</v>
      </c>
      <c r="N4468" s="1" t="s">
        <v>8</v>
      </c>
      <c r="O4468" s="2">
        <v>43911</v>
      </c>
    </row>
    <row r="4469" spans="1:15" ht="43.2" x14ac:dyDescent="0.3">
      <c r="A4469" s="1" t="s">
        <v>19054</v>
      </c>
      <c r="B4469" s="1" t="str">
        <f>"Andrew Tobin"</f>
        <v>Andrew Tobin</v>
      </c>
      <c r="C4469" s="1" t="s">
        <v>19055</v>
      </c>
      <c r="F4469" s="1" t="s">
        <v>27</v>
      </c>
      <c r="H4469" s="1" t="s">
        <v>19056</v>
      </c>
      <c r="I4469" s="1" t="s">
        <v>5</v>
      </c>
      <c r="J4469" s="1" t="s">
        <v>67</v>
      </c>
      <c r="K4469" s="1" t="s">
        <v>24</v>
      </c>
      <c r="M4469" s="2">
        <v>42815</v>
      </c>
      <c r="N4469" s="1" t="s">
        <v>8</v>
      </c>
      <c r="O4469" s="1" t="s">
        <v>68</v>
      </c>
    </row>
    <row r="4470" spans="1:15" ht="43.2" x14ac:dyDescent="0.3">
      <c r="A4470" s="1" t="s">
        <v>19057</v>
      </c>
      <c r="B4470" s="1" t="str">
        <f>"Andrew Tobin"</f>
        <v>Andrew Tobin</v>
      </c>
      <c r="C4470" s="1" t="s">
        <v>19055</v>
      </c>
      <c r="F4470" s="1" t="s">
        <v>27</v>
      </c>
      <c r="H4470" s="1" t="s">
        <v>19056</v>
      </c>
      <c r="I4470" s="1" t="s">
        <v>5</v>
      </c>
      <c r="J4470" s="1" t="s">
        <v>67</v>
      </c>
      <c r="K4470" s="1" t="s">
        <v>14</v>
      </c>
      <c r="M4470" s="2">
        <v>42815</v>
      </c>
      <c r="N4470" s="1" t="s">
        <v>8</v>
      </c>
      <c r="O4470" s="1" t="s">
        <v>68</v>
      </c>
    </row>
    <row r="4471" spans="1:15" ht="43.2" x14ac:dyDescent="0.3">
      <c r="A4471" s="1" t="s">
        <v>19058</v>
      </c>
      <c r="B4471" s="1" t="str">
        <f>"mark jones"</f>
        <v>mark jones</v>
      </c>
      <c r="C4471" s="1" t="s">
        <v>19059</v>
      </c>
      <c r="F4471" s="1" t="s">
        <v>438</v>
      </c>
      <c r="H4471" s="1" t="s">
        <v>19060</v>
      </c>
      <c r="I4471" s="1" t="s">
        <v>5</v>
      </c>
      <c r="J4471" s="1" t="s">
        <v>67</v>
      </c>
      <c r="K4471" s="1" t="s">
        <v>14</v>
      </c>
      <c r="M4471" s="2">
        <v>42815</v>
      </c>
      <c r="N4471" s="1" t="s">
        <v>8</v>
      </c>
      <c r="O4471" s="1" t="s">
        <v>68</v>
      </c>
    </row>
    <row r="4472" spans="1:15" ht="43.2" x14ac:dyDescent="0.3">
      <c r="A4472" s="1" t="s">
        <v>19061</v>
      </c>
      <c r="B4472" s="1" t="str">
        <f>"Mark Jones"</f>
        <v>Mark Jones</v>
      </c>
      <c r="C4472" s="1" t="s">
        <v>19059</v>
      </c>
      <c r="F4472" s="1" t="s">
        <v>438</v>
      </c>
      <c r="H4472" s="1" t="s">
        <v>19060</v>
      </c>
      <c r="I4472" s="1" t="s">
        <v>5</v>
      </c>
      <c r="J4472" s="1" t="s">
        <v>67</v>
      </c>
      <c r="K4472" s="1" t="s">
        <v>14</v>
      </c>
      <c r="M4472" s="2">
        <v>42815</v>
      </c>
      <c r="N4472" s="1" t="s">
        <v>8</v>
      </c>
      <c r="O4472" s="1" t="s">
        <v>68</v>
      </c>
    </row>
    <row r="4473" spans="1:15" ht="43.2" x14ac:dyDescent="0.3">
      <c r="A4473" s="1" t="s">
        <v>19062</v>
      </c>
      <c r="B4473" s="1" t="str">
        <f>"David Harding D Harding"</f>
        <v>David Harding D Harding</v>
      </c>
      <c r="C4473" s="1" t="s">
        <v>19063</v>
      </c>
      <c r="F4473" s="1" t="s">
        <v>103</v>
      </c>
      <c r="H4473" s="1" t="s">
        <v>19064</v>
      </c>
      <c r="I4473" s="1" t="s">
        <v>5</v>
      </c>
      <c r="J4473" s="1" t="s">
        <v>67</v>
      </c>
      <c r="K4473" s="1" t="s">
        <v>24</v>
      </c>
      <c r="M4473" s="2">
        <v>42815</v>
      </c>
      <c r="N4473" s="1" t="s">
        <v>8</v>
      </c>
      <c r="O4473" s="1" t="s">
        <v>68</v>
      </c>
    </row>
    <row r="4474" spans="1:15" ht="28.8" x14ac:dyDescent="0.3">
      <c r="A4474" s="1" t="s">
        <v>29364</v>
      </c>
      <c r="B4474" s="1" t="str">
        <f>"Robert Grant Grant Builders"</f>
        <v>Robert Grant Grant Builders</v>
      </c>
      <c r="C4474" s="1" t="s">
        <v>29365</v>
      </c>
      <c r="F4474" s="1" t="s">
        <v>930</v>
      </c>
      <c r="H4474" s="1" t="s">
        <v>29366</v>
      </c>
      <c r="I4474" s="1" t="s">
        <v>5</v>
      </c>
      <c r="J4474" s="1" t="s">
        <v>6</v>
      </c>
      <c r="K4474" s="1" t="s">
        <v>34</v>
      </c>
      <c r="M4474" s="2">
        <v>42815</v>
      </c>
      <c r="N4474" s="1" t="s">
        <v>8</v>
      </c>
      <c r="O4474" s="2">
        <v>43911</v>
      </c>
    </row>
    <row r="4475" spans="1:15" ht="28.8" x14ac:dyDescent="0.3">
      <c r="A4475" s="1" t="s">
        <v>16577</v>
      </c>
      <c r="B4475" s="1" t="str">
        <f>"ATH Building Contractors Ltd"</f>
        <v>ATH Building Contractors Ltd</v>
      </c>
      <c r="C4475" s="1" t="s">
        <v>16578</v>
      </c>
      <c r="D4475" s="1" t="s">
        <v>9880</v>
      </c>
      <c r="F4475" s="1" t="s">
        <v>27</v>
      </c>
      <c r="H4475" s="1" t="s">
        <v>16579</v>
      </c>
      <c r="I4475" s="1" t="s">
        <v>19</v>
      </c>
      <c r="J4475" s="1" t="s">
        <v>6</v>
      </c>
      <c r="K4475" s="1" t="s">
        <v>34</v>
      </c>
      <c r="L4475" s="1">
        <v>7100405</v>
      </c>
      <c r="M4475" s="2">
        <v>42814</v>
      </c>
      <c r="N4475" s="1" t="s">
        <v>8</v>
      </c>
      <c r="O4475" s="2">
        <v>43910</v>
      </c>
    </row>
    <row r="4476" spans="1:15" ht="43.2" x14ac:dyDescent="0.3">
      <c r="A4476" s="1" t="s">
        <v>16580</v>
      </c>
      <c r="B4476" s="1" t="str">
        <f>"24-7 Recovery and Rescue Limited"</f>
        <v>24-7 Recovery and Rescue Limited</v>
      </c>
      <c r="C4476" s="1" t="s">
        <v>16581</v>
      </c>
      <c r="D4476" s="1" t="s">
        <v>15860</v>
      </c>
      <c r="E4476" s="1" t="s">
        <v>1097</v>
      </c>
      <c r="F4476" s="1" t="s">
        <v>1346</v>
      </c>
      <c r="H4476" s="1" t="s">
        <v>15861</v>
      </c>
      <c r="I4476" s="1" t="s">
        <v>19</v>
      </c>
      <c r="J4476" s="1" t="s">
        <v>67</v>
      </c>
      <c r="K4476" s="1" t="s">
        <v>24</v>
      </c>
      <c r="L4476" s="1">
        <v>6268467</v>
      </c>
      <c r="M4476" s="2">
        <v>42814</v>
      </c>
      <c r="N4476" s="1" t="s">
        <v>8</v>
      </c>
      <c r="O4476" s="1" t="s">
        <v>68</v>
      </c>
    </row>
    <row r="4477" spans="1:15" ht="28.8" x14ac:dyDescent="0.3">
      <c r="A4477" s="1" t="s">
        <v>16582</v>
      </c>
      <c r="B4477" s="1" t="str">
        <f>"Frost Brothers Construction"</f>
        <v>Frost Brothers Construction</v>
      </c>
      <c r="C4477" s="1" t="s">
        <v>16583</v>
      </c>
      <c r="F4477" s="1" t="s">
        <v>374</v>
      </c>
      <c r="H4477" s="1" t="s">
        <v>16584</v>
      </c>
      <c r="I4477" s="1" t="s">
        <v>125</v>
      </c>
      <c r="J4477" s="1" t="s">
        <v>6</v>
      </c>
      <c r="K4477" s="1" t="s">
        <v>34</v>
      </c>
      <c r="M4477" s="2">
        <v>42814</v>
      </c>
      <c r="N4477" s="1" t="s">
        <v>8</v>
      </c>
      <c r="O4477" s="2">
        <v>43910</v>
      </c>
    </row>
    <row r="4478" spans="1:15" ht="28.8" x14ac:dyDescent="0.3">
      <c r="A4478" s="1" t="s">
        <v>16585</v>
      </c>
      <c r="B4478" s="1" t="str">
        <f>"Y Ffynnon Limited"</f>
        <v>Y Ffynnon Limited</v>
      </c>
      <c r="C4478" s="1" t="s">
        <v>16586</v>
      </c>
      <c r="F4478" s="1" t="s">
        <v>12</v>
      </c>
      <c r="H4478" s="1" t="s">
        <v>16587</v>
      </c>
      <c r="I4478" s="1" t="s">
        <v>19</v>
      </c>
      <c r="J4478" s="1" t="s">
        <v>6</v>
      </c>
      <c r="K4478" s="1" t="s">
        <v>34</v>
      </c>
      <c r="L4478" s="1">
        <v>4573463</v>
      </c>
      <c r="M4478" s="2">
        <v>42814</v>
      </c>
      <c r="N4478" s="1" t="s">
        <v>8</v>
      </c>
      <c r="O4478" s="2">
        <v>43910</v>
      </c>
    </row>
    <row r="4479" spans="1:15" ht="28.8" x14ac:dyDescent="0.3">
      <c r="A4479" s="1" t="s">
        <v>17635</v>
      </c>
      <c r="B4479" s="1" t="str">
        <f>"Atlas Contract Furniture Ltd"</f>
        <v>Atlas Contract Furniture Ltd</v>
      </c>
      <c r="C4479" s="1" t="s">
        <v>17636</v>
      </c>
      <c r="F4479" s="1" t="s">
        <v>11287</v>
      </c>
      <c r="H4479" s="1" t="s">
        <v>17637</v>
      </c>
      <c r="I4479" s="1" t="s">
        <v>19</v>
      </c>
      <c r="J4479" s="1" t="s">
        <v>6</v>
      </c>
      <c r="K4479" s="1" t="s">
        <v>24</v>
      </c>
      <c r="L4479" s="1">
        <v>6995494</v>
      </c>
      <c r="M4479" s="2">
        <v>42814</v>
      </c>
      <c r="N4479" s="1" t="s">
        <v>8</v>
      </c>
      <c r="O4479" s="2">
        <v>43910</v>
      </c>
    </row>
    <row r="4480" spans="1:15" ht="28.8" x14ac:dyDescent="0.3">
      <c r="A4480" s="1" t="s">
        <v>17638</v>
      </c>
      <c r="B4480" s="1" t="str">
        <f>"Andy's Tyre Services Ltd."</f>
        <v>Andy's Tyre Services Ltd.</v>
      </c>
      <c r="C4480" s="1" t="s">
        <v>17639</v>
      </c>
      <c r="F4480" s="1" t="s">
        <v>214</v>
      </c>
      <c r="H4480" s="1" t="s">
        <v>17640</v>
      </c>
      <c r="I4480" s="1" t="s">
        <v>19</v>
      </c>
      <c r="J4480" s="1" t="s">
        <v>6</v>
      </c>
      <c r="K4480" s="1" t="s">
        <v>24</v>
      </c>
      <c r="L4480" s="1">
        <v>4126235</v>
      </c>
      <c r="M4480" s="2">
        <v>42814</v>
      </c>
      <c r="N4480" s="1" t="s">
        <v>8</v>
      </c>
      <c r="O4480" s="2">
        <v>43941</v>
      </c>
    </row>
    <row r="4481" spans="1:15" ht="43.2" x14ac:dyDescent="0.3">
      <c r="A4481" s="1" t="s">
        <v>17641</v>
      </c>
      <c r="B4481" s="1" t="str">
        <f>"Cymell Cyf"</f>
        <v>Cymell Cyf</v>
      </c>
      <c r="C4481" s="1" t="s">
        <v>17642</v>
      </c>
      <c r="D4481" s="1" t="s">
        <v>495</v>
      </c>
      <c r="E4481" s="1" t="s">
        <v>496</v>
      </c>
      <c r="F4481" s="1" t="s">
        <v>328</v>
      </c>
      <c r="H4481" s="1" t="s">
        <v>497</v>
      </c>
      <c r="I4481" s="1" t="s">
        <v>19</v>
      </c>
      <c r="J4481" s="1" t="s">
        <v>67</v>
      </c>
      <c r="K4481" s="1" t="s">
        <v>14</v>
      </c>
      <c r="M4481" s="2">
        <v>42814</v>
      </c>
      <c r="N4481" s="1" t="s">
        <v>8</v>
      </c>
      <c r="O4481" s="1" t="s">
        <v>68</v>
      </c>
    </row>
    <row r="4482" spans="1:15" ht="28.8" x14ac:dyDescent="0.3">
      <c r="A4482" s="1" t="s">
        <v>29352</v>
      </c>
      <c r="B4482" s="1" t="str">
        <f>"Mark Hopson"</f>
        <v>Mark Hopson</v>
      </c>
      <c r="C4482" s="1" t="s">
        <v>29353</v>
      </c>
      <c r="F4482" s="1" t="s">
        <v>1351</v>
      </c>
      <c r="H4482" s="1" t="s">
        <v>29354</v>
      </c>
      <c r="I4482" s="1" t="s">
        <v>5</v>
      </c>
      <c r="J4482" s="1" t="s">
        <v>6</v>
      </c>
      <c r="K4482" s="1" t="s">
        <v>24</v>
      </c>
      <c r="M4482" s="2">
        <v>42814</v>
      </c>
      <c r="N4482" s="1" t="s">
        <v>8</v>
      </c>
      <c r="O4482" s="2">
        <v>43910</v>
      </c>
    </row>
    <row r="4483" spans="1:15" ht="43.2" x14ac:dyDescent="0.3">
      <c r="A4483" s="1" t="s">
        <v>29355</v>
      </c>
      <c r="B4483" s="1" t="str">
        <f>"Dale Smith"</f>
        <v>Dale Smith</v>
      </c>
      <c r="C4483" s="1" t="s">
        <v>29356</v>
      </c>
      <c r="F4483" s="1" t="s">
        <v>7402</v>
      </c>
      <c r="H4483" s="1" t="s">
        <v>29357</v>
      </c>
      <c r="I4483" s="1" t="s">
        <v>5</v>
      </c>
      <c r="J4483" s="1" t="s">
        <v>67</v>
      </c>
      <c r="K4483" s="1" t="s">
        <v>14</v>
      </c>
      <c r="M4483" s="2">
        <v>42814</v>
      </c>
      <c r="N4483" s="1" t="s">
        <v>8</v>
      </c>
      <c r="O4483" s="1" t="s">
        <v>68</v>
      </c>
    </row>
    <row r="4484" spans="1:15" ht="43.2" x14ac:dyDescent="0.3">
      <c r="A4484" s="1" t="s">
        <v>29358</v>
      </c>
      <c r="B4484" s="1" t="str">
        <f>"Paul  Hilton"</f>
        <v>Paul  Hilton</v>
      </c>
      <c r="C4484" s="1" t="s">
        <v>29359</v>
      </c>
      <c r="F4484" s="1" t="s">
        <v>7375</v>
      </c>
      <c r="H4484" s="1" t="s">
        <v>29360</v>
      </c>
      <c r="I4484" s="1" t="s">
        <v>5</v>
      </c>
      <c r="J4484" s="1" t="s">
        <v>67</v>
      </c>
      <c r="K4484" s="1" t="s">
        <v>14</v>
      </c>
      <c r="M4484" s="2">
        <v>42814</v>
      </c>
      <c r="N4484" s="1" t="s">
        <v>8</v>
      </c>
      <c r="O4484" s="1" t="s">
        <v>68</v>
      </c>
    </row>
    <row r="4485" spans="1:15" ht="28.8" x14ac:dyDescent="0.3">
      <c r="A4485" s="1" t="s">
        <v>29361</v>
      </c>
      <c r="B4485" s="1" t="str">
        <f>"mike higgs mike higgs"</f>
        <v>mike higgs mike higgs</v>
      </c>
      <c r="C4485" s="1" t="s">
        <v>29362</v>
      </c>
      <c r="F4485" s="1" t="s">
        <v>298</v>
      </c>
      <c r="H4485" s="1" t="s">
        <v>29363</v>
      </c>
      <c r="I4485" s="1" t="s">
        <v>5</v>
      </c>
      <c r="J4485" s="1" t="s">
        <v>6</v>
      </c>
      <c r="K4485" s="1" t="s">
        <v>34</v>
      </c>
      <c r="M4485" s="2">
        <v>42814</v>
      </c>
      <c r="N4485" s="1" t="s">
        <v>8</v>
      </c>
      <c r="O4485" s="2">
        <v>43910</v>
      </c>
    </row>
    <row r="4486" spans="1:15" ht="28.8" x14ac:dyDescent="0.3">
      <c r="A4486" s="1" t="s">
        <v>16573</v>
      </c>
      <c r="B4486" s="1" t="str">
        <f>"J S MOSSOM"</f>
        <v>J S MOSSOM</v>
      </c>
      <c r="C4486" s="1" t="s">
        <v>16574</v>
      </c>
      <c r="D4486" s="1" t="s">
        <v>16575</v>
      </c>
      <c r="E4486" s="1" t="s">
        <v>15705</v>
      </c>
      <c r="F4486" s="1" t="s">
        <v>198</v>
      </c>
      <c r="H4486" s="1" t="s">
        <v>16576</v>
      </c>
      <c r="I4486" s="1" t="s">
        <v>125</v>
      </c>
      <c r="J4486" s="1" t="s">
        <v>6</v>
      </c>
      <c r="K4486" s="1" t="s">
        <v>24</v>
      </c>
      <c r="M4486" s="2">
        <v>42813</v>
      </c>
      <c r="N4486" s="1" t="s">
        <v>8</v>
      </c>
      <c r="O4486" s="2">
        <v>43909</v>
      </c>
    </row>
    <row r="4487" spans="1:15" ht="43.2" x14ac:dyDescent="0.3">
      <c r="A4487" s="1" t="s">
        <v>28617</v>
      </c>
      <c r="B4487" s="1" t="str">
        <f>"caroline trett"</f>
        <v>caroline trett</v>
      </c>
      <c r="C4487" s="1" t="s">
        <v>28618</v>
      </c>
      <c r="F4487" s="1" t="s">
        <v>7073</v>
      </c>
      <c r="H4487" s="1" t="s">
        <v>28619</v>
      </c>
      <c r="I4487" s="1" t="s">
        <v>5</v>
      </c>
      <c r="J4487" s="1" t="s">
        <v>67</v>
      </c>
      <c r="K4487" s="1" t="s">
        <v>14</v>
      </c>
      <c r="M4487" s="2">
        <v>42813</v>
      </c>
      <c r="N4487" s="1" t="s">
        <v>8</v>
      </c>
      <c r="O4487" s="1" t="s">
        <v>68</v>
      </c>
    </row>
    <row r="4488" spans="1:15" ht="28.8" x14ac:dyDescent="0.3">
      <c r="A4488" s="1" t="s">
        <v>28620</v>
      </c>
      <c r="B4488" s="1" t="str">
        <f>"Tony Evenden Tony evenden"</f>
        <v>Tony Evenden Tony evenden</v>
      </c>
      <c r="C4488" s="1" t="s">
        <v>28621</v>
      </c>
      <c r="F4488" s="1" t="s">
        <v>28622</v>
      </c>
      <c r="H4488" s="1" t="s">
        <v>28623</v>
      </c>
      <c r="I4488" s="1" t="s">
        <v>5</v>
      </c>
      <c r="J4488" s="1" t="s">
        <v>6</v>
      </c>
      <c r="K4488" s="1" t="s">
        <v>24</v>
      </c>
      <c r="M4488" s="2">
        <v>42813</v>
      </c>
      <c r="N4488" s="1" t="s">
        <v>8</v>
      </c>
      <c r="O4488" s="2">
        <v>43909</v>
      </c>
    </row>
    <row r="4489" spans="1:15" ht="28.8" x14ac:dyDescent="0.3">
      <c r="A4489" s="1" t="s">
        <v>16571</v>
      </c>
      <c r="B4489" s="1" t="str">
        <f>"Bridgend Asbestos Services Ltd"</f>
        <v>Bridgend Asbestos Services Ltd</v>
      </c>
      <c r="C4489" s="1" t="s">
        <v>16572</v>
      </c>
      <c r="D4489" s="1" t="s">
        <v>10429</v>
      </c>
      <c r="E4489" s="1" t="s">
        <v>9059</v>
      </c>
      <c r="F4489" s="1" t="s">
        <v>865</v>
      </c>
      <c r="H4489" s="1" t="s">
        <v>10430</v>
      </c>
      <c r="I4489" s="1" t="s">
        <v>19</v>
      </c>
      <c r="J4489" s="1" t="s">
        <v>6</v>
      </c>
      <c r="K4489" s="1" t="s">
        <v>34</v>
      </c>
      <c r="L4489" s="1">
        <v>4817052</v>
      </c>
      <c r="M4489" s="2">
        <v>42812</v>
      </c>
      <c r="N4489" s="1" t="s">
        <v>8</v>
      </c>
      <c r="O4489" s="2">
        <v>43908</v>
      </c>
    </row>
    <row r="4490" spans="1:15" ht="43.2" x14ac:dyDescent="0.3">
      <c r="A4490" s="1" t="s">
        <v>28612</v>
      </c>
      <c r="B4490" s="1" t="str">
        <f>"Stephen Addison-jones Mr Stephen Addison-jones"</f>
        <v>Stephen Addison-jones Mr Stephen Addison-jones</v>
      </c>
      <c r="C4490" s="1" t="s">
        <v>28613</v>
      </c>
      <c r="F4490" s="1" t="s">
        <v>24323</v>
      </c>
      <c r="H4490" s="1" t="s">
        <v>28614</v>
      </c>
      <c r="I4490" s="1" t="s">
        <v>5</v>
      </c>
      <c r="J4490" s="1" t="s">
        <v>6</v>
      </c>
      <c r="K4490" s="1" t="s">
        <v>24</v>
      </c>
      <c r="M4490" s="2">
        <v>42812</v>
      </c>
      <c r="N4490" s="1" t="s">
        <v>8</v>
      </c>
      <c r="O4490" s="2">
        <v>43908</v>
      </c>
    </row>
    <row r="4491" spans="1:15" ht="28.8" x14ac:dyDescent="0.3">
      <c r="A4491" s="1" t="s">
        <v>28615</v>
      </c>
      <c r="B4491" s="1" t="str">
        <f>"Malcolm Hill Sketty Gas Services"</f>
        <v>Malcolm Hill Sketty Gas Services</v>
      </c>
      <c r="C4491" s="1" t="s">
        <v>28616</v>
      </c>
      <c r="F4491" s="1" t="s">
        <v>65</v>
      </c>
      <c r="H4491" s="1" t="s">
        <v>15542</v>
      </c>
      <c r="I4491" s="1" t="s">
        <v>5</v>
      </c>
      <c r="J4491" s="1" t="s">
        <v>6</v>
      </c>
      <c r="K4491" s="1" t="s">
        <v>34</v>
      </c>
      <c r="M4491" s="2">
        <v>42812</v>
      </c>
      <c r="N4491" s="1" t="s">
        <v>8</v>
      </c>
      <c r="O4491" s="2">
        <v>43908</v>
      </c>
    </row>
    <row r="4492" spans="1:15" ht="43.2" x14ac:dyDescent="0.3">
      <c r="A4492" s="1" t="s">
        <v>15540</v>
      </c>
      <c r="B4492" s="1" t="str">
        <f>"A. Lloyd Electrical &amp; Solar LTD"</f>
        <v>A. Lloyd Electrical &amp; Solar LTD</v>
      </c>
      <c r="C4492" s="1" t="s">
        <v>15541</v>
      </c>
      <c r="F4492" s="1" t="s">
        <v>65</v>
      </c>
      <c r="H4492" s="1" t="s">
        <v>15542</v>
      </c>
      <c r="I4492" s="1" t="s">
        <v>19</v>
      </c>
      <c r="J4492" s="1" t="s">
        <v>67</v>
      </c>
      <c r="K4492" s="1" t="s">
        <v>14</v>
      </c>
      <c r="M4492" s="2">
        <v>42811</v>
      </c>
      <c r="N4492" s="1" t="s">
        <v>8</v>
      </c>
      <c r="O4492" s="1" t="s">
        <v>68</v>
      </c>
    </row>
    <row r="4493" spans="1:15" ht="28.8" x14ac:dyDescent="0.3">
      <c r="A4493" s="1" t="s">
        <v>15543</v>
      </c>
      <c r="B4493" s="1" t="str">
        <f>"Heat Sense UK Limited"</f>
        <v>Heat Sense UK Limited</v>
      </c>
      <c r="C4493" s="1" t="s">
        <v>15544</v>
      </c>
      <c r="F4493" s="1" t="s">
        <v>32</v>
      </c>
      <c r="H4493" s="1" t="s">
        <v>15545</v>
      </c>
      <c r="I4493" s="1" t="s">
        <v>19</v>
      </c>
      <c r="J4493" s="1" t="s">
        <v>6</v>
      </c>
      <c r="K4493" s="1" t="s">
        <v>34</v>
      </c>
      <c r="L4493" s="1">
        <v>10409602</v>
      </c>
      <c r="M4493" s="2">
        <v>42811</v>
      </c>
      <c r="N4493" s="1" t="s">
        <v>8</v>
      </c>
      <c r="O4493" s="2">
        <v>43907</v>
      </c>
    </row>
    <row r="4494" spans="1:15" ht="28.8" x14ac:dyDescent="0.3">
      <c r="A4494" s="1" t="s">
        <v>15546</v>
      </c>
      <c r="B4494" s="1" t="str">
        <f>"MASON BROS QUARRY PRODUCTS LTD"</f>
        <v>MASON BROS QUARRY PRODUCTS LTD</v>
      </c>
      <c r="C4494" s="1" t="s">
        <v>15547</v>
      </c>
      <c r="F4494" s="1" t="s">
        <v>223</v>
      </c>
      <c r="H4494" s="1" t="s">
        <v>15548</v>
      </c>
      <c r="I4494" s="1" t="s">
        <v>19</v>
      </c>
      <c r="J4494" s="1" t="s">
        <v>6</v>
      </c>
      <c r="K4494" s="1" t="s">
        <v>34</v>
      </c>
      <c r="L4494" s="1">
        <v>2448753</v>
      </c>
      <c r="M4494" s="2">
        <v>42811</v>
      </c>
      <c r="N4494" s="1" t="s">
        <v>8</v>
      </c>
      <c r="O4494" s="2">
        <v>43907</v>
      </c>
    </row>
    <row r="4495" spans="1:15" ht="43.2" x14ac:dyDescent="0.3">
      <c r="A4495" s="1" t="s">
        <v>15549</v>
      </c>
      <c r="B4495" s="1" t="str">
        <f>"Avance Air Ltd"</f>
        <v>Avance Air Ltd</v>
      </c>
      <c r="C4495" s="1" t="s">
        <v>15550</v>
      </c>
      <c r="D4495" s="1" t="s">
        <v>8138</v>
      </c>
      <c r="F4495" s="1" t="s">
        <v>27</v>
      </c>
      <c r="H4495" s="1" t="s">
        <v>8139</v>
      </c>
      <c r="I4495" s="1" t="s">
        <v>19</v>
      </c>
      <c r="J4495" s="1" t="s">
        <v>67</v>
      </c>
      <c r="K4495" s="1" t="s">
        <v>14</v>
      </c>
      <c r="M4495" s="2">
        <v>42811</v>
      </c>
      <c r="N4495" s="1" t="s">
        <v>8</v>
      </c>
      <c r="O4495" s="1" t="s">
        <v>68</v>
      </c>
    </row>
    <row r="4496" spans="1:15" ht="43.2" x14ac:dyDescent="0.3">
      <c r="A4496" s="1" t="s">
        <v>15551</v>
      </c>
      <c r="B4496" s="1" t="str">
        <f>"D M JONES ELECTRICAL  CONTRACTORS"</f>
        <v>D M JONES ELECTRICAL  CONTRACTORS</v>
      </c>
      <c r="C4496" s="1" t="s">
        <v>15552</v>
      </c>
      <c r="F4496" s="1" t="s">
        <v>37</v>
      </c>
      <c r="H4496" s="1" t="s">
        <v>7920</v>
      </c>
      <c r="I4496" s="1" t="s">
        <v>125</v>
      </c>
      <c r="J4496" s="1" t="s">
        <v>6</v>
      </c>
      <c r="K4496" s="1" t="s">
        <v>24</v>
      </c>
      <c r="M4496" s="2">
        <v>42811</v>
      </c>
      <c r="N4496" s="1" t="s">
        <v>8</v>
      </c>
      <c r="O4496" s="2">
        <v>43912</v>
      </c>
    </row>
    <row r="4497" spans="1:15" ht="28.8" x14ac:dyDescent="0.3">
      <c r="A4497" s="1" t="s">
        <v>15553</v>
      </c>
      <c r="B4497" s="1" t="str">
        <f>"Uk Atlantis Ltd."</f>
        <v>Uk Atlantis Ltd.</v>
      </c>
      <c r="C4497" s="1" t="s">
        <v>15554</v>
      </c>
      <c r="D4497" s="1" t="s">
        <v>15555</v>
      </c>
      <c r="F4497" s="1" t="s">
        <v>198</v>
      </c>
      <c r="H4497" s="1" t="s">
        <v>15556</v>
      </c>
      <c r="I4497" s="1" t="s">
        <v>19</v>
      </c>
      <c r="J4497" s="1" t="s">
        <v>6</v>
      </c>
      <c r="K4497" s="1" t="s">
        <v>24</v>
      </c>
      <c r="L4497" s="1">
        <v>6829414</v>
      </c>
      <c r="M4497" s="2">
        <v>42811</v>
      </c>
      <c r="N4497" s="1" t="s">
        <v>8</v>
      </c>
      <c r="O4497" s="2">
        <v>43907</v>
      </c>
    </row>
    <row r="4498" spans="1:15" ht="43.2" x14ac:dyDescent="0.3">
      <c r="A4498" s="1" t="s">
        <v>27804</v>
      </c>
      <c r="B4498" s="1" t="str">
        <f>"David England"</f>
        <v>David England</v>
      </c>
      <c r="C4498" s="1" t="s">
        <v>25139</v>
      </c>
      <c r="F4498" s="1" t="s">
        <v>4536</v>
      </c>
      <c r="H4498" s="1" t="s">
        <v>25140</v>
      </c>
      <c r="I4498" s="1" t="s">
        <v>5</v>
      </c>
      <c r="J4498" s="1" t="s">
        <v>67</v>
      </c>
      <c r="K4498" s="1" t="s">
        <v>14</v>
      </c>
      <c r="M4498" s="2">
        <v>42811</v>
      </c>
      <c r="N4498" s="1" t="s">
        <v>8</v>
      </c>
      <c r="O4498" s="1" t="s">
        <v>68</v>
      </c>
    </row>
    <row r="4499" spans="1:15" ht="43.2" x14ac:dyDescent="0.3">
      <c r="A4499" s="1" t="s">
        <v>27805</v>
      </c>
      <c r="B4499" s="1" t="str">
        <f>"Louis Draper Louis Draper Property Maintenance"</f>
        <v>Louis Draper Louis Draper Property Maintenance</v>
      </c>
      <c r="C4499" s="1" t="s">
        <v>27806</v>
      </c>
      <c r="D4499" s="1" t="s">
        <v>27807</v>
      </c>
      <c r="F4499" s="1" t="s">
        <v>205</v>
      </c>
      <c r="H4499" s="1" t="s">
        <v>27808</v>
      </c>
      <c r="I4499" s="1" t="s">
        <v>5</v>
      </c>
      <c r="J4499" s="1" t="s">
        <v>6</v>
      </c>
      <c r="K4499" s="1" t="s">
        <v>24</v>
      </c>
      <c r="M4499" s="2">
        <v>42811</v>
      </c>
      <c r="N4499" s="1" t="s">
        <v>8</v>
      </c>
      <c r="O4499" s="2">
        <v>43907</v>
      </c>
    </row>
    <row r="4500" spans="1:15" ht="43.2" x14ac:dyDescent="0.3">
      <c r="A4500" s="1" t="s">
        <v>27809</v>
      </c>
      <c r="B4500" s="1" t="str">
        <f>"Robert Howarth"</f>
        <v>Robert Howarth</v>
      </c>
      <c r="C4500" s="1" t="s">
        <v>27810</v>
      </c>
      <c r="F4500" s="1" t="s">
        <v>1346</v>
      </c>
      <c r="H4500" s="1" t="s">
        <v>27811</v>
      </c>
      <c r="I4500" s="1" t="s">
        <v>5</v>
      </c>
      <c r="J4500" s="1" t="s">
        <v>67</v>
      </c>
      <c r="K4500" s="1" t="s">
        <v>14</v>
      </c>
      <c r="M4500" s="2">
        <v>42811</v>
      </c>
      <c r="N4500" s="1" t="s">
        <v>8</v>
      </c>
      <c r="O4500" s="1" t="s">
        <v>68</v>
      </c>
    </row>
    <row r="4501" spans="1:15" ht="43.2" x14ac:dyDescent="0.3">
      <c r="A4501" s="1" t="s">
        <v>27812</v>
      </c>
      <c r="B4501" s="1" t="str">
        <f>"Peter  Fotios"</f>
        <v>Peter  Fotios</v>
      </c>
      <c r="C4501" s="1" t="s">
        <v>27813</v>
      </c>
      <c r="F4501" s="1" t="s">
        <v>1184</v>
      </c>
      <c r="H4501" s="1" t="s">
        <v>27814</v>
      </c>
      <c r="I4501" s="1" t="s">
        <v>5</v>
      </c>
      <c r="J4501" s="1" t="s">
        <v>67</v>
      </c>
      <c r="K4501" s="1" t="s">
        <v>14</v>
      </c>
      <c r="M4501" s="2">
        <v>42811</v>
      </c>
      <c r="N4501" s="1" t="s">
        <v>8</v>
      </c>
      <c r="O4501" s="1" t="s">
        <v>68</v>
      </c>
    </row>
    <row r="4502" spans="1:15" ht="43.2" x14ac:dyDescent="0.3">
      <c r="A4502" s="1" t="s">
        <v>27815</v>
      </c>
      <c r="B4502" s="1" t="str">
        <f>"David Ashworth CPC Electrical and Plumbing Cont"</f>
        <v>David Ashworth CPC Electrical and Plumbing Cont</v>
      </c>
      <c r="C4502" s="1" t="s">
        <v>27816</v>
      </c>
      <c r="F4502" s="1" t="s">
        <v>409</v>
      </c>
      <c r="H4502" s="1" t="s">
        <v>27817</v>
      </c>
      <c r="I4502" s="1" t="s">
        <v>5</v>
      </c>
      <c r="J4502" s="1" t="s">
        <v>6</v>
      </c>
      <c r="K4502" s="1" t="s">
        <v>24</v>
      </c>
      <c r="M4502" s="2">
        <v>42811</v>
      </c>
      <c r="N4502" s="1" t="s">
        <v>8</v>
      </c>
      <c r="O4502" s="2">
        <v>43907</v>
      </c>
    </row>
    <row r="4503" spans="1:15" ht="43.2" x14ac:dyDescent="0.3">
      <c r="A4503" s="1" t="s">
        <v>27818</v>
      </c>
      <c r="B4503" s="1" t="str">
        <f>"gary morris"</f>
        <v>gary morris</v>
      </c>
      <c r="C4503" s="1" t="s">
        <v>27819</v>
      </c>
      <c r="F4503" s="1" t="s">
        <v>1184</v>
      </c>
      <c r="H4503" s="1" t="s">
        <v>27820</v>
      </c>
      <c r="I4503" s="1" t="s">
        <v>5</v>
      </c>
      <c r="J4503" s="1" t="s">
        <v>67</v>
      </c>
      <c r="K4503" s="1" t="s">
        <v>14</v>
      </c>
      <c r="M4503" s="2">
        <v>42811</v>
      </c>
      <c r="N4503" s="1" t="s">
        <v>8</v>
      </c>
      <c r="O4503" s="1" t="s">
        <v>68</v>
      </c>
    </row>
    <row r="4504" spans="1:15" ht="28.8" x14ac:dyDescent="0.3">
      <c r="A4504" s="1" t="s">
        <v>27821</v>
      </c>
      <c r="B4504" s="1" t="str">
        <f>"Stephen Perkins Stephen Perkins"</f>
        <v>Stephen Perkins Stephen Perkins</v>
      </c>
      <c r="C4504" s="1" t="s">
        <v>19028</v>
      </c>
      <c r="F4504" s="1" t="s">
        <v>91</v>
      </c>
      <c r="H4504" s="1" t="s">
        <v>19029</v>
      </c>
      <c r="I4504" s="1" t="s">
        <v>5</v>
      </c>
      <c r="J4504" s="1" t="s">
        <v>6</v>
      </c>
      <c r="K4504" s="1" t="s">
        <v>24</v>
      </c>
      <c r="M4504" s="2">
        <v>42811</v>
      </c>
      <c r="N4504" s="1" t="s">
        <v>8</v>
      </c>
      <c r="O4504" s="2">
        <v>43907</v>
      </c>
    </row>
    <row r="4505" spans="1:15" x14ac:dyDescent="0.3">
      <c r="A4505" s="1" t="s">
        <v>27822</v>
      </c>
      <c r="B4505" s="1" t="str">
        <f>"John Allan Mccarthy"</f>
        <v>John Allan Mccarthy</v>
      </c>
      <c r="C4505" s="1" t="s">
        <v>27823</v>
      </c>
      <c r="F4505" s="1" t="s">
        <v>739</v>
      </c>
      <c r="H4505" s="1" t="s">
        <v>27824</v>
      </c>
      <c r="I4505" s="1" t="s">
        <v>5</v>
      </c>
      <c r="J4505" s="1" t="s">
        <v>6</v>
      </c>
      <c r="K4505" s="1" t="s">
        <v>24</v>
      </c>
      <c r="M4505" s="2">
        <v>42811</v>
      </c>
      <c r="N4505" s="1" t="s">
        <v>8</v>
      </c>
      <c r="O4505" s="2">
        <v>43907</v>
      </c>
    </row>
    <row r="4506" spans="1:15" ht="28.8" x14ac:dyDescent="0.3">
      <c r="A4506" s="1" t="s">
        <v>27825</v>
      </c>
      <c r="B4506" s="1" t="str">
        <f>"John Williams Williams Garden Services"</f>
        <v>John Williams Williams Garden Services</v>
      </c>
      <c r="C4506" s="1" t="s">
        <v>27826</v>
      </c>
      <c r="F4506" s="1" t="s">
        <v>2277</v>
      </c>
      <c r="H4506" s="1" t="s">
        <v>27827</v>
      </c>
      <c r="I4506" s="1" t="s">
        <v>5</v>
      </c>
      <c r="J4506" s="1" t="s">
        <v>6</v>
      </c>
      <c r="K4506" s="1" t="s">
        <v>34</v>
      </c>
      <c r="M4506" s="2">
        <v>42811</v>
      </c>
      <c r="N4506" s="1" t="s">
        <v>8</v>
      </c>
      <c r="O4506" s="2">
        <v>43907</v>
      </c>
    </row>
    <row r="4507" spans="1:15" ht="28.8" x14ac:dyDescent="0.3">
      <c r="A4507" s="1" t="s">
        <v>28609</v>
      </c>
      <c r="B4507" s="1" t="str">
        <f>"Muhammad  Arshad  Muhammad arshad"</f>
        <v>Muhammad  Arshad  Muhammad arshad</v>
      </c>
      <c r="C4507" s="1" t="s">
        <v>28610</v>
      </c>
      <c r="F4507" s="1" t="s">
        <v>14052</v>
      </c>
      <c r="H4507" s="1" t="s">
        <v>28611</v>
      </c>
      <c r="I4507" s="1" t="s">
        <v>5</v>
      </c>
      <c r="J4507" s="1" t="s">
        <v>6</v>
      </c>
      <c r="K4507" s="1" t="s">
        <v>24</v>
      </c>
      <c r="M4507" s="2">
        <v>42811</v>
      </c>
      <c r="N4507" s="1" t="s">
        <v>8</v>
      </c>
      <c r="O4507" s="2">
        <v>43907</v>
      </c>
    </row>
    <row r="4508" spans="1:15" ht="28.8" x14ac:dyDescent="0.3">
      <c r="A4508" s="1" t="s">
        <v>14624</v>
      </c>
      <c r="B4508" s="1" t="str">
        <f>"ALEXANDER DESIGN BUILD LTD"</f>
        <v>ALEXANDER DESIGN BUILD LTD</v>
      </c>
      <c r="C4508" s="1" t="s">
        <v>14625</v>
      </c>
      <c r="F4508" s="1" t="s">
        <v>930</v>
      </c>
      <c r="H4508" s="1" t="s">
        <v>14626</v>
      </c>
      <c r="I4508" s="1" t="s">
        <v>19</v>
      </c>
      <c r="J4508" s="1" t="s">
        <v>6</v>
      </c>
      <c r="K4508" s="1" t="s">
        <v>34</v>
      </c>
      <c r="L4508" s="1">
        <v>8138927</v>
      </c>
      <c r="M4508" s="2">
        <v>42810</v>
      </c>
      <c r="N4508" s="1" t="s">
        <v>8</v>
      </c>
      <c r="O4508" s="2">
        <v>43906</v>
      </c>
    </row>
    <row r="4509" spans="1:15" ht="28.8" x14ac:dyDescent="0.3">
      <c r="A4509" s="1" t="s">
        <v>14627</v>
      </c>
      <c r="B4509" s="1" t="str">
        <f>"Baptt Shopfitters LTD "</f>
        <v xml:space="preserve">Baptt Shopfitters LTD </v>
      </c>
      <c r="C4509" s="1" t="s">
        <v>14628</v>
      </c>
      <c r="D4509" s="1" t="s">
        <v>9492</v>
      </c>
      <c r="E4509" s="1" t="s">
        <v>2041</v>
      </c>
      <c r="F4509" s="1" t="s">
        <v>65</v>
      </c>
      <c r="H4509" s="1" t="s">
        <v>8211</v>
      </c>
      <c r="I4509" s="1" t="s">
        <v>19</v>
      </c>
      <c r="J4509" s="1" t="s">
        <v>6</v>
      </c>
      <c r="K4509" s="1" t="s">
        <v>34</v>
      </c>
      <c r="L4509" s="1">
        <v>2977693</v>
      </c>
      <c r="M4509" s="2">
        <v>42810</v>
      </c>
      <c r="N4509" s="1" t="s">
        <v>8</v>
      </c>
      <c r="O4509" s="2">
        <v>43906</v>
      </c>
    </row>
    <row r="4510" spans="1:15" ht="43.2" x14ac:dyDescent="0.3">
      <c r="A4510" s="1" t="s">
        <v>14629</v>
      </c>
      <c r="B4510" s="1" t="str">
        <f>"Nerd Factory Limited"</f>
        <v>Nerd Factory Limited</v>
      </c>
      <c r="C4510" s="1" t="s">
        <v>14630</v>
      </c>
      <c r="D4510" s="1" t="s">
        <v>14631</v>
      </c>
      <c r="F4510" s="1" t="s">
        <v>1351</v>
      </c>
      <c r="H4510" s="1" t="s">
        <v>14632</v>
      </c>
      <c r="I4510" s="1" t="s">
        <v>19</v>
      </c>
      <c r="J4510" s="1" t="s">
        <v>67</v>
      </c>
      <c r="K4510" s="1" t="s">
        <v>14</v>
      </c>
      <c r="M4510" s="2">
        <v>42810</v>
      </c>
      <c r="N4510" s="1" t="s">
        <v>8</v>
      </c>
      <c r="O4510" s="1" t="s">
        <v>68</v>
      </c>
    </row>
    <row r="4511" spans="1:15" ht="43.2" x14ac:dyDescent="0.3">
      <c r="A4511" s="1" t="s">
        <v>14633</v>
      </c>
      <c r="B4511" s="1" t="str">
        <f>"P&amp;B DOOR AND WINDOW MAINTENANCE LTD"</f>
        <v>P&amp;B DOOR AND WINDOW MAINTENANCE LTD</v>
      </c>
      <c r="C4511" s="1" t="s">
        <v>14634</v>
      </c>
      <c r="D4511" s="1" t="s">
        <v>14635</v>
      </c>
      <c r="F4511" s="1" t="s">
        <v>380</v>
      </c>
      <c r="H4511" s="1" t="s">
        <v>3708</v>
      </c>
      <c r="I4511" s="1" t="s">
        <v>19</v>
      </c>
      <c r="J4511" s="1" t="s">
        <v>67</v>
      </c>
      <c r="K4511" s="1" t="s">
        <v>1859</v>
      </c>
      <c r="L4511" s="1">
        <v>4987389</v>
      </c>
      <c r="M4511" s="2">
        <v>42810</v>
      </c>
      <c r="N4511" s="1" t="s">
        <v>8</v>
      </c>
      <c r="O4511" s="1" t="s">
        <v>68</v>
      </c>
    </row>
    <row r="4512" spans="1:15" ht="43.2" x14ac:dyDescent="0.3">
      <c r="A4512" s="1" t="s">
        <v>14636</v>
      </c>
      <c r="B4512" s="1" t="str">
        <f>"TPS"</f>
        <v>TPS</v>
      </c>
      <c r="C4512" s="1" t="s">
        <v>14637</v>
      </c>
      <c r="D4512" s="1" t="s">
        <v>9880</v>
      </c>
      <c r="F4512" s="1" t="s">
        <v>27</v>
      </c>
      <c r="H4512" s="1" t="s">
        <v>9881</v>
      </c>
      <c r="I4512" s="1" t="s">
        <v>19</v>
      </c>
      <c r="J4512" s="1" t="s">
        <v>67</v>
      </c>
      <c r="K4512" s="1" t="s">
        <v>14</v>
      </c>
      <c r="M4512" s="2">
        <v>42810</v>
      </c>
      <c r="N4512" s="1" t="s">
        <v>8</v>
      </c>
      <c r="O4512" s="1" t="s">
        <v>68</v>
      </c>
    </row>
    <row r="4513" spans="1:15" ht="43.2" x14ac:dyDescent="0.3">
      <c r="A4513" s="1" t="s">
        <v>14638</v>
      </c>
      <c r="B4513" s="1" t="str">
        <f>"MCGILLS CAR  &amp;  COMMERCIAL LTD"</f>
        <v>MCGILLS CAR  &amp;  COMMERCIAL LTD</v>
      </c>
      <c r="C4513" s="1" t="s">
        <v>7289</v>
      </c>
      <c r="F4513" s="1" t="s">
        <v>1278</v>
      </c>
      <c r="H4513" s="1" t="s">
        <v>7290</v>
      </c>
      <c r="I4513" s="1" t="s">
        <v>19</v>
      </c>
      <c r="J4513" s="1" t="s">
        <v>67</v>
      </c>
      <c r="K4513" s="1" t="s">
        <v>34</v>
      </c>
      <c r="L4513" s="1">
        <v>6684869</v>
      </c>
      <c r="M4513" s="2">
        <v>42810</v>
      </c>
      <c r="N4513" s="1" t="s">
        <v>8</v>
      </c>
      <c r="O4513" s="1" t="s">
        <v>68</v>
      </c>
    </row>
    <row r="4514" spans="1:15" ht="28.8" x14ac:dyDescent="0.3">
      <c r="A4514" s="1" t="s">
        <v>15531</v>
      </c>
      <c r="B4514" s="1" t="str">
        <f>"M &amp; M Medical Ltd."</f>
        <v>M &amp; M Medical Ltd.</v>
      </c>
      <c r="C4514" s="1" t="s">
        <v>15532</v>
      </c>
      <c r="F4514" s="1" t="s">
        <v>873</v>
      </c>
      <c r="H4514" s="1" t="s">
        <v>6530</v>
      </c>
      <c r="I4514" s="1" t="s">
        <v>19</v>
      </c>
      <c r="J4514" s="1" t="s">
        <v>6</v>
      </c>
      <c r="K4514" s="1" t="s">
        <v>24</v>
      </c>
      <c r="L4514" s="1">
        <v>3323693</v>
      </c>
      <c r="M4514" s="2">
        <v>42810</v>
      </c>
      <c r="N4514" s="1" t="s">
        <v>8</v>
      </c>
      <c r="O4514" s="2">
        <v>43906</v>
      </c>
    </row>
    <row r="4515" spans="1:15" ht="28.8" x14ac:dyDescent="0.3">
      <c r="A4515" s="1" t="s">
        <v>15533</v>
      </c>
      <c r="B4515" s="1" t="str">
        <f>"Spick N Span Services Ltd"</f>
        <v>Spick N Span Services Ltd</v>
      </c>
      <c r="C4515" s="1" t="s">
        <v>15534</v>
      </c>
      <c r="F4515" s="1" t="s">
        <v>790</v>
      </c>
      <c r="H4515" s="1" t="s">
        <v>15535</v>
      </c>
      <c r="I4515" s="1" t="s">
        <v>19</v>
      </c>
      <c r="J4515" s="1" t="s">
        <v>6</v>
      </c>
      <c r="K4515" s="1" t="s">
        <v>24</v>
      </c>
      <c r="L4515" s="1">
        <v>5715075</v>
      </c>
      <c r="M4515" s="2">
        <v>42810</v>
      </c>
      <c r="N4515" s="1" t="s">
        <v>8</v>
      </c>
      <c r="O4515" s="2">
        <v>44058</v>
      </c>
    </row>
    <row r="4516" spans="1:15" x14ac:dyDescent="0.3">
      <c r="A4516" s="1" t="s">
        <v>15536</v>
      </c>
      <c r="B4516" s="1" t="str">
        <f>"J J Flynn&amp; Sons"</f>
        <v>J J Flynn&amp; Sons</v>
      </c>
      <c r="C4516" s="1" t="s">
        <v>15537</v>
      </c>
      <c r="D4516" s="1" t="s">
        <v>15538</v>
      </c>
      <c r="E4516" s="1" t="s">
        <v>101</v>
      </c>
      <c r="F4516" s="1" t="s">
        <v>102</v>
      </c>
      <c r="G4516" s="1" t="s">
        <v>103</v>
      </c>
      <c r="H4516" s="1" t="s">
        <v>15539</v>
      </c>
      <c r="I4516" s="1" t="s">
        <v>125</v>
      </c>
      <c r="J4516" s="1" t="s">
        <v>6</v>
      </c>
      <c r="K4516" s="1" t="s">
        <v>24</v>
      </c>
      <c r="M4516" s="2">
        <v>42810</v>
      </c>
      <c r="N4516" s="1" t="s">
        <v>8</v>
      </c>
      <c r="O4516" s="2">
        <v>43905</v>
      </c>
    </row>
    <row r="4517" spans="1:15" ht="28.8" x14ac:dyDescent="0.3">
      <c r="A4517" s="1" t="s">
        <v>26956</v>
      </c>
      <c r="B4517" s="1" t="str">
        <f>"William Doherty William Doherty"</f>
        <v>William Doherty William Doherty</v>
      </c>
      <c r="C4517" s="1" t="s">
        <v>26957</v>
      </c>
      <c r="F4517" s="1" t="s">
        <v>27</v>
      </c>
      <c r="H4517" s="1" t="s">
        <v>26958</v>
      </c>
      <c r="I4517" s="1" t="s">
        <v>5</v>
      </c>
      <c r="J4517" s="1" t="s">
        <v>6</v>
      </c>
      <c r="K4517" s="1" t="s">
        <v>24</v>
      </c>
      <c r="M4517" s="2">
        <v>42810</v>
      </c>
      <c r="N4517" s="1" t="s">
        <v>8</v>
      </c>
      <c r="O4517" s="2">
        <v>43906</v>
      </c>
    </row>
    <row r="4518" spans="1:15" x14ac:dyDescent="0.3">
      <c r="A4518" s="1" t="s">
        <v>13794</v>
      </c>
      <c r="B4518" s="1" t="str">
        <f>"Gibson Residential"</f>
        <v>Gibson Residential</v>
      </c>
      <c r="C4518" s="1" t="s">
        <v>13795</v>
      </c>
      <c r="F4518" s="1" t="s">
        <v>5291</v>
      </c>
      <c r="H4518" s="1" t="s">
        <v>13796</v>
      </c>
      <c r="I4518" s="1" t="s">
        <v>125</v>
      </c>
      <c r="J4518" s="1" t="s">
        <v>6</v>
      </c>
      <c r="K4518" s="1" t="s">
        <v>24</v>
      </c>
      <c r="M4518" s="2">
        <v>42809</v>
      </c>
      <c r="N4518" s="1" t="s">
        <v>8</v>
      </c>
      <c r="O4518" s="2">
        <v>43905</v>
      </c>
    </row>
    <row r="4519" spans="1:15" x14ac:dyDescent="0.3">
      <c r="A4519" s="1" t="s">
        <v>13797</v>
      </c>
      <c r="B4519" s="1" t="str">
        <f>"QDL Contractors Ltd"</f>
        <v>QDL Contractors Ltd</v>
      </c>
      <c r="C4519" s="1" t="s">
        <v>13798</v>
      </c>
      <c r="F4519" s="1" t="s">
        <v>555</v>
      </c>
      <c r="H4519" s="1" t="s">
        <v>13799</v>
      </c>
      <c r="I4519" s="1" t="s">
        <v>19</v>
      </c>
      <c r="J4519" s="1" t="s">
        <v>6</v>
      </c>
      <c r="K4519" s="1" t="s">
        <v>24</v>
      </c>
      <c r="L4519" s="1">
        <v>6294952</v>
      </c>
      <c r="M4519" s="2">
        <v>42809</v>
      </c>
      <c r="N4519" s="1" t="s">
        <v>8</v>
      </c>
      <c r="O4519" s="2">
        <v>43905</v>
      </c>
    </row>
    <row r="4520" spans="1:15" ht="43.2" x14ac:dyDescent="0.3">
      <c r="A4520" s="1" t="s">
        <v>13800</v>
      </c>
      <c r="B4520" s="1" t="str">
        <f>"Clives Electrical Ltd"</f>
        <v>Clives Electrical Ltd</v>
      </c>
      <c r="C4520" s="1" t="s">
        <v>13801</v>
      </c>
      <c r="F4520" s="1" t="s">
        <v>416</v>
      </c>
      <c r="H4520" s="1" t="s">
        <v>13802</v>
      </c>
      <c r="I4520" s="1" t="s">
        <v>19</v>
      </c>
      <c r="J4520" s="1" t="s">
        <v>67</v>
      </c>
      <c r="K4520" s="1" t="s">
        <v>14</v>
      </c>
      <c r="M4520" s="2">
        <v>42809</v>
      </c>
      <c r="N4520" s="1" t="s">
        <v>8</v>
      </c>
      <c r="O4520" s="1" t="s">
        <v>68</v>
      </c>
    </row>
    <row r="4521" spans="1:15" ht="28.8" x14ac:dyDescent="0.3">
      <c r="A4521" s="1" t="s">
        <v>14618</v>
      </c>
      <c r="B4521" s="1" t="str">
        <f>"MSH BUILDING LTD"</f>
        <v>MSH BUILDING LTD</v>
      </c>
      <c r="C4521" s="1" t="s">
        <v>14619</v>
      </c>
      <c r="F4521" s="1" t="s">
        <v>380</v>
      </c>
      <c r="H4521" s="1" t="s">
        <v>14620</v>
      </c>
      <c r="I4521" s="1" t="s">
        <v>19</v>
      </c>
      <c r="J4521" s="1" t="s">
        <v>6</v>
      </c>
      <c r="K4521" s="1" t="s">
        <v>24</v>
      </c>
      <c r="L4521" s="1">
        <v>6053069</v>
      </c>
      <c r="M4521" s="2">
        <v>42809</v>
      </c>
      <c r="N4521" s="1" t="s">
        <v>8</v>
      </c>
      <c r="O4521" s="2">
        <v>43905</v>
      </c>
    </row>
    <row r="4522" spans="1:15" ht="28.8" x14ac:dyDescent="0.3">
      <c r="A4522" s="1" t="s">
        <v>14621</v>
      </c>
      <c r="B4522" s="1" t="str">
        <f>"AMC Electrical Heating and Plumbing"</f>
        <v>AMC Electrical Heating and Plumbing</v>
      </c>
      <c r="C4522" s="1" t="s">
        <v>14622</v>
      </c>
      <c r="F4522" s="1" t="s">
        <v>27</v>
      </c>
      <c r="H4522" s="1" t="s">
        <v>14623</v>
      </c>
      <c r="I4522" s="1" t="s">
        <v>19</v>
      </c>
      <c r="J4522" s="1" t="s">
        <v>6</v>
      </c>
      <c r="K4522" s="1" t="s">
        <v>24</v>
      </c>
      <c r="L4522" s="1">
        <v>8044867</v>
      </c>
      <c r="M4522" s="2">
        <v>42809</v>
      </c>
      <c r="N4522" s="1" t="s">
        <v>8</v>
      </c>
      <c r="O4522" s="2">
        <v>43905</v>
      </c>
    </row>
    <row r="4523" spans="1:15" ht="43.2" x14ac:dyDescent="0.3">
      <c r="A4523" s="1" t="s">
        <v>26226</v>
      </c>
      <c r="B4523" s="1" t="str">
        <f>"Laila Agha"</f>
        <v>Laila Agha</v>
      </c>
      <c r="C4523" s="1" t="s">
        <v>26227</v>
      </c>
      <c r="F4523" s="1" t="s">
        <v>170</v>
      </c>
      <c r="H4523" s="1" t="s">
        <v>26228</v>
      </c>
      <c r="I4523" s="1" t="s">
        <v>5</v>
      </c>
      <c r="J4523" s="1" t="s">
        <v>67</v>
      </c>
      <c r="K4523" s="1" t="s">
        <v>14</v>
      </c>
      <c r="M4523" s="2">
        <v>42809</v>
      </c>
      <c r="N4523" s="1" t="s">
        <v>8</v>
      </c>
      <c r="O4523" s="1" t="s">
        <v>68</v>
      </c>
    </row>
    <row r="4524" spans="1:15" ht="43.2" x14ac:dyDescent="0.3">
      <c r="A4524" s="1" t="s">
        <v>26229</v>
      </c>
      <c r="B4524" s="1" t="str">
        <f>"Stuart Sheppard"</f>
        <v>Stuart Sheppard</v>
      </c>
      <c r="C4524" s="1" t="s">
        <v>26230</v>
      </c>
      <c r="D4524" s="1" t="s">
        <v>26231</v>
      </c>
      <c r="F4524" s="1" t="s">
        <v>416</v>
      </c>
      <c r="H4524" s="1" t="s">
        <v>26232</v>
      </c>
      <c r="I4524" s="1" t="s">
        <v>5</v>
      </c>
      <c r="J4524" s="1" t="s">
        <v>67</v>
      </c>
      <c r="K4524" s="1" t="s">
        <v>14</v>
      </c>
      <c r="M4524" s="2">
        <v>42809</v>
      </c>
      <c r="N4524" s="1" t="s">
        <v>8</v>
      </c>
      <c r="O4524" s="1" t="s">
        <v>68</v>
      </c>
    </row>
    <row r="4525" spans="1:15" x14ac:dyDescent="0.3">
      <c r="A4525" s="1" t="s">
        <v>26938</v>
      </c>
      <c r="B4525" s="1" t="str">
        <f>"John Richard Jones"</f>
        <v>John Richard Jones</v>
      </c>
      <c r="C4525" s="1" t="s">
        <v>15823</v>
      </c>
      <c r="F4525" s="1" t="s">
        <v>10970</v>
      </c>
      <c r="H4525" s="1" t="s">
        <v>10971</v>
      </c>
      <c r="I4525" s="1" t="s">
        <v>5</v>
      </c>
      <c r="J4525" s="1" t="s">
        <v>6</v>
      </c>
      <c r="K4525" s="1" t="s">
        <v>24</v>
      </c>
      <c r="M4525" s="2">
        <v>42809</v>
      </c>
      <c r="N4525" s="1" t="s">
        <v>8</v>
      </c>
      <c r="O4525" s="2">
        <v>43905</v>
      </c>
    </row>
    <row r="4526" spans="1:15" x14ac:dyDescent="0.3">
      <c r="A4526" s="1" t="s">
        <v>26939</v>
      </c>
      <c r="B4526" s="1" t="str">
        <f>"Robat Jones R W Jones"</f>
        <v>Robat Jones R W Jones</v>
      </c>
      <c r="C4526" s="1" t="s">
        <v>26940</v>
      </c>
      <c r="D4526" s="1" t="s">
        <v>26941</v>
      </c>
      <c r="F4526" s="1" t="s">
        <v>790</v>
      </c>
      <c r="H4526" s="1" t="s">
        <v>26942</v>
      </c>
      <c r="I4526" s="1" t="s">
        <v>5</v>
      </c>
      <c r="J4526" s="1" t="s">
        <v>6</v>
      </c>
      <c r="K4526" s="1" t="s">
        <v>24</v>
      </c>
      <c r="M4526" s="2">
        <v>42809</v>
      </c>
      <c r="N4526" s="1" t="s">
        <v>8</v>
      </c>
      <c r="O4526" s="2">
        <v>43905</v>
      </c>
    </row>
    <row r="4527" spans="1:15" ht="43.2" x14ac:dyDescent="0.3">
      <c r="A4527" s="1" t="s">
        <v>26943</v>
      </c>
      <c r="B4527" s="1" t="str">
        <f>"Karen Miller"</f>
        <v>Karen Miller</v>
      </c>
      <c r="C4527" s="1" t="s">
        <v>26944</v>
      </c>
      <c r="F4527" s="1" t="s">
        <v>4831</v>
      </c>
      <c r="H4527" s="1" t="s">
        <v>26945</v>
      </c>
      <c r="I4527" s="1" t="s">
        <v>5</v>
      </c>
      <c r="J4527" s="1" t="s">
        <v>67</v>
      </c>
      <c r="K4527" s="1" t="s">
        <v>14</v>
      </c>
      <c r="M4527" s="2">
        <v>42809</v>
      </c>
      <c r="N4527" s="1" t="s">
        <v>8</v>
      </c>
      <c r="O4527" s="1" t="s">
        <v>68</v>
      </c>
    </row>
    <row r="4528" spans="1:15" ht="43.2" x14ac:dyDescent="0.3">
      <c r="A4528" s="1" t="s">
        <v>26946</v>
      </c>
      <c r="B4528" s="1" t="str">
        <f>"Ishrat ehsan"</f>
        <v>Ishrat ehsan</v>
      </c>
      <c r="C4528" s="1" t="s">
        <v>26947</v>
      </c>
      <c r="F4528" s="1" t="s">
        <v>11900</v>
      </c>
      <c r="H4528" s="1" t="s">
        <v>26948</v>
      </c>
      <c r="I4528" s="1" t="s">
        <v>5</v>
      </c>
      <c r="J4528" s="1" t="s">
        <v>67</v>
      </c>
      <c r="K4528" s="1" t="s">
        <v>14</v>
      </c>
      <c r="M4528" s="2">
        <v>42809</v>
      </c>
      <c r="N4528" s="1" t="s">
        <v>8</v>
      </c>
      <c r="O4528" s="1" t="s">
        <v>68</v>
      </c>
    </row>
    <row r="4529" spans="1:15" ht="43.2" x14ac:dyDescent="0.3">
      <c r="A4529" s="1" t="s">
        <v>26949</v>
      </c>
      <c r="B4529" s="1" t="str">
        <f>"Ben Davies"</f>
        <v>Ben Davies</v>
      </c>
      <c r="C4529" s="1" t="s">
        <v>26950</v>
      </c>
      <c r="F4529" s="1" t="s">
        <v>607</v>
      </c>
      <c r="H4529" s="1" t="s">
        <v>26951</v>
      </c>
      <c r="I4529" s="1" t="s">
        <v>5</v>
      </c>
      <c r="J4529" s="1" t="s">
        <v>67</v>
      </c>
      <c r="K4529" s="1" t="s">
        <v>14</v>
      </c>
      <c r="M4529" s="2">
        <v>42809</v>
      </c>
      <c r="N4529" s="1" t="s">
        <v>8</v>
      </c>
      <c r="O4529" s="1" t="s">
        <v>68</v>
      </c>
    </row>
    <row r="4530" spans="1:15" ht="43.2" x14ac:dyDescent="0.3">
      <c r="A4530" s="1" t="s">
        <v>26952</v>
      </c>
      <c r="B4530" s="1" t="str">
        <f>"Brian Jacobs Brian Jacobs. General Maintenance"</f>
        <v>Brian Jacobs Brian Jacobs. General Maintenance</v>
      </c>
      <c r="C4530" s="1" t="s">
        <v>26953</v>
      </c>
      <c r="F4530" s="1" t="s">
        <v>26954</v>
      </c>
      <c r="H4530" s="1" t="s">
        <v>26955</v>
      </c>
      <c r="I4530" s="1" t="s">
        <v>5</v>
      </c>
      <c r="J4530" s="1" t="s">
        <v>6</v>
      </c>
      <c r="K4530" s="1" t="s">
        <v>24</v>
      </c>
      <c r="M4530" s="2">
        <v>42809</v>
      </c>
      <c r="N4530" s="1" t="s">
        <v>8</v>
      </c>
      <c r="O4530" s="2">
        <v>43905</v>
      </c>
    </row>
    <row r="4531" spans="1:15" ht="28.8" x14ac:dyDescent="0.3">
      <c r="A4531" s="1" t="s">
        <v>12708</v>
      </c>
      <c r="B4531" s="1" t="str">
        <f>"Sharp Plumbing and Heating Limited"</f>
        <v>Sharp Plumbing and Heating Limited</v>
      </c>
      <c r="C4531" s="1" t="s">
        <v>12709</v>
      </c>
      <c r="D4531" s="1" t="s">
        <v>2399</v>
      </c>
      <c r="F4531" s="1" t="s">
        <v>96</v>
      </c>
      <c r="H4531" s="1" t="s">
        <v>12710</v>
      </c>
      <c r="I4531" s="1" t="s">
        <v>19</v>
      </c>
      <c r="J4531" s="1" t="s">
        <v>6</v>
      </c>
      <c r="K4531" s="1" t="s">
        <v>24</v>
      </c>
      <c r="L4531" s="1">
        <v>8393184</v>
      </c>
      <c r="M4531" s="2">
        <v>42808</v>
      </c>
      <c r="N4531" s="1" t="s">
        <v>8</v>
      </c>
      <c r="O4531" s="2">
        <v>43904</v>
      </c>
    </row>
    <row r="4532" spans="1:15" ht="43.2" x14ac:dyDescent="0.3">
      <c r="A4532" s="1" t="s">
        <v>12711</v>
      </c>
      <c r="B4532" s="1" t="str">
        <f>"Total Support Group Limited"</f>
        <v>Total Support Group Limited</v>
      </c>
      <c r="C4532" s="1" t="s">
        <v>12712</v>
      </c>
      <c r="D4532" s="1" t="s">
        <v>12713</v>
      </c>
      <c r="F4532" s="1" t="s">
        <v>5350</v>
      </c>
      <c r="H4532" s="1" t="s">
        <v>12714</v>
      </c>
      <c r="I4532" s="1" t="s">
        <v>19</v>
      </c>
      <c r="J4532" s="1" t="s">
        <v>67</v>
      </c>
      <c r="K4532" s="1" t="s">
        <v>14</v>
      </c>
      <c r="M4532" s="2">
        <v>42808</v>
      </c>
      <c r="N4532" s="1" t="s">
        <v>8</v>
      </c>
      <c r="O4532" s="1" t="s">
        <v>68</v>
      </c>
    </row>
    <row r="4533" spans="1:15" ht="43.2" x14ac:dyDescent="0.3">
      <c r="A4533" s="1" t="s">
        <v>12715</v>
      </c>
      <c r="B4533" s="1" t="str">
        <f>"Exsel Pumps Ltd"</f>
        <v>Exsel Pumps Ltd</v>
      </c>
      <c r="C4533" s="1" t="s">
        <v>12716</v>
      </c>
      <c r="D4533" s="1" t="s">
        <v>12717</v>
      </c>
      <c r="F4533" s="1" t="s">
        <v>12718</v>
      </c>
      <c r="H4533" s="1" t="s">
        <v>12719</v>
      </c>
      <c r="I4533" s="1" t="s">
        <v>19</v>
      </c>
      <c r="J4533" s="1" t="s">
        <v>67</v>
      </c>
      <c r="K4533" s="1" t="s">
        <v>14</v>
      </c>
      <c r="M4533" s="2">
        <v>42808</v>
      </c>
      <c r="N4533" s="1" t="s">
        <v>8</v>
      </c>
      <c r="O4533" s="1" t="s">
        <v>68</v>
      </c>
    </row>
    <row r="4534" spans="1:15" ht="28.8" x14ac:dyDescent="0.3">
      <c r="A4534" s="1" t="s">
        <v>12720</v>
      </c>
      <c r="B4534" s="1" t="str">
        <f>"Westside Air Conditioning"</f>
        <v>Westside Air Conditioning</v>
      </c>
      <c r="C4534" s="1" t="s">
        <v>12721</v>
      </c>
      <c r="F4534" s="1" t="s">
        <v>298</v>
      </c>
      <c r="H4534" s="1" t="s">
        <v>12722</v>
      </c>
      <c r="I4534" s="1" t="s">
        <v>19</v>
      </c>
      <c r="J4534" s="1" t="s">
        <v>6</v>
      </c>
      <c r="K4534" s="1" t="s">
        <v>24</v>
      </c>
      <c r="L4534" s="1">
        <v>6239771</v>
      </c>
      <c r="M4534" s="2">
        <v>42808</v>
      </c>
      <c r="N4534" s="1" t="s">
        <v>8</v>
      </c>
      <c r="O4534" s="2">
        <v>43904</v>
      </c>
    </row>
    <row r="4535" spans="1:15" ht="43.2" x14ac:dyDescent="0.3">
      <c r="A4535" s="1" t="s">
        <v>13791</v>
      </c>
      <c r="B4535" s="1" t="str">
        <f>"GEO POLLUTION TECHNOLOGIES (UK) LIM"</f>
        <v>GEO POLLUTION TECHNOLOGIES (UK) LIM</v>
      </c>
      <c r="C4535" s="1" t="s">
        <v>13792</v>
      </c>
      <c r="D4535" s="1" t="s">
        <v>7521</v>
      </c>
      <c r="F4535" s="1" t="s">
        <v>179</v>
      </c>
      <c r="H4535" s="1" t="s">
        <v>13793</v>
      </c>
      <c r="I4535" s="1" t="s">
        <v>19</v>
      </c>
      <c r="J4535" s="1" t="s">
        <v>6</v>
      </c>
      <c r="K4535" s="1" t="s">
        <v>34</v>
      </c>
      <c r="L4535" s="1">
        <v>4689357</v>
      </c>
      <c r="M4535" s="2">
        <v>42808</v>
      </c>
      <c r="N4535" s="1" t="s">
        <v>8</v>
      </c>
      <c r="O4535" s="2">
        <v>43904</v>
      </c>
    </row>
    <row r="4536" spans="1:15" x14ac:dyDescent="0.3">
      <c r="A4536" s="1" t="s">
        <v>25484</v>
      </c>
      <c r="B4536" s="1" t="str">
        <f>"mark  gibson"</f>
        <v>mark  gibson</v>
      </c>
      <c r="C4536" s="1" t="s">
        <v>25485</v>
      </c>
      <c r="F4536" s="1" t="s">
        <v>1256</v>
      </c>
      <c r="H4536" s="1" t="s">
        <v>25486</v>
      </c>
      <c r="I4536" s="1" t="s">
        <v>5</v>
      </c>
      <c r="J4536" s="1" t="s">
        <v>6</v>
      </c>
      <c r="K4536" s="1" t="s">
        <v>24</v>
      </c>
      <c r="M4536" s="2">
        <v>42808</v>
      </c>
      <c r="N4536" s="1" t="s">
        <v>8</v>
      </c>
      <c r="O4536" s="2">
        <v>43904</v>
      </c>
    </row>
    <row r="4537" spans="1:15" ht="43.2" x14ac:dyDescent="0.3">
      <c r="A4537" s="1" t="s">
        <v>25487</v>
      </c>
      <c r="B4537" s="1" t="str">
        <f>"Joe Hopkins Joseph Hopkins"</f>
        <v>Joe Hopkins Joseph Hopkins</v>
      </c>
      <c r="C4537" s="1" t="s">
        <v>25488</v>
      </c>
      <c r="D4537" s="1" t="s">
        <v>3081</v>
      </c>
      <c r="F4537" s="1" t="s">
        <v>3081</v>
      </c>
      <c r="H4537" s="1" t="s">
        <v>25489</v>
      </c>
      <c r="I4537" s="1" t="s">
        <v>5</v>
      </c>
      <c r="J4537" s="1" t="s">
        <v>67</v>
      </c>
      <c r="K4537" s="1" t="s">
        <v>24</v>
      </c>
      <c r="M4537" s="2">
        <v>42808</v>
      </c>
      <c r="N4537" s="1" t="s">
        <v>8</v>
      </c>
      <c r="O4537" s="1" t="s">
        <v>68</v>
      </c>
    </row>
    <row r="4538" spans="1:15" ht="28.8" x14ac:dyDescent="0.3">
      <c r="A4538" s="1" t="s">
        <v>26217</v>
      </c>
      <c r="B4538" s="1" t="str">
        <f>"Christopher pearce"</f>
        <v>Christopher pearce</v>
      </c>
      <c r="C4538" s="1" t="s">
        <v>26218</v>
      </c>
      <c r="D4538" s="1" t="s">
        <v>21772</v>
      </c>
      <c r="F4538" s="1" t="s">
        <v>1175</v>
      </c>
      <c r="H4538" s="1" t="s">
        <v>26219</v>
      </c>
      <c r="I4538" s="1" t="s">
        <v>5</v>
      </c>
      <c r="J4538" s="1" t="s">
        <v>6</v>
      </c>
      <c r="K4538" s="1" t="s">
        <v>34</v>
      </c>
      <c r="M4538" s="2">
        <v>42808</v>
      </c>
      <c r="N4538" s="1" t="s">
        <v>8</v>
      </c>
      <c r="O4538" s="2">
        <v>43904</v>
      </c>
    </row>
    <row r="4539" spans="1:15" ht="43.2" x14ac:dyDescent="0.3">
      <c r="A4539" s="1" t="s">
        <v>26220</v>
      </c>
      <c r="B4539" s="1" t="str">
        <f>"Tim Murray"</f>
        <v>Tim Murray</v>
      </c>
      <c r="C4539" s="1" t="s">
        <v>26221</v>
      </c>
      <c r="F4539" s="1" t="s">
        <v>1175</v>
      </c>
      <c r="H4539" s="1" t="s">
        <v>26222</v>
      </c>
      <c r="I4539" s="1" t="s">
        <v>5</v>
      </c>
      <c r="J4539" s="1" t="s">
        <v>67</v>
      </c>
      <c r="K4539" s="1" t="s">
        <v>14</v>
      </c>
      <c r="M4539" s="2">
        <v>42808</v>
      </c>
      <c r="N4539" s="1" t="s">
        <v>8</v>
      </c>
      <c r="O4539" s="1" t="s">
        <v>68</v>
      </c>
    </row>
    <row r="4540" spans="1:15" ht="43.2" x14ac:dyDescent="0.3">
      <c r="A4540" s="1" t="s">
        <v>26223</v>
      </c>
      <c r="B4540" s="1" t="str">
        <f>"kevin potter kevins gardening and fencing services"</f>
        <v>kevin potter kevins gardening and fencing services</v>
      </c>
      <c r="C4540" s="1" t="s">
        <v>26224</v>
      </c>
      <c r="F4540" s="1" t="s">
        <v>65</v>
      </c>
      <c r="H4540" s="1" t="s">
        <v>26225</v>
      </c>
      <c r="I4540" s="1" t="s">
        <v>5</v>
      </c>
      <c r="J4540" s="1" t="s">
        <v>6</v>
      </c>
      <c r="K4540" s="1" t="s">
        <v>24</v>
      </c>
      <c r="M4540" s="2">
        <v>42808</v>
      </c>
      <c r="N4540" s="1" t="s">
        <v>8</v>
      </c>
      <c r="O4540" s="2">
        <v>43904</v>
      </c>
    </row>
    <row r="4541" spans="1:15" ht="43.2" x14ac:dyDescent="0.3">
      <c r="A4541" s="1" t="s">
        <v>735</v>
      </c>
      <c r="B4541" s="1" t="str">
        <f>"Sandy Sandy TRIUMPHANT MOTORCYCLES"</f>
        <v>Sandy Sandy TRIUMPHANT MOTORCYCLES</v>
      </c>
      <c r="C4541" s="1" t="s">
        <v>736</v>
      </c>
      <c r="D4541" s="1" t="s">
        <v>737</v>
      </c>
      <c r="E4541" s="1" t="s">
        <v>738</v>
      </c>
      <c r="F4541" s="1" t="s">
        <v>739</v>
      </c>
      <c r="H4541" s="1" t="s">
        <v>740</v>
      </c>
      <c r="I4541" s="1" t="s">
        <v>5</v>
      </c>
      <c r="J4541" s="1" t="s">
        <v>6</v>
      </c>
      <c r="K4541" s="1" t="s">
        <v>24</v>
      </c>
      <c r="M4541" s="2">
        <v>42807</v>
      </c>
      <c r="N4541" s="1" t="s">
        <v>8</v>
      </c>
      <c r="O4541" s="2">
        <v>43903</v>
      </c>
    </row>
    <row r="4542" spans="1:15" ht="43.2" x14ac:dyDescent="0.3">
      <c r="A4542" s="1" t="s">
        <v>10726</v>
      </c>
      <c r="B4542" s="1" t="str">
        <f>"Care and Repair Carmarthenshire Ltd"</f>
        <v>Care and Repair Carmarthenshire Ltd</v>
      </c>
      <c r="C4542" s="1" t="s">
        <v>10727</v>
      </c>
      <c r="F4542" s="1" t="s">
        <v>42</v>
      </c>
      <c r="H4542" s="1" t="s">
        <v>10728</v>
      </c>
      <c r="I4542" s="1" t="s">
        <v>1872</v>
      </c>
      <c r="J4542" s="1" t="s">
        <v>67</v>
      </c>
      <c r="K4542" s="1" t="s">
        <v>14</v>
      </c>
      <c r="M4542" s="2">
        <v>42807</v>
      </c>
      <c r="N4542" s="1" t="s">
        <v>8</v>
      </c>
      <c r="O4542" s="1" t="s">
        <v>68</v>
      </c>
    </row>
    <row r="4543" spans="1:15" ht="43.2" x14ac:dyDescent="0.3">
      <c r="A4543" s="1" t="s">
        <v>10729</v>
      </c>
      <c r="B4543" s="1" t="str">
        <f>"South Wales Maintenance &amp; Engineering Ltd."</f>
        <v>South Wales Maintenance &amp; Engineering Ltd.</v>
      </c>
      <c r="C4543" s="1" t="s">
        <v>10730</v>
      </c>
      <c r="D4543" s="1" t="s">
        <v>3128</v>
      </c>
      <c r="F4543" s="1" t="s">
        <v>91</v>
      </c>
      <c r="H4543" s="1" t="s">
        <v>10731</v>
      </c>
      <c r="I4543" s="1" t="s">
        <v>19</v>
      </c>
      <c r="J4543" s="1" t="s">
        <v>6</v>
      </c>
      <c r="K4543" s="1" t="s">
        <v>34</v>
      </c>
      <c r="L4543" s="1">
        <v>5747263</v>
      </c>
      <c r="M4543" s="2">
        <v>42807</v>
      </c>
      <c r="N4543" s="1" t="s">
        <v>8</v>
      </c>
      <c r="O4543" s="2">
        <v>43903</v>
      </c>
    </row>
    <row r="4544" spans="1:15" ht="43.2" x14ac:dyDescent="0.3">
      <c r="A4544" s="1" t="s">
        <v>11731</v>
      </c>
      <c r="B4544" s="1" t="str">
        <f>"Mr R Roderick  Mr P Roderick"</f>
        <v>Mr R Roderick  Mr P Roderick</v>
      </c>
      <c r="C4544" s="1" t="s">
        <v>11732</v>
      </c>
      <c r="F4544" s="1" t="s">
        <v>91</v>
      </c>
      <c r="H4544" s="1" t="s">
        <v>11733</v>
      </c>
      <c r="I4544" s="1" t="s">
        <v>125</v>
      </c>
      <c r="J4544" s="1" t="s">
        <v>67</v>
      </c>
      <c r="K4544" s="1" t="s">
        <v>24</v>
      </c>
      <c r="M4544" s="2">
        <v>42807</v>
      </c>
      <c r="N4544" s="1" t="s">
        <v>8</v>
      </c>
      <c r="O4544" s="1" t="s">
        <v>68</v>
      </c>
    </row>
    <row r="4545" spans="1:15" ht="28.8" x14ac:dyDescent="0.3">
      <c r="A4545" s="1" t="s">
        <v>11734</v>
      </c>
      <c r="B4545" s="1" t="str">
        <f>"EPS Materials Recovery"</f>
        <v>EPS Materials Recovery</v>
      </c>
      <c r="C4545" s="1" t="s">
        <v>11735</v>
      </c>
      <c r="F4545" s="1" t="s">
        <v>64</v>
      </c>
      <c r="H4545" s="1" t="s">
        <v>3768</v>
      </c>
      <c r="I4545" s="1" t="s">
        <v>19</v>
      </c>
      <c r="J4545" s="1" t="s">
        <v>6</v>
      </c>
      <c r="K4545" s="1" t="s">
        <v>34</v>
      </c>
      <c r="L4545" s="1">
        <v>8016976</v>
      </c>
      <c r="M4545" s="2">
        <v>42807</v>
      </c>
      <c r="N4545" s="1" t="s">
        <v>8</v>
      </c>
      <c r="O4545" s="2">
        <v>43903</v>
      </c>
    </row>
    <row r="4546" spans="1:15" ht="28.8" x14ac:dyDescent="0.3">
      <c r="A4546" s="1" t="s">
        <v>11736</v>
      </c>
      <c r="B4546" s="1" t="str">
        <f>"Coyle Surfacing Ltd."</f>
        <v>Coyle Surfacing Ltd.</v>
      </c>
      <c r="C4546" s="1" t="s">
        <v>11737</v>
      </c>
      <c r="F4546" s="1" t="s">
        <v>4536</v>
      </c>
      <c r="H4546" s="1" t="s">
        <v>11738</v>
      </c>
      <c r="I4546" s="1" t="s">
        <v>19</v>
      </c>
      <c r="J4546" s="1" t="s">
        <v>6</v>
      </c>
      <c r="K4546" s="1" t="s">
        <v>34</v>
      </c>
      <c r="L4546" s="1">
        <v>6202005</v>
      </c>
      <c r="M4546" s="2">
        <v>42807</v>
      </c>
      <c r="N4546" s="1" t="s">
        <v>8</v>
      </c>
      <c r="O4546" s="2">
        <v>43903</v>
      </c>
    </row>
    <row r="4547" spans="1:15" ht="43.2" x14ac:dyDescent="0.3">
      <c r="A4547" s="1" t="s">
        <v>11739</v>
      </c>
      <c r="B4547" s="1" t="str">
        <f>"David Brian Jones"</f>
        <v>David Brian Jones</v>
      </c>
      <c r="C4547" s="1" t="s">
        <v>11740</v>
      </c>
      <c r="F4547" s="1" t="s">
        <v>65</v>
      </c>
      <c r="H4547" s="1" t="s">
        <v>11741</v>
      </c>
      <c r="I4547" s="1" t="s">
        <v>125</v>
      </c>
      <c r="J4547" s="1" t="s">
        <v>67</v>
      </c>
      <c r="K4547" s="1" t="s">
        <v>24</v>
      </c>
      <c r="M4547" s="2">
        <v>42807</v>
      </c>
      <c r="N4547" s="1" t="s">
        <v>8</v>
      </c>
      <c r="O4547" s="1" t="s">
        <v>68</v>
      </c>
    </row>
    <row r="4548" spans="1:15" ht="43.2" x14ac:dyDescent="0.3">
      <c r="A4548" s="1" t="s">
        <v>11742</v>
      </c>
      <c r="B4548" s="1" t="str">
        <f>"DEREK HARRIS TREE SERVICES LTD"</f>
        <v>DEREK HARRIS TREE SERVICES LTD</v>
      </c>
      <c r="C4548" s="1" t="s">
        <v>11743</v>
      </c>
      <c r="F4548" s="1" t="s">
        <v>3992</v>
      </c>
      <c r="H4548" s="1" t="s">
        <v>11744</v>
      </c>
      <c r="I4548" s="1" t="s">
        <v>19</v>
      </c>
      <c r="J4548" s="1" t="s">
        <v>67</v>
      </c>
      <c r="K4548" s="1" t="s">
        <v>24</v>
      </c>
      <c r="L4548" s="1">
        <v>8162012</v>
      </c>
      <c r="M4548" s="2">
        <v>42807</v>
      </c>
      <c r="N4548" s="1" t="s">
        <v>8</v>
      </c>
      <c r="O4548" s="1" t="s">
        <v>68</v>
      </c>
    </row>
    <row r="4549" spans="1:15" ht="28.8" x14ac:dyDescent="0.3">
      <c r="A4549" s="1" t="s">
        <v>11745</v>
      </c>
      <c r="B4549" s="1" t="str">
        <f>"Absolute Roof Windows ltd "</f>
        <v xml:space="preserve">Absolute Roof Windows ltd </v>
      </c>
      <c r="C4549" s="1" t="s">
        <v>11746</v>
      </c>
      <c r="F4549" s="1" t="s">
        <v>8734</v>
      </c>
      <c r="H4549" s="1" t="s">
        <v>11747</v>
      </c>
      <c r="I4549" s="1" t="s">
        <v>19</v>
      </c>
      <c r="J4549" s="1" t="s">
        <v>6</v>
      </c>
      <c r="K4549" s="1" t="s">
        <v>34</v>
      </c>
      <c r="L4549" s="1">
        <v>9746444</v>
      </c>
      <c r="M4549" s="2">
        <v>42807</v>
      </c>
      <c r="N4549" s="1" t="s">
        <v>8</v>
      </c>
      <c r="O4549" s="2">
        <v>43903</v>
      </c>
    </row>
    <row r="4550" spans="1:15" ht="43.2" x14ac:dyDescent="0.3">
      <c r="A4550" s="1" t="s">
        <v>24676</v>
      </c>
      <c r="B4550" s="1" t="str">
        <f>"Neil  Roberts "</f>
        <v xml:space="preserve">Neil  Roberts </v>
      </c>
      <c r="C4550" s="1" t="s">
        <v>24677</v>
      </c>
      <c r="D4550" s="1" t="s">
        <v>24678</v>
      </c>
      <c r="F4550" s="1" t="s">
        <v>739</v>
      </c>
      <c r="H4550" s="1" t="s">
        <v>24679</v>
      </c>
      <c r="I4550" s="1" t="s">
        <v>5</v>
      </c>
      <c r="J4550" s="1" t="s">
        <v>67</v>
      </c>
      <c r="K4550" s="1" t="s">
        <v>14</v>
      </c>
      <c r="M4550" s="2">
        <v>42807</v>
      </c>
      <c r="N4550" s="1" t="s">
        <v>8</v>
      </c>
      <c r="O4550" s="1" t="s">
        <v>68</v>
      </c>
    </row>
    <row r="4551" spans="1:15" ht="43.2" x14ac:dyDescent="0.3">
      <c r="A4551" s="1" t="s">
        <v>24680</v>
      </c>
      <c r="B4551" s="1" t="str">
        <f>"Jason  Davies"</f>
        <v>Jason  Davies</v>
      </c>
      <c r="C4551" s="1" t="s">
        <v>24681</v>
      </c>
      <c r="F4551" s="1" t="s">
        <v>2711</v>
      </c>
      <c r="H4551" s="1" t="s">
        <v>24682</v>
      </c>
      <c r="I4551" s="1" t="s">
        <v>5</v>
      </c>
      <c r="J4551" s="1" t="s">
        <v>67</v>
      </c>
      <c r="K4551" s="1" t="s">
        <v>14</v>
      </c>
      <c r="M4551" s="2">
        <v>42807</v>
      </c>
      <c r="N4551" s="1" t="s">
        <v>8</v>
      </c>
      <c r="O4551" s="1" t="s">
        <v>68</v>
      </c>
    </row>
    <row r="4552" spans="1:15" ht="43.2" x14ac:dyDescent="0.3">
      <c r="A4552" s="1" t="s">
        <v>24683</v>
      </c>
      <c r="B4552" s="1" t="str">
        <f>"Thomas Narbett"</f>
        <v>Thomas Narbett</v>
      </c>
      <c r="C4552" s="1" t="s">
        <v>24684</v>
      </c>
      <c r="F4552" s="1" t="s">
        <v>438</v>
      </c>
      <c r="H4552" s="1" t="s">
        <v>24685</v>
      </c>
      <c r="I4552" s="1" t="s">
        <v>5</v>
      </c>
      <c r="J4552" s="1" t="s">
        <v>67</v>
      </c>
      <c r="K4552" s="1" t="s">
        <v>14</v>
      </c>
      <c r="M4552" s="2">
        <v>42807</v>
      </c>
      <c r="N4552" s="1" t="s">
        <v>8</v>
      </c>
      <c r="O4552" s="1" t="s">
        <v>68</v>
      </c>
    </row>
    <row r="4553" spans="1:15" ht="43.2" x14ac:dyDescent="0.3">
      <c r="A4553" s="1" t="s">
        <v>24686</v>
      </c>
      <c r="B4553" s="1" t="str">
        <f>"michael blake"</f>
        <v>michael blake</v>
      </c>
      <c r="C4553" s="1" t="s">
        <v>24687</v>
      </c>
      <c r="F4553" s="1" t="s">
        <v>1175</v>
      </c>
      <c r="H4553" s="1" t="s">
        <v>24688</v>
      </c>
      <c r="I4553" s="1" t="s">
        <v>5</v>
      </c>
      <c r="J4553" s="1" t="s">
        <v>67</v>
      </c>
      <c r="K4553" s="1" t="s">
        <v>14</v>
      </c>
      <c r="M4553" s="2">
        <v>42807</v>
      </c>
      <c r="N4553" s="1" t="s">
        <v>8</v>
      </c>
      <c r="O4553" s="1" t="s">
        <v>68</v>
      </c>
    </row>
    <row r="4554" spans="1:15" ht="28.8" x14ac:dyDescent="0.3">
      <c r="A4554" s="1" t="s">
        <v>24689</v>
      </c>
      <c r="B4554" s="1" t="str">
        <f>"Liam Davies L Davies Plumbing and Heating"</f>
        <v>Liam Davies L Davies Plumbing and Heating</v>
      </c>
      <c r="C4554" s="1" t="s">
        <v>24690</v>
      </c>
      <c r="F4554" s="1" t="s">
        <v>65</v>
      </c>
      <c r="H4554" s="1" t="s">
        <v>24691</v>
      </c>
      <c r="I4554" s="1" t="s">
        <v>5</v>
      </c>
      <c r="J4554" s="1" t="s">
        <v>6</v>
      </c>
      <c r="K4554" s="1" t="s">
        <v>24</v>
      </c>
      <c r="M4554" s="2">
        <v>42807</v>
      </c>
      <c r="N4554" s="1" t="s">
        <v>8</v>
      </c>
      <c r="O4554" s="2">
        <v>43903</v>
      </c>
    </row>
    <row r="4555" spans="1:15" ht="43.2" x14ac:dyDescent="0.3">
      <c r="A4555" s="1" t="s">
        <v>10718</v>
      </c>
      <c r="B4555" s="1" t="str">
        <f>"dee landscapes Ltd"</f>
        <v>dee landscapes Ltd</v>
      </c>
      <c r="C4555" s="1" t="s">
        <v>10719</v>
      </c>
      <c r="F4555" s="1" t="s">
        <v>1346</v>
      </c>
      <c r="H4555" s="1" t="s">
        <v>10720</v>
      </c>
      <c r="I4555" s="1" t="s">
        <v>19</v>
      </c>
      <c r="J4555" s="1" t="s">
        <v>67</v>
      </c>
      <c r="K4555" s="1" t="s">
        <v>14</v>
      </c>
      <c r="M4555" s="2">
        <v>42806</v>
      </c>
      <c r="N4555" s="1" t="s">
        <v>8</v>
      </c>
      <c r="O4555" s="1" t="s">
        <v>68</v>
      </c>
    </row>
    <row r="4556" spans="1:15" ht="43.2" x14ac:dyDescent="0.3">
      <c r="A4556" s="1" t="s">
        <v>10721</v>
      </c>
      <c r="B4556" s="1" t="str">
        <f>"Countrywide South Coast Ltd"</f>
        <v>Countrywide South Coast Ltd</v>
      </c>
      <c r="C4556" s="1" t="s">
        <v>10722</v>
      </c>
      <c r="D4556" s="1" t="s">
        <v>10723</v>
      </c>
      <c r="F4556" s="1" t="s">
        <v>10724</v>
      </c>
      <c r="H4556" s="1" t="s">
        <v>10725</v>
      </c>
      <c r="I4556" s="1" t="s">
        <v>19</v>
      </c>
      <c r="J4556" s="1" t="s">
        <v>67</v>
      </c>
      <c r="K4556" s="1" t="s">
        <v>14</v>
      </c>
      <c r="M4556" s="2">
        <v>42806</v>
      </c>
      <c r="N4556" s="1" t="s">
        <v>8</v>
      </c>
      <c r="O4556" s="1" t="s">
        <v>68</v>
      </c>
    </row>
    <row r="4557" spans="1:15" ht="28.8" x14ac:dyDescent="0.3">
      <c r="A4557" s="1" t="s">
        <v>10707</v>
      </c>
      <c r="B4557" s="1" t="str">
        <f>"KNIGHTON SANDPIT LTD"</f>
        <v>KNIGHTON SANDPIT LTD</v>
      </c>
      <c r="C4557" s="1" t="s">
        <v>10708</v>
      </c>
      <c r="F4557" s="1" t="s">
        <v>10709</v>
      </c>
      <c r="H4557" s="1" t="s">
        <v>10710</v>
      </c>
      <c r="I4557" s="1" t="s">
        <v>19</v>
      </c>
      <c r="J4557" s="1" t="s">
        <v>6</v>
      </c>
      <c r="K4557" s="1" t="s">
        <v>24</v>
      </c>
      <c r="L4557" s="1">
        <v>925508</v>
      </c>
      <c r="M4557" s="2">
        <v>42805</v>
      </c>
      <c r="N4557" s="1" t="s">
        <v>8</v>
      </c>
      <c r="O4557" s="2">
        <v>43901</v>
      </c>
    </row>
    <row r="4558" spans="1:15" ht="43.2" x14ac:dyDescent="0.3">
      <c r="A4558" s="1" t="s">
        <v>10711</v>
      </c>
      <c r="B4558" s="1" t="str">
        <f>"U B  Collections LTD"</f>
        <v>U B  Collections LTD</v>
      </c>
      <c r="C4558" s="1" t="s">
        <v>10712</v>
      </c>
      <c r="F4558" s="1" t="s">
        <v>10713</v>
      </c>
      <c r="H4558" s="1" t="s">
        <v>10714</v>
      </c>
      <c r="I4558" s="1" t="s">
        <v>19</v>
      </c>
      <c r="J4558" s="1" t="s">
        <v>67</v>
      </c>
      <c r="K4558" s="1" t="s">
        <v>14</v>
      </c>
      <c r="M4558" s="2">
        <v>42805</v>
      </c>
      <c r="N4558" s="1" t="s">
        <v>8</v>
      </c>
      <c r="O4558" s="1" t="s">
        <v>68</v>
      </c>
    </row>
    <row r="4559" spans="1:15" ht="28.8" x14ac:dyDescent="0.3">
      <c r="A4559" s="1" t="s">
        <v>10715</v>
      </c>
      <c r="B4559" s="1" t="str">
        <f>"Bridgend County Contractors Ltd."</f>
        <v>Bridgend County Contractors Ltd.</v>
      </c>
      <c r="C4559" s="1" t="s">
        <v>10716</v>
      </c>
      <c r="F4559" s="1" t="s">
        <v>865</v>
      </c>
      <c r="H4559" s="1" t="s">
        <v>10717</v>
      </c>
      <c r="I4559" s="1" t="s">
        <v>19</v>
      </c>
      <c r="J4559" s="1" t="s">
        <v>6</v>
      </c>
      <c r="K4559" s="1" t="s">
        <v>24</v>
      </c>
      <c r="L4559" s="1">
        <v>3181443</v>
      </c>
      <c r="M4559" s="2">
        <v>42805</v>
      </c>
      <c r="N4559" s="1" t="s">
        <v>8</v>
      </c>
      <c r="O4559" s="2">
        <v>43901</v>
      </c>
    </row>
    <row r="4560" spans="1:15" ht="28.8" x14ac:dyDescent="0.3">
      <c r="A4560" s="1" t="s">
        <v>23828</v>
      </c>
      <c r="B4560" s="1" t="str">
        <f>"KAROL PIEKUTOWSKI Master Clean"</f>
        <v>KAROL PIEKUTOWSKI Master Clean</v>
      </c>
      <c r="C4560" s="1" t="s">
        <v>23829</v>
      </c>
      <c r="F4560" s="1" t="s">
        <v>42</v>
      </c>
      <c r="H4560" s="1" t="s">
        <v>23830</v>
      </c>
      <c r="I4560" s="1" t="s">
        <v>5</v>
      </c>
      <c r="J4560" s="1" t="s">
        <v>6</v>
      </c>
      <c r="K4560" s="1" t="s">
        <v>24</v>
      </c>
      <c r="M4560" s="2">
        <v>42805</v>
      </c>
      <c r="N4560" s="1" t="s">
        <v>8</v>
      </c>
      <c r="O4560" s="2">
        <v>43901</v>
      </c>
    </row>
    <row r="4561" spans="1:15" ht="43.2" x14ac:dyDescent="0.3">
      <c r="A4561" s="1" t="s">
        <v>9665</v>
      </c>
      <c r="B4561" s="1" t="str">
        <f>"Facilities Management"</f>
        <v>Facilities Management</v>
      </c>
      <c r="C4561" s="1" t="s">
        <v>7283</v>
      </c>
      <c r="F4561" s="1" t="s">
        <v>91</v>
      </c>
      <c r="H4561" s="1" t="s">
        <v>7284</v>
      </c>
      <c r="I4561" s="1" t="s">
        <v>125</v>
      </c>
      <c r="J4561" s="1" t="s">
        <v>67</v>
      </c>
      <c r="K4561" s="1" t="s">
        <v>14</v>
      </c>
      <c r="M4561" s="2">
        <v>42804</v>
      </c>
      <c r="N4561" s="1" t="s">
        <v>8</v>
      </c>
      <c r="O4561" s="1" t="s">
        <v>68</v>
      </c>
    </row>
    <row r="4562" spans="1:15" ht="43.2" x14ac:dyDescent="0.3">
      <c r="A4562" s="1" t="s">
        <v>9666</v>
      </c>
      <c r="B4562" s="1" t="str">
        <f>"MCGILLS CAR  &amp;  COMMERCIAL LTD"</f>
        <v>MCGILLS CAR  &amp;  COMMERCIAL LTD</v>
      </c>
      <c r="C4562" s="1" t="s">
        <v>7289</v>
      </c>
      <c r="F4562" s="1" t="s">
        <v>1278</v>
      </c>
      <c r="H4562" s="1" t="s">
        <v>7290</v>
      </c>
      <c r="I4562" s="1" t="s">
        <v>19</v>
      </c>
      <c r="J4562" s="1" t="s">
        <v>67</v>
      </c>
      <c r="K4562" s="1" t="s">
        <v>34</v>
      </c>
      <c r="L4562" s="1">
        <v>6684869</v>
      </c>
      <c r="M4562" s="2">
        <v>42804</v>
      </c>
      <c r="N4562" s="1" t="s">
        <v>8</v>
      </c>
      <c r="O4562" s="1" t="s">
        <v>68</v>
      </c>
    </row>
    <row r="4563" spans="1:15" ht="28.8" x14ac:dyDescent="0.3">
      <c r="A4563" s="1" t="s">
        <v>9667</v>
      </c>
      <c r="B4563" s="1" t="str">
        <f>"Cardiff Lift Company"</f>
        <v>Cardiff Lift Company</v>
      </c>
      <c r="C4563" s="1" t="s">
        <v>9668</v>
      </c>
      <c r="D4563" s="1" t="s">
        <v>9669</v>
      </c>
      <c r="F4563" s="1" t="s">
        <v>27</v>
      </c>
      <c r="H4563" s="1" t="s">
        <v>9670</v>
      </c>
      <c r="I4563" s="1" t="s">
        <v>125</v>
      </c>
      <c r="J4563" s="1" t="s">
        <v>6</v>
      </c>
      <c r="K4563" s="1" t="s">
        <v>24</v>
      </c>
      <c r="M4563" s="2">
        <v>42804</v>
      </c>
      <c r="N4563" s="1" t="s">
        <v>8</v>
      </c>
      <c r="O4563" s="2">
        <v>43900</v>
      </c>
    </row>
    <row r="4564" spans="1:15" ht="43.2" x14ac:dyDescent="0.3">
      <c r="A4564" s="1" t="s">
        <v>9671</v>
      </c>
      <c r="B4564" s="1" t="str">
        <f>"AMOS TRAFFIC MARKINGS LTD"</f>
        <v>AMOS TRAFFIC MARKINGS LTD</v>
      </c>
      <c r="C4564" s="1" t="s">
        <v>9672</v>
      </c>
      <c r="D4564" s="1" t="s">
        <v>9673</v>
      </c>
      <c r="F4564" s="1" t="s">
        <v>3834</v>
      </c>
      <c r="H4564" s="1" t="s">
        <v>9674</v>
      </c>
      <c r="I4564" s="1" t="s">
        <v>19</v>
      </c>
      <c r="J4564" s="1" t="s">
        <v>67</v>
      </c>
      <c r="K4564" s="1" t="s">
        <v>14</v>
      </c>
      <c r="M4564" s="2">
        <v>42804</v>
      </c>
      <c r="N4564" s="1" t="s">
        <v>8</v>
      </c>
      <c r="O4564" s="1" t="s">
        <v>68</v>
      </c>
    </row>
    <row r="4565" spans="1:15" ht="28.8" x14ac:dyDescent="0.3">
      <c r="A4565" s="1" t="s">
        <v>9675</v>
      </c>
      <c r="B4565" s="1" t="str">
        <f>"JDF DEVELOPMENTS LTD"</f>
        <v>JDF DEVELOPMENTS LTD</v>
      </c>
      <c r="C4565" s="1" t="s">
        <v>9676</v>
      </c>
      <c r="F4565" s="1" t="s">
        <v>65</v>
      </c>
      <c r="H4565" s="1" t="s">
        <v>9677</v>
      </c>
      <c r="I4565" s="1" t="s">
        <v>19</v>
      </c>
      <c r="J4565" s="1" t="s">
        <v>6</v>
      </c>
      <c r="K4565" s="1" t="s">
        <v>34</v>
      </c>
      <c r="L4565" s="1">
        <v>6247797</v>
      </c>
      <c r="M4565" s="2">
        <v>42804</v>
      </c>
      <c r="N4565" s="1" t="s">
        <v>8</v>
      </c>
      <c r="O4565" s="2">
        <v>43900</v>
      </c>
    </row>
    <row r="4566" spans="1:15" ht="43.2" x14ac:dyDescent="0.3">
      <c r="A4566" s="1" t="s">
        <v>9678</v>
      </c>
      <c r="B4566" s="1" t="str">
        <f>"Liberty Carpets Limited"</f>
        <v>Liberty Carpets Limited</v>
      </c>
      <c r="C4566" s="1" t="s">
        <v>9679</v>
      </c>
      <c r="F4566" s="1" t="s">
        <v>445</v>
      </c>
      <c r="H4566" s="1" t="s">
        <v>9680</v>
      </c>
      <c r="I4566" s="1" t="s">
        <v>19</v>
      </c>
      <c r="J4566" s="1" t="s">
        <v>67</v>
      </c>
      <c r="K4566" s="1" t="s">
        <v>14</v>
      </c>
      <c r="M4566" s="2">
        <v>42804</v>
      </c>
      <c r="N4566" s="1" t="s">
        <v>8</v>
      </c>
      <c r="O4566" s="1" t="s">
        <v>68</v>
      </c>
    </row>
    <row r="4567" spans="1:15" ht="28.8" x14ac:dyDescent="0.3">
      <c r="A4567" s="1" t="s">
        <v>23035</v>
      </c>
      <c r="B4567" s="1" t="str">
        <f>"Claire Perryman GWP Transport"</f>
        <v>Claire Perryman GWP Transport</v>
      </c>
      <c r="C4567" s="1" t="s">
        <v>23036</v>
      </c>
      <c r="D4567" s="1" t="s">
        <v>20827</v>
      </c>
      <c r="F4567" s="1" t="s">
        <v>277</v>
      </c>
      <c r="H4567" s="1" t="s">
        <v>23037</v>
      </c>
      <c r="I4567" s="1" t="s">
        <v>5</v>
      </c>
      <c r="J4567" s="1" t="s">
        <v>6</v>
      </c>
      <c r="K4567" s="1" t="s">
        <v>24</v>
      </c>
      <c r="M4567" s="2">
        <v>42804</v>
      </c>
      <c r="N4567" s="1" t="s">
        <v>8</v>
      </c>
      <c r="O4567" s="2">
        <v>43900</v>
      </c>
    </row>
    <row r="4568" spans="1:15" ht="43.2" x14ac:dyDescent="0.3">
      <c r="A4568" s="1" t="s">
        <v>23824</v>
      </c>
      <c r="B4568" s="1" t="str">
        <f>"Jono Reid"</f>
        <v>Jono Reid</v>
      </c>
      <c r="C4568" s="1" t="s">
        <v>23825</v>
      </c>
      <c r="D4568" s="1" t="s">
        <v>23826</v>
      </c>
      <c r="F4568" s="1" t="s">
        <v>607</v>
      </c>
      <c r="H4568" s="1" t="s">
        <v>23827</v>
      </c>
      <c r="I4568" s="1" t="s">
        <v>5</v>
      </c>
      <c r="J4568" s="1" t="s">
        <v>67</v>
      </c>
      <c r="K4568" s="1" t="s">
        <v>14</v>
      </c>
      <c r="M4568" s="2">
        <v>42804</v>
      </c>
      <c r="N4568" s="1" t="s">
        <v>8</v>
      </c>
      <c r="O4568" s="1" t="s">
        <v>68</v>
      </c>
    </row>
    <row r="4569" spans="1:15" ht="43.2" x14ac:dyDescent="0.3">
      <c r="A4569" s="1" t="s">
        <v>9657</v>
      </c>
      <c r="B4569" s="1" t="str">
        <f>"Bodfari Environmental"</f>
        <v>Bodfari Environmental</v>
      </c>
      <c r="C4569" s="1" t="s">
        <v>9658</v>
      </c>
      <c r="D4569" s="1" t="s">
        <v>9659</v>
      </c>
      <c r="F4569" s="1" t="s">
        <v>1169</v>
      </c>
      <c r="H4569" s="1" t="s">
        <v>9660</v>
      </c>
      <c r="I4569" s="1" t="s">
        <v>125</v>
      </c>
      <c r="J4569" s="1" t="s">
        <v>67</v>
      </c>
      <c r="K4569" s="1" t="s">
        <v>24</v>
      </c>
      <c r="M4569" s="2">
        <v>42803</v>
      </c>
      <c r="N4569" s="1" t="s">
        <v>8</v>
      </c>
      <c r="O4569" s="1" t="s">
        <v>68</v>
      </c>
    </row>
    <row r="4570" spans="1:15" ht="28.8" x14ac:dyDescent="0.3">
      <c r="A4570" s="1" t="s">
        <v>9661</v>
      </c>
      <c r="B4570" s="1" t="str">
        <f>"Reactivum Maintenance ltd"</f>
        <v>Reactivum Maintenance ltd</v>
      </c>
      <c r="C4570" s="1" t="s">
        <v>9662</v>
      </c>
      <c r="D4570" s="1" t="s">
        <v>9663</v>
      </c>
      <c r="F4570" s="1" t="s">
        <v>64</v>
      </c>
      <c r="H4570" s="1" t="s">
        <v>9664</v>
      </c>
      <c r="I4570" s="1" t="s">
        <v>19</v>
      </c>
      <c r="J4570" s="1" t="s">
        <v>6</v>
      </c>
      <c r="K4570" s="1" t="s">
        <v>24</v>
      </c>
      <c r="L4570" s="1">
        <v>6447668</v>
      </c>
      <c r="M4570" s="2">
        <v>42803</v>
      </c>
      <c r="N4570" s="1" t="s">
        <v>8</v>
      </c>
      <c r="O4570" s="2">
        <v>43899</v>
      </c>
    </row>
    <row r="4571" spans="1:15" ht="28.8" x14ac:dyDescent="0.3">
      <c r="A4571" s="1" t="s">
        <v>22275</v>
      </c>
      <c r="B4571" s="1" t="str">
        <f>"David Finlay DFS BUILDERS"</f>
        <v>David Finlay DFS BUILDERS</v>
      </c>
      <c r="C4571" s="1" t="s">
        <v>22276</v>
      </c>
      <c r="F4571" s="1" t="s">
        <v>930</v>
      </c>
      <c r="H4571" s="1" t="s">
        <v>22277</v>
      </c>
      <c r="I4571" s="1" t="s">
        <v>5</v>
      </c>
      <c r="J4571" s="1" t="s">
        <v>6</v>
      </c>
      <c r="K4571" s="1" t="s">
        <v>24</v>
      </c>
      <c r="M4571" s="2">
        <v>42803</v>
      </c>
      <c r="N4571" s="1" t="s">
        <v>8</v>
      </c>
      <c r="O4571" s="2">
        <v>43899</v>
      </c>
    </row>
    <row r="4572" spans="1:15" ht="28.8" x14ac:dyDescent="0.3">
      <c r="A4572" s="1" t="s">
        <v>23023</v>
      </c>
      <c r="B4572" s="1" t="str">
        <f>"Andrew Smith A &amp; H Haulage"</f>
        <v>Andrew Smith A &amp; H Haulage</v>
      </c>
      <c r="C4572" s="1" t="s">
        <v>23024</v>
      </c>
      <c r="F4572" s="1" t="s">
        <v>2277</v>
      </c>
      <c r="H4572" s="1" t="s">
        <v>23025</v>
      </c>
      <c r="I4572" s="1" t="s">
        <v>5</v>
      </c>
      <c r="J4572" s="1" t="s">
        <v>6</v>
      </c>
      <c r="K4572" s="1" t="s">
        <v>24</v>
      </c>
      <c r="M4572" s="2">
        <v>42803</v>
      </c>
      <c r="N4572" s="1" t="s">
        <v>8</v>
      </c>
      <c r="O4572" s="2">
        <v>43899</v>
      </c>
    </row>
    <row r="4573" spans="1:15" ht="28.8" x14ac:dyDescent="0.3">
      <c r="A4573" s="1" t="s">
        <v>23026</v>
      </c>
      <c r="B4573" s="1" t="str">
        <f>"Tarzan Cirpaci Cirpaci's"</f>
        <v>Tarzan Cirpaci Cirpaci's</v>
      </c>
      <c r="C4573" s="1" t="s">
        <v>23027</v>
      </c>
      <c r="F4573" s="1" t="s">
        <v>27</v>
      </c>
      <c r="H4573" s="1" t="s">
        <v>23028</v>
      </c>
      <c r="I4573" s="1" t="s">
        <v>5</v>
      </c>
      <c r="J4573" s="1" t="s">
        <v>6</v>
      </c>
      <c r="K4573" s="1" t="s">
        <v>34</v>
      </c>
      <c r="M4573" s="2">
        <v>42803</v>
      </c>
      <c r="N4573" s="1" t="s">
        <v>8</v>
      </c>
      <c r="O4573" s="2">
        <v>43899</v>
      </c>
    </row>
    <row r="4574" spans="1:15" ht="43.2" x14ac:dyDescent="0.3">
      <c r="A4574" s="1" t="s">
        <v>23029</v>
      </c>
      <c r="B4574" s="1" t="str">
        <f>"Jonathan Latter"</f>
        <v>Jonathan Latter</v>
      </c>
      <c r="C4574" s="1" t="s">
        <v>23030</v>
      </c>
      <c r="F4574" s="1" t="s">
        <v>8303</v>
      </c>
      <c r="H4574" s="1" t="s">
        <v>23031</v>
      </c>
      <c r="I4574" s="1" t="s">
        <v>5</v>
      </c>
      <c r="J4574" s="1" t="s">
        <v>67</v>
      </c>
      <c r="K4574" s="1" t="s">
        <v>14</v>
      </c>
      <c r="M4574" s="2">
        <v>42803</v>
      </c>
      <c r="N4574" s="1" t="s">
        <v>8</v>
      </c>
      <c r="O4574" s="1" t="s">
        <v>68</v>
      </c>
    </row>
    <row r="4575" spans="1:15" ht="28.8" x14ac:dyDescent="0.3">
      <c r="A4575" s="1" t="s">
        <v>23032</v>
      </c>
      <c r="B4575" s="1" t="str">
        <f>"karl howe k and p building and roofing"</f>
        <v>karl howe k and p building and roofing</v>
      </c>
      <c r="C4575" s="1" t="s">
        <v>23033</v>
      </c>
      <c r="F4575" s="1" t="s">
        <v>1351</v>
      </c>
      <c r="H4575" s="1" t="s">
        <v>23034</v>
      </c>
      <c r="I4575" s="1" t="s">
        <v>5</v>
      </c>
      <c r="J4575" s="1" t="s">
        <v>6</v>
      </c>
      <c r="K4575" s="1" t="s">
        <v>34</v>
      </c>
      <c r="M4575" s="2">
        <v>42803</v>
      </c>
      <c r="N4575" s="1" t="s">
        <v>8</v>
      </c>
      <c r="O4575" s="2">
        <v>43899</v>
      </c>
    </row>
    <row r="4576" spans="1:15" ht="43.2" x14ac:dyDescent="0.3">
      <c r="A4576" s="1" t="s">
        <v>7279</v>
      </c>
      <c r="B4576" s="1" t="str">
        <f>"Wales &amp; West Housing"</f>
        <v>Wales &amp; West Housing</v>
      </c>
      <c r="C4576" s="1" t="s">
        <v>7280</v>
      </c>
      <c r="D4576" s="1" t="s">
        <v>1042</v>
      </c>
      <c r="F4576" s="1" t="s">
        <v>27</v>
      </c>
      <c r="H4576" s="1" t="s">
        <v>7281</v>
      </c>
      <c r="I4576" s="1" t="s">
        <v>1872</v>
      </c>
      <c r="J4576" s="1" t="s">
        <v>67</v>
      </c>
      <c r="K4576" s="1" t="s">
        <v>14</v>
      </c>
      <c r="M4576" s="2">
        <v>42802</v>
      </c>
      <c r="N4576" s="1" t="s">
        <v>8</v>
      </c>
      <c r="O4576" s="1" t="s">
        <v>68</v>
      </c>
    </row>
    <row r="4577" spans="1:15" ht="43.2" x14ac:dyDescent="0.3">
      <c r="A4577" s="1" t="s">
        <v>7282</v>
      </c>
      <c r="B4577" s="1" t="str">
        <f>"D &amp; S Properties"</f>
        <v>D &amp; S Properties</v>
      </c>
      <c r="C4577" s="1" t="s">
        <v>7283</v>
      </c>
      <c r="F4577" s="1" t="s">
        <v>91</v>
      </c>
      <c r="H4577" s="1" t="s">
        <v>7284</v>
      </c>
      <c r="I4577" s="1" t="s">
        <v>125</v>
      </c>
      <c r="J4577" s="1" t="s">
        <v>67</v>
      </c>
      <c r="K4577" s="1" t="s">
        <v>24</v>
      </c>
      <c r="M4577" s="2">
        <v>42802</v>
      </c>
      <c r="N4577" s="1" t="s">
        <v>8</v>
      </c>
      <c r="O4577" s="1" t="s">
        <v>68</v>
      </c>
    </row>
    <row r="4578" spans="1:15" ht="28.8" x14ac:dyDescent="0.3">
      <c r="A4578" s="1" t="s">
        <v>7285</v>
      </c>
      <c r="B4578" s="1" t="str">
        <f>"Puritan Stone Ltd."</f>
        <v>Puritan Stone Ltd.</v>
      </c>
      <c r="C4578" s="1" t="s">
        <v>7286</v>
      </c>
      <c r="F4578" s="1" t="s">
        <v>1278</v>
      </c>
      <c r="H4578" s="1" t="s">
        <v>7287</v>
      </c>
      <c r="I4578" s="1" t="s">
        <v>19</v>
      </c>
      <c r="J4578" s="1" t="s">
        <v>6</v>
      </c>
      <c r="K4578" s="1" t="s">
        <v>24</v>
      </c>
      <c r="L4578" s="1">
        <v>4367695</v>
      </c>
      <c r="M4578" s="2">
        <v>42802</v>
      </c>
      <c r="N4578" s="1" t="s">
        <v>8</v>
      </c>
      <c r="O4578" s="2">
        <v>43898</v>
      </c>
    </row>
    <row r="4579" spans="1:15" ht="28.8" x14ac:dyDescent="0.3">
      <c r="A4579" s="1" t="s">
        <v>8443</v>
      </c>
      <c r="B4579" s="1" t="str">
        <f>"John Glen Installation Services Ltd"</f>
        <v>John Glen Installation Services Ltd</v>
      </c>
      <c r="C4579" s="1" t="s">
        <v>5197</v>
      </c>
      <c r="D4579" s="1" t="s">
        <v>2523</v>
      </c>
      <c r="E4579" s="1" t="s">
        <v>578</v>
      </c>
      <c r="F4579" s="1" t="s">
        <v>65</v>
      </c>
      <c r="H4579" s="1" t="s">
        <v>889</v>
      </c>
      <c r="I4579" s="1" t="s">
        <v>19</v>
      </c>
      <c r="J4579" s="1" t="s">
        <v>6</v>
      </c>
      <c r="K4579" s="1" t="s">
        <v>34</v>
      </c>
      <c r="L4579" s="1">
        <v>3610215</v>
      </c>
      <c r="M4579" s="2">
        <v>42802</v>
      </c>
      <c r="N4579" s="1" t="s">
        <v>8</v>
      </c>
      <c r="O4579" s="2">
        <v>43898</v>
      </c>
    </row>
    <row r="4580" spans="1:15" ht="28.8" x14ac:dyDescent="0.3">
      <c r="A4580" s="1" t="s">
        <v>8444</v>
      </c>
      <c r="B4580" s="1" t="str">
        <f>"Nu-Tech Services Ltd"</f>
        <v>Nu-Tech Services Ltd</v>
      </c>
      <c r="C4580" s="1" t="s">
        <v>8445</v>
      </c>
      <c r="F4580" s="1" t="s">
        <v>364</v>
      </c>
      <c r="H4580" s="1" t="s">
        <v>8446</v>
      </c>
      <c r="I4580" s="1" t="s">
        <v>19</v>
      </c>
      <c r="J4580" s="1" t="s">
        <v>6</v>
      </c>
      <c r="K4580" s="1" t="s">
        <v>24</v>
      </c>
      <c r="L4580" s="1">
        <v>2560690</v>
      </c>
      <c r="M4580" s="2">
        <v>42802</v>
      </c>
      <c r="N4580" s="1" t="s">
        <v>8</v>
      </c>
      <c r="O4580" s="2">
        <v>43898</v>
      </c>
    </row>
    <row r="4581" spans="1:15" ht="43.2" x14ac:dyDescent="0.3">
      <c r="A4581" s="1" t="s">
        <v>8447</v>
      </c>
      <c r="B4581" s="1" t="str">
        <f>"AXIUM PROCESS LTD"</f>
        <v>AXIUM PROCESS LTD</v>
      </c>
      <c r="C4581" s="1" t="s">
        <v>8448</v>
      </c>
      <c r="D4581" s="1" t="s">
        <v>3045</v>
      </c>
      <c r="F4581" s="1" t="s">
        <v>64</v>
      </c>
      <c r="H4581" s="1" t="s">
        <v>6057</v>
      </c>
      <c r="I4581" s="1" t="s">
        <v>19</v>
      </c>
      <c r="J4581" s="1" t="s">
        <v>67</v>
      </c>
      <c r="K4581" s="1" t="s">
        <v>14</v>
      </c>
      <c r="M4581" s="2">
        <v>42802</v>
      </c>
      <c r="N4581" s="1" t="s">
        <v>8</v>
      </c>
      <c r="O4581" s="1" t="s">
        <v>68</v>
      </c>
    </row>
    <row r="4582" spans="1:15" ht="28.8" x14ac:dyDescent="0.3">
      <c r="A4582" s="1" t="s">
        <v>8449</v>
      </c>
      <c r="B4582" s="1" t="str">
        <f>"Knill brothers"</f>
        <v>Knill brothers</v>
      </c>
      <c r="C4582" s="1" t="s">
        <v>8450</v>
      </c>
      <c r="F4582" s="1" t="s">
        <v>146</v>
      </c>
      <c r="H4582" s="1" t="s">
        <v>8451</v>
      </c>
      <c r="I4582" s="1" t="s">
        <v>125</v>
      </c>
      <c r="J4582" s="1" t="s">
        <v>6</v>
      </c>
      <c r="K4582" s="1" t="s">
        <v>34</v>
      </c>
      <c r="M4582" s="2">
        <v>42802</v>
      </c>
      <c r="N4582" s="1" t="s">
        <v>8</v>
      </c>
      <c r="O4582" s="2">
        <v>43898</v>
      </c>
    </row>
    <row r="4583" spans="1:15" ht="28.8" x14ac:dyDescent="0.3">
      <c r="A4583" s="1" t="s">
        <v>8452</v>
      </c>
      <c r="B4583" s="1" t="str">
        <f>"lektromek ltd"</f>
        <v>lektromek ltd</v>
      </c>
      <c r="C4583" s="1" t="s">
        <v>8453</v>
      </c>
      <c r="D4583" s="1" t="s">
        <v>8454</v>
      </c>
      <c r="F4583" s="1" t="s">
        <v>865</v>
      </c>
      <c r="H4583" s="1" t="s">
        <v>8455</v>
      </c>
      <c r="I4583" s="1" t="s">
        <v>19</v>
      </c>
      <c r="J4583" s="1" t="s">
        <v>6</v>
      </c>
      <c r="K4583" s="1" t="s">
        <v>24</v>
      </c>
      <c r="L4583" s="1">
        <v>5733529</v>
      </c>
      <c r="M4583" s="2">
        <v>42802</v>
      </c>
      <c r="N4583" s="1" t="s">
        <v>8</v>
      </c>
      <c r="O4583" s="2">
        <v>43898</v>
      </c>
    </row>
    <row r="4584" spans="1:15" x14ac:dyDescent="0.3">
      <c r="A4584" s="1" t="s">
        <v>21434</v>
      </c>
      <c r="B4584" s="1" t="str">
        <f>"Nicholos Jones"</f>
        <v>Nicholos Jones</v>
      </c>
      <c r="C4584" s="1" t="s">
        <v>21435</v>
      </c>
      <c r="D4584" s="1" t="s">
        <v>21436</v>
      </c>
      <c r="F4584" s="1" t="s">
        <v>10100</v>
      </c>
      <c r="H4584" s="1" t="s">
        <v>21437</v>
      </c>
      <c r="I4584" s="1" t="s">
        <v>5</v>
      </c>
      <c r="J4584" s="1" t="s">
        <v>6</v>
      </c>
      <c r="K4584" s="1" t="s">
        <v>24</v>
      </c>
      <c r="M4584" s="2">
        <v>42802</v>
      </c>
      <c r="N4584" s="1" t="s">
        <v>8</v>
      </c>
      <c r="O4584" s="2">
        <v>43898</v>
      </c>
    </row>
    <row r="4585" spans="1:15" ht="28.8" x14ac:dyDescent="0.3">
      <c r="A4585" s="1" t="s">
        <v>22266</v>
      </c>
      <c r="B4585" s="1" t="str">
        <f>"Martyn Price M G Price"</f>
        <v>Martyn Price M G Price</v>
      </c>
      <c r="C4585" s="1" t="s">
        <v>22267</v>
      </c>
      <c r="F4585" s="1" t="s">
        <v>146</v>
      </c>
      <c r="H4585" s="1" t="s">
        <v>22268</v>
      </c>
      <c r="I4585" s="1" t="s">
        <v>5</v>
      </c>
      <c r="J4585" s="1" t="s">
        <v>6</v>
      </c>
      <c r="K4585" s="1" t="s">
        <v>34</v>
      </c>
      <c r="M4585" s="2">
        <v>42802</v>
      </c>
      <c r="N4585" s="1" t="s">
        <v>8</v>
      </c>
      <c r="O4585" s="2">
        <v>43898</v>
      </c>
    </row>
    <row r="4586" spans="1:15" ht="28.8" x14ac:dyDescent="0.3">
      <c r="A4586" s="1" t="s">
        <v>22269</v>
      </c>
      <c r="B4586" s="1" t="str">
        <f>"Clive Jones C A JONES ELECTRICAL"</f>
        <v>Clive Jones C A JONES ELECTRICAL</v>
      </c>
      <c r="C4586" s="1" t="s">
        <v>22270</v>
      </c>
      <c r="D4586" s="1" t="s">
        <v>1692</v>
      </c>
      <c r="F4586" s="1" t="s">
        <v>865</v>
      </c>
      <c r="H4586" s="1" t="s">
        <v>22271</v>
      </c>
      <c r="I4586" s="1" t="s">
        <v>5</v>
      </c>
      <c r="J4586" s="1" t="s">
        <v>6</v>
      </c>
      <c r="K4586" s="1" t="s">
        <v>24</v>
      </c>
      <c r="M4586" s="2">
        <v>42802</v>
      </c>
      <c r="N4586" s="1" t="s">
        <v>8</v>
      </c>
      <c r="O4586" s="2">
        <v>43898</v>
      </c>
    </row>
    <row r="4587" spans="1:15" ht="28.8" x14ac:dyDescent="0.3">
      <c r="A4587" s="1" t="s">
        <v>22272</v>
      </c>
      <c r="B4587" s="1" t="str">
        <f>"Shane  Dyer S.Dyer"</f>
        <v>Shane  Dyer S.Dyer</v>
      </c>
      <c r="C4587" s="1" t="s">
        <v>22273</v>
      </c>
      <c r="F4587" s="1" t="s">
        <v>2152</v>
      </c>
      <c r="H4587" s="1" t="s">
        <v>22274</v>
      </c>
      <c r="I4587" s="1" t="s">
        <v>5</v>
      </c>
      <c r="J4587" s="1" t="s">
        <v>6</v>
      </c>
      <c r="K4587" s="1" t="s">
        <v>24</v>
      </c>
      <c r="M4587" s="2">
        <v>42802</v>
      </c>
      <c r="N4587" s="1" t="s">
        <v>8</v>
      </c>
      <c r="O4587" s="2">
        <v>43898</v>
      </c>
    </row>
    <row r="4588" spans="1:15" ht="43.2" x14ac:dyDescent="0.3">
      <c r="A4588" s="1" t="s">
        <v>6172</v>
      </c>
      <c r="B4588" s="1" t="str">
        <f>"Falconry services bird and pest control"</f>
        <v>Falconry services bird and pest control</v>
      </c>
      <c r="C4588" s="1" t="s">
        <v>6173</v>
      </c>
      <c r="F4588" s="1" t="s">
        <v>179</v>
      </c>
      <c r="H4588" s="1" t="s">
        <v>6174</v>
      </c>
      <c r="I4588" s="1" t="s">
        <v>19</v>
      </c>
      <c r="J4588" s="1" t="s">
        <v>67</v>
      </c>
      <c r="K4588" s="1" t="s">
        <v>24</v>
      </c>
      <c r="M4588" s="2">
        <v>42801</v>
      </c>
      <c r="N4588" s="1" t="s">
        <v>8</v>
      </c>
      <c r="O4588" s="1" t="s">
        <v>68</v>
      </c>
    </row>
    <row r="4589" spans="1:15" x14ac:dyDescent="0.3">
      <c r="A4589" s="1" t="s">
        <v>6175</v>
      </c>
      <c r="B4589" s="1" t="str">
        <f>"S.J. &amp; S. Williams Ltd"</f>
        <v>S.J. &amp; S. Williams Ltd</v>
      </c>
      <c r="C4589" s="1" t="s">
        <v>6176</v>
      </c>
      <c r="D4589" s="1" t="s">
        <v>6177</v>
      </c>
      <c r="F4589" s="1" t="s">
        <v>790</v>
      </c>
      <c r="H4589" s="1" t="s">
        <v>6178</v>
      </c>
      <c r="I4589" s="1" t="s">
        <v>19</v>
      </c>
      <c r="J4589" s="1" t="s">
        <v>6</v>
      </c>
      <c r="K4589" s="1" t="s">
        <v>24</v>
      </c>
      <c r="L4589" s="1">
        <v>4687720</v>
      </c>
      <c r="M4589" s="2">
        <v>42801</v>
      </c>
      <c r="N4589" s="1" t="s">
        <v>8</v>
      </c>
      <c r="O4589" s="2">
        <v>43897</v>
      </c>
    </row>
    <row r="4590" spans="1:15" ht="43.2" x14ac:dyDescent="0.3">
      <c r="A4590" s="1" t="s">
        <v>6179</v>
      </c>
      <c r="B4590" s="1" t="str">
        <f>"STR Cleaning LTD"</f>
        <v>STR Cleaning LTD</v>
      </c>
      <c r="C4590" s="1" t="s">
        <v>6180</v>
      </c>
      <c r="F4590" s="1" t="s">
        <v>65</v>
      </c>
      <c r="H4590" s="1" t="s">
        <v>6181</v>
      </c>
      <c r="I4590" s="1" t="s">
        <v>19</v>
      </c>
      <c r="J4590" s="1" t="s">
        <v>67</v>
      </c>
      <c r="K4590" s="1" t="s">
        <v>24</v>
      </c>
      <c r="L4590" s="1">
        <v>8785956</v>
      </c>
      <c r="M4590" s="2">
        <v>42801</v>
      </c>
      <c r="N4590" s="1" t="s">
        <v>8</v>
      </c>
      <c r="O4590" s="1" t="s">
        <v>68</v>
      </c>
    </row>
    <row r="4591" spans="1:15" ht="43.2" x14ac:dyDescent="0.3">
      <c r="A4591" s="1" t="s">
        <v>6182</v>
      </c>
      <c r="B4591" s="1" t="str">
        <f>"Metcalfe Catering Equipment Ltd"</f>
        <v>Metcalfe Catering Equipment Ltd</v>
      </c>
      <c r="C4591" s="1" t="s">
        <v>6183</v>
      </c>
      <c r="F4591" s="1" t="s">
        <v>370</v>
      </c>
      <c r="H4591" s="1" t="s">
        <v>6184</v>
      </c>
      <c r="I4591" s="1" t="s">
        <v>19</v>
      </c>
      <c r="J4591" s="1" t="s">
        <v>67</v>
      </c>
      <c r="K4591" s="1" t="s">
        <v>14</v>
      </c>
      <c r="M4591" s="2">
        <v>42801</v>
      </c>
      <c r="N4591" s="1" t="s">
        <v>8</v>
      </c>
      <c r="O4591" s="1" t="s">
        <v>68</v>
      </c>
    </row>
    <row r="4592" spans="1:15" ht="28.8" x14ac:dyDescent="0.3">
      <c r="A4592" s="1" t="s">
        <v>6185</v>
      </c>
      <c r="B4592" s="1" t="str">
        <f>"J P Windows &amp; Conservatories Ltd."</f>
        <v>J P Windows &amp; Conservatories Ltd.</v>
      </c>
      <c r="C4592" s="1" t="s">
        <v>6186</v>
      </c>
      <c r="D4592" s="1" t="s">
        <v>6187</v>
      </c>
      <c r="F4592" s="1" t="s">
        <v>873</v>
      </c>
      <c r="H4592" s="1" t="s">
        <v>6188</v>
      </c>
      <c r="I4592" s="1" t="s">
        <v>19</v>
      </c>
      <c r="J4592" s="1" t="s">
        <v>6</v>
      </c>
      <c r="K4592" s="1" t="s">
        <v>24</v>
      </c>
      <c r="L4592" s="1">
        <v>4091812</v>
      </c>
      <c r="M4592" s="2">
        <v>42801</v>
      </c>
      <c r="N4592" s="1" t="s">
        <v>8</v>
      </c>
      <c r="O4592" s="2">
        <v>43898</v>
      </c>
    </row>
    <row r="4593" spans="1:15" ht="28.8" x14ac:dyDescent="0.3">
      <c r="A4593" s="1" t="s">
        <v>6189</v>
      </c>
      <c r="B4593" s="1" t="str">
        <f>"D.B.C. SITE SERVICES 2005 LTD"</f>
        <v>D.B.C. SITE SERVICES 2005 LTD</v>
      </c>
      <c r="C4593" s="1" t="s">
        <v>6190</v>
      </c>
      <c r="D4593" s="1" t="s">
        <v>6191</v>
      </c>
      <c r="F4593" s="1" t="s">
        <v>65</v>
      </c>
      <c r="H4593" s="1" t="s">
        <v>6192</v>
      </c>
      <c r="I4593" s="1" t="s">
        <v>19</v>
      </c>
      <c r="J4593" s="1" t="s">
        <v>6</v>
      </c>
      <c r="K4593" s="1" t="s">
        <v>34</v>
      </c>
      <c r="L4593" s="1">
        <v>5336419</v>
      </c>
      <c r="M4593" s="2">
        <v>42801</v>
      </c>
      <c r="N4593" s="1" t="s">
        <v>8</v>
      </c>
      <c r="O4593" s="2">
        <v>43897</v>
      </c>
    </row>
    <row r="4594" spans="1:15" ht="43.2" x14ac:dyDescent="0.3">
      <c r="A4594" s="1" t="s">
        <v>6193</v>
      </c>
      <c r="B4594" s="1" t="str">
        <f>"AD &amp; SE James"</f>
        <v>AD &amp; SE James</v>
      </c>
      <c r="C4594" s="1" t="s">
        <v>6194</v>
      </c>
      <c r="F4594" s="1" t="s">
        <v>146</v>
      </c>
      <c r="H4594" s="1" t="s">
        <v>6195</v>
      </c>
      <c r="I4594" s="1" t="s">
        <v>125</v>
      </c>
      <c r="J4594" s="1" t="s">
        <v>67</v>
      </c>
      <c r="K4594" s="1" t="s">
        <v>14</v>
      </c>
      <c r="M4594" s="2">
        <v>42801</v>
      </c>
      <c r="N4594" s="1" t="s">
        <v>8</v>
      </c>
      <c r="O4594" s="1" t="s">
        <v>68</v>
      </c>
    </row>
    <row r="4595" spans="1:15" ht="43.2" x14ac:dyDescent="0.3">
      <c r="A4595" s="1" t="s">
        <v>6196</v>
      </c>
      <c r="B4595" s="1" t="str">
        <f>"NGAGE CONTRACTING LTD"</f>
        <v>NGAGE CONTRACTING LTD</v>
      </c>
      <c r="C4595" s="1" t="s">
        <v>6197</v>
      </c>
      <c r="F4595" s="1" t="s">
        <v>219</v>
      </c>
      <c r="H4595" s="1" t="s">
        <v>220</v>
      </c>
      <c r="I4595" s="1" t="s">
        <v>19</v>
      </c>
      <c r="J4595" s="1" t="s">
        <v>6</v>
      </c>
      <c r="K4595" s="1" t="s">
        <v>24</v>
      </c>
      <c r="L4595" s="1">
        <v>10373466</v>
      </c>
      <c r="M4595" s="2">
        <v>42801</v>
      </c>
      <c r="N4595" s="1" t="s">
        <v>8</v>
      </c>
      <c r="O4595" s="2">
        <v>43897</v>
      </c>
    </row>
    <row r="4596" spans="1:15" ht="28.8" x14ac:dyDescent="0.3">
      <c r="A4596" s="1" t="s">
        <v>6198</v>
      </c>
      <c r="B4596" s="1" t="str">
        <f>"JC Reyecling "</f>
        <v xml:space="preserve">JC Reyecling </v>
      </c>
      <c r="C4596" s="1" t="s">
        <v>6199</v>
      </c>
      <c r="F4596" s="1" t="s">
        <v>103</v>
      </c>
      <c r="H4596" s="1" t="s">
        <v>6200</v>
      </c>
      <c r="I4596" s="1" t="s">
        <v>125</v>
      </c>
      <c r="J4596" s="1" t="s">
        <v>6</v>
      </c>
      <c r="K4596" s="1" t="s">
        <v>24</v>
      </c>
      <c r="M4596" s="2">
        <v>42801</v>
      </c>
      <c r="N4596" s="1" t="s">
        <v>8</v>
      </c>
      <c r="O4596" s="2">
        <v>43897</v>
      </c>
    </row>
    <row r="4597" spans="1:15" ht="28.8" x14ac:dyDescent="0.3">
      <c r="A4597" s="1" t="s">
        <v>7271</v>
      </c>
      <c r="B4597" s="1" t="str">
        <f>"Roy Thomas Ltd."</f>
        <v>Roy Thomas Ltd.</v>
      </c>
      <c r="C4597" s="1" t="s">
        <v>7272</v>
      </c>
      <c r="F4597" s="1" t="s">
        <v>2961</v>
      </c>
      <c r="H4597" s="1" t="s">
        <v>5488</v>
      </c>
      <c r="I4597" s="1" t="s">
        <v>19</v>
      </c>
      <c r="J4597" s="1" t="s">
        <v>6</v>
      </c>
      <c r="K4597" s="1" t="s">
        <v>34</v>
      </c>
      <c r="L4597" s="1">
        <v>6237523</v>
      </c>
      <c r="M4597" s="2">
        <v>42801</v>
      </c>
      <c r="N4597" s="1" t="s">
        <v>8</v>
      </c>
      <c r="O4597" s="2">
        <v>43897</v>
      </c>
    </row>
    <row r="4598" spans="1:15" ht="28.8" x14ac:dyDescent="0.3">
      <c r="A4598" s="1" t="s">
        <v>7273</v>
      </c>
      <c r="B4598" s="1" t="str">
        <f>"KTL Contracting Ltd"</f>
        <v>KTL Contracting Ltd</v>
      </c>
      <c r="C4598" s="1" t="s">
        <v>7274</v>
      </c>
      <c r="F4598" s="1" t="s">
        <v>1700</v>
      </c>
      <c r="H4598" s="1" t="s">
        <v>7275</v>
      </c>
      <c r="I4598" s="1" t="s">
        <v>19</v>
      </c>
      <c r="J4598" s="1" t="s">
        <v>6</v>
      </c>
      <c r="K4598" s="1" t="s">
        <v>34</v>
      </c>
      <c r="L4598" s="1">
        <v>6045598</v>
      </c>
      <c r="M4598" s="2">
        <v>42801</v>
      </c>
      <c r="N4598" s="1" t="s">
        <v>8</v>
      </c>
      <c r="O4598" s="2">
        <v>43897</v>
      </c>
    </row>
    <row r="4599" spans="1:15" ht="28.8" x14ac:dyDescent="0.3">
      <c r="A4599" s="1" t="s">
        <v>7276</v>
      </c>
      <c r="B4599" s="1" t="str">
        <f>"Allan Davies Plant Limited"</f>
        <v>Allan Davies Plant Limited</v>
      </c>
      <c r="C4599" s="1" t="s">
        <v>7277</v>
      </c>
      <c r="F4599" s="1" t="s">
        <v>3992</v>
      </c>
      <c r="H4599" s="1" t="s">
        <v>7278</v>
      </c>
      <c r="I4599" s="1" t="s">
        <v>19</v>
      </c>
      <c r="J4599" s="1" t="s">
        <v>6</v>
      </c>
      <c r="K4599" s="1" t="s">
        <v>24</v>
      </c>
      <c r="L4599" s="1">
        <v>8062803</v>
      </c>
      <c r="M4599" s="2">
        <v>42801</v>
      </c>
      <c r="N4599" s="1" t="s">
        <v>8</v>
      </c>
      <c r="O4599" s="2">
        <v>43897</v>
      </c>
    </row>
    <row r="4600" spans="1:15" ht="28.8" x14ac:dyDescent="0.3">
      <c r="A4600" s="1" t="s">
        <v>20646</v>
      </c>
      <c r="B4600" s="1" t="str">
        <f>"ian david IPS David"</f>
        <v>ian david IPS David</v>
      </c>
      <c r="C4600" s="1" t="s">
        <v>20647</v>
      </c>
      <c r="D4600" s="1" t="s">
        <v>20648</v>
      </c>
      <c r="F4600" s="1" t="s">
        <v>27</v>
      </c>
      <c r="H4600" s="1" t="s">
        <v>20649</v>
      </c>
      <c r="I4600" s="1" t="s">
        <v>5</v>
      </c>
      <c r="J4600" s="1" t="s">
        <v>6</v>
      </c>
      <c r="K4600" s="1" t="s">
        <v>24</v>
      </c>
      <c r="M4600" s="2">
        <v>42801</v>
      </c>
      <c r="N4600" s="1" t="s">
        <v>8</v>
      </c>
      <c r="O4600" s="2">
        <v>43897</v>
      </c>
    </row>
    <row r="4601" spans="1:15" ht="28.8" x14ac:dyDescent="0.3">
      <c r="A4601" s="1" t="s">
        <v>20650</v>
      </c>
      <c r="B4601" s="1" t="str">
        <f>"Martin Briscoe MB Renovations"</f>
        <v>Martin Briscoe MB Renovations</v>
      </c>
      <c r="C4601" s="1" t="s">
        <v>20651</v>
      </c>
      <c r="F4601" s="1" t="s">
        <v>374</v>
      </c>
      <c r="H4601" s="1" t="s">
        <v>20652</v>
      </c>
      <c r="I4601" s="1" t="s">
        <v>5</v>
      </c>
      <c r="J4601" s="1" t="s">
        <v>6</v>
      </c>
      <c r="K4601" s="1" t="s">
        <v>34</v>
      </c>
      <c r="M4601" s="2">
        <v>42801</v>
      </c>
      <c r="N4601" s="1" t="s">
        <v>8</v>
      </c>
      <c r="O4601" s="2">
        <v>43897</v>
      </c>
    </row>
    <row r="4602" spans="1:15" ht="43.2" x14ac:dyDescent="0.3">
      <c r="A4602" s="1" t="s">
        <v>20653</v>
      </c>
      <c r="B4602" s="1" t="str">
        <f>"John Gawthorpe"</f>
        <v>John Gawthorpe</v>
      </c>
      <c r="C4602" s="1" t="s">
        <v>20654</v>
      </c>
      <c r="D4602" s="1" t="s">
        <v>20655</v>
      </c>
      <c r="F4602" s="1" t="s">
        <v>20656</v>
      </c>
      <c r="H4602" s="1" t="s">
        <v>20657</v>
      </c>
      <c r="I4602" s="1" t="s">
        <v>5</v>
      </c>
      <c r="J4602" s="1" t="s">
        <v>67</v>
      </c>
      <c r="K4602" s="1" t="s">
        <v>14</v>
      </c>
      <c r="M4602" s="2">
        <v>42801</v>
      </c>
      <c r="N4602" s="1" t="s">
        <v>8</v>
      </c>
      <c r="O4602" s="1" t="s">
        <v>68</v>
      </c>
    </row>
    <row r="4603" spans="1:15" ht="28.8" x14ac:dyDescent="0.3">
      <c r="A4603" s="1" t="s">
        <v>20658</v>
      </c>
      <c r="B4603" s="1" t="str">
        <f>"John Hennah Denewood Electrical"</f>
        <v>John Hennah Denewood Electrical</v>
      </c>
      <c r="C4603" s="1" t="s">
        <v>20659</v>
      </c>
      <c r="F4603" s="1" t="s">
        <v>91</v>
      </c>
      <c r="H4603" s="1" t="s">
        <v>20660</v>
      </c>
      <c r="I4603" s="1" t="s">
        <v>5</v>
      </c>
      <c r="J4603" s="1" t="s">
        <v>6</v>
      </c>
      <c r="K4603" s="1" t="s">
        <v>24</v>
      </c>
      <c r="M4603" s="2">
        <v>42801</v>
      </c>
      <c r="N4603" s="1" t="s">
        <v>8</v>
      </c>
      <c r="O4603" s="2">
        <v>43898</v>
      </c>
    </row>
    <row r="4604" spans="1:15" ht="28.8" x14ac:dyDescent="0.3">
      <c r="A4604" s="1" t="s">
        <v>20661</v>
      </c>
      <c r="B4604" s="1" t="str">
        <f>"Brian Wingren Total Garden Maintenance"</f>
        <v>Brian Wingren Total Garden Maintenance</v>
      </c>
      <c r="C4604" s="1" t="s">
        <v>20662</v>
      </c>
      <c r="F4604" s="1" t="s">
        <v>2152</v>
      </c>
      <c r="H4604" s="1" t="s">
        <v>20663</v>
      </c>
      <c r="I4604" s="1" t="s">
        <v>5</v>
      </c>
      <c r="J4604" s="1" t="s">
        <v>6</v>
      </c>
      <c r="K4604" s="1" t="s">
        <v>24</v>
      </c>
      <c r="M4604" s="2">
        <v>42801</v>
      </c>
      <c r="N4604" s="1" t="s">
        <v>8</v>
      </c>
      <c r="O4604" s="2">
        <v>43897</v>
      </c>
    </row>
    <row r="4605" spans="1:15" ht="43.2" x14ac:dyDescent="0.3">
      <c r="A4605" s="1" t="s">
        <v>20664</v>
      </c>
      <c r="B4605" s="1" t="str">
        <f>"gary jones"</f>
        <v>gary jones</v>
      </c>
      <c r="C4605" s="1" t="s">
        <v>20665</v>
      </c>
      <c r="F4605" s="1" t="s">
        <v>27</v>
      </c>
      <c r="H4605" s="1" t="s">
        <v>20666</v>
      </c>
      <c r="I4605" s="1" t="s">
        <v>5</v>
      </c>
      <c r="J4605" s="1" t="s">
        <v>67</v>
      </c>
      <c r="K4605" s="1" t="s">
        <v>14</v>
      </c>
      <c r="M4605" s="2">
        <v>42801</v>
      </c>
      <c r="N4605" s="1" t="s">
        <v>8</v>
      </c>
      <c r="O4605" s="1" t="s">
        <v>68</v>
      </c>
    </row>
    <row r="4606" spans="1:15" ht="28.8" x14ac:dyDescent="0.3">
      <c r="A4606" s="1" t="s">
        <v>21428</v>
      </c>
      <c r="B4606" s="1" t="str">
        <f>"Ifor Pritchard Ifor Pritchard"</f>
        <v>Ifor Pritchard Ifor Pritchard</v>
      </c>
      <c r="C4606" s="1" t="s">
        <v>21429</v>
      </c>
      <c r="F4606" s="1" t="s">
        <v>710</v>
      </c>
      <c r="H4606" s="1" t="s">
        <v>21430</v>
      </c>
      <c r="I4606" s="1" t="s">
        <v>5</v>
      </c>
      <c r="J4606" s="1" t="s">
        <v>6</v>
      </c>
      <c r="K4606" s="1" t="s">
        <v>24</v>
      </c>
      <c r="M4606" s="2">
        <v>42801</v>
      </c>
      <c r="N4606" s="1" t="s">
        <v>8</v>
      </c>
      <c r="O4606" s="2">
        <v>43897</v>
      </c>
    </row>
    <row r="4607" spans="1:15" ht="43.2" x14ac:dyDescent="0.3">
      <c r="A4607" s="1" t="s">
        <v>21431</v>
      </c>
      <c r="B4607" s="1" t="str">
        <f>"Darren Birmingham D.B'S Property Maintenance"</f>
        <v>Darren Birmingham D.B'S Property Maintenance</v>
      </c>
      <c r="C4607" s="1" t="s">
        <v>21432</v>
      </c>
      <c r="F4607" s="1" t="s">
        <v>174</v>
      </c>
      <c r="H4607" s="1" t="s">
        <v>21433</v>
      </c>
      <c r="I4607" s="1" t="s">
        <v>5</v>
      </c>
      <c r="J4607" s="1" t="s">
        <v>6</v>
      </c>
      <c r="K4607" s="1" t="s">
        <v>34</v>
      </c>
      <c r="M4607" s="2">
        <v>42801</v>
      </c>
      <c r="N4607" s="1" t="s">
        <v>8</v>
      </c>
      <c r="O4607" s="2">
        <v>43897</v>
      </c>
    </row>
    <row r="4608" spans="1:15" ht="28.8" x14ac:dyDescent="0.3">
      <c r="A4608" s="1" t="s">
        <v>3812</v>
      </c>
      <c r="B4608" s="1" t="str">
        <f>"Entrec Ltd."</f>
        <v>Entrec Ltd.</v>
      </c>
      <c r="C4608" s="1" t="s">
        <v>3813</v>
      </c>
      <c r="F4608" s="1" t="s">
        <v>198</v>
      </c>
      <c r="H4608" s="1" t="s">
        <v>3814</v>
      </c>
      <c r="I4608" s="1" t="s">
        <v>19</v>
      </c>
      <c r="J4608" s="1" t="s">
        <v>6</v>
      </c>
      <c r="K4608" s="1" t="s">
        <v>24</v>
      </c>
      <c r="L4608" s="1">
        <v>5153553</v>
      </c>
      <c r="M4608" s="2">
        <v>42800</v>
      </c>
      <c r="N4608" s="1" t="s">
        <v>8</v>
      </c>
      <c r="O4608" s="2">
        <v>43896</v>
      </c>
    </row>
    <row r="4609" spans="1:15" ht="28.8" x14ac:dyDescent="0.3">
      <c r="A4609" s="1" t="s">
        <v>3815</v>
      </c>
      <c r="B4609" s="1" t="str">
        <f>"Peter T  Griffiths Ltd."</f>
        <v>Peter T  Griffiths Ltd.</v>
      </c>
      <c r="C4609" s="1" t="s">
        <v>3816</v>
      </c>
      <c r="D4609" s="1" t="s">
        <v>3817</v>
      </c>
      <c r="F4609" s="1" t="s">
        <v>1260</v>
      </c>
      <c r="H4609" s="1" t="s">
        <v>3818</v>
      </c>
      <c r="I4609" s="1" t="s">
        <v>19</v>
      </c>
      <c r="J4609" s="1" t="s">
        <v>6</v>
      </c>
      <c r="K4609" s="1" t="s">
        <v>24</v>
      </c>
      <c r="L4609" s="1">
        <v>4074963</v>
      </c>
      <c r="M4609" s="2">
        <v>42800</v>
      </c>
      <c r="N4609" s="1" t="s">
        <v>8</v>
      </c>
      <c r="O4609" s="2">
        <v>43896</v>
      </c>
    </row>
    <row r="4610" spans="1:15" ht="28.8" x14ac:dyDescent="0.3">
      <c r="A4610" s="1" t="s">
        <v>3819</v>
      </c>
      <c r="B4610" s="1" t="str">
        <f>"DON HUGHES ELECTRICAL LTD"</f>
        <v>DON HUGHES ELECTRICAL LTD</v>
      </c>
      <c r="C4610" s="1" t="s">
        <v>3820</v>
      </c>
      <c r="F4610" s="1" t="s">
        <v>198</v>
      </c>
      <c r="H4610" s="1" t="s">
        <v>3821</v>
      </c>
      <c r="I4610" s="1" t="s">
        <v>19</v>
      </c>
      <c r="J4610" s="1" t="s">
        <v>6</v>
      </c>
      <c r="K4610" s="1" t="s">
        <v>24</v>
      </c>
      <c r="L4610" s="1">
        <v>6130257</v>
      </c>
      <c r="M4610" s="2">
        <v>42800</v>
      </c>
      <c r="N4610" s="1" t="s">
        <v>8</v>
      </c>
      <c r="O4610" s="2">
        <v>43896</v>
      </c>
    </row>
    <row r="4611" spans="1:15" ht="43.2" x14ac:dyDescent="0.3">
      <c r="A4611" s="1" t="s">
        <v>3822</v>
      </c>
      <c r="B4611" s="1" t="str">
        <f>"Civic Motoring Services Ltd."</f>
        <v>Civic Motoring Services Ltd.</v>
      </c>
      <c r="C4611" s="1" t="s">
        <v>3794</v>
      </c>
      <c r="F4611" s="1" t="s">
        <v>65</v>
      </c>
      <c r="H4611" s="1" t="s">
        <v>3795</v>
      </c>
      <c r="I4611" s="1" t="s">
        <v>19</v>
      </c>
      <c r="J4611" s="1" t="s">
        <v>67</v>
      </c>
      <c r="K4611" s="1" t="s">
        <v>24</v>
      </c>
      <c r="L4611" s="1">
        <v>2744138</v>
      </c>
      <c r="M4611" s="2">
        <v>42800</v>
      </c>
      <c r="N4611" s="1" t="s">
        <v>8</v>
      </c>
      <c r="O4611" s="1" t="s">
        <v>68</v>
      </c>
    </row>
    <row r="4612" spans="1:15" x14ac:dyDescent="0.3">
      <c r="A4612" s="1" t="s">
        <v>3823</v>
      </c>
      <c r="B4612" s="1" t="str">
        <f>"Kevin Williams LTD"</f>
        <v>Kevin Williams LTD</v>
      </c>
      <c r="C4612" s="1" t="s">
        <v>3824</v>
      </c>
      <c r="F4612" s="1" t="s">
        <v>1400</v>
      </c>
      <c r="H4612" s="1" t="s">
        <v>3825</v>
      </c>
      <c r="I4612" s="1" t="s">
        <v>19</v>
      </c>
      <c r="J4612" s="1" t="s">
        <v>6</v>
      </c>
      <c r="K4612" s="1" t="s">
        <v>24</v>
      </c>
      <c r="L4612" s="1">
        <v>8447583</v>
      </c>
      <c r="M4612" s="2">
        <v>42800</v>
      </c>
      <c r="N4612" s="1" t="s">
        <v>8</v>
      </c>
      <c r="O4612" s="2">
        <v>43896</v>
      </c>
    </row>
    <row r="4613" spans="1:15" ht="28.8" x14ac:dyDescent="0.3">
      <c r="A4613" s="1" t="s">
        <v>5007</v>
      </c>
      <c r="B4613" s="1" t="str">
        <f>"ASK RECOVERY LTD"</f>
        <v>ASK RECOVERY LTD</v>
      </c>
      <c r="C4613" s="1" t="s">
        <v>5008</v>
      </c>
      <c r="F4613" s="1" t="s">
        <v>298</v>
      </c>
      <c r="H4613" s="1" t="s">
        <v>5009</v>
      </c>
      <c r="I4613" s="1" t="s">
        <v>19</v>
      </c>
      <c r="J4613" s="1" t="s">
        <v>6</v>
      </c>
      <c r="K4613" s="1" t="s">
        <v>24</v>
      </c>
      <c r="L4613" s="1">
        <v>7629279</v>
      </c>
      <c r="M4613" s="2">
        <v>42800</v>
      </c>
      <c r="N4613" s="1" t="s">
        <v>8</v>
      </c>
      <c r="O4613" s="2">
        <v>43896</v>
      </c>
    </row>
    <row r="4614" spans="1:15" ht="43.2" x14ac:dyDescent="0.3">
      <c r="A4614" s="1" t="s">
        <v>5010</v>
      </c>
      <c r="B4614" s="1" t="str">
        <f>"wrexham county borough council"</f>
        <v>wrexham county borough council</v>
      </c>
      <c r="C4614" s="1" t="s">
        <v>5011</v>
      </c>
      <c r="F4614" s="1" t="s">
        <v>198</v>
      </c>
      <c r="H4614" s="1" t="s">
        <v>5012</v>
      </c>
      <c r="I4614" s="1" t="s">
        <v>188</v>
      </c>
      <c r="J4614" s="1" t="s">
        <v>67</v>
      </c>
      <c r="K4614" s="1" t="s">
        <v>14</v>
      </c>
      <c r="M4614" s="2">
        <v>42800</v>
      </c>
      <c r="N4614" s="1" t="s">
        <v>8</v>
      </c>
      <c r="O4614" s="1" t="s">
        <v>68</v>
      </c>
    </row>
    <row r="4615" spans="1:15" ht="43.2" x14ac:dyDescent="0.3">
      <c r="A4615" s="1" t="s">
        <v>5013</v>
      </c>
      <c r="B4615" s="1" t="str">
        <f>"Roberts and Hand Ltd"</f>
        <v>Roberts and Hand Ltd</v>
      </c>
      <c r="C4615" s="1" t="s">
        <v>5014</v>
      </c>
      <c r="F4615" s="1" t="s">
        <v>3415</v>
      </c>
      <c r="H4615" s="1" t="s">
        <v>5015</v>
      </c>
      <c r="I4615" s="1" t="s">
        <v>19</v>
      </c>
      <c r="J4615" s="1" t="s">
        <v>67</v>
      </c>
      <c r="K4615" s="1" t="s">
        <v>14</v>
      </c>
      <c r="M4615" s="2">
        <v>42800</v>
      </c>
      <c r="N4615" s="1" t="s">
        <v>8</v>
      </c>
      <c r="O4615" s="1" t="s">
        <v>68</v>
      </c>
    </row>
    <row r="4616" spans="1:15" ht="28.8" x14ac:dyDescent="0.3">
      <c r="A4616" s="1" t="s">
        <v>19040</v>
      </c>
      <c r="B4616" s="1" t="str">
        <f>"Andrew Baldwin A B Plumbing"</f>
        <v>Andrew Baldwin A B Plumbing</v>
      </c>
      <c r="C4616" s="1" t="s">
        <v>19041</v>
      </c>
      <c r="F4616" s="1" t="s">
        <v>174</v>
      </c>
      <c r="H4616" s="1" t="s">
        <v>19042</v>
      </c>
      <c r="I4616" s="1" t="s">
        <v>5</v>
      </c>
      <c r="J4616" s="1" t="s">
        <v>6</v>
      </c>
      <c r="K4616" s="1" t="s">
        <v>24</v>
      </c>
      <c r="M4616" s="2">
        <v>42800</v>
      </c>
      <c r="N4616" s="1" t="s">
        <v>8</v>
      </c>
      <c r="O4616" s="2">
        <v>43896</v>
      </c>
    </row>
    <row r="4617" spans="1:15" ht="43.2" x14ac:dyDescent="0.3">
      <c r="A4617" s="1" t="s">
        <v>19043</v>
      </c>
      <c r="B4617" s="1" t="str">
        <f>"Sebastian Gorz"</f>
        <v>Sebastian Gorz</v>
      </c>
      <c r="C4617" s="1" t="s">
        <v>19044</v>
      </c>
      <c r="F4617" s="1" t="s">
        <v>17553</v>
      </c>
      <c r="H4617" s="1" t="s">
        <v>19045</v>
      </c>
      <c r="I4617" s="1" t="s">
        <v>5</v>
      </c>
      <c r="J4617" s="1" t="s">
        <v>67</v>
      </c>
      <c r="K4617" s="1" t="s">
        <v>14</v>
      </c>
      <c r="M4617" s="2">
        <v>42800</v>
      </c>
      <c r="N4617" s="1" t="s">
        <v>8</v>
      </c>
      <c r="O4617" s="1" t="s">
        <v>68</v>
      </c>
    </row>
    <row r="4618" spans="1:15" ht="28.8" x14ac:dyDescent="0.3">
      <c r="A4618" s="1" t="s">
        <v>19046</v>
      </c>
      <c r="B4618" s="1" t="str">
        <f>"Lee Morgans Lee Morgans Transport "</f>
        <v xml:space="preserve">Lee Morgans Lee Morgans Transport </v>
      </c>
      <c r="C4618" s="1" t="s">
        <v>19047</v>
      </c>
      <c r="F4618" s="1" t="s">
        <v>2711</v>
      </c>
      <c r="H4618" s="1" t="s">
        <v>19048</v>
      </c>
      <c r="I4618" s="1" t="s">
        <v>5</v>
      </c>
      <c r="J4618" s="1" t="s">
        <v>6</v>
      </c>
      <c r="K4618" s="1" t="s">
        <v>24</v>
      </c>
      <c r="M4618" s="2">
        <v>42800</v>
      </c>
      <c r="N4618" s="1" t="s">
        <v>8</v>
      </c>
      <c r="O4618" s="2">
        <v>43896</v>
      </c>
    </row>
    <row r="4619" spans="1:15" ht="43.2" x14ac:dyDescent="0.3">
      <c r="A4619" s="1" t="s">
        <v>19885</v>
      </c>
      <c r="B4619" s="1" t="str">
        <f>"Forest timber Engineering limited"</f>
        <v>Forest timber Engineering limited</v>
      </c>
      <c r="C4619" s="1" t="s">
        <v>19886</v>
      </c>
      <c r="F4619" s="1" t="s">
        <v>1321</v>
      </c>
      <c r="H4619" s="1" t="s">
        <v>19887</v>
      </c>
      <c r="I4619" s="1" t="s">
        <v>5</v>
      </c>
      <c r="J4619" s="1" t="s">
        <v>67</v>
      </c>
      <c r="K4619" s="1" t="s">
        <v>14</v>
      </c>
      <c r="M4619" s="2">
        <v>42800</v>
      </c>
      <c r="N4619" s="1" t="s">
        <v>8</v>
      </c>
      <c r="O4619" s="1" t="s">
        <v>68</v>
      </c>
    </row>
    <row r="4620" spans="1:15" ht="43.2" x14ac:dyDescent="0.3">
      <c r="A4620" s="1" t="s">
        <v>19888</v>
      </c>
      <c r="B4620" s="1" t="str">
        <f>"Robert Caffel"</f>
        <v>Robert Caffel</v>
      </c>
      <c r="C4620" s="1" t="s">
        <v>7150</v>
      </c>
      <c r="F4620" s="1" t="s">
        <v>2711</v>
      </c>
      <c r="H4620" s="1" t="s">
        <v>19889</v>
      </c>
      <c r="I4620" s="1" t="s">
        <v>5</v>
      </c>
      <c r="J4620" s="1" t="s">
        <v>67</v>
      </c>
      <c r="K4620" s="1" t="s">
        <v>24</v>
      </c>
      <c r="M4620" s="2">
        <v>42800</v>
      </c>
      <c r="N4620" s="1" t="s">
        <v>8</v>
      </c>
      <c r="O4620" s="1" t="s">
        <v>68</v>
      </c>
    </row>
    <row r="4621" spans="1:15" ht="28.8" x14ac:dyDescent="0.3">
      <c r="A4621" s="1" t="s">
        <v>19890</v>
      </c>
      <c r="B4621" s="1" t="str">
        <f>"Saikouba N Kambi Saikouba N"</f>
        <v>Saikouba N Kambi Saikouba N</v>
      </c>
      <c r="C4621" s="1" t="s">
        <v>19891</v>
      </c>
      <c r="F4621" s="1" t="s">
        <v>27</v>
      </c>
      <c r="H4621" s="1" t="s">
        <v>19892</v>
      </c>
      <c r="I4621" s="1" t="s">
        <v>5</v>
      </c>
      <c r="J4621" s="1" t="s">
        <v>6</v>
      </c>
      <c r="K4621" s="1" t="s">
        <v>24</v>
      </c>
      <c r="M4621" s="2">
        <v>42800</v>
      </c>
      <c r="N4621" s="1" t="s">
        <v>8</v>
      </c>
      <c r="O4621" s="2">
        <v>43896</v>
      </c>
    </row>
    <row r="4622" spans="1:15" ht="28.8" x14ac:dyDescent="0.3">
      <c r="A4622" s="1" t="s">
        <v>19037</v>
      </c>
      <c r="B4622" s="1" t="str">
        <f>"James Evans James Evans"</f>
        <v>James Evans James Evans</v>
      </c>
      <c r="C4622" s="1" t="s">
        <v>19038</v>
      </c>
      <c r="F4622" s="1" t="s">
        <v>65</v>
      </c>
      <c r="H4622" s="1" t="s">
        <v>19039</v>
      </c>
      <c r="I4622" s="1" t="s">
        <v>5</v>
      </c>
      <c r="J4622" s="1" t="s">
        <v>6</v>
      </c>
      <c r="K4622" s="1" t="s">
        <v>24</v>
      </c>
      <c r="M4622" s="2">
        <v>42799</v>
      </c>
      <c r="N4622" s="1" t="s">
        <v>8</v>
      </c>
      <c r="O4622" s="2">
        <v>43895</v>
      </c>
    </row>
    <row r="4623" spans="1:15" ht="28.8" x14ac:dyDescent="0.3">
      <c r="A4623" s="1" t="s">
        <v>17603</v>
      </c>
      <c r="B4623" s="1" t="str">
        <f>"E-Cycle Ltd"</f>
        <v>E-Cycle Ltd</v>
      </c>
      <c r="C4623" s="1" t="s">
        <v>11752</v>
      </c>
      <c r="D4623" s="1" t="s">
        <v>5001</v>
      </c>
      <c r="F4623" s="1" t="s">
        <v>457</v>
      </c>
      <c r="H4623" s="1" t="s">
        <v>5002</v>
      </c>
      <c r="I4623" s="1" t="s">
        <v>19</v>
      </c>
      <c r="J4623" s="1" t="s">
        <v>6</v>
      </c>
      <c r="K4623" s="1" t="s">
        <v>34</v>
      </c>
      <c r="L4623" s="1">
        <v>8000438</v>
      </c>
      <c r="M4623" s="2">
        <v>42797</v>
      </c>
      <c r="N4623" s="1" t="s">
        <v>8</v>
      </c>
      <c r="O4623" s="2">
        <v>43893</v>
      </c>
    </row>
    <row r="4624" spans="1:15" ht="43.2" x14ac:dyDescent="0.3">
      <c r="A4624" s="1" t="s">
        <v>17604</v>
      </c>
      <c r="B4624" s="1" t="str">
        <f>"NATIONAL TYRE &amp; AUTOCARE"</f>
        <v>NATIONAL TYRE &amp; AUTOCARE</v>
      </c>
      <c r="C4624" s="1" t="s">
        <v>17605</v>
      </c>
      <c r="F4624" s="1" t="s">
        <v>710</v>
      </c>
      <c r="H4624" s="1" t="s">
        <v>17606</v>
      </c>
      <c r="I4624" s="1" t="s">
        <v>19</v>
      </c>
      <c r="J4624" s="1" t="s">
        <v>67</v>
      </c>
      <c r="K4624" s="1" t="s">
        <v>14</v>
      </c>
      <c r="M4624" s="2">
        <v>42797</v>
      </c>
      <c r="N4624" s="1" t="s">
        <v>8</v>
      </c>
      <c r="O4624" s="1" t="s">
        <v>68</v>
      </c>
    </row>
    <row r="4625" spans="1:15" ht="43.2" x14ac:dyDescent="0.3">
      <c r="A4625" s="1" t="s">
        <v>17607</v>
      </c>
      <c r="B4625" s="1" t="str">
        <f>"Ribs of Beef"</f>
        <v>Ribs of Beef</v>
      </c>
      <c r="C4625" s="1" t="s">
        <v>17608</v>
      </c>
      <c r="F4625" s="1" t="s">
        <v>16590</v>
      </c>
      <c r="H4625" s="1" t="s">
        <v>17609</v>
      </c>
      <c r="I4625" s="1" t="s">
        <v>125</v>
      </c>
      <c r="J4625" s="1" t="s">
        <v>67</v>
      </c>
      <c r="K4625" s="1" t="s">
        <v>14</v>
      </c>
      <c r="M4625" s="2">
        <v>42797</v>
      </c>
      <c r="N4625" s="1" t="s">
        <v>8</v>
      </c>
      <c r="O4625" s="1" t="s">
        <v>68</v>
      </c>
    </row>
    <row r="4626" spans="1:15" ht="43.2" x14ac:dyDescent="0.3">
      <c r="A4626" s="1" t="s">
        <v>17610</v>
      </c>
      <c r="B4626" s="1" t="str">
        <f>"Extreme Clean Wales Ltd"</f>
        <v>Extreme Clean Wales Ltd</v>
      </c>
      <c r="C4626" s="1" t="s">
        <v>17611</v>
      </c>
      <c r="F4626" s="1" t="s">
        <v>96</v>
      </c>
      <c r="H4626" s="1" t="s">
        <v>17612</v>
      </c>
      <c r="I4626" s="1" t="s">
        <v>19</v>
      </c>
      <c r="J4626" s="1" t="s">
        <v>67</v>
      </c>
      <c r="K4626" s="1" t="s">
        <v>14</v>
      </c>
      <c r="M4626" s="2">
        <v>42797</v>
      </c>
      <c r="N4626" s="1" t="s">
        <v>8</v>
      </c>
      <c r="O4626" s="1" t="s">
        <v>68</v>
      </c>
    </row>
    <row r="4627" spans="1:15" ht="28.8" x14ac:dyDescent="0.3">
      <c r="A4627" s="1" t="s">
        <v>17613</v>
      </c>
      <c r="B4627" s="1" t="str">
        <f>"Trailwalk Ltd"</f>
        <v>Trailwalk Ltd</v>
      </c>
      <c r="C4627" s="1" t="s">
        <v>17614</v>
      </c>
      <c r="D4627" s="1" t="s">
        <v>17615</v>
      </c>
      <c r="F4627" s="1" t="s">
        <v>198</v>
      </c>
      <c r="H4627" s="1" t="s">
        <v>17616</v>
      </c>
      <c r="I4627" s="1" t="s">
        <v>19</v>
      </c>
      <c r="J4627" s="1" t="s">
        <v>6</v>
      </c>
      <c r="K4627" s="1" t="s">
        <v>24</v>
      </c>
      <c r="L4627" s="1">
        <v>3994474</v>
      </c>
      <c r="M4627" s="2">
        <v>42797</v>
      </c>
      <c r="N4627" s="1" t="s">
        <v>8</v>
      </c>
      <c r="O4627" s="2">
        <v>43911</v>
      </c>
    </row>
    <row r="4628" spans="1:15" ht="43.2" x14ac:dyDescent="0.3">
      <c r="A4628" s="1" t="s">
        <v>19027</v>
      </c>
      <c r="B4628" s="1" t="str">
        <f>"Stephen Perkins"</f>
        <v>Stephen Perkins</v>
      </c>
      <c r="C4628" s="1" t="s">
        <v>19028</v>
      </c>
      <c r="F4628" s="1" t="s">
        <v>91</v>
      </c>
      <c r="H4628" s="1" t="s">
        <v>19029</v>
      </c>
      <c r="I4628" s="1" t="s">
        <v>5</v>
      </c>
      <c r="J4628" s="1" t="s">
        <v>67</v>
      </c>
      <c r="K4628" s="1" t="s">
        <v>24</v>
      </c>
      <c r="M4628" s="2">
        <v>42797</v>
      </c>
      <c r="N4628" s="1" t="s">
        <v>8</v>
      </c>
      <c r="O4628" s="1" t="s">
        <v>68</v>
      </c>
    </row>
    <row r="4629" spans="1:15" ht="43.2" x14ac:dyDescent="0.3">
      <c r="A4629" s="1" t="s">
        <v>19030</v>
      </c>
      <c r="B4629" s="1" t="str">
        <f>"Alan Fletcher"</f>
        <v>Alan Fletcher</v>
      </c>
      <c r="C4629" s="1" t="s">
        <v>19031</v>
      </c>
      <c r="F4629" s="1" t="s">
        <v>1556</v>
      </c>
      <c r="H4629" s="1" t="s">
        <v>19032</v>
      </c>
      <c r="I4629" s="1" t="s">
        <v>5</v>
      </c>
      <c r="J4629" s="1" t="s">
        <v>67</v>
      </c>
      <c r="K4629" s="1" t="s">
        <v>14</v>
      </c>
      <c r="M4629" s="2">
        <v>42797</v>
      </c>
      <c r="N4629" s="1" t="s">
        <v>8</v>
      </c>
      <c r="O4629" s="1" t="s">
        <v>68</v>
      </c>
    </row>
    <row r="4630" spans="1:15" ht="43.2" x14ac:dyDescent="0.3">
      <c r="A4630" s="1" t="s">
        <v>19033</v>
      </c>
      <c r="B4630" s="1" t="str">
        <f>"Gamal Saleh"</f>
        <v>Gamal Saleh</v>
      </c>
      <c r="C4630" s="1" t="s">
        <v>19034</v>
      </c>
      <c r="F4630" s="1" t="s">
        <v>19035</v>
      </c>
      <c r="H4630" s="1" t="s">
        <v>19036</v>
      </c>
      <c r="I4630" s="1" t="s">
        <v>5</v>
      </c>
      <c r="J4630" s="1" t="s">
        <v>67</v>
      </c>
      <c r="K4630" s="1" t="s">
        <v>14</v>
      </c>
      <c r="M4630" s="2">
        <v>42797</v>
      </c>
      <c r="N4630" s="1" t="s">
        <v>8</v>
      </c>
      <c r="O4630" s="1" t="s">
        <v>68</v>
      </c>
    </row>
    <row r="4631" spans="1:15" ht="28.8" x14ac:dyDescent="0.3">
      <c r="A4631" s="1" t="s">
        <v>29334</v>
      </c>
      <c r="B4631" s="1" t="str">
        <f>"Brian Baxter B P Baxter (Haulage)"</f>
        <v>Brian Baxter B P Baxter (Haulage)</v>
      </c>
      <c r="C4631" s="1" t="s">
        <v>2133</v>
      </c>
      <c r="F4631" s="1" t="s">
        <v>1278</v>
      </c>
      <c r="H4631" s="1" t="s">
        <v>2134</v>
      </c>
      <c r="I4631" s="1" t="s">
        <v>5</v>
      </c>
      <c r="J4631" s="1" t="s">
        <v>6</v>
      </c>
      <c r="K4631" s="1" t="s">
        <v>34</v>
      </c>
      <c r="M4631" s="2">
        <v>42797</v>
      </c>
      <c r="N4631" s="1" t="s">
        <v>8</v>
      </c>
      <c r="O4631" s="2">
        <v>43893</v>
      </c>
    </row>
    <row r="4632" spans="1:15" ht="43.2" x14ac:dyDescent="0.3">
      <c r="A4632" s="1" t="s">
        <v>29335</v>
      </c>
      <c r="B4632" s="1" t="str">
        <f>"anthea dobbins"</f>
        <v>anthea dobbins</v>
      </c>
      <c r="C4632" s="1" t="s">
        <v>29336</v>
      </c>
      <c r="F4632" s="1" t="s">
        <v>29337</v>
      </c>
      <c r="H4632" s="1" t="s">
        <v>29338</v>
      </c>
      <c r="I4632" s="1" t="s">
        <v>5</v>
      </c>
      <c r="J4632" s="1" t="s">
        <v>67</v>
      </c>
      <c r="K4632" s="1" t="s">
        <v>14</v>
      </c>
      <c r="M4632" s="2">
        <v>42797</v>
      </c>
      <c r="N4632" s="1" t="s">
        <v>8</v>
      </c>
      <c r="O4632" s="1" t="s">
        <v>68</v>
      </c>
    </row>
    <row r="4633" spans="1:15" ht="28.8" x14ac:dyDescent="0.3">
      <c r="A4633" s="1" t="s">
        <v>17585</v>
      </c>
      <c r="B4633" s="1" t="str">
        <f>"Adrians"</f>
        <v>Adrians</v>
      </c>
      <c r="C4633" s="1" t="s">
        <v>17586</v>
      </c>
      <c r="F4633" s="1" t="s">
        <v>27</v>
      </c>
      <c r="H4633" s="1" t="s">
        <v>17587</v>
      </c>
      <c r="I4633" s="1" t="s">
        <v>125</v>
      </c>
      <c r="J4633" s="1" t="s">
        <v>6</v>
      </c>
      <c r="K4633" s="1" t="s">
        <v>34</v>
      </c>
      <c r="M4633" s="2">
        <v>42796</v>
      </c>
      <c r="N4633" s="1" t="s">
        <v>8</v>
      </c>
      <c r="O4633" s="2">
        <v>43892</v>
      </c>
    </row>
    <row r="4634" spans="1:15" ht="28.8" x14ac:dyDescent="0.3">
      <c r="A4634" s="1" t="s">
        <v>17588</v>
      </c>
      <c r="B4634" s="1" t="str">
        <f>"Benjamin Price"</f>
        <v>Benjamin Price</v>
      </c>
      <c r="C4634" s="1" t="s">
        <v>17589</v>
      </c>
      <c r="F4634" s="1" t="s">
        <v>1818</v>
      </c>
      <c r="H4634" s="1" t="s">
        <v>17590</v>
      </c>
      <c r="I4634" s="1" t="s">
        <v>125</v>
      </c>
      <c r="J4634" s="1" t="s">
        <v>6</v>
      </c>
      <c r="K4634" s="1" t="s">
        <v>34</v>
      </c>
      <c r="M4634" s="2">
        <v>42796</v>
      </c>
      <c r="N4634" s="1" t="s">
        <v>8</v>
      </c>
      <c r="O4634" s="2">
        <v>43892</v>
      </c>
    </row>
    <row r="4635" spans="1:15" ht="28.8" x14ac:dyDescent="0.3">
      <c r="A4635" s="1" t="s">
        <v>17591</v>
      </c>
      <c r="B4635" s="1" t="str">
        <f>"Leetech Gas Engineers Ltd"</f>
        <v>Leetech Gas Engineers Ltd</v>
      </c>
      <c r="C4635" s="1" t="s">
        <v>17592</v>
      </c>
      <c r="F4635" s="1" t="s">
        <v>91</v>
      </c>
      <c r="H4635" s="1" t="s">
        <v>17593</v>
      </c>
      <c r="I4635" s="1" t="s">
        <v>19</v>
      </c>
      <c r="J4635" s="1" t="s">
        <v>6</v>
      </c>
      <c r="K4635" s="1" t="s">
        <v>24</v>
      </c>
      <c r="L4635" s="1">
        <v>7013834</v>
      </c>
      <c r="M4635" s="2">
        <v>42796</v>
      </c>
      <c r="N4635" s="1" t="s">
        <v>8</v>
      </c>
      <c r="O4635" s="2">
        <v>43892</v>
      </c>
    </row>
    <row r="4636" spans="1:15" ht="43.2" x14ac:dyDescent="0.3">
      <c r="A4636" s="1" t="s">
        <v>17594</v>
      </c>
      <c r="B4636" s="1" t="str">
        <f>"Wheelies Direct LTD"</f>
        <v>Wheelies Direct LTD</v>
      </c>
      <c r="C4636" s="1" t="s">
        <v>17595</v>
      </c>
      <c r="F4636" s="1" t="s">
        <v>65</v>
      </c>
      <c r="H4636" s="1" t="s">
        <v>8211</v>
      </c>
      <c r="I4636" s="1" t="s">
        <v>19</v>
      </c>
      <c r="J4636" s="1" t="s">
        <v>67</v>
      </c>
      <c r="K4636" s="1" t="s">
        <v>14</v>
      </c>
      <c r="M4636" s="2">
        <v>42796</v>
      </c>
      <c r="N4636" s="1" t="s">
        <v>8</v>
      </c>
      <c r="O4636" s="1" t="s">
        <v>68</v>
      </c>
    </row>
    <row r="4637" spans="1:15" ht="43.2" x14ac:dyDescent="0.3">
      <c r="A4637" s="1" t="s">
        <v>17596</v>
      </c>
      <c r="B4637" s="1" t="str">
        <f>"ARK FENCING &amp; LANDSCAPE SUPPLIES LT"</f>
        <v>ARK FENCING &amp; LANDSCAPE SUPPLIES LT</v>
      </c>
      <c r="C4637" s="1" t="s">
        <v>17597</v>
      </c>
      <c r="D4637" s="1" t="s">
        <v>578</v>
      </c>
      <c r="F4637" s="1" t="s">
        <v>65</v>
      </c>
      <c r="H4637" s="1" t="s">
        <v>889</v>
      </c>
      <c r="I4637" s="1" t="s">
        <v>19</v>
      </c>
      <c r="J4637" s="1" t="s">
        <v>6</v>
      </c>
      <c r="K4637" s="1" t="s">
        <v>24</v>
      </c>
      <c r="L4637" s="1">
        <v>5869755</v>
      </c>
      <c r="M4637" s="2">
        <v>42796</v>
      </c>
      <c r="N4637" s="1" t="s">
        <v>8</v>
      </c>
      <c r="O4637" s="2">
        <v>43892</v>
      </c>
    </row>
    <row r="4638" spans="1:15" ht="28.8" x14ac:dyDescent="0.3">
      <c r="A4638" s="1" t="s">
        <v>17598</v>
      </c>
      <c r="B4638" s="1" t="str">
        <f>"Signwise Limited"</f>
        <v>Signwise Limited</v>
      </c>
      <c r="C4638" s="1" t="s">
        <v>17599</v>
      </c>
      <c r="D4638" s="1" t="s">
        <v>17600</v>
      </c>
      <c r="E4638" s="1" t="s">
        <v>17601</v>
      </c>
      <c r="F4638" s="1" t="s">
        <v>10661</v>
      </c>
      <c r="H4638" s="1" t="s">
        <v>17602</v>
      </c>
      <c r="I4638" s="1" t="s">
        <v>19</v>
      </c>
      <c r="J4638" s="1" t="s">
        <v>6</v>
      </c>
      <c r="K4638" s="1" t="s">
        <v>24</v>
      </c>
      <c r="L4638" s="1">
        <v>2790979</v>
      </c>
      <c r="M4638" s="2">
        <v>42796</v>
      </c>
      <c r="N4638" s="1" t="s">
        <v>8</v>
      </c>
      <c r="O4638" s="2">
        <v>43892</v>
      </c>
    </row>
    <row r="4639" spans="1:15" ht="43.2" x14ac:dyDescent="0.3">
      <c r="A4639" s="1" t="s">
        <v>29319</v>
      </c>
      <c r="B4639" s="1" t="str">
        <f>"Craig Hoskins-Davies Mountain Cottage Supplies"</f>
        <v>Craig Hoskins-Davies Mountain Cottage Supplies</v>
      </c>
      <c r="C4639" s="1" t="s">
        <v>29320</v>
      </c>
      <c r="F4639" s="1" t="s">
        <v>12</v>
      </c>
      <c r="H4639" s="1" t="s">
        <v>27171</v>
      </c>
      <c r="I4639" s="1" t="s">
        <v>5</v>
      </c>
      <c r="J4639" s="1" t="s">
        <v>6</v>
      </c>
      <c r="K4639" s="1" t="s">
        <v>24</v>
      </c>
      <c r="M4639" s="2">
        <v>42796</v>
      </c>
      <c r="N4639" s="1" t="s">
        <v>8</v>
      </c>
      <c r="O4639" s="2">
        <v>43892</v>
      </c>
    </row>
    <row r="4640" spans="1:15" ht="28.8" x14ac:dyDescent="0.3">
      <c r="A4640" s="1" t="s">
        <v>29321</v>
      </c>
      <c r="B4640" s="1" t="str">
        <f>"Harold Thomas Millington"</f>
        <v>Harold Thomas Millington</v>
      </c>
      <c r="C4640" s="1" t="s">
        <v>29322</v>
      </c>
      <c r="F4640" s="1" t="s">
        <v>607</v>
      </c>
      <c r="H4640" s="1" t="s">
        <v>29323</v>
      </c>
      <c r="I4640" s="1" t="s">
        <v>5</v>
      </c>
      <c r="J4640" s="1" t="s">
        <v>6</v>
      </c>
      <c r="K4640" s="1" t="s">
        <v>24</v>
      </c>
      <c r="M4640" s="2">
        <v>42796</v>
      </c>
      <c r="N4640" s="1" t="s">
        <v>8</v>
      </c>
      <c r="O4640" s="2">
        <v>43892</v>
      </c>
    </row>
    <row r="4641" spans="1:15" ht="43.2" x14ac:dyDescent="0.3">
      <c r="A4641" s="1" t="s">
        <v>29324</v>
      </c>
      <c r="B4641" s="1" t="str">
        <f>"Gavin Jarrett"</f>
        <v>Gavin Jarrett</v>
      </c>
      <c r="C4641" s="1" t="s">
        <v>29325</v>
      </c>
      <c r="F4641" s="1" t="s">
        <v>380</v>
      </c>
      <c r="H4641" s="1" t="s">
        <v>29326</v>
      </c>
      <c r="I4641" s="1" t="s">
        <v>5</v>
      </c>
      <c r="J4641" s="1" t="s">
        <v>67</v>
      </c>
      <c r="K4641" s="1" t="s">
        <v>14</v>
      </c>
      <c r="M4641" s="2">
        <v>42796</v>
      </c>
      <c r="N4641" s="1" t="s">
        <v>8</v>
      </c>
      <c r="O4641" s="1" t="s">
        <v>68</v>
      </c>
    </row>
    <row r="4642" spans="1:15" ht="28.8" x14ac:dyDescent="0.3">
      <c r="A4642" s="1" t="s">
        <v>29327</v>
      </c>
      <c r="B4642" s="1" t="str">
        <f>"Mark Roberts W.T.Roberts &amp; Son"</f>
        <v>Mark Roberts W.T.Roberts &amp; Son</v>
      </c>
      <c r="C4642" s="1" t="s">
        <v>29328</v>
      </c>
      <c r="F4642" s="1" t="s">
        <v>1321</v>
      </c>
      <c r="H4642" s="1" t="s">
        <v>29329</v>
      </c>
      <c r="I4642" s="1" t="s">
        <v>5</v>
      </c>
      <c r="J4642" s="1" t="s">
        <v>6</v>
      </c>
      <c r="K4642" s="1" t="s">
        <v>24</v>
      </c>
      <c r="M4642" s="2">
        <v>42796</v>
      </c>
      <c r="N4642" s="1" t="s">
        <v>8</v>
      </c>
      <c r="O4642" s="2">
        <v>43892</v>
      </c>
    </row>
    <row r="4643" spans="1:15" ht="43.2" x14ac:dyDescent="0.3">
      <c r="A4643" s="1" t="s">
        <v>29330</v>
      </c>
      <c r="B4643" s="1" t="str">
        <f>"Philip Brown"</f>
        <v>Philip Brown</v>
      </c>
      <c r="C4643" s="1" t="s">
        <v>29331</v>
      </c>
      <c r="D4643" s="1" t="s">
        <v>29332</v>
      </c>
      <c r="F4643" s="1" t="s">
        <v>401</v>
      </c>
      <c r="H4643" s="1" t="s">
        <v>29333</v>
      </c>
      <c r="I4643" s="1" t="s">
        <v>5</v>
      </c>
      <c r="J4643" s="1" t="s">
        <v>67</v>
      </c>
      <c r="K4643" s="1" t="s">
        <v>24</v>
      </c>
      <c r="M4643" s="2">
        <v>42796</v>
      </c>
      <c r="N4643" s="1" t="s">
        <v>8</v>
      </c>
      <c r="O4643" s="1" t="s">
        <v>68</v>
      </c>
    </row>
    <row r="4644" spans="1:15" ht="28.8" x14ac:dyDescent="0.3">
      <c r="A4644" s="1" t="s">
        <v>16524</v>
      </c>
      <c r="B4644" s="1" t="str">
        <f>"ASSURED FIRE SERVICES LTD"</f>
        <v>ASSURED FIRE SERVICES LTD</v>
      </c>
      <c r="C4644" s="1" t="s">
        <v>16525</v>
      </c>
      <c r="D4644" s="1" t="s">
        <v>16526</v>
      </c>
      <c r="F4644" s="1" t="s">
        <v>3242</v>
      </c>
      <c r="H4644" s="1" t="s">
        <v>16527</v>
      </c>
      <c r="I4644" s="1" t="s">
        <v>19</v>
      </c>
      <c r="J4644" s="1" t="s">
        <v>6</v>
      </c>
      <c r="K4644" s="1" t="s">
        <v>34</v>
      </c>
      <c r="L4644" s="1">
        <v>8452203</v>
      </c>
      <c r="M4644" s="2">
        <v>42795</v>
      </c>
      <c r="N4644" s="1" t="s">
        <v>8</v>
      </c>
      <c r="O4644" s="2">
        <v>43891</v>
      </c>
    </row>
    <row r="4645" spans="1:15" ht="28.8" x14ac:dyDescent="0.3">
      <c r="A4645" s="1" t="s">
        <v>16528</v>
      </c>
      <c r="B4645" s="1" t="str">
        <f>"FREIGHT SYSTEMS EXPRESS (WALES) LTD"</f>
        <v>FREIGHT SYSTEMS EXPRESS (WALES) LTD</v>
      </c>
      <c r="C4645" s="1" t="s">
        <v>16529</v>
      </c>
      <c r="F4645" s="1" t="s">
        <v>27</v>
      </c>
      <c r="H4645" s="1" t="s">
        <v>16530</v>
      </c>
      <c r="I4645" s="1" t="s">
        <v>19</v>
      </c>
      <c r="J4645" s="1" t="s">
        <v>6</v>
      </c>
      <c r="K4645" s="1" t="s">
        <v>24</v>
      </c>
      <c r="L4645" s="1">
        <v>4441445</v>
      </c>
      <c r="M4645" s="2">
        <v>42795</v>
      </c>
      <c r="N4645" s="1" t="s">
        <v>8</v>
      </c>
      <c r="O4645" s="2">
        <v>43891</v>
      </c>
    </row>
    <row r="4646" spans="1:15" ht="43.2" x14ac:dyDescent="0.3">
      <c r="A4646" s="1" t="s">
        <v>16531</v>
      </c>
      <c r="B4646" s="1" t="str">
        <f>"Harlech Foods Ltd"</f>
        <v>Harlech Foods Ltd</v>
      </c>
      <c r="C4646" s="1" t="s">
        <v>16532</v>
      </c>
      <c r="F4646" s="1" t="s">
        <v>2535</v>
      </c>
      <c r="H4646" s="1" t="s">
        <v>16533</v>
      </c>
      <c r="I4646" s="1" t="s">
        <v>19</v>
      </c>
      <c r="J4646" s="1" t="s">
        <v>67</v>
      </c>
      <c r="K4646" s="1" t="s">
        <v>14</v>
      </c>
      <c r="M4646" s="2">
        <v>42795</v>
      </c>
      <c r="N4646" s="1" t="s">
        <v>8</v>
      </c>
      <c r="O4646" s="1" t="s">
        <v>68</v>
      </c>
    </row>
    <row r="4647" spans="1:15" ht="43.2" x14ac:dyDescent="0.3">
      <c r="A4647" s="1" t="s">
        <v>16534</v>
      </c>
      <c r="B4647" s="1" t="str">
        <f>"Lewis &amp; Hunter Contracting Ltd."</f>
        <v>Lewis &amp; Hunter Contracting Ltd.</v>
      </c>
      <c r="C4647" s="1" t="s">
        <v>16535</v>
      </c>
      <c r="F4647" s="1" t="s">
        <v>72</v>
      </c>
      <c r="H4647" s="1" t="s">
        <v>2934</v>
      </c>
      <c r="I4647" s="1" t="s">
        <v>19</v>
      </c>
      <c r="J4647" s="1" t="s">
        <v>67</v>
      </c>
      <c r="K4647" s="1" t="s">
        <v>24</v>
      </c>
      <c r="L4647" s="1">
        <v>5182225</v>
      </c>
      <c r="M4647" s="2">
        <v>42795</v>
      </c>
      <c r="N4647" s="1" t="s">
        <v>8</v>
      </c>
      <c r="O4647" s="1" t="s">
        <v>68</v>
      </c>
    </row>
    <row r="4648" spans="1:15" ht="28.8" x14ac:dyDescent="0.3">
      <c r="A4648" s="1" t="s">
        <v>16536</v>
      </c>
      <c r="B4648" s="1" t="str">
        <f>"Lewis &amp; Hunter Contracting Ltd."</f>
        <v>Lewis &amp; Hunter Contracting Ltd.</v>
      </c>
      <c r="C4648" s="1" t="s">
        <v>2933</v>
      </c>
      <c r="F4648" s="1" t="s">
        <v>1700</v>
      </c>
      <c r="H4648" s="1" t="s">
        <v>2934</v>
      </c>
      <c r="I4648" s="1" t="s">
        <v>19</v>
      </c>
      <c r="J4648" s="1" t="s">
        <v>6</v>
      </c>
      <c r="K4648" s="1" t="s">
        <v>24</v>
      </c>
      <c r="L4648" s="1">
        <v>5182225</v>
      </c>
      <c r="M4648" s="2">
        <v>42795</v>
      </c>
      <c r="N4648" s="1" t="s">
        <v>8</v>
      </c>
      <c r="O4648" s="2">
        <v>43891</v>
      </c>
    </row>
    <row r="4649" spans="1:15" x14ac:dyDescent="0.3">
      <c r="A4649" s="1" t="s">
        <v>16537</v>
      </c>
      <c r="B4649" s="1" t="str">
        <f>"ATSBM Group"</f>
        <v>ATSBM Group</v>
      </c>
      <c r="C4649" s="1" t="s">
        <v>16538</v>
      </c>
      <c r="F4649" s="1" t="s">
        <v>27</v>
      </c>
      <c r="H4649" s="1" t="s">
        <v>16539</v>
      </c>
      <c r="I4649" s="1" t="s">
        <v>125</v>
      </c>
      <c r="J4649" s="1" t="s">
        <v>6</v>
      </c>
      <c r="K4649" s="1" t="s">
        <v>24</v>
      </c>
      <c r="M4649" s="2">
        <v>42795</v>
      </c>
      <c r="N4649" s="1" t="s">
        <v>8</v>
      </c>
      <c r="O4649" s="2">
        <v>43891</v>
      </c>
    </row>
    <row r="4650" spans="1:15" ht="43.2" x14ac:dyDescent="0.3">
      <c r="A4650" s="1" t="s">
        <v>16540</v>
      </c>
      <c r="B4650" s="1" t="str">
        <f>"pneumatic solutions ltd"</f>
        <v>pneumatic solutions ltd</v>
      </c>
      <c r="C4650" s="1" t="s">
        <v>16541</v>
      </c>
      <c r="D4650" s="1" t="s">
        <v>16542</v>
      </c>
      <c r="F4650" s="1" t="s">
        <v>11430</v>
      </c>
      <c r="H4650" s="1" t="s">
        <v>16543</v>
      </c>
      <c r="I4650" s="1" t="s">
        <v>19</v>
      </c>
      <c r="J4650" s="1" t="s">
        <v>67</v>
      </c>
      <c r="K4650" s="1" t="s">
        <v>14</v>
      </c>
      <c r="M4650" s="2">
        <v>42795</v>
      </c>
      <c r="N4650" s="1" t="s">
        <v>8</v>
      </c>
      <c r="O4650" s="1" t="s">
        <v>68</v>
      </c>
    </row>
    <row r="4651" spans="1:15" ht="43.2" x14ac:dyDescent="0.3">
      <c r="A4651" s="1" t="s">
        <v>16544</v>
      </c>
      <c r="B4651" s="1" t="str">
        <f>"ANOVO UK"</f>
        <v>ANOVO UK</v>
      </c>
      <c r="C4651" s="1" t="s">
        <v>16545</v>
      </c>
      <c r="F4651" s="1" t="s">
        <v>4577</v>
      </c>
      <c r="H4651" s="1" t="s">
        <v>4578</v>
      </c>
      <c r="I4651" s="1" t="s">
        <v>19</v>
      </c>
      <c r="J4651" s="1" t="s">
        <v>67</v>
      </c>
      <c r="K4651" s="1" t="s">
        <v>14</v>
      </c>
      <c r="M4651" s="2">
        <v>42795</v>
      </c>
      <c r="N4651" s="1" t="s">
        <v>8</v>
      </c>
      <c r="O4651" s="1" t="s">
        <v>68</v>
      </c>
    </row>
    <row r="4652" spans="1:15" ht="28.8" x14ac:dyDescent="0.3">
      <c r="A4652" s="1" t="s">
        <v>16546</v>
      </c>
      <c r="B4652" s="1" t="str">
        <f>"Newport Norse"</f>
        <v>Newport Norse</v>
      </c>
      <c r="C4652" s="1" t="s">
        <v>16547</v>
      </c>
      <c r="F4652" s="1" t="s">
        <v>91</v>
      </c>
      <c r="H4652" s="1" t="s">
        <v>16548</v>
      </c>
      <c r="I4652" s="1" t="s">
        <v>19</v>
      </c>
      <c r="J4652" s="1" t="s">
        <v>6</v>
      </c>
      <c r="K4652" s="1" t="s">
        <v>34</v>
      </c>
      <c r="L4652" s="1">
        <v>8915343</v>
      </c>
      <c r="M4652" s="2">
        <v>42795</v>
      </c>
      <c r="N4652" s="1" t="s">
        <v>8</v>
      </c>
      <c r="O4652" s="2">
        <v>43891</v>
      </c>
    </row>
    <row r="4653" spans="1:15" ht="28.8" x14ac:dyDescent="0.3">
      <c r="A4653" s="1" t="s">
        <v>16549</v>
      </c>
      <c r="B4653" s="1" t="str">
        <f>"Falcon Installations Ltd."</f>
        <v>Falcon Installations Ltd.</v>
      </c>
      <c r="C4653" s="1" t="s">
        <v>16550</v>
      </c>
      <c r="D4653" s="1" t="s">
        <v>4511</v>
      </c>
      <c r="F4653" s="1" t="s">
        <v>865</v>
      </c>
      <c r="H4653" s="1" t="s">
        <v>16551</v>
      </c>
      <c r="I4653" s="1" t="s">
        <v>19</v>
      </c>
      <c r="J4653" s="1" t="s">
        <v>6</v>
      </c>
      <c r="K4653" s="1" t="s">
        <v>24</v>
      </c>
      <c r="L4653" s="1">
        <v>4519721</v>
      </c>
      <c r="M4653" s="2">
        <v>42795</v>
      </c>
      <c r="N4653" s="1" t="s">
        <v>8</v>
      </c>
      <c r="O4653" s="2">
        <v>43891</v>
      </c>
    </row>
    <row r="4654" spans="1:15" ht="28.8" x14ac:dyDescent="0.3">
      <c r="A4654" s="1" t="s">
        <v>28569</v>
      </c>
      <c r="B4654" s="1" t="str">
        <f>"Diane Carr"</f>
        <v>Diane Carr</v>
      </c>
      <c r="C4654" s="1" t="s">
        <v>28570</v>
      </c>
      <c r="F4654" s="1" t="s">
        <v>179</v>
      </c>
      <c r="H4654" s="1" t="s">
        <v>5762</v>
      </c>
      <c r="I4654" s="1" t="s">
        <v>5</v>
      </c>
      <c r="J4654" s="1" t="s">
        <v>6</v>
      </c>
      <c r="K4654" s="1" t="s">
        <v>34</v>
      </c>
      <c r="M4654" s="2">
        <v>42795</v>
      </c>
      <c r="N4654" s="1" t="s">
        <v>8</v>
      </c>
      <c r="O4654" s="2">
        <v>43891</v>
      </c>
    </row>
    <row r="4655" spans="1:15" ht="28.8" x14ac:dyDescent="0.3">
      <c r="A4655" s="1" t="s">
        <v>28571</v>
      </c>
      <c r="B4655" s="1" t="str">
        <f>"Chris Wilson CWElectrics"</f>
        <v>Chris Wilson CWElectrics</v>
      </c>
      <c r="C4655" s="1" t="s">
        <v>28572</v>
      </c>
      <c r="F4655" s="1" t="s">
        <v>65</v>
      </c>
      <c r="H4655" s="1" t="s">
        <v>28573</v>
      </c>
      <c r="I4655" s="1" t="s">
        <v>5</v>
      </c>
      <c r="J4655" s="1" t="s">
        <v>6</v>
      </c>
      <c r="K4655" s="1" t="s">
        <v>34</v>
      </c>
      <c r="M4655" s="2">
        <v>42795</v>
      </c>
      <c r="N4655" s="1" t="s">
        <v>8</v>
      </c>
      <c r="O4655" s="2">
        <v>43891</v>
      </c>
    </row>
    <row r="4656" spans="1:15" ht="28.8" x14ac:dyDescent="0.3">
      <c r="A4656" s="1" t="s">
        <v>28574</v>
      </c>
      <c r="B4656" s="1" t="str">
        <f>"Christian Phillips  CJP International "</f>
        <v xml:space="preserve">Christian Phillips  CJP International </v>
      </c>
      <c r="C4656" s="1" t="s">
        <v>28575</v>
      </c>
      <c r="F4656" s="1" t="s">
        <v>91</v>
      </c>
      <c r="H4656" s="1" t="s">
        <v>28576</v>
      </c>
      <c r="I4656" s="1" t="s">
        <v>5</v>
      </c>
      <c r="J4656" s="1" t="s">
        <v>6</v>
      </c>
      <c r="K4656" s="1" t="s">
        <v>24</v>
      </c>
      <c r="M4656" s="2">
        <v>42795</v>
      </c>
      <c r="N4656" s="1" t="s">
        <v>8</v>
      </c>
      <c r="O4656" s="2">
        <v>43891</v>
      </c>
    </row>
    <row r="4657" spans="1:15" ht="43.2" x14ac:dyDescent="0.3">
      <c r="A4657" s="1" t="s">
        <v>28577</v>
      </c>
      <c r="B4657" s="1" t="str">
        <f>"Robert Izzard"</f>
        <v>Robert Izzard</v>
      </c>
      <c r="C4657" s="1" t="s">
        <v>28578</v>
      </c>
      <c r="D4657" s="1" t="s">
        <v>28579</v>
      </c>
      <c r="F4657" s="1" t="s">
        <v>714</v>
      </c>
      <c r="H4657" s="1" t="s">
        <v>28580</v>
      </c>
      <c r="I4657" s="1" t="s">
        <v>5</v>
      </c>
      <c r="J4657" s="1" t="s">
        <v>67</v>
      </c>
      <c r="K4657" s="1" t="s">
        <v>14</v>
      </c>
      <c r="M4657" s="2">
        <v>42795</v>
      </c>
      <c r="N4657" s="1" t="s">
        <v>8</v>
      </c>
      <c r="O4657" s="1" t="s">
        <v>68</v>
      </c>
    </row>
    <row r="4658" spans="1:15" ht="28.8" x14ac:dyDescent="0.3">
      <c r="A4658" s="1" t="s">
        <v>28581</v>
      </c>
      <c r="B4658" s="1" t="str">
        <f>"Edd Shervington"</f>
        <v>Edd Shervington</v>
      </c>
      <c r="C4658" s="1" t="s">
        <v>28582</v>
      </c>
      <c r="F4658" s="1" t="s">
        <v>91</v>
      </c>
      <c r="H4658" s="1" t="s">
        <v>9691</v>
      </c>
      <c r="I4658" s="1" t="s">
        <v>5</v>
      </c>
      <c r="J4658" s="1" t="s">
        <v>6</v>
      </c>
      <c r="K4658" s="1" t="s">
        <v>24</v>
      </c>
      <c r="M4658" s="2">
        <v>42795</v>
      </c>
      <c r="N4658" s="1" t="s">
        <v>8</v>
      </c>
      <c r="O4658" s="2">
        <v>43891</v>
      </c>
    </row>
    <row r="4659" spans="1:15" ht="28.8" x14ac:dyDescent="0.3">
      <c r="A4659" s="1" t="s">
        <v>28583</v>
      </c>
      <c r="B4659" s="1" t="str">
        <f>"Huw Owen Huw Owen Haulage"</f>
        <v>Huw Owen Huw Owen Haulage</v>
      </c>
      <c r="C4659" s="1" t="s">
        <v>28584</v>
      </c>
      <c r="F4659" s="1" t="s">
        <v>3389</v>
      </c>
      <c r="H4659" s="1" t="s">
        <v>28585</v>
      </c>
      <c r="I4659" s="1" t="s">
        <v>5</v>
      </c>
      <c r="J4659" s="1" t="s">
        <v>6</v>
      </c>
      <c r="K4659" s="1" t="s">
        <v>24</v>
      </c>
      <c r="M4659" s="2">
        <v>42795</v>
      </c>
      <c r="N4659" s="1" t="s">
        <v>8</v>
      </c>
      <c r="O4659" s="2">
        <v>43891</v>
      </c>
    </row>
    <row r="4660" spans="1:15" ht="43.2" x14ac:dyDescent="0.3">
      <c r="A4660" s="1" t="s">
        <v>15475</v>
      </c>
      <c r="B4660" s="1" t="str">
        <f>"Tony Jones"</f>
        <v>Tony Jones</v>
      </c>
      <c r="C4660" s="1" t="s">
        <v>15476</v>
      </c>
      <c r="F4660" s="1" t="s">
        <v>1058</v>
      </c>
      <c r="H4660" s="1" t="s">
        <v>15477</v>
      </c>
      <c r="I4660" s="1" t="s">
        <v>1872</v>
      </c>
      <c r="J4660" s="1" t="s">
        <v>67</v>
      </c>
      <c r="K4660" s="1" t="s">
        <v>14</v>
      </c>
      <c r="M4660" s="2">
        <v>42794</v>
      </c>
      <c r="N4660" s="1" t="s">
        <v>8</v>
      </c>
      <c r="O4660" s="1" t="s">
        <v>68</v>
      </c>
    </row>
    <row r="4661" spans="1:15" ht="28.8" x14ac:dyDescent="0.3">
      <c r="A4661" s="1" t="s">
        <v>15478</v>
      </c>
      <c r="B4661" s="1" t="str">
        <f>"DRS FM Services LTD"</f>
        <v>DRS FM Services LTD</v>
      </c>
      <c r="C4661" s="1" t="s">
        <v>15479</v>
      </c>
      <c r="D4661" s="1" t="s">
        <v>2623</v>
      </c>
      <c r="F4661" s="1" t="s">
        <v>65</v>
      </c>
      <c r="H4661" s="1" t="s">
        <v>15480</v>
      </c>
      <c r="I4661" s="1" t="s">
        <v>19</v>
      </c>
      <c r="J4661" s="1" t="s">
        <v>6</v>
      </c>
      <c r="K4661" s="1" t="s">
        <v>24</v>
      </c>
      <c r="L4661" s="1">
        <v>8675176</v>
      </c>
      <c r="M4661" s="2">
        <v>42794</v>
      </c>
      <c r="N4661" s="1" t="s">
        <v>8</v>
      </c>
      <c r="O4661" s="2">
        <v>43889</v>
      </c>
    </row>
    <row r="4662" spans="1:15" ht="43.2" x14ac:dyDescent="0.3">
      <c r="A4662" s="1" t="s">
        <v>15481</v>
      </c>
      <c r="B4662" s="1" t="str">
        <f>"CJJ BUILDING &amp; CHIMNEY MAINTENANCE LTD"</f>
        <v>CJJ BUILDING &amp; CHIMNEY MAINTENANCE LTD</v>
      </c>
      <c r="C4662" s="1" t="s">
        <v>15482</v>
      </c>
      <c r="F4662" s="1" t="s">
        <v>298</v>
      </c>
      <c r="H4662" s="1" t="s">
        <v>15483</v>
      </c>
      <c r="I4662" s="1" t="s">
        <v>19</v>
      </c>
      <c r="J4662" s="1" t="s">
        <v>6</v>
      </c>
      <c r="K4662" s="1" t="s">
        <v>24</v>
      </c>
      <c r="L4662" s="1">
        <v>4560840</v>
      </c>
      <c r="M4662" s="2">
        <v>42794</v>
      </c>
      <c r="N4662" s="1" t="s">
        <v>8</v>
      </c>
      <c r="O4662" s="2">
        <v>43889</v>
      </c>
    </row>
    <row r="4663" spans="1:15" ht="28.8" x14ac:dyDescent="0.3">
      <c r="A4663" s="1" t="s">
        <v>15484</v>
      </c>
      <c r="B4663" s="1" t="str">
        <f>"B J Bevan Home Improvements Ltd"</f>
        <v>B J Bevan Home Improvements Ltd</v>
      </c>
      <c r="C4663" s="1" t="s">
        <v>15485</v>
      </c>
      <c r="F4663" s="1" t="s">
        <v>65</v>
      </c>
      <c r="H4663" s="1" t="s">
        <v>15486</v>
      </c>
      <c r="I4663" s="1" t="s">
        <v>19</v>
      </c>
      <c r="J4663" s="1" t="s">
        <v>6</v>
      </c>
      <c r="K4663" s="1" t="s">
        <v>34</v>
      </c>
      <c r="L4663" s="1">
        <v>3589356</v>
      </c>
      <c r="M4663" s="2">
        <v>42794</v>
      </c>
      <c r="N4663" s="1" t="s">
        <v>8</v>
      </c>
      <c r="O4663" s="2">
        <v>43904</v>
      </c>
    </row>
    <row r="4664" spans="1:15" ht="28.8" x14ac:dyDescent="0.3">
      <c r="A4664" s="1" t="s">
        <v>15487</v>
      </c>
      <c r="B4664" s="1" t="str">
        <f>"LOGIC FREIGHT"</f>
        <v>LOGIC FREIGHT</v>
      </c>
      <c r="C4664" s="1" t="s">
        <v>4757</v>
      </c>
      <c r="D4664" s="1" t="s">
        <v>4758</v>
      </c>
      <c r="F4664" s="1" t="s">
        <v>103</v>
      </c>
      <c r="H4664" s="1" t="s">
        <v>4759</v>
      </c>
      <c r="I4664" s="1" t="s">
        <v>19</v>
      </c>
      <c r="J4664" s="1" t="s">
        <v>6</v>
      </c>
      <c r="K4664" s="1" t="s">
        <v>34</v>
      </c>
      <c r="L4664" s="1">
        <v>5725139</v>
      </c>
      <c r="M4664" s="2">
        <v>42794</v>
      </c>
      <c r="N4664" s="1" t="s">
        <v>8</v>
      </c>
      <c r="O4664" s="2">
        <v>43889</v>
      </c>
    </row>
    <row r="4665" spans="1:15" ht="43.2" x14ac:dyDescent="0.3">
      <c r="A4665" s="1" t="s">
        <v>15488</v>
      </c>
      <c r="B4665" s="1" t="str">
        <f>"Commodore Hotel"</f>
        <v>Commodore Hotel</v>
      </c>
      <c r="C4665" s="1" t="s">
        <v>15489</v>
      </c>
      <c r="F4665" s="1" t="s">
        <v>146</v>
      </c>
      <c r="H4665" s="1" t="s">
        <v>15490</v>
      </c>
      <c r="I4665" s="1" t="s">
        <v>19</v>
      </c>
      <c r="J4665" s="1" t="s">
        <v>67</v>
      </c>
      <c r="K4665" s="1" t="s">
        <v>14</v>
      </c>
      <c r="M4665" s="2">
        <v>42794</v>
      </c>
      <c r="N4665" s="1" t="s">
        <v>8</v>
      </c>
      <c r="O4665" s="1" t="s">
        <v>68</v>
      </c>
    </row>
    <row r="4666" spans="1:15" ht="43.2" x14ac:dyDescent="0.3">
      <c r="A4666" s="1" t="s">
        <v>15491</v>
      </c>
      <c r="B4666" s="1" t="str">
        <f>"Gopak Ltd"</f>
        <v>Gopak Ltd</v>
      </c>
      <c r="C4666" s="1" t="s">
        <v>15492</v>
      </c>
      <c r="F4666" s="1" t="s">
        <v>15493</v>
      </c>
      <c r="H4666" s="1" t="s">
        <v>15494</v>
      </c>
      <c r="I4666" s="1" t="s">
        <v>19</v>
      </c>
      <c r="J4666" s="1" t="s">
        <v>67</v>
      </c>
      <c r="K4666" s="1" t="s">
        <v>14</v>
      </c>
      <c r="M4666" s="2">
        <v>42794</v>
      </c>
      <c r="N4666" s="1" t="s">
        <v>8</v>
      </c>
      <c r="O4666" s="1" t="s">
        <v>68</v>
      </c>
    </row>
    <row r="4667" spans="1:15" ht="43.2" x14ac:dyDescent="0.3">
      <c r="A4667" s="1" t="s">
        <v>15495</v>
      </c>
      <c r="B4667" s="1" t="str">
        <f>"N R Windows Ltd."</f>
        <v>N R Windows Ltd.</v>
      </c>
      <c r="C4667" s="1" t="s">
        <v>15496</v>
      </c>
      <c r="F4667" s="1" t="s">
        <v>10970</v>
      </c>
      <c r="H4667" s="1" t="s">
        <v>10971</v>
      </c>
      <c r="I4667" s="1" t="s">
        <v>19</v>
      </c>
      <c r="J4667" s="1" t="s">
        <v>67</v>
      </c>
      <c r="K4667" s="1" t="s">
        <v>24</v>
      </c>
      <c r="L4667" s="1">
        <v>7014048</v>
      </c>
      <c r="M4667" s="2">
        <v>42794</v>
      </c>
      <c r="N4667" s="1" t="s">
        <v>8</v>
      </c>
      <c r="O4667" s="1" t="s">
        <v>68</v>
      </c>
    </row>
    <row r="4668" spans="1:15" ht="43.2" x14ac:dyDescent="0.3">
      <c r="A4668" s="1" t="s">
        <v>15497</v>
      </c>
      <c r="B4668" s="1" t="str">
        <f>"mrs j r &amp; mr a brockbank"</f>
        <v>mrs j r &amp; mr a brockbank</v>
      </c>
      <c r="C4668" s="1" t="s">
        <v>15498</v>
      </c>
      <c r="D4668" s="1" t="s">
        <v>15499</v>
      </c>
      <c r="F4668" s="1" t="s">
        <v>5546</v>
      </c>
      <c r="H4668" s="1" t="s">
        <v>15500</v>
      </c>
      <c r="I4668" s="1" t="s">
        <v>125</v>
      </c>
      <c r="J4668" s="1" t="s">
        <v>67</v>
      </c>
      <c r="K4668" s="1" t="s">
        <v>14</v>
      </c>
      <c r="M4668" s="2">
        <v>42794</v>
      </c>
      <c r="N4668" s="1" t="s">
        <v>8</v>
      </c>
      <c r="O4668" s="1" t="s">
        <v>68</v>
      </c>
    </row>
    <row r="4669" spans="1:15" ht="43.2" x14ac:dyDescent="0.3">
      <c r="A4669" s="1" t="s">
        <v>15501</v>
      </c>
      <c r="B4669" s="1" t="str">
        <f>"Brecon Beacons Holiday Cottages"</f>
        <v>Brecon Beacons Holiday Cottages</v>
      </c>
      <c r="C4669" s="1" t="s">
        <v>15502</v>
      </c>
      <c r="F4669" s="1" t="s">
        <v>3415</v>
      </c>
      <c r="H4669" s="1" t="s">
        <v>8919</v>
      </c>
      <c r="I4669" s="1" t="s">
        <v>19</v>
      </c>
      <c r="J4669" s="1" t="s">
        <v>67</v>
      </c>
      <c r="K4669" s="1" t="s">
        <v>14</v>
      </c>
      <c r="M4669" s="2">
        <v>42794</v>
      </c>
      <c r="N4669" s="1" t="s">
        <v>8</v>
      </c>
      <c r="O4669" s="1" t="s">
        <v>68</v>
      </c>
    </row>
    <row r="4670" spans="1:15" ht="28.8" x14ac:dyDescent="0.3">
      <c r="A4670" s="1" t="s">
        <v>15503</v>
      </c>
      <c r="B4670" s="1" t="str">
        <f>"Able Roofing &amp; Construction Ltd."</f>
        <v>Able Roofing &amp; Construction Ltd.</v>
      </c>
      <c r="C4670" s="1" t="s">
        <v>15504</v>
      </c>
      <c r="F4670" s="1" t="s">
        <v>123</v>
      </c>
      <c r="G4670" s="1" t="s">
        <v>27</v>
      </c>
      <c r="H4670" s="1" t="s">
        <v>15505</v>
      </c>
      <c r="I4670" s="1" t="s">
        <v>19</v>
      </c>
      <c r="J4670" s="1" t="s">
        <v>6</v>
      </c>
      <c r="K4670" s="1" t="s">
        <v>24</v>
      </c>
      <c r="L4670" s="1">
        <v>4847996</v>
      </c>
      <c r="M4670" s="2">
        <v>42794</v>
      </c>
      <c r="N4670" s="1" t="s">
        <v>8</v>
      </c>
      <c r="O4670" s="2">
        <v>43888</v>
      </c>
    </row>
    <row r="4671" spans="1:15" ht="43.2" x14ac:dyDescent="0.3">
      <c r="A4671" s="1" t="s">
        <v>27764</v>
      </c>
      <c r="B4671" s="1" t="str">
        <f>"Iynkaran Thevarasa"</f>
        <v>Iynkaran Thevarasa</v>
      </c>
      <c r="C4671" s="1" t="s">
        <v>27765</v>
      </c>
      <c r="F4671" s="1" t="s">
        <v>1235</v>
      </c>
      <c r="H4671" s="1" t="s">
        <v>27766</v>
      </c>
      <c r="I4671" s="1" t="s">
        <v>5</v>
      </c>
      <c r="J4671" s="1" t="s">
        <v>67</v>
      </c>
      <c r="K4671" s="1" t="s">
        <v>14</v>
      </c>
      <c r="M4671" s="2">
        <v>42794</v>
      </c>
      <c r="N4671" s="1" t="s">
        <v>8</v>
      </c>
      <c r="O4671" s="1" t="s">
        <v>68</v>
      </c>
    </row>
    <row r="4672" spans="1:15" ht="28.8" x14ac:dyDescent="0.3">
      <c r="A4672" s="1" t="s">
        <v>27767</v>
      </c>
      <c r="B4672" s="1" t="str">
        <f>"STUART FERNIE Aspen Forestry Services"</f>
        <v>STUART FERNIE Aspen Forestry Services</v>
      </c>
      <c r="C4672" s="1" t="s">
        <v>27768</v>
      </c>
      <c r="F4672" s="1" t="s">
        <v>205</v>
      </c>
      <c r="H4672" s="1" t="s">
        <v>27769</v>
      </c>
      <c r="I4672" s="1" t="s">
        <v>5</v>
      </c>
      <c r="J4672" s="1" t="s">
        <v>6</v>
      </c>
      <c r="K4672" s="1" t="s">
        <v>24</v>
      </c>
      <c r="M4672" s="2">
        <v>42794</v>
      </c>
      <c r="N4672" s="1" t="s">
        <v>8</v>
      </c>
      <c r="O4672" s="2">
        <v>43889</v>
      </c>
    </row>
    <row r="4673" spans="1:15" ht="28.8" x14ac:dyDescent="0.3">
      <c r="A4673" s="1" t="s">
        <v>27770</v>
      </c>
      <c r="B4673" s="1" t="str">
        <f>"martyn clatworthy M &amp; D Services"</f>
        <v>martyn clatworthy M &amp; D Services</v>
      </c>
      <c r="C4673" s="1" t="s">
        <v>27771</v>
      </c>
      <c r="F4673" s="1" t="s">
        <v>865</v>
      </c>
      <c r="H4673" s="1" t="s">
        <v>26216</v>
      </c>
      <c r="I4673" s="1" t="s">
        <v>5</v>
      </c>
      <c r="J4673" s="1" t="s">
        <v>6</v>
      </c>
      <c r="K4673" s="1" t="s">
        <v>34</v>
      </c>
      <c r="M4673" s="2">
        <v>42794</v>
      </c>
      <c r="N4673" s="1" t="s">
        <v>8</v>
      </c>
      <c r="O4673" s="2">
        <v>43889</v>
      </c>
    </row>
    <row r="4674" spans="1:15" ht="28.8" x14ac:dyDescent="0.3">
      <c r="A4674" s="1" t="s">
        <v>27772</v>
      </c>
      <c r="B4674" s="1" t="str">
        <f>"Oliver Smith Croft Property Maintenance "</f>
        <v xml:space="preserve">Oliver Smith Croft Property Maintenance </v>
      </c>
      <c r="C4674" s="1" t="s">
        <v>27773</v>
      </c>
      <c r="F4674" s="1" t="s">
        <v>27</v>
      </c>
      <c r="H4674" s="1" t="s">
        <v>27774</v>
      </c>
      <c r="I4674" s="1" t="s">
        <v>5</v>
      </c>
      <c r="J4674" s="1" t="s">
        <v>6</v>
      </c>
      <c r="K4674" s="1" t="s">
        <v>24</v>
      </c>
      <c r="M4674" s="2">
        <v>42794</v>
      </c>
      <c r="N4674" s="1" t="s">
        <v>8</v>
      </c>
      <c r="O4674" s="2">
        <v>43889</v>
      </c>
    </row>
    <row r="4675" spans="1:15" ht="43.2" x14ac:dyDescent="0.3">
      <c r="A4675" s="1" t="s">
        <v>27775</v>
      </c>
      <c r="B4675" s="1" t="str">
        <f>"jodelle romero-edwards"</f>
        <v>jodelle romero-edwards</v>
      </c>
      <c r="C4675" s="1" t="s">
        <v>27776</v>
      </c>
      <c r="F4675" s="1" t="s">
        <v>4390</v>
      </c>
      <c r="H4675" s="1" t="s">
        <v>27777</v>
      </c>
      <c r="I4675" s="1" t="s">
        <v>5</v>
      </c>
      <c r="J4675" s="1" t="s">
        <v>67</v>
      </c>
      <c r="K4675" s="1" t="s">
        <v>14</v>
      </c>
      <c r="M4675" s="2">
        <v>42794</v>
      </c>
      <c r="N4675" s="1" t="s">
        <v>8</v>
      </c>
      <c r="O4675" s="1" t="s">
        <v>68</v>
      </c>
    </row>
    <row r="4676" spans="1:15" ht="28.8" x14ac:dyDescent="0.3">
      <c r="A4676" s="1" t="s">
        <v>14586</v>
      </c>
      <c r="B4676" s="1" t="str">
        <f>"HendySD ltd"</f>
        <v>HendySD ltd</v>
      </c>
      <c r="C4676" s="1" t="s">
        <v>14587</v>
      </c>
      <c r="F4676" s="1" t="s">
        <v>790</v>
      </c>
      <c r="H4676" s="1" t="s">
        <v>14588</v>
      </c>
      <c r="I4676" s="1" t="s">
        <v>19</v>
      </c>
      <c r="J4676" s="1" t="s">
        <v>6</v>
      </c>
      <c r="K4676" s="1" t="s">
        <v>34</v>
      </c>
      <c r="L4676" s="1">
        <v>7625405</v>
      </c>
      <c r="M4676" s="2">
        <v>42793</v>
      </c>
      <c r="N4676" s="1" t="s">
        <v>8</v>
      </c>
      <c r="O4676" s="2">
        <v>43888</v>
      </c>
    </row>
    <row r="4677" spans="1:15" ht="43.2" x14ac:dyDescent="0.3">
      <c r="A4677" s="1" t="s">
        <v>14589</v>
      </c>
      <c r="B4677" s="1" t="str">
        <f>"Thomas contractors"</f>
        <v>Thomas contractors</v>
      </c>
      <c r="C4677" s="1" t="s">
        <v>14590</v>
      </c>
      <c r="F4677" s="1" t="s">
        <v>416</v>
      </c>
      <c r="H4677" s="1" t="s">
        <v>14591</v>
      </c>
      <c r="I4677" s="1" t="s">
        <v>125</v>
      </c>
      <c r="J4677" s="1" t="s">
        <v>67</v>
      </c>
      <c r="K4677" s="1" t="s">
        <v>14</v>
      </c>
      <c r="M4677" s="2">
        <v>42793</v>
      </c>
      <c r="N4677" s="1" t="s">
        <v>8</v>
      </c>
      <c r="O4677" s="1" t="s">
        <v>68</v>
      </c>
    </row>
    <row r="4678" spans="1:15" x14ac:dyDescent="0.3">
      <c r="A4678" s="1" t="s">
        <v>14592</v>
      </c>
      <c r="B4678" s="1" t="str">
        <f>"Thomas Contractors"</f>
        <v>Thomas Contractors</v>
      </c>
      <c r="C4678" s="1" t="s">
        <v>14590</v>
      </c>
      <c r="F4678" s="1" t="s">
        <v>416</v>
      </c>
      <c r="H4678" s="1" t="s">
        <v>14591</v>
      </c>
      <c r="I4678" s="1" t="s">
        <v>125</v>
      </c>
      <c r="J4678" s="1" t="s">
        <v>6</v>
      </c>
      <c r="K4678" s="1" t="s">
        <v>24</v>
      </c>
      <c r="M4678" s="2">
        <v>42793</v>
      </c>
      <c r="N4678" s="1" t="s">
        <v>8</v>
      </c>
      <c r="O4678" s="2">
        <v>43888</v>
      </c>
    </row>
    <row r="4679" spans="1:15" ht="28.8" x14ac:dyDescent="0.3">
      <c r="A4679" s="1" t="s">
        <v>14593</v>
      </c>
      <c r="B4679" s="1" t="str">
        <f>"Carmichaels Building Services Ltd."</f>
        <v>Carmichaels Building Services Ltd.</v>
      </c>
      <c r="C4679" s="1" t="s">
        <v>14594</v>
      </c>
      <c r="D4679" s="1" t="s">
        <v>14595</v>
      </c>
      <c r="F4679" s="1" t="s">
        <v>42</v>
      </c>
      <c r="H4679" s="1" t="s">
        <v>14596</v>
      </c>
      <c r="I4679" s="1" t="s">
        <v>19</v>
      </c>
      <c r="J4679" s="1" t="s">
        <v>6</v>
      </c>
      <c r="K4679" s="1" t="s">
        <v>24</v>
      </c>
      <c r="L4679" s="1">
        <v>2492185</v>
      </c>
      <c r="M4679" s="2">
        <v>42793</v>
      </c>
      <c r="N4679" s="1" t="s">
        <v>8</v>
      </c>
      <c r="O4679" s="2">
        <v>43888</v>
      </c>
    </row>
    <row r="4680" spans="1:15" ht="43.2" x14ac:dyDescent="0.3">
      <c r="A4680" s="1" t="s">
        <v>14597</v>
      </c>
      <c r="B4680" s="1" t="str">
        <f>"ECOLOGICAL LAND MANAGEMENT LTD"</f>
        <v>ECOLOGICAL LAND MANAGEMENT LTD</v>
      </c>
      <c r="C4680" s="1" t="s">
        <v>14598</v>
      </c>
      <c r="D4680" s="1" t="s">
        <v>2596</v>
      </c>
      <c r="F4680" s="1" t="s">
        <v>532</v>
      </c>
      <c r="H4680" s="1" t="s">
        <v>5276</v>
      </c>
      <c r="I4680" s="1" t="s">
        <v>19</v>
      </c>
      <c r="J4680" s="1" t="s">
        <v>67</v>
      </c>
      <c r="K4680" s="1" t="s">
        <v>24</v>
      </c>
      <c r="L4680" s="1">
        <v>5761592</v>
      </c>
      <c r="M4680" s="2">
        <v>42793</v>
      </c>
      <c r="N4680" s="1" t="s">
        <v>8</v>
      </c>
      <c r="O4680" s="1" t="s">
        <v>68</v>
      </c>
    </row>
    <row r="4681" spans="1:15" ht="43.2" x14ac:dyDescent="0.3">
      <c r="A4681" s="1" t="s">
        <v>15469</v>
      </c>
      <c r="B4681" s="1" t="str">
        <f>"ADA Services"</f>
        <v>ADA Services</v>
      </c>
      <c r="C4681" s="1" t="s">
        <v>15470</v>
      </c>
      <c r="F4681" s="1" t="s">
        <v>91</v>
      </c>
      <c r="H4681" s="1" t="s">
        <v>15471</v>
      </c>
      <c r="I4681" s="1" t="s">
        <v>125</v>
      </c>
      <c r="J4681" s="1" t="s">
        <v>67</v>
      </c>
      <c r="K4681" s="1" t="s">
        <v>24</v>
      </c>
      <c r="M4681" s="2">
        <v>42793</v>
      </c>
      <c r="N4681" s="1" t="s">
        <v>8</v>
      </c>
      <c r="O4681" s="1" t="s">
        <v>68</v>
      </c>
    </row>
    <row r="4682" spans="1:15" ht="28.8" x14ac:dyDescent="0.3">
      <c r="A4682" s="1" t="s">
        <v>15472</v>
      </c>
      <c r="B4682" s="1" t="str">
        <f>"CHROMENET LTD"</f>
        <v>CHROMENET LTD</v>
      </c>
      <c r="C4682" s="1" t="s">
        <v>15473</v>
      </c>
      <c r="D4682" s="1" t="s">
        <v>2623</v>
      </c>
      <c r="F4682" s="1" t="s">
        <v>65</v>
      </c>
      <c r="H4682" s="1" t="s">
        <v>15474</v>
      </c>
      <c r="I4682" s="1" t="s">
        <v>19</v>
      </c>
      <c r="J4682" s="1" t="s">
        <v>6</v>
      </c>
      <c r="K4682" s="1" t="s">
        <v>34</v>
      </c>
      <c r="L4682" s="1">
        <v>5250587</v>
      </c>
      <c r="M4682" s="2">
        <v>42793</v>
      </c>
      <c r="N4682" s="1" t="s">
        <v>8</v>
      </c>
      <c r="O4682" s="2">
        <v>43953</v>
      </c>
    </row>
    <row r="4683" spans="1:15" ht="43.2" x14ac:dyDescent="0.3">
      <c r="A4683" s="1" t="s">
        <v>26918</v>
      </c>
      <c r="B4683" s="1" t="str">
        <f>"Matthew  Finselbach "</f>
        <v xml:space="preserve">Matthew  Finselbach </v>
      </c>
      <c r="C4683" s="1" t="s">
        <v>26919</v>
      </c>
      <c r="F4683" s="1" t="s">
        <v>64</v>
      </c>
      <c r="H4683" s="1" t="s">
        <v>22546</v>
      </c>
      <c r="I4683" s="1" t="s">
        <v>5</v>
      </c>
      <c r="J4683" s="1" t="s">
        <v>67</v>
      </c>
      <c r="K4683" s="1" t="s">
        <v>14</v>
      </c>
      <c r="M4683" s="2">
        <v>42793</v>
      </c>
      <c r="N4683" s="1" t="s">
        <v>8</v>
      </c>
      <c r="O4683" s="1" t="s">
        <v>68</v>
      </c>
    </row>
    <row r="4684" spans="1:15" ht="28.8" x14ac:dyDescent="0.3">
      <c r="A4684" s="1" t="s">
        <v>26920</v>
      </c>
      <c r="B4684" s="1" t="str">
        <f>"Neal  Morris Teifi Gardens &amp; Landscaping"</f>
        <v>Neal  Morris Teifi Gardens &amp; Landscaping</v>
      </c>
      <c r="C4684" s="1" t="s">
        <v>26921</v>
      </c>
      <c r="F4684" s="1" t="s">
        <v>2961</v>
      </c>
      <c r="H4684" s="1" t="s">
        <v>26922</v>
      </c>
      <c r="I4684" s="1" t="s">
        <v>5</v>
      </c>
      <c r="J4684" s="1" t="s">
        <v>6</v>
      </c>
      <c r="K4684" s="1" t="s">
        <v>24</v>
      </c>
      <c r="M4684" s="2">
        <v>42793</v>
      </c>
      <c r="N4684" s="1" t="s">
        <v>8</v>
      </c>
      <c r="O4684" s="2">
        <v>43888</v>
      </c>
    </row>
    <row r="4685" spans="1:15" ht="28.8" x14ac:dyDescent="0.3">
      <c r="A4685" s="1" t="s">
        <v>26923</v>
      </c>
      <c r="B4685" s="1" t="str">
        <f>"KRZYSZTOF   PYZEL KRZYSZTOF PYZEL"</f>
        <v>KRZYSZTOF   PYZEL KRZYSZTOF PYZEL</v>
      </c>
      <c r="C4685" s="1" t="s">
        <v>26924</v>
      </c>
      <c r="F4685" s="1" t="s">
        <v>1346</v>
      </c>
      <c r="H4685" s="1" t="s">
        <v>26925</v>
      </c>
      <c r="I4685" s="1" t="s">
        <v>5</v>
      </c>
      <c r="J4685" s="1" t="s">
        <v>6</v>
      </c>
      <c r="K4685" s="1" t="s">
        <v>34</v>
      </c>
      <c r="M4685" s="2">
        <v>42793</v>
      </c>
      <c r="N4685" s="1" t="s">
        <v>8</v>
      </c>
      <c r="O4685" s="2">
        <v>43888</v>
      </c>
    </row>
    <row r="4686" spans="1:15" ht="43.2" x14ac:dyDescent="0.3">
      <c r="A4686" s="1" t="s">
        <v>26911</v>
      </c>
      <c r="B4686" s="1" t="str">
        <f>"Peter Buckley"</f>
        <v>Peter Buckley</v>
      </c>
      <c r="C4686" s="1" t="s">
        <v>26912</v>
      </c>
      <c r="F4686" s="1" t="s">
        <v>3726</v>
      </c>
      <c r="H4686" s="1" t="s">
        <v>26913</v>
      </c>
      <c r="I4686" s="1" t="s">
        <v>5</v>
      </c>
      <c r="J4686" s="1" t="s">
        <v>67</v>
      </c>
      <c r="K4686" s="1" t="s">
        <v>14</v>
      </c>
      <c r="M4686" s="2">
        <v>42792</v>
      </c>
      <c r="N4686" s="1" t="s">
        <v>8</v>
      </c>
      <c r="O4686" s="1" t="s">
        <v>68</v>
      </c>
    </row>
    <row r="4687" spans="1:15" ht="43.2" x14ac:dyDescent="0.3">
      <c r="A4687" s="1" t="s">
        <v>26914</v>
      </c>
      <c r="B4687" s="1" t="str">
        <f>"Ainsley Hallam"</f>
        <v>Ainsley Hallam</v>
      </c>
      <c r="C4687" s="1" t="s">
        <v>26915</v>
      </c>
      <c r="F4687" s="1" t="s">
        <v>26916</v>
      </c>
      <c r="H4687" s="1" t="s">
        <v>26917</v>
      </c>
      <c r="I4687" s="1" t="s">
        <v>5</v>
      </c>
      <c r="J4687" s="1" t="s">
        <v>67</v>
      </c>
      <c r="K4687" s="1" t="s">
        <v>14</v>
      </c>
      <c r="M4687" s="2">
        <v>42792</v>
      </c>
      <c r="N4687" s="1" t="s">
        <v>8</v>
      </c>
      <c r="O4687" s="1" t="s">
        <v>68</v>
      </c>
    </row>
    <row r="4688" spans="1:15" ht="28.8" x14ac:dyDescent="0.3">
      <c r="A4688" s="1" t="s">
        <v>14584</v>
      </c>
      <c r="B4688" s="1" t="str">
        <f>"Baker's Television &amp; Electrical Ltd"</f>
        <v>Baker's Television &amp; Electrical Ltd</v>
      </c>
      <c r="C4688" s="1" t="s">
        <v>14585</v>
      </c>
      <c r="F4688" s="1" t="s">
        <v>179</v>
      </c>
      <c r="H4688" s="1" t="s">
        <v>11499</v>
      </c>
      <c r="I4688" s="1" t="s">
        <v>19</v>
      </c>
      <c r="J4688" s="1" t="s">
        <v>6</v>
      </c>
      <c r="K4688" s="1" t="s">
        <v>24</v>
      </c>
      <c r="L4688" s="1">
        <v>8376243</v>
      </c>
      <c r="M4688" s="2">
        <v>42791</v>
      </c>
      <c r="N4688" s="1" t="s">
        <v>8</v>
      </c>
      <c r="O4688" s="2">
        <v>43886</v>
      </c>
    </row>
    <row r="4689" spans="1:15" ht="28.8" x14ac:dyDescent="0.3">
      <c r="A4689" s="1" t="s">
        <v>26906</v>
      </c>
      <c r="B4689" s="1" t="str">
        <f>"Keith Phillips keith phillips windows"</f>
        <v>Keith Phillips keith phillips windows</v>
      </c>
      <c r="C4689" s="1" t="s">
        <v>26907</v>
      </c>
      <c r="D4689" s="1" t="s">
        <v>108</v>
      </c>
      <c r="F4689" s="1" t="s">
        <v>65</v>
      </c>
      <c r="H4689" s="1" t="s">
        <v>110</v>
      </c>
      <c r="I4689" s="1" t="s">
        <v>5</v>
      </c>
      <c r="J4689" s="1" t="s">
        <v>6</v>
      </c>
      <c r="K4689" s="1" t="s">
        <v>24</v>
      </c>
      <c r="M4689" s="2">
        <v>42791</v>
      </c>
      <c r="N4689" s="1" t="s">
        <v>8</v>
      </c>
      <c r="O4689" s="2">
        <v>43886</v>
      </c>
    </row>
    <row r="4690" spans="1:15" ht="43.2" x14ac:dyDescent="0.3">
      <c r="A4690" s="1" t="s">
        <v>26908</v>
      </c>
      <c r="B4690" s="1" t="str">
        <f>"martin powell MARTINSGARDENSERVICE"</f>
        <v>martin powell MARTINSGARDENSERVICE</v>
      </c>
      <c r="C4690" s="1" t="s">
        <v>26909</v>
      </c>
      <c r="F4690" s="1" t="s">
        <v>174</v>
      </c>
      <c r="H4690" s="1" t="s">
        <v>26910</v>
      </c>
      <c r="I4690" s="1" t="s">
        <v>5</v>
      </c>
      <c r="J4690" s="1" t="s">
        <v>6</v>
      </c>
      <c r="K4690" s="1" t="s">
        <v>24</v>
      </c>
      <c r="M4690" s="2">
        <v>42791</v>
      </c>
      <c r="N4690" s="1" t="s">
        <v>8</v>
      </c>
      <c r="O4690" s="2">
        <v>43886</v>
      </c>
    </row>
    <row r="4691" spans="1:15" ht="28.8" x14ac:dyDescent="0.3">
      <c r="A4691" s="1" t="s">
        <v>13745</v>
      </c>
      <c r="B4691" s="1" t="str">
        <f>"FRENNI TRANSPORT LTD"</f>
        <v>FRENNI TRANSPORT LTD</v>
      </c>
      <c r="C4691" s="1" t="s">
        <v>13746</v>
      </c>
      <c r="F4691" s="1" t="s">
        <v>114</v>
      </c>
      <c r="H4691" s="1" t="s">
        <v>9998</v>
      </c>
      <c r="I4691" s="1" t="s">
        <v>19</v>
      </c>
      <c r="J4691" s="1" t="s">
        <v>6</v>
      </c>
      <c r="K4691" s="1" t="s">
        <v>34</v>
      </c>
      <c r="L4691" s="1">
        <v>4419456</v>
      </c>
      <c r="M4691" s="2">
        <v>42790</v>
      </c>
      <c r="N4691" s="1" t="s">
        <v>8</v>
      </c>
      <c r="O4691" s="2">
        <v>43885</v>
      </c>
    </row>
    <row r="4692" spans="1:15" ht="43.2" x14ac:dyDescent="0.3">
      <c r="A4692" s="1" t="s">
        <v>13747</v>
      </c>
      <c r="B4692" s="1" t="str">
        <f>"CALDICOT FLEET MAINTENANCE RECOVERY LTD."</f>
        <v>CALDICOT FLEET MAINTENANCE RECOVERY LTD.</v>
      </c>
      <c r="C4692" s="1" t="s">
        <v>13748</v>
      </c>
      <c r="D4692" s="1" t="s">
        <v>1247</v>
      </c>
      <c r="E4692" s="1" t="s">
        <v>400</v>
      </c>
      <c r="F4692" s="1" t="s">
        <v>401</v>
      </c>
      <c r="H4692" s="1" t="s">
        <v>4283</v>
      </c>
      <c r="I4692" s="1" t="s">
        <v>19</v>
      </c>
      <c r="J4692" s="1" t="s">
        <v>6</v>
      </c>
      <c r="K4692" s="1" t="s">
        <v>24</v>
      </c>
      <c r="L4692" s="1">
        <v>3741527</v>
      </c>
      <c r="M4692" s="2">
        <v>42790</v>
      </c>
      <c r="N4692" s="1" t="s">
        <v>8</v>
      </c>
      <c r="O4692" s="2">
        <v>43885</v>
      </c>
    </row>
    <row r="4693" spans="1:15" x14ac:dyDescent="0.3">
      <c r="A4693" s="1" t="s">
        <v>13749</v>
      </c>
      <c r="B4693" s="1" t="str">
        <f>"Supac Ltd."</f>
        <v>Supac Ltd.</v>
      </c>
      <c r="C4693" s="1" t="s">
        <v>13750</v>
      </c>
      <c r="D4693" s="1" t="s">
        <v>1264</v>
      </c>
      <c r="F4693" s="1" t="s">
        <v>739</v>
      </c>
      <c r="H4693" s="1" t="s">
        <v>7329</v>
      </c>
      <c r="I4693" s="1" t="s">
        <v>19</v>
      </c>
      <c r="J4693" s="1" t="s">
        <v>6</v>
      </c>
      <c r="K4693" s="1" t="s">
        <v>24</v>
      </c>
      <c r="L4693" s="1">
        <v>508062</v>
      </c>
      <c r="M4693" s="2">
        <v>42790</v>
      </c>
      <c r="N4693" s="1" t="s">
        <v>8</v>
      </c>
      <c r="O4693" s="2">
        <v>43885</v>
      </c>
    </row>
    <row r="4694" spans="1:15" ht="28.8" x14ac:dyDescent="0.3">
      <c r="A4694" s="1" t="s">
        <v>13751</v>
      </c>
      <c r="B4694" s="1" t="str">
        <f>"Sospan Skip Ltd"</f>
        <v>Sospan Skip Ltd</v>
      </c>
      <c r="C4694" s="1" t="s">
        <v>13752</v>
      </c>
      <c r="F4694" s="1" t="s">
        <v>42</v>
      </c>
      <c r="H4694" s="1" t="s">
        <v>13753</v>
      </c>
      <c r="I4694" s="1" t="s">
        <v>19</v>
      </c>
      <c r="J4694" s="1" t="s">
        <v>6</v>
      </c>
      <c r="K4694" s="1" t="s">
        <v>34</v>
      </c>
      <c r="L4694" s="1">
        <v>3895739</v>
      </c>
      <c r="M4694" s="2">
        <v>42790</v>
      </c>
      <c r="N4694" s="1" t="s">
        <v>8</v>
      </c>
      <c r="O4694" s="2">
        <v>43885</v>
      </c>
    </row>
    <row r="4695" spans="1:15" ht="28.8" x14ac:dyDescent="0.3">
      <c r="A4695" s="1" t="s">
        <v>13754</v>
      </c>
      <c r="B4695" s="1" t="str">
        <f>"Conren Ltd."</f>
        <v>Conren Ltd.</v>
      </c>
      <c r="C4695" s="1" t="s">
        <v>13755</v>
      </c>
      <c r="D4695" s="1" t="s">
        <v>13756</v>
      </c>
      <c r="F4695" s="1" t="s">
        <v>532</v>
      </c>
      <c r="H4695" s="1" t="s">
        <v>3720</v>
      </c>
      <c r="I4695" s="1" t="s">
        <v>19</v>
      </c>
      <c r="J4695" s="1" t="s">
        <v>6</v>
      </c>
      <c r="K4695" s="1" t="s">
        <v>24</v>
      </c>
      <c r="L4695" s="1">
        <v>1022699</v>
      </c>
      <c r="M4695" s="2">
        <v>42790</v>
      </c>
      <c r="N4695" s="1" t="s">
        <v>8</v>
      </c>
      <c r="O4695" s="2">
        <v>43885</v>
      </c>
    </row>
    <row r="4696" spans="1:15" x14ac:dyDescent="0.3">
      <c r="A4696" s="1" t="s">
        <v>13757</v>
      </c>
      <c r="B4696" s="1" t="str">
        <f>"JF BV &amp; RJ MORGAN"</f>
        <v>JF BV &amp; RJ MORGAN</v>
      </c>
      <c r="C4696" s="1" t="s">
        <v>13758</v>
      </c>
      <c r="F4696" s="1" t="s">
        <v>4127</v>
      </c>
      <c r="H4696" s="1" t="s">
        <v>13759</v>
      </c>
      <c r="I4696" s="1" t="s">
        <v>125</v>
      </c>
      <c r="J4696" s="1" t="s">
        <v>6</v>
      </c>
      <c r="K4696" s="1" t="s">
        <v>24</v>
      </c>
      <c r="M4696" s="2">
        <v>42790</v>
      </c>
      <c r="N4696" s="1" t="s">
        <v>8</v>
      </c>
      <c r="O4696" s="2">
        <v>43885</v>
      </c>
    </row>
    <row r="4697" spans="1:15" ht="43.2" x14ac:dyDescent="0.3">
      <c r="A4697" s="1" t="s">
        <v>13760</v>
      </c>
      <c r="B4697" s="1" t="str">
        <f>"ASSURED FIRE SERVICES LTD"</f>
        <v>ASSURED FIRE SERVICES LTD</v>
      </c>
      <c r="C4697" s="1" t="s">
        <v>13761</v>
      </c>
      <c r="F4697" s="1" t="s">
        <v>3242</v>
      </c>
      <c r="H4697" s="1" t="s">
        <v>13762</v>
      </c>
      <c r="I4697" s="1" t="s">
        <v>19</v>
      </c>
      <c r="J4697" s="1" t="s">
        <v>67</v>
      </c>
      <c r="K4697" s="1" t="s">
        <v>24</v>
      </c>
      <c r="L4697" s="1">
        <v>8452203</v>
      </c>
      <c r="M4697" s="2">
        <v>42790</v>
      </c>
      <c r="N4697" s="1" t="s">
        <v>8</v>
      </c>
      <c r="O4697" s="1" t="s">
        <v>68</v>
      </c>
    </row>
    <row r="4698" spans="1:15" ht="43.2" x14ac:dyDescent="0.3">
      <c r="A4698" s="1" t="s">
        <v>13763</v>
      </c>
      <c r="B4698" s="1" t="str">
        <f>"The Greendealshop.Com"</f>
        <v>The Greendealshop.Com</v>
      </c>
      <c r="C4698" s="1" t="s">
        <v>13764</v>
      </c>
      <c r="D4698" s="1" t="s">
        <v>955</v>
      </c>
      <c r="F4698" s="1" t="s">
        <v>358</v>
      </c>
      <c r="H4698" s="1" t="s">
        <v>12989</v>
      </c>
      <c r="I4698" s="1" t="s">
        <v>19</v>
      </c>
      <c r="J4698" s="1" t="s">
        <v>67</v>
      </c>
      <c r="K4698" s="1" t="s">
        <v>14</v>
      </c>
      <c r="M4698" s="2">
        <v>42790</v>
      </c>
      <c r="N4698" s="1" t="s">
        <v>8</v>
      </c>
      <c r="O4698" s="1" t="s">
        <v>68</v>
      </c>
    </row>
    <row r="4699" spans="1:15" ht="43.2" x14ac:dyDescent="0.3">
      <c r="A4699" s="1" t="s">
        <v>26188</v>
      </c>
      <c r="B4699" s="1" t="str">
        <f>"Alex kokoc"</f>
        <v>Alex kokoc</v>
      </c>
      <c r="C4699" s="1" t="s">
        <v>26189</v>
      </c>
      <c r="F4699" s="1" t="s">
        <v>865</v>
      </c>
      <c r="H4699" s="1" t="s">
        <v>26190</v>
      </c>
      <c r="I4699" s="1" t="s">
        <v>5</v>
      </c>
      <c r="J4699" s="1" t="s">
        <v>67</v>
      </c>
      <c r="K4699" s="1" t="s">
        <v>14</v>
      </c>
      <c r="M4699" s="2">
        <v>42790</v>
      </c>
      <c r="N4699" s="1" t="s">
        <v>8</v>
      </c>
      <c r="O4699" s="1" t="s">
        <v>68</v>
      </c>
    </row>
    <row r="4700" spans="1:15" ht="43.2" x14ac:dyDescent="0.3">
      <c r="A4700" s="1" t="s">
        <v>26191</v>
      </c>
      <c r="B4700" s="1" t="str">
        <f>"William James"</f>
        <v>William James</v>
      </c>
      <c r="C4700" s="1" t="s">
        <v>26192</v>
      </c>
      <c r="F4700" s="1" t="s">
        <v>65</v>
      </c>
      <c r="H4700" s="1" t="s">
        <v>26193</v>
      </c>
      <c r="I4700" s="1" t="s">
        <v>5</v>
      </c>
      <c r="J4700" s="1" t="s">
        <v>67</v>
      </c>
      <c r="K4700" s="1" t="s">
        <v>14</v>
      </c>
      <c r="M4700" s="2">
        <v>42790</v>
      </c>
      <c r="N4700" s="1" t="s">
        <v>8</v>
      </c>
      <c r="O4700" s="1" t="s">
        <v>68</v>
      </c>
    </row>
    <row r="4701" spans="1:15" x14ac:dyDescent="0.3">
      <c r="A4701" s="1" t="s">
        <v>12648</v>
      </c>
      <c r="B4701" s="1" t="str">
        <f>"apis construction ltd"</f>
        <v>apis construction ltd</v>
      </c>
      <c r="C4701" s="1" t="s">
        <v>12649</v>
      </c>
      <c r="F4701" s="1" t="s">
        <v>12650</v>
      </c>
      <c r="H4701" s="1" t="s">
        <v>12651</v>
      </c>
      <c r="I4701" s="1" t="s">
        <v>19</v>
      </c>
      <c r="J4701" s="1" t="s">
        <v>6</v>
      </c>
      <c r="K4701" s="1" t="s">
        <v>24</v>
      </c>
      <c r="L4701" s="1">
        <v>10249961</v>
      </c>
      <c r="M4701" s="2">
        <v>42789</v>
      </c>
      <c r="N4701" s="1" t="s">
        <v>8</v>
      </c>
      <c r="O4701" s="2">
        <v>43884</v>
      </c>
    </row>
    <row r="4702" spans="1:15" ht="28.8" x14ac:dyDescent="0.3">
      <c r="A4702" s="1" t="s">
        <v>12652</v>
      </c>
      <c r="B4702" s="1" t="str">
        <f>"Arthur Brothers Transport Ltd"</f>
        <v>Arthur Brothers Transport Ltd</v>
      </c>
      <c r="C4702" s="1" t="s">
        <v>12653</v>
      </c>
      <c r="F4702" s="1" t="s">
        <v>4630</v>
      </c>
      <c r="H4702" s="1" t="s">
        <v>12654</v>
      </c>
      <c r="I4702" s="1" t="s">
        <v>19</v>
      </c>
      <c r="J4702" s="1" t="s">
        <v>6</v>
      </c>
      <c r="K4702" s="1" t="s">
        <v>24</v>
      </c>
      <c r="L4702" s="1">
        <v>3967424</v>
      </c>
      <c r="M4702" s="2">
        <v>42789</v>
      </c>
      <c r="N4702" s="1" t="s">
        <v>8</v>
      </c>
      <c r="O4702" s="2">
        <v>43884</v>
      </c>
    </row>
    <row r="4703" spans="1:15" ht="43.2" x14ac:dyDescent="0.3">
      <c r="A4703" s="1" t="s">
        <v>12655</v>
      </c>
      <c r="B4703" s="1" t="str">
        <f>"Bisley Office Furniture limited"</f>
        <v>Bisley Office Furniture limited</v>
      </c>
      <c r="C4703" s="1" t="s">
        <v>12656</v>
      </c>
      <c r="F4703" s="1" t="s">
        <v>91</v>
      </c>
      <c r="H4703" s="1" t="s">
        <v>12657</v>
      </c>
      <c r="I4703" s="1" t="s">
        <v>19</v>
      </c>
      <c r="J4703" s="1" t="s">
        <v>67</v>
      </c>
      <c r="K4703" s="1" t="s">
        <v>14</v>
      </c>
      <c r="M4703" s="2">
        <v>42789</v>
      </c>
      <c r="N4703" s="1" t="s">
        <v>8</v>
      </c>
      <c r="O4703" s="1" t="s">
        <v>68</v>
      </c>
    </row>
    <row r="4704" spans="1:15" ht="43.2" x14ac:dyDescent="0.3">
      <c r="A4704" s="1" t="s">
        <v>12658</v>
      </c>
      <c r="B4704" s="1" t="str">
        <f>"REDLAND PROPERTY SERV"</f>
        <v>REDLAND PROPERTY SERV</v>
      </c>
      <c r="C4704" s="1" t="s">
        <v>12659</v>
      </c>
      <c r="F4704" s="1" t="s">
        <v>27</v>
      </c>
      <c r="H4704" s="1" t="s">
        <v>2924</v>
      </c>
      <c r="I4704" s="1" t="s">
        <v>125</v>
      </c>
      <c r="J4704" s="1" t="s">
        <v>6</v>
      </c>
      <c r="K4704" s="1" t="s">
        <v>34</v>
      </c>
      <c r="M4704" s="2">
        <v>42789</v>
      </c>
      <c r="N4704" s="1" t="s">
        <v>8</v>
      </c>
      <c r="O4704" s="2">
        <v>43884</v>
      </c>
    </row>
    <row r="4705" spans="1:15" ht="43.2" x14ac:dyDescent="0.3">
      <c r="A4705" s="1" t="s">
        <v>12660</v>
      </c>
      <c r="B4705" s="1" t="str">
        <f>"MAX-TRANS Sp. z o. o."</f>
        <v>MAX-TRANS Sp. z o. o.</v>
      </c>
      <c r="C4705" s="1" t="s">
        <v>12661</v>
      </c>
      <c r="D4705" s="1" t="s">
        <v>12662</v>
      </c>
      <c r="G4705" s="1" t="s">
        <v>12663</v>
      </c>
      <c r="I4705" s="1" t="s">
        <v>19</v>
      </c>
      <c r="J4705" s="1" t="s">
        <v>67</v>
      </c>
      <c r="K4705" s="1" t="s">
        <v>14</v>
      </c>
      <c r="M4705" s="2">
        <v>42789</v>
      </c>
      <c r="N4705" s="1" t="s">
        <v>8</v>
      </c>
      <c r="O4705" s="1" t="s">
        <v>68</v>
      </c>
    </row>
    <row r="4706" spans="1:15" ht="43.2" x14ac:dyDescent="0.3">
      <c r="A4706" s="1" t="s">
        <v>12664</v>
      </c>
      <c r="B4706" s="1" t="str">
        <f>"First Corporate Clothing"</f>
        <v>First Corporate Clothing</v>
      </c>
      <c r="C4706" s="1" t="s">
        <v>12665</v>
      </c>
      <c r="F4706" s="1" t="s">
        <v>1351</v>
      </c>
      <c r="H4706" s="1" t="s">
        <v>7256</v>
      </c>
      <c r="I4706" s="1" t="s">
        <v>19</v>
      </c>
      <c r="J4706" s="1" t="s">
        <v>67</v>
      </c>
      <c r="K4706" s="1" t="s">
        <v>14</v>
      </c>
      <c r="M4706" s="2">
        <v>42789</v>
      </c>
      <c r="N4706" s="1" t="s">
        <v>8</v>
      </c>
      <c r="O4706" s="1" t="s">
        <v>68</v>
      </c>
    </row>
    <row r="4707" spans="1:15" ht="28.8" x14ac:dyDescent="0.3">
      <c r="A4707" s="1" t="s">
        <v>12666</v>
      </c>
      <c r="B4707" s="1" t="str">
        <f>"Gwalia Recovery Ltd."</f>
        <v>Gwalia Recovery Ltd.</v>
      </c>
      <c r="C4707" s="1" t="s">
        <v>12667</v>
      </c>
      <c r="F4707" s="1" t="s">
        <v>710</v>
      </c>
      <c r="H4707" s="1" t="s">
        <v>12668</v>
      </c>
      <c r="I4707" s="1" t="s">
        <v>19</v>
      </c>
      <c r="J4707" s="1" t="s">
        <v>6</v>
      </c>
      <c r="K4707" s="1" t="s">
        <v>34</v>
      </c>
      <c r="L4707" s="1">
        <v>4651755</v>
      </c>
      <c r="M4707" s="2">
        <v>42789</v>
      </c>
      <c r="N4707" s="1" t="s">
        <v>8</v>
      </c>
      <c r="O4707" s="2">
        <v>43884</v>
      </c>
    </row>
    <row r="4708" spans="1:15" ht="28.8" x14ac:dyDescent="0.3">
      <c r="A4708" s="1" t="s">
        <v>12669</v>
      </c>
      <c r="B4708" s="1" t="str">
        <f>"Premier Adaptations Ltd"</f>
        <v>Premier Adaptations Ltd</v>
      </c>
      <c r="C4708" s="1" t="s">
        <v>12670</v>
      </c>
      <c r="F4708" s="1" t="s">
        <v>4713</v>
      </c>
      <c r="H4708" s="1" t="s">
        <v>12671</v>
      </c>
      <c r="I4708" s="1" t="s">
        <v>19</v>
      </c>
      <c r="J4708" s="1" t="s">
        <v>6</v>
      </c>
      <c r="K4708" s="1" t="s">
        <v>34</v>
      </c>
      <c r="L4708" s="1">
        <v>7309665</v>
      </c>
      <c r="M4708" s="2">
        <v>42789</v>
      </c>
      <c r="N4708" s="1" t="s">
        <v>8</v>
      </c>
      <c r="O4708" s="2">
        <v>43884</v>
      </c>
    </row>
    <row r="4709" spans="1:15" ht="43.2" x14ac:dyDescent="0.3">
      <c r="A4709" s="1" t="s">
        <v>12672</v>
      </c>
      <c r="B4709" s="1" t="str">
        <f>"Affinity Electrical Services Ltd"</f>
        <v>Affinity Electrical Services Ltd</v>
      </c>
      <c r="C4709" s="1" t="s">
        <v>12673</v>
      </c>
      <c r="D4709" s="1" t="s">
        <v>12674</v>
      </c>
      <c r="F4709" s="1" t="s">
        <v>12675</v>
      </c>
      <c r="H4709" s="1" t="s">
        <v>12676</v>
      </c>
      <c r="I4709" s="1" t="s">
        <v>19</v>
      </c>
      <c r="J4709" s="1" t="s">
        <v>67</v>
      </c>
      <c r="K4709" s="1" t="s">
        <v>14</v>
      </c>
      <c r="M4709" s="2">
        <v>42789</v>
      </c>
      <c r="N4709" s="1" t="s">
        <v>8</v>
      </c>
      <c r="O4709" s="1" t="s">
        <v>68</v>
      </c>
    </row>
    <row r="4710" spans="1:15" ht="28.8" x14ac:dyDescent="0.3">
      <c r="A4710" s="1" t="s">
        <v>12677</v>
      </c>
      <c r="B4710" s="1" t="str">
        <f>"S&amp;G Air Conditioning Contracts Ltd"</f>
        <v>S&amp;G Air Conditioning Contracts Ltd</v>
      </c>
      <c r="C4710" s="1" t="s">
        <v>12678</v>
      </c>
      <c r="F4710" s="1" t="s">
        <v>706</v>
      </c>
      <c r="H4710" s="1" t="s">
        <v>12679</v>
      </c>
      <c r="I4710" s="1" t="s">
        <v>19</v>
      </c>
      <c r="J4710" s="1" t="s">
        <v>6</v>
      </c>
      <c r="K4710" s="1" t="s">
        <v>24</v>
      </c>
      <c r="L4710" s="1">
        <v>4686200</v>
      </c>
      <c r="M4710" s="2">
        <v>42789</v>
      </c>
      <c r="N4710" s="1" t="s">
        <v>8</v>
      </c>
      <c r="O4710" s="2">
        <v>43884</v>
      </c>
    </row>
    <row r="4711" spans="1:15" ht="28.8" x14ac:dyDescent="0.3">
      <c r="A4711" s="1" t="s">
        <v>12680</v>
      </c>
      <c r="B4711" s="1" t="str">
        <f>"RAY GEE CONSTRUCTION LTD"</f>
        <v>RAY GEE CONSTRUCTION LTD</v>
      </c>
      <c r="C4711" s="1" t="s">
        <v>12681</v>
      </c>
      <c r="F4711" s="1" t="s">
        <v>739</v>
      </c>
      <c r="H4711" s="1" t="s">
        <v>12682</v>
      </c>
      <c r="I4711" s="1" t="s">
        <v>19</v>
      </c>
      <c r="J4711" s="1" t="s">
        <v>6</v>
      </c>
      <c r="K4711" s="1" t="s">
        <v>24</v>
      </c>
      <c r="L4711" s="1">
        <v>3659336</v>
      </c>
      <c r="M4711" s="2">
        <v>42789</v>
      </c>
      <c r="N4711" s="1" t="s">
        <v>8</v>
      </c>
      <c r="O4711" s="2">
        <v>43884</v>
      </c>
    </row>
    <row r="4712" spans="1:15" ht="43.2" x14ac:dyDescent="0.3">
      <c r="A4712" s="1" t="s">
        <v>25466</v>
      </c>
      <c r="B4712" s="1" t="str">
        <f>"Karen Morris"</f>
        <v>Karen Morris</v>
      </c>
      <c r="C4712" s="1" t="s">
        <v>25467</v>
      </c>
      <c r="F4712" s="1" t="s">
        <v>555</v>
      </c>
      <c r="H4712" s="1" t="s">
        <v>25468</v>
      </c>
      <c r="I4712" s="1" t="s">
        <v>5</v>
      </c>
      <c r="J4712" s="1" t="s">
        <v>67</v>
      </c>
      <c r="K4712" s="1" t="s">
        <v>14</v>
      </c>
      <c r="M4712" s="2">
        <v>42789</v>
      </c>
      <c r="N4712" s="1" t="s">
        <v>8</v>
      </c>
      <c r="O4712" s="1" t="s">
        <v>68</v>
      </c>
    </row>
    <row r="4713" spans="1:15" ht="43.2" x14ac:dyDescent="0.3">
      <c r="A4713" s="1" t="s">
        <v>26183</v>
      </c>
      <c r="B4713" s="1" t="str">
        <f>"Keith Williams"</f>
        <v>Keith Williams</v>
      </c>
      <c r="C4713" s="1" t="s">
        <v>26184</v>
      </c>
      <c r="D4713" s="1" t="s">
        <v>26185</v>
      </c>
      <c r="F4713" s="1" t="s">
        <v>26186</v>
      </c>
      <c r="H4713" s="1" t="s">
        <v>26187</v>
      </c>
      <c r="I4713" s="1" t="s">
        <v>5</v>
      </c>
      <c r="J4713" s="1" t="s">
        <v>67</v>
      </c>
      <c r="K4713" s="1" t="s">
        <v>14</v>
      </c>
      <c r="M4713" s="2">
        <v>42789</v>
      </c>
      <c r="N4713" s="1" t="s">
        <v>8</v>
      </c>
      <c r="O4713" s="1" t="s">
        <v>68</v>
      </c>
    </row>
    <row r="4714" spans="1:15" ht="28.8" x14ac:dyDescent="0.3">
      <c r="A4714" s="1" t="s">
        <v>11717</v>
      </c>
      <c r="B4714" s="1" t="str">
        <f>"G &amp; G BUILDERS (PEMBROKESHIRE) LTD"</f>
        <v>G &amp; G BUILDERS (PEMBROKESHIRE) LTD</v>
      </c>
      <c r="C4714" s="1" t="s">
        <v>11718</v>
      </c>
      <c r="F4714" s="1" t="s">
        <v>438</v>
      </c>
      <c r="H4714" s="1" t="s">
        <v>11719</v>
      </c>
      <c r="I4714" s="1" t="s">
        <v>19</v>
      </c>
      <c r="J4714" s="1" t="s">
        <v>6</v>
      </c>
      <c r="K4714" s="1" t="s">
        <v>24</v>
      </c>
      <c r="L4714" s="1">
        <v>5946072</v>
      </c>
      <c r="M4714" s="2">
        <v>42788</v>
      </c>
      <c r="N4714" s="1" t="s">
        <v>8</v>
      </c>
      <c r="O4714" s="2">
        <v>43883</v>
      </c>
    </row>
    <row r="4715" spans="1:15" ht="28.8" x14ac:dyDescent="0.3">
      <c r="A4715" s="1" t="s">
        <v>11720</v>
      </c>
      <c r="B4715" s="1" t="str">
        <f>"Regency Oils (Wales) Limited"</f>
        <v>Regency Oils (Wales) Limited</v>
      </c>
      <c r="C4715" s="1" t="s">
        <v>11721</v>
      </c>
      <c r="D4715" s="1" t="s">
        <v>8138</v>
      </c>
      <c r="F4715" s="1" t="s">
        <v>123</v>
      </c>
      <c r="H4715" s="1" t="s">
        <v>3553</v>
      </c>
      <c r="I4715" s="1" t="s">
        <v>19</v>
      </c>
      <c r="J4715" s="1" t="s">
        <v>6</v>
      </c>
      <c r="K4715" s="1" t="s">
        <v>24</v>
      </c>
      <c r="L4715" s="1">
        <v>8971686</v>
      </c>
      <c r="M4715" s="2">
        <v>42788</v>
      </c>
      <c r="N4715" s="1" t="s">
        <v>8</v>
      </c>
      <c r="O4715" s="2">
        <v>43883</v>
      </c>
    </row>
    <row r="4716" spans="1:15" ht="43.2" x14ac:dyDescent="0.3">
      <c r="A4716" s="1" t="s">
        <v>11722</v>
      </c>
      <c r="B4716" s="1" t="str">
        <f>"Javen Products Ltd."</f>
        <v>Javen Products Ltd.</v>
      </c>
      <c r="C4716" s="1" t="s">
        <v>11723</v>
      </c>
      <c r="D4716" s="1" t="s">
        <v>6269</v>
      </c>
      <c r="E4716" s="1" t="s">
        <v>1676</v>
      </c>
      <c r="F4716" s="1" t="s">
        <v>621</v>
      </c>
      <c r="H4716" s="1" t="s">
        <v>6270</v>
      </c>
      <c r="I4716" s="1" t="s">
        <v>19</v>
      </c>
      <c r="J4716" s="1" t="s">
        <v>67</v>
      </c>
      <c r="K4716" s="1" t="s">
        <v>24</v>
      </c>
      <c r="L4716" s="1">
        <v>5707832</v>
      </c>
      <c r="M4716" s="2">
        <v>42788</v>
      </c>
      <c r="N4716" s="1" t="s">
        <v>8</v>
      </c>
      <c r="O4716" s="1" t="s">
        <v>68</v>
      </c>
    </row>
    <row r="4717" spans="1:15" ht="43.2" x14ac:dyDescent="0.3">
      <c r="A4717" s="1" t="s">
        <v>24650</v>
      </c>
      <c r="B4717" s="1" t="str">
        <f>"WILLIAM WILLIAMS MR WILLIAM WILLIAMS"</f>
        <v>WILLIAM WILLIAMS MR WILLIAM WILLIAMS</v>
      </c>
      <c r="C4717" s="1" t="s">
        <v>24651</v>
      </c>
      <c r="F4717" s="1" t="s">
        <v>174</v>
      </c>
      <c r="H4717" s="1" t="s">
        <v>1006</v>
      </c>
      <c r="I4717" s="1" t="s">
        <v>5</v>
      </c>
      <c r="J4717" s="1" t="s">
        <v>6</v>
      </c>
      <c r="K4717" s="1" t="s">
        <v>34</v>
      </c>
      <c r="M4717" s="2">
        <v>42788</v>
      </c>
      <c r="N4717" s="1" t="s">
        <v>8</v>
      </c>
      <c r="O4717" s="2">
        <v>43883</v>
      </c>
    </row>
    <row r="4718" spans="1:15" ht="43.2" x14ac:dyDescent="0.3">
      <c r="A4718" s="1" t="s">
        <v>24652</v>
      </c>
      <c r="B4718" s="1" t="str">
        <f>"CLIVE KENRICK"</f>
        <v>CLIVE KENRICK</v>
      </c>
      <c r="C4718" s="1" t="s">
        <v>24653</v>
      </c>
      <c r="F4718" s="1" t="s">
        <v>1888</v>
      </c>
      <c r="H4718" s="1" t="s">
        <v>24654</v>
      </c>
      <c r="I4718" s="1" t="s">
        <v>5</v>
      </c>
      <c r="J4718" s="1" t="s">
        <v>67</v>
      </c>
      <c r="K4718" s="1" t="s">
        <v>24</v>
      </c>
      <c r="M4718" s="2">
        <v>42788</v>
      </c>
      <c r="N4718" s="1" t="s">
        <v>8</v>
      </c>
      <c r="O4718" s="1" t="s">
        <v>68</v>
      </c>
    </row>
    <row r="4719" spans="1:15" ht="28.8" x14ac:dyDescent="0.3">
      <c r="A4719" s="1" t="s">
        <v>24655</v>
      </c>
      <c r="B4719" s="1" t="str">
        <f>"Alun Williams Recliner Chair Centre"</f>
        <v>Alun Williams Recliner Chair Centre</v>
      </c>
      <c r="C4719" s="1" t="s">
        <v>24656</v>
      </c>
      <c r="F4719" s="1" t="s">
        <v>27</v>
      </c>
      <c r="H4719" s="1" t="s">
        <v>24657</v>
      </c>
      <c r="I4719" s="1" t="s">
        <v>5</v>
      </c>
      <c r="J4719" s="1" t="s">
        <v>6</v>
      </c>
      <c r="K4719" s="1" t="s">
        <v>24</v>
      </c>
      <c r="M4719" s="2">
        <v>42788</v>
      </c>
      <c r="N4719" s="1" t="s">
        <v>8</v>
      </c>
      <c r="O4719" s="2">
        <v>43883</v>
      </c>
    </row>
    <row r="4720" spans="1:15" ht="43.2" x14ac:dyDescent="0.3">
      <c r="A4720" s="1" t="s">
        <v>25460</v>
      </c>
      <c r="B4720" s="1" t="str">
        <f>"michael simmons"</f>
        <v>michael simmons</v>
      </c>
      <c r="C4720" s="1" t="s">
        <v>25461</v>
      </c>
      <c r="F4720" s="1" t="s">
        <v>277</v>
      </c>
      <c r="H4720" s="1" t="s">
        <v>25462</v>
      </c>
      <c r="I4720" s="1" t="s">
        <v>5</v>
      </c>
      <c r="J4720" s="1" t="s">
        <v>67</v>
      </c>
      <c r="K4720" s="1" t="s">
        <v>14</v>
      </c>
      <c r="M4720" s="2">
        <v>42788</v>
      </c>
      <c r="N4720" s="1" t="s">
        <v>8</v>
      </c>
      <c r="O4720" s="1" t="s">
        <v>68</v>
      </c>
    </row>
    <row r="4721" spans="1:15" ht="28.8" x14ac:dyDescent="0.3">
      <c r="A4721" s="1" t="s">
        <v>25463</v>
      </c>
      <c r="B4721" s="1" t="str">
        <f>"Nicholas Hopkins DWR Installations"</f>
        <v>Nicholas Hopkins DWR Installations</v>
      </c>
      <c r="C4721" s="1" t="s">
        <v>25464</v>
      </c>
      <c r="F4721" s="1" t="s">
        <v>91</v>
      </c>
      <c r="H4721" s="1" t="s">
        <v>25465</v>
      </c>
      <c r="I4721" s="1" t="s">
        <v>5</v>
      </c>
      <c r="J4721" s="1" t="s">
        <v>6</v>
      </c>
      <c r="K4721" s="1" t="s">
        <v>24</v>
      </c>
      <c r="M4721" s="2">
        <v>42788</v>
      </c>
      <c r="N4721" s="1" t="s">
        <v>8</v>
      </c>
      <c r="O4721" s="2">
        <v>43883</v>
      </c>
    </row>
    <row r="4722" spans="1:15" ht="43.2" x14ac:dyDescent="0.3">
      <c r="A4722" s="1" t="s">
        <v>11698</v>
      </c>
      <c r="B4722" s="1" t="str">
        <f>"Envirascape Ltd."</f>
        <v>Envirascape Ltd.</v>
      </c>
      <c r="C4722" s="1" t="s">
        <v>11699</v>
      </c>
      <c r="D4722" s="1" t="s">
        <v>3287</v>
      </c>
      <c r="F4722" s="1" t="s">
        <v>65</v>
      </c>
      <c r="H4722" s="1" t="s">
        <v>11700</v>
      </c>
      <c r="I4722" s="1" t="s">
        <v>19</v>
      </c>
      <c r="J4722" s="1" t="s">
        <v>67</v>
      </c>
      <c r="K4722" s="1" t="s">
        <v>24</v>
      </c>
      <c r="L4722" s="1">
        <v>5652720</v>
      </c>
      <c r="M4722" s="2">
        <v>42787</v>
      </c>
      <c r="N4722" s="1" t="s">
        <v>8</v>
      </c>
      <c r="O4722" s="1" t="s">
        <v>68</v>
      </c>
    </row>
    <row r="4723" spans="1:15" ht="43.2" x14ac:dyDescent="0.3">
      <c r="A4723" s="1" t="s">
        <v>11701</v>
      </c>
      <c r="B4723" s="1" t="str">
        <f>"JONES TELEVISION &amp; ELECTRICAL SERVICES LTD"</f>
        <v>JONES TELEVISION &amp; ELECTRICAL SERVICES LTD</v>
      </c>
      <c r="C4723" s="1" t="s">
        <v>11702</v>
      </c>
      <c r="F4723" s="1" t="s">
        <v>56</v>
      </c>
      <c r="H4723" s="1" t="s">
        <v>11703</v>
      </c>
      <c r="I4723" s="1" t="s">
        <v>19</v>
      </c>
      <c r="J4723" s="1" t="s">
        <v>6</v>
      </c>
      <c r="K4723" s="1" t="s">
        <v>24</v>
      </c>
      <c r="L4723" s="1">
        <v>1302221</v>
      </c>
      <c r="M4723" s="2">
        <v>42787</v>
      </c>
      <c r="N4723" s="1" t="s">
        <v>8</v>
      </c>
      <c r="O4723" s="2">
        <v>43882</v>
      </c>
    </row>
    <row r="4724" spans="1:15" ht="28.8" x14ac:dyDescent="0.3">
      <c r="A4724" s="1" t="s">
        <v>11704</v>
      </c>
      <c r="B4724" s="1" t="str">
        <f>"HIGHPOINT CLEANING LTD"</f>
        <v>HIGHPOINT CLEANING LTD</v>
      </c>
      <c r="C4724" s="1" t="s">
        <v>11705</v>
      </c>
      <c r="F4724" s="1" t="s">
        <v>11706</v>
      </c>
      <c r="H4724" s="1" t="s">
        <v>11707</v>
      </c>
      <c r="I4724" s="1" t="s">
        <v>19</v>
      </c>
      <c r="J4724" s="1" t="s">
        <v>6</v>
      </c>
      <c r="K4724" s="1" t="s">
        <v>34</v>
      </c>
      <c r="L4724" s="1">
        <v>7942912</v>
      </c>
      <c r="M4724" s="2">
        <v>42787</v>
      </c>
      <c r="N4724" s="1" t="s">
        <v>8</v>
      </c>
      <c r="O4724" s="2">
        <v>43882</v>
      </c>
    </row>
    <row r="4725" spans="1:15" ht="43.2" x14ac:dyDescent="0.3">
      <c r="A4725" s="1" t="s">
        <v>11708</v>
      </c>
      <c r="B4725" s="1" t="str">
        <f>"HARRISON SPECIALIST JOINERY LIMITED"</f>
        <v>HARRISON SPECIALIST JOINERY LIMITED</v>
      </c>
      <c r="C4725" s="1" t="s">
        <v>11709</v>
      </c>
      <c r="F4725" s="1" t="s">
        <v>2236</v>
      </c>
      <c r="H4725" s="1" t="s">
        <v>11710</v>
      </c>
      <c r="I4725" s="1" t="s">
        <v>19</v>
      </c>
      <c r="J4725" s="1" t="s">
        <v>6</v>
      </c>
      <c r="K4725" s="1" t="s">
        <v>34</v>
      </c>
      <c r="L4725" s="1">
        <v>8747487</v>
      </c>
      <c r="M4725" s="2">
        <v>42787</v>
      </c>
      <c r="N4725" s="1" t="s">
        <v>8</v>
      </c>
      <c r="O4725" s="2">
        <v>43933</v>
      </c>
    </row>
    <row r="4726" spans="1:15" ht="43.2" x14ac:dyDescent="0.3">
      <c r="A4726" s="1" t="s">
        <v>11711</v>
      </c>
      <c r="B4726" s="1" t="str">
        <f>"TORFAEN COUNTY BOROUGH COUNCIL"</f>
        <v>TORFAEN COUNTY BOROUGH COUNCIL</v>
      </c>
      <c r="C4726" s="1" t="s">
        <v>11712</v>
      </c>
      <c r="F4726" s="1" t="s">
        <v>1175</v>
      </c>
      <c r="H4726" s="1" t="s">
        <v>1176</v>
      </c>
      <c r="I4726" s="1" t="s">
        <v>188</v>
      </c>
      <c r="J4726" s="1" t="s">
        <v>67</v>
      </c>
      <c r="K4726" s="1" t="s">
        <v>14</v>
      </c>
      <c r="M4726" s="2">
        <v>42787</v>
      </c>
      <c r="N4726" s="1" t="s">
        <v>8</v>
      </c>
      <c r="O4726" s="1" t="s">
        <v>68</v>
      </c>
    </row>
    <row r="4727" spans="1:15" ht="28.8" x14ac:dyDescent="0.3">
      <c r="A4727" s="1" t="s">
        <v>11713</v>
      </c>
      <c r="B4727" s="1" t="str">
        <f>"SUTTON'S AUTO SALVAGE LTD"</f>
        <v>SUTTON'S AUTO SALVAGE LTD</v>
      </c>
      <c r="C4727" s="1" t="s">
        <v>11714</v>
      </c>
      <c r="D4727" s="1" t="s">
        <v>9422</v>
      </c>
      <c r="F4727" s="1" t="s">
        <v>27</v>
      </c>
      <c r="H4727" s="1" t="s">
        <v>9423</v>
      </c>
      <c r="I4727" s="1" t="s">
        <v>19</v>
      </c>
      <c r="J4727" s="1" t="s">
        <v>6</v>
      </c>
      <c r="K4727" s="1" t="s">
        <v>34</v>
      </c>
      <c r="L4727" s="1">
        <v>8903579</v>
      </c>
      <c r="M4727" s="2">
        <v>42787</v>
      </c>
      <c r="N4727" s="1" t="s">
        <v>8</v>
      </c>
      <c r="O4727" s="2">
        <v>43882</v>
      </c>
    </row>
    <row r="4728" spans="1:15" ht="28.8" x14ac:dyDescent="0.3">
      <c r="A4728" s="1" t="s">
        <v>11715</v>
      </c>
      <c r="B4728" s="1" t="str">
        <f>"IRB Contractors Ltd "</f>
        <v xml:space="preserve">IRB Contractors Ltd </v>
      </c>
      <c r="C4728" s="1" t="s">
        <v>11716</v>
      </c>
      <c r="F4728" s="1" t="s">
        <v>865</v>
      </c>
      <c r="H4728" s="1" t="s">
        <v>7623</v>
      </c>
      <c r="I4728" s="1" t="s">
        <v>19</v>
      </c>
      <c r="J4728" s="1" t="s">
        <v>6</v>
      </c>
      <c r="K4728" s="1" t="s">
        <v>34</v>
      </c>
      <c r="L4728" s="1">
        <v>8267235</v>
      </c>
      <c r="M4728" s="2">
        <v>42787</v>
      </c>
      <c r="N4728" s="1" t="s">
        <v>8</v>
      </c>
      <c r="O4728" s="2">
        <v>43882</v>
      </c>
    </row>
    <row r="4729" spans="1:15" ht="28.8" x14ac:dyDescent="0.3">
      <c r="A4729" s="1" t="s">
        <v>24639</v>
      </c>
      <c r="B4729" s="1" t="str">
        <f>"Robert Hart Hartz Electrix"</f>
        <v>Robert Hart Hartz Electrix</v>
      </c>
      <c r="C4729" s="1" t="s">
        <v>24640</v>
      </c>
      <c r="F4729" s="1" t="s">
        <v>65</v>
      </c>
      <c r="H4729" s="1" t="s">
        <v>12508</v>
      </c>
      <c r="I4729" s="1" t="s">
        <v>5</v>
      </c>
      <c r="J4729" s="1" t="s">
        <v>6</v>
      </c>
      <c r="K4729" s="1" t="s">
        <v>24</v>
      </c>
      <c r="M4729" s="2">
        <v>42787</v>
      </c>
      <c r="N4729" s="1" t="s">
        <v>8</v>
      </c>
      <c r="O4729" s="2">
        <v>43882</v>
      </c>
    </row>
    <row r="4730" spans="1:15" ht="43.2" x14ac:dyDescent="0.3">
      <c r="A4730" s="1" t="s">
        <v>24641</v>
      </c>
      <c r="B4730" s="1" t="str">
        <f>"Mark Durkin"</f>
        <v>Mark Durkin</v>
      </c>
      <c r="C4730" s="1" t="s">
        <v>24642</v>
      </c>
      <c r="F4730" s="1" t="s">
        <v>27</v>
      </c>
      <c r="H4730" s="1" t="s">
        <v>24643</v>
      </c>
      <c r="I4730" s="1" t="s">
        <v>5</v>
      </c>
      <c r="J4730" s="1" t="s">
        <v>67</v>
      </c>
      <c r="K4730" s="1" t="s">
        <v>14</v>
      </c>
      <c r="M4730" s="2">
        <v>42787</v>
      </c>
      <c r="N4730" s="1" t="s">
        <v>8</v>
      </c>
      <c r="O4730" s="1" t="s">
        <v>68</v>
      </c>
    </row>
    <row r="4731" spans="1:15" ht="43.2" x14ac:dyDescent="0.3">
      <c r="A4731" s="1" t="s">
        <v>24644</v>
      </c>
      <c r="B4731" s="1" t="str">
        <f>"Martin Williams Williams Gardening and Removals"</f>
        <v>Martin Williams Williams Gardening and Removals</v>
      </c>
      <c r="C4731" s="1" t="s">
        <v>24645</v>
      </c>
      <c r="F4731" s="1" t="s">
        <v>42</v>
      </c>
      <c r="H4731" s="1" t="s">
        <v>24646</v>
      </c>
      <c r="I4731" s="1" t="s">
        <v>5</v>
      </c>
      <c r="J4731" s="1" t="s">
        <v>6</v>
      </c>
      <c r="K4731" s="1" t="s">
        <v>24</v>
      </c>
      <c r="M4731" s="2">
        <v>42787</v>
      </c>
      <c r="N4731" s="1" t="s">
        <v>8</v>
      </c>
      <c r="O4731" s="2">
        <v>43882</v>
      </c>
    </row>
    <row r="4732" spans="1:15" ht="43.2" x14ac:dyDescent="0.3">
      <c r="A4732" s="1" t="s">
        <v>24647</v>
      </c>
      <c r="B4732" s="1" t="str">
        <f>"Michael Probert Mike Probert Gas and Electrical"</f>
        <v>Michael Probert Mike Probert Gas and Electrical</v>
      </c>
      <c r="C4732" s="1" t="s">
        <v>24648</v>
      </c>
      <c r="F4732" s="1" t="s">
        <v>401</v>
      </c>
      <c r="H4732" s="1" t="s">
        <v>24649</v>
      </c>
      <c r="I4732" s="1" t="s">
        <v>5</v>
      </c>
      <c r="J4732" s="1" t="s">
        <v>6</v>
      </c>
      <c r="K4732" s="1" t="s">
        <v>24</v>
      </c>
      <c r="M4732" s="2">
        <v>42787</v>
      </c>
      <c r="N4732" s="1" t="s">
        <v>8</v>
      </c>
      <c r="O4732" s="2">
        <v>43882</v>
      </c>
    </row>
    <row r="4733" spans="1:15" x14ac:dyDescent="0.3">
      <c r="A4733" s="1" t="s">
        <v>10670</v>
      </c>
      <c r="B4733" s="1" t="str">
        <f>"Elkins Engineering Ltd"</f>
        <v>Elkins Engineering Ltd</v>
      </c>
      <c r="C4733" s="1" t="s">
        <v>10671</v>
      </c>
      <c r="F4733" s="1" t="s">
        <v>223</v>
      </c>
      <c r="H4733" s="1" t="s">
        <v>10672</v>
      </c>
      <c r="I4733" s="1" t="s">
        <v>19</v>
      </c>
      <c r="J4733" s="1" t="s">
        <v>6</v>
      </c>
      <c r="K4733" s="1" t="s">
        <v>24</v>
      </c>
      <c r="L4733" s="1">
        <v>9463000</v>
      </c>
      <c r="M4733" s="2">
        <v>42786</v>
      </c>
      <c r="N4733" s="1" t="s">
        <v>8</v>
      </c>
      <c r="O4733" s="2">
        <v>43881</v>
      </c>
    </row>
    <row r="4734" spans="1:15" ht="43.2" x14ac:dyDescent="0.3">
      <c r="A4734" s="1" t="s">
        <v>10673</v>
      </c>
      <c r="B4734" s="1" t="str">
        <f>"T I ROBERTS &amp; SONS"</f>
        <v>T I ROBERTS &amp; SONS</v>
      </c>
      <c r="C4734" s="1" t="s">
        <v>10674</v>
      </c>
      <c r="F4734" s="1" t="s">
        <v>161</v>
      </c>
      <c r="H4734" s="1" t="s">
        <v>10675</v>
      </c>
      <c r="I4734" s="1" t="s">
        <v>125</v>
      </c>
      <c r="J4734" s="1" t="s">
        <v>67</v>
      </c>
      <c r="K4734" s="1" t="s">
        <v>24</v>
      </c>
      <c r="M4734" s="2">
        <v>42786</v>
      </c>
      <c r="N4734" s="1" t="s">
        <v>8</v>
      </c>
      <c r="O4734" s="1" t="s">
        <v>68</v>
      </c>
    </row>
    <row r="4735" spans="1:15" ht="28.8" x14ac:dyDescent="0.3">
      <c r="A4735" s="1" t="s">
        <v>10676</v>
      </c>
      <c r="B4735" s="1" t="str">
        <f>"Triano Services Ltd"</f>
        <v>Triano Services Ltd</v>
      </c>
      <c r="C4735" s="1" t="s">
        <v>10677</v>
      </c>
      <c r="D4735" s="1" t="s">
        <v>358</v>
      </c>
      <c r="F4735" s="1" t="s">
        <v>359</v>
      </c>
      <c r="H4735" s="1" t="s">
        <v>10678</v>
      </c>
      <c r="I4735" s="1" t="s">
        <v>19</v>
      </c>
      <c r="J4735" s="1" t="s">
        <v>6</v>
      </c>
      <c r="K4735" s="1" t="s">
        <v>24</v>
      </c>
      <c r="L4735" s="1">
        <v>9740293</v>
      </c>
      <c r="M4735" s="2">
        <v>42786</v>
      </c>
      <c r="N4735" s="1" t="s">
        <v>8</v>
      </c>
      <c r="O4735" s="2">
        <v>43881</v>
      </c>
    </row>
    <row r="4736" spans="1:15" ht="43.2" x14ac:dyDescent="0.3">
      <c r="A4736" s="1" t="s">
        <v>10679</v>
      </c>
      <c r="B4736" s="1" t="str">
        <f>"ANDY HOWELLS BULK HAULAGE LTD"</f>
        <v>ANDY HOWELLS BULK HAULAGE LTD</v>
      </c>
      <c r="C4736" s="1" t="s">
        <v>10680</v>
      </c>
      <c r="F4736" s="1" t="s">
        <v>4630</v>
      </c>
      <c r="H4736" s="1" t="s">
        <v>10681</v>
      </c>
      <c r="I4736" s="1" t="s">
        <v>19</v>
      </c>
      <c r="J4736" s="1" t="s">
        <v>67</v>
      </c>
      <c r="K4736" s="1" t="s">
        <v>24</v>
      </c>
      <c r="L4736" s="1">
        <v>4940969</v>
      </c>
      <c r="M4736" s="2">
        <v>42786</v>
      </c>
      <c r="N4736" s="1" t="s">
        <v>8</v>
      </c>
      <c r="O4736" s="1" t="s">
        <v>68</v>
      </c>
    </row>
    <row r="4737" spans="1:15" x14ac:dyDescent="0.3">
      <c r="A4737" s="1" t="s">
        <v>10682</v>
      </c>
      <c r="B4737" s="1" t="str">
        <f>"Caelan Ltd"</f>
        <v>Caelan Ltd</v>
      </c>
      <c r="C4737" s="1" t="s">
        <v>10683</v>
      </c>
      <c r="F4737" s="1" t="s">
        <v>214</v>
      </c>
      <c r="H4737" s="1" t="s">
        <v>10684</v>
      </c>
      <c r="I4737" s="1" t="s">
        <v>19</v>
      </c>
      <c r="J4737" s="1" t="s">
        <v>6</v>
      </c>
      <c r="K4737" s="1" t="s">
        <v>24</v>
      </c>
      <c r="L4737" s="1">
        <v>8454014</v>
      </c>
      <c r="M4737" s="2">
        <v>42786</v>
      </c>
      <c r="N4737" s="1" t="s">
        <v>8</v>
      </c>
      <c r="O4737" s="2">
        <v>43881</v>
      </c>
    </row>
    <row r="4738" spans="1:15" ht="43.2" x14ac:dyDescent="0.3">
      <c r="A4738" s="1" t="s">
        <v>23799</v>
      </c>
      <c r="B4738" s="1" t="str">
        <f>"Zeeyad  Wadiwala"</f>
        <v>Zeeyad  Wadiwala</v>
      </c>
      <c r="C4738" s="1" t="s">
        <v>23800</v>
      </c>
      <c r="F4738" s="1" t="s">
        <v>15884</v>
      </c>
      <c r="H4738" s="1" t="s">
        <v>23801</v>
      </c>
      <c r="I4738" s="1" t="s">
        <v>5</v>
      </c>
      <c r="J4738" s="1" t="s">
        <v>67</v>
      </c>
      <c r="K4738" s="1" t="s">
        <v>14</v>
      </c>
      <c r="M4738" s="2">
        <v>42786</v>
      </c>
      <c r="N4738" s="1" t="s">
        <v>8</v>
      </c>
      <c r="O4738" s="1" t="s">
        <v>68</v>
      </c>
    </row>
    <row r="4739" spans="1:15" ht="28.8" x14ac:dyDescent="0.3">
      <c r="A4739" s="1" t="s">
        <v>23802</v>
      </c>
      <c r="B4739" s="1" t="str">
        <f>"Gareth  Griffiths Griffiths Motors"</f>
        <v>Gareth  Griffiths Griffiths Motors</v>
      </c>
      <c r="C4739" s="1" t="s">
        <v>23803</v>
      </c>
      <c r="F4739" s="1" t="s">
        <v>96</v>
      </c>
      <c r="H4739" s="1" t="s">
        <v>23804</v>
      </c>
      <c r="I4739" s="1" t="s">
        <v>5</v>
      </c>
      <c r="J4739" s="1" t="s">
        <v>6</v>
      </c>
      <c r="K4739" s="1" t="s">
        <v>34</v>
      </c>
      <c r="M4739" s="2">
        <v>42786</v>
      </c>
      <c r="N4739" s="1" t="s">
        <v>8</v>
      </c>
      <c r="O4739" s="2">
        <v>43881</v>
      </c>
    </row>
    <row r="4740" spans="1:15" ht="43.2" x14ac:dyDescent="0.3">
      <c r="A4740" s="1" t="s">
        <v>23805</v>
      </c>
      <c r="B4740" s="1" t="str">
        <f>"John Dean Horgan Dean Horgan"</f>
        <v>John Dean Horgan Dean Horgan</v>
      </c>
      <c r="C4740" s="1" t="s">
        <v>23806</v>
      </c>
      <c r="F4740" s="1" t="s">
        <v>438</v>
      </c>
      <c r="H4740" s="1" t="s">
        <v>23807</v>
      </c>
      <c r="I4740" s="1" t="s">
        <v>5</v>
      </c>
      <c r="J4740" s="1" t="s">
        <v>6</v>
      </c>
      <c r="K4740" s="1" t="s">
        <v>34</v>
      </c>
      <c r="M4740" s="2">
        <v>42786</v>
      </c>
      <c r="N4740" s="1" t="s">
        <v>8</v>
      </c>
      <c r="O4740" s="2">
        <v>43881</v>
      </c>
    </row>
    <row r="4741" spans="1:15" ht="43.2" x14ac:dyDescent="0.3">
      <c r="A4741" s="1" t="s">
        <v>23808</v>
      </c>
      <c r="B4741" s="1" t="str">
        <f>"David Thomas"</f>
        <v>David Thomas</v>
      </c>
      <c r="C4741" s="1" t="s">
        <v>23809</v>
      </c>
      <c r="D4741" s="1" t="s">
        <v>23810</v>
      </c>
      <c r="E4741" s="1" t="s">
        <v>596</v>
      </c>
      <c r="F4741" s="1" t="s">
        <v>65</v>
      </c>
      <c r="H4741" s="1" t="s">
        <v>23811</v>
      </c>
      <c r="I4741" s="1" t="s">
        <v>5</v>
      </c>
      <c r="J4741" s="1" t="s">
        <v>67</v>
      </c>
      <c r="K4741" s="1" t="s">
        <v>14</v>
      </c>
      <c r="M4741" s="2">
        <v>42786</v>
      </c>
      <c r="N4741" s="1" t="s">
        <v>8</v>
      </c>
      <c r="O4741" s="1" t="s">
        <v>68</v>
      </c>
    </row>
    <row r="4742" spans="1:15" ht="28.8" x14ac:dyDescent="0.3">
      <c r="A4742" s="1" t="s">
        <v>23812</v>
      </c>
      <c r="B4742" s="1" t="str">
        <f>"Kai Vicker Kai vicker"</f>
        <v>Kai Vicker Kai vicker</v>
      </c>
      <c r="C4742" s="1" t="s">
        <v>23813</v>
      </c>
      <c r="F4742" s="1" t="s">
        <v>825</v>
      </c>
      <c r="H4742" s="1" t="s">
        <v>23814</v>
      </c>
      <c r="I4742" s="1" t="s">
        <v>5</v>
      </c>
      <c r="J4742" s="1" t="s">
        <v>6</v>
      </c>
      <c r="K4742" s="1" t="s">
        <v>24</v>
      </c>
      <c r="M4742" s="2">
        <v>42786</v>
      </c>
      <c r="N4742" s="1" t="s">
        <v>8</v>
      </c>
      <c r="O4742" s="2">
        <v>43881</v>
      </c>
    </row>
    <row r="4743" spans="1:15" ht="28.8" x14ac:dyDescent="0.3">
      <c r="A4743" s="1" t="s">
        <v>23815</v>
      </c>
      <c r="B4743" s="1" t="str">
        <f>"Ian Morgan R.N.G. Morgan &amp; Son"</f>
        <v>Ian Morgan R.N.G. Morgan &amp; Son</v>
      </c>
      <c r="C4743" s="1" t="s">
        <v>23816</v>
      </c>
      <c r="F4743" s="1" t="s">
        <v>2906</v>
      </c>
      <c r="H4743" s="1" t="s">
        <v>23817</v>
      </c>
      <c r="I4743" s="1" t="s">
        <v>5</v>
      </c>
      <c r="J4743" s="1" t="s">
        <v>6</v>
      </c>
      <c r="K4743" s="1" t="s">
        <v>24</v>
      </c>
      <c r="M4743" s="2">
        <v>42786</v>
      </c>
      <c r="N4743" s="1" t="s">
        <v>8</v>
      </c>
      <c r="O4743" s="2">
        <v>43881</v>
      </c>
    </row>
    <row r="4744" spans="1:15" ht="43.2" x14ac:dyDescent="0.3">
      <c r="A4744" s="1" t="s">
        <v>10663</v>
      </c>
      <c r="B4744" s="1" t="str">
        <f>"E.C Grounds &amp; Maintenance "</f>
        <v xml:space="preserve">E.C Grounds &amp; Maintenance </v>
      </c>
      <c r="C4744" s="1" t="s">
        <v>10664</v>
      </c>
      <c r="F4744" s="1" t="s">
        <v>198</v>
      </c>
      <c r="H4744" s="1" t="s">
        <v>10665</v>
      </c>
      <c r="I4744" s="1" t="s">
        <v>125</v>
      </c>
      <c r="J4744" s="1" t="s">
        <v>67</v>
      </c>
      <c r="K4744" s="1" t="s">
        <v>14</v>
      </c>
      <c r="M4744" s="2">
        <v>42785</v>
      </c>
      <c r="N4744" s="1" t="s">
        <v>8</v>
      </c>
      <c r="O4744" s="1" t="s">
        <v>68</v>
      </c>
    </row>
    <row r="4745" spans="1:15" ht="28.8" x14ac:dyDescent="0.3">
      <c r="A4745" s="1" t="s">
        <v>10666</v>
      </c>
      <c r="B4745" s="1" t="str">
        <f>"ORL METALS LTD"</f>
        <v>ORL METALS LTD</v>
      </c>
      <c r="C4745" s="1" t="s">
        <v>10667</v>
      </c>
      <c r="D4745" s="1" t="s">
        <v>10668</v>
      </c>
      <c r="E4745" s="1" t="s">
        <v>6135</v>
      </c>
      <c r="F4745" s="1" t="s">
        <v>91</v>
      </c>
      <c r="H4745" s="1" t="s">
        <v>10669</v>
      </c>
      <c r="I4745" s="1" t="s">
        <v>19</v>
      </c>
      <c r="J4745" s="1" t="s">
        <v>6</v>
      </c>
      <c r="K4745" s="1" t="s">
        <v>34</v>
      </c>
      <c r="L4745" s="1">
        <v>9777484</v>
      </c>
      <c r="M4745" s="2">
        <v>42785</v>
      </c>
      <c r="N4745" s="1" t="s">
        <v>8</v>
      </c>
      <c r="O4745" s="2">
        <v>43880</v>
      </c>
    </row>
    <row r="4746" spans="1:15" ht="43.2" x14ac:dyDescent="0.3">
      <c r="A4746" s="1" t="s">
        <v>22998</v>
      </c>
      <c r="B4746" s="1" t="str">
        <f>"Anthony Sewell"</f>
        <v>Anthony Sewell</v>
      </c>
      <c r="C4746" s="1" t="s">
        <v>22999</v>
      </c>
      <c r="F4746" s="1" t="s">
        <v>8319</v>
      </c>
      <c r="H4746" s="1" t="s">
        <v>23000</v>
      </c>
      <c r="I4746" s="1" t="s">
        <v>5</v>
      </c>
      <c r="J4746" s="1" t="s">
        <v>67</v>
      </c>
      <c r="K4746" s="1" t="s">
        <v>14</v>
      </c>
      <c r="M4746" s="2">
        <v>42785</v>
      </c>
      <c r="N4746" s="1" t="s">
        <v>8</v>
      </c>
      <c r="O4746" s="1" t="s">
        <v>68</v>
      </c>
    </row>
    <row r="4747" spans="1:15" ht="43.2" x14ac:dyDescent="0.3">
      <c r="A4747" s="1" t="s">
        <v>23001</v>
      </c>
      <c r="B4747" s="1" t="str">
        <f>"Thushiyanthan Nadarajah "</f>
        <v xml:space="preserve">Thushiyanthan Nadarajah </v>
      </c>
      <c r="C4747" s="1" t="s">
        <v>23002</v>
      </c>
      <c r="F4747" s="1" t="s">
        <v>23003</v>
      </c>
      <c r="H4747" s="1" t="s">
        <v>23004</v>
      </c>
      <c r="I4747" s="1" t="s">
        <v>5</v>
      </c>
      <c r="J4747" s="1" t="s">
        <v>67</v>
      </c>
      <c r="K4747" s="1" t="s">
        <v>14</v>
      </c>
      <c r="M4747" s="2">
        <v>42785</v>
      </c>
      <c r="N4747" s="1" t="s">
        <v>8</v>
      </c>
      <c r="O4747" s="1" t="s">
        <v>68</v>
      </c>
    </row>
    <row r="4748" spans="1:15" ht="43.2" x14ac:dyDescent="0.3">
      <c r="A4748" s="1" t="s">
        <v>23790</v>
      </c>
      <c r="B4748" s="1" t="str">
        <f>"William O'Neill"</f>
        <v>William O'Neill</v>
      </c>
      <c r="C4748" s="1" t="s">
        <v>23791</v>
      </c>
      <c r="F4748" s="1" t="s">
        <v>174</v>
      </c>
      <c r="H4748" s="1" t="s">
        <v>23792</v>
      </c>
      <c r="I4748" s="1" t="s">
        <v>5</v>
      </c>
      <c r="J4748" s="1" t="s">
        <v>67</v>
      </c>
      <c r="K4748" s="1" t="s">
        <v>14</v>
      </c>
      <c r="M4748" s="2">
        <v>42785</v>
      </c>
      <c r="N4748" s="1" t="s">
        <v>8</v>
      </c>
      <c r="O4748" s="1" t="s">
        <v>68</v>
      </c>
    </row>
    <row r="4749" spans="1:15" ht="43.2" x14ac:dyDescent="0.3">
      <c r="A4749" s="1" t="s">
        <v>23793</v>
      </c>
      <c r="B4749" s="1" t="str">
        <f>"Christopher atkinson"</f>
        <v>Christopher atkinson</v>
      </c>
      <c r="C4749" s="1" t="s">
        <v>23794</v>
      </c>
      <c r="F4749" s="1" t="s">
        <v>7125</v>
      </c>
      <c r="H4749" s="1" t="s">
        <v>23795</v>
      </c>
      <c r="I4749" s="1" t="s">
        <v>5</v>
      </c>
      <c r="J4749" s="1" t="s">
        <v>67</v>
      </c>
      <c r="K4749" s="1" t="s">
        <v>14</v>
      </c>
      <c r="M4749" s="2">
        <v>42785</v>
      </c>
      <c r="N4749" s="1" t="s">
        <v>8</v>
      </c>
      <c r="O4749" s="1" t="s">
        <v>68</v>
      </c>
    </row>
    <row r="4750" spans="1:15" ht="28.8" x14ac:dyDescent="0.3">
      <c r="A4750" s="1" t="s">
        <v>23796</v>
      </c>
      <c r="B4750" s="1" t="str">
        <f>"Andrew Paige Swansea Garden Solutions"</f>
        <v>Andrew Paige Swansea Garden Solutions</v>
      </c>
      <c r="C4750" s="1" t="s">
        <v>23797</v>
      </c>
      <c r="F4750" s="1" t="s">
        <v>65</v>
      </c>
      <c r="H4750" s="1" t="s">
        <v>23798</v>
      </c>
      <c r="I4750" s="1" t="s">
        <v>5</v>
      </c>
      <c r="J4750" s="1" t="s">
        <v>6</v>
      </c>
      <c r="K4750" s="1" t="s">
        <v>24</v>
      </c>
      <c r="M4750" s="2">
        <v>42785</v>
      </c>
      <c r="N4750" s="1" t="s">
        <v>8</v>
      </c>
      <c r="O4750" s="2">
        <v>43880</v>
      </c>
    </row>
    <row r="4751" spans="1:15" ht="28.8" x14ac:dyDescent="0.3">
      <c r="A4751" s="1" t="s">
        <v>9625</v>
      </c>
      <c r="B4751" s="1" t="str">
        <f>"Clarke Contractors "</f>
        <v xml:space="preserve">Clarke Contractors </v>
      </c>
      <c r="C4751" s="1" t="s">
        <v>9626</v>
      </c>
      <c r="F4751" s="1" t="s">
        <v>1700</v>
      </c>
      <c r="H4751" s="1" t="s">
        <v>9627</v>
      </c>
      <c r="I4751" s="1" t="s">
        <v>125</v>
      </c>
      <c r="J4751" s="1" t="s">
        <v>6</v>
      </c>
      <c r="K4751" s="1" t="s">
        <v>34</v>
      </c>
      <c r="M4751" s="2">
        <v>42784</v>
      </c>
      <c r="N4751" s="1" t="s">
        <v>8</v>
      </c>
      <c r="O4751" s="2">
        <v>43879</v>
      </c>
    </row>
    <row r="4752" spans="1:15" ht="43.2" x14ac:dyDescent="0.3">
      <c r="A4752" s="1" t="s">
        <v>9628</v>
      </c>
      <c r="B4752" s="1" t="str">
        <f>"A W PHOENIX &amp; SONS"</f>
        <v>A W PHOENIX &amp; SONS</v>
      </c>
      <c r="C4752" s="1" t="s">
        <v>9629</v>
      </c>
      <c r="D4752" s="1" t="s">
        <v>9630</v>
      </c>
      <c r="F4752" s="1" t="s">
        <v>9631</v>
      </c>
      <c r="H4752" s="1" t="s">
        <v>9632</v>
      </c>
      <c r="I4752" s="1" t="s">
        <v>19</v>
      </c>
      <c r="J4752" s="1" t="s">
        <v>67</v>
      </c>
      <c r="K4752" s="1" t="s">
        <v>14</v>
      </c>
      <c r="M4752" s="2">
        <v>42784</v>
      </c>
      <c r="N4752" s="1" t="s">
        <v>8</v>
      </c>
      <c r="O4752" s="1" t="s">
        <v>68</v>
      </c>
    </row>
    <row r="4753" spans="1:15" ht="43.2" x14ac:dyDescent="0.3">
      <c r="A4753" s="1" t="s">
        <v>9633</v>
      </c>
      <c r="B4753" s="1" t="str">
        <f>"Siyauk Ltd"</f>
        <v>Siyauk Ltd</v>
      </c>
      <c r="C4753" s="1" t="s">
        <v>9634</v>
      </c>
      <c r="F4753" s="1" t="s">
        <v>27</v>
      </c>
      <c r="H4753" s="1" t="s">
        <v>9635</v>
      </c>
      <c r="I4753" s="1" t="s">
        <v>19</v>
      </c>
      <c r="J4753" s="1" t="s">
        <v>67</v>
      </c>
      <c r="K4753" s="1" t="s">
        <v>14</v>
      </c>
      <c r="M4753" s="2">
        <v>42784</v>
      </c>
      <c r="N4753" s="1" t="s">
        <v>8</v>
      </c>
      <c r="O4753" s="1" t="s">
        <v>68</v>
      </c>
    </row>
    <row r="4754" spans="1:15" ht="43.2" x14ac:dyDescent="0.3">
      <c r="A4754" s="1" t="s">
        <v>22991</v>
      </c>
      <c r="B4754" s="1" t="str">
        <f>"Raymond Griffiths"</f>
        <v>Raymond Griffiths</v>
      </c>
      <c r="C4754" s="1" t="s">
        <v>22992</v>
      </c>
      <c r="D4754" s="1" t="s">
        <v>7406</v>
      </c>
      <c r="F4754" s="1" t="s">
        <v>91</v>
      </c>
      <c r="H4754" s="1" t="s">
        <v>22993</v>
      </c>
      <c r="I4754" s="1" t="s">
        <v>5</v>
      </c>
      <c r="J4754" s="1" t="s">
        <v>67</v>
      </c>
      <c r="K4754" s="1" t="s">
        <v>14</v>
      </c>
      <c r="M4754" s="2">
        <v>42784</v>
      </c>
      <c r="N4754" s="1" t="s">
        <v>8</v>
      </c>
      <c r="O4754" s="1" t="s">
        <v>68</v>
      </c>
    </row>
    <row r="4755" spans="1:15" ht="28.8" x14ac:dyDescent="0.3">
      <c r="A4755" s="1" t="s">
        <v>22994</v>
      </c>
      <c r="B4755" s="1" t="str">
        <f>"julian lacey julian Lacey"</f>
        <v>julian lacey julian Lacey</v>
      </c>
      <c r="C4755" s="1" t="s">
        <v>22995</v>
      </c>
      <c r="D4755" s="1" t="s">
        <v>22996</v>
      </c>
      <c r="F4755" s="1" t="s">
        <v>42</v>
      </c>
      <c r="H4755" s="1" t="s">
        <v>22997</v>
      </c>
      <c r="I4755" s="1" t="s">
        <v>5</v>
      </c>
      <c r="J4755" s="1" t="s">
        <v>6</v>
      </c>
      <c r="K4755" s="1" t="s">
        <v>34</v>
      </c>
      <c r="M4755" s="2">
        <v>42784</v>
      </c>
      <c r="N4755" s="1" t="s">
        <v>8</v>
      </c>
      <c r="O4755" s="2">
        <v>43879</v>
      </c>
    </row>
    <row r="4756" spans="1:15" ht="43.2" x14ac:dyDescent="0.3">
      <c r="A4756" s="1" t="s">
        <v>8419</v>
      </c>
      <c r="B4756" s="1" t="str">
        <f>"Western Vale Family Practice"</f>
        <v>Western Vale Family Practice</v>
      </c>
      <c r="C4756" s="1" t="s">
        <v>8420</v>
      </c>
      <c r="F4756" s="1" t="s">
        <v>786</v>
      </c>
      <c r="H4756" s="1" t="s">
        <v>8421</v>
      </c>
      <c r="I4756" s="1" t="s">
        <v>125</v>
      </c>
      <c r="J4756" s="1" t="s">
        <v>67</v>
      </c>
      <c r="K4756" s="1" t="s">
        <v>14</v>
      </c>
      <c r="M4756" s="2">
        <v>42783</v>
      </c>
      <c r="N4756" s="1" t="s">
        <v>8</v>
      </c>
      <c r="O4756" s="1" t="s">
        <v>68</v>
      </c>
    </row>
    <row r="4757" spans="1:15" ht="43.2" x14ac:dyDescent="0.3">
      <c r="A4757" s="1" t="s">
        <v>8422</v>
      </c>
      <c r="B4757" s="1" t="str">
        <f>"Mondi Consumer Goods &amp; Packaging - "</f>
        <v xml:space="preserve">Mondi Consumer Goods &amp; Packaging - </v>
      </c>
      <c r="C4757" s="1" t="s">
        <v>3385</v>
      </c>
      <c r="F4757" s="1" t="s">
        <v>1346</v>
      </c>
      <c r="H4757" s="1" t="s">
        <v>8423</v>
      </c>
      <c r="I4757" s="1" t="s">
        <v>19</v>
      </c>
      <c r="J4757" s="1" t="s">
        <v>67</v>
      </c>
      <c r="K4757" s="1" t="s">
        <v>14</v>
      </c>
      <c r="M4757" s="2">
        <v>42783</v>
      </c>
      <c r="N4757" s="1" t="s">
        <v>8</v>
      </c>
      <c r="O4757" s="1" t="s">
        <v>68</v>
      </c>
    </row>
    <row r="4758" spans="1:15" ht="28.8" x14ac:dyDescent="0.3">
      <c r="A4758" s="1" t="s">
        <v>8424</v>
      </c>
      <c r="B4758" s="1" t="str">
        <f>"Celtic Recycling Ltd."</f>
        <v>Celtic Recycling Ltd.</v>
      </c>
      <c r="C4758" s="1" t="s">
        <v>8425</v>
      </c>
      <c r="D4758" s="1" t="s">
        <v>8331</v>
      </c>
      <c r="F4758" s="1" t="s">
        <v>91</v>
      </c>
      <c r="H4758" s="1" t="s">
        <v>8426</v>
      </c>
      <c r="I4758" s="1" t="s">
        <v>19</v>
      </c>
      <c r="J4758" s="1" t="s">
        <v>6</v>
      </c>
      <c r="K4758" s="1" t="s">
        <v>34</v>
      </c>
      <c r="L4758" s="1">
        <v>2765374</v>
      </c>
      <c r="M4758" s="2">
        <v>42783</v>
      </c>
      <c r="N4758" s="1" t="s">
        <v>8</v>
      </c>
      <c r="O4758" s="2">
        <v>43878</v>
      </c>
    </row>
    <row r="4759" spans="1:15" ht="28.8" x14ac:dyDescent="0.3">
      <c r="A4759" s="1" t="s">
        <v>8427</v>
      </c>
      <c r="B4759" s="1" t="str">
        <f>"W T &amp; D L Organ - NT &amp; SA Organ &amp; Co"</f>
        <v>W T &amp; D L Organ - NT &amp; SA Organ &amp; Co</v>
      </c>
      <c r="C4759" s="1" t="s">
        <v>8428</v>
      </c>
      <c r="F4759" s="1" t="s">
        <v>96</v>
      </c>
      <c r="H4759" s="1" t="s">
        <v>8429</v>
      </c>
      <c r="I4759" s="1" t="s">
        <v>125</v>
      </c>
      <c r="J4759" s="1" t="s">
        <v>6</v>
      </c>
      <c r="K4759" s="1" t="s">
        <v>24</v>
      </c>
      <c r="M4759" s="2">
        <v>42783</v>
      </c>
      <c r="N4759" s="1" t="s">
        <v>8</v>
      </c>
      <c r="O4759" s="2">
        <v>43878</v>
      </c>
    </row>
    <row r="4760" spans="1:15" ht="28.8" x14ac:dyDescent="0.3">
      <c r="A4760" s="1" t="s">
        <v>8430</v>
      </c>
      <c r="B4760" s="1" t="str">
        <f>"EDR Estates Ltd."</f>
        <v>EDR Estates Ltd.</v>
      </c>
      <c r="C4760" s="1" t="s">
        <v>8431</v>
      </c>
      <c r="F4760" s="1" t="s">
        <v>4731</v>
      </c>
      <c r="H4760" s="1" t="s">
        <v>8432</v>
      </c>
      <c r="I4760" s="1" t="s">
        <v>19</v>
      </c>
      <c r="J4760" s="1" t="s">
        <v>6</v>
      </c>
      <c r="K4760" s="1" t="s">
        <v>24</v>
      </c>
      <c r="L4760" s="1">
        <v>4357379</v>
      </c>
      <c r="M4760" s="2">
        <v>42783</v>
      </c>
      <c r="N4760" s="1" t="s">
        <v>8</v>
      </c>
      <c r="O4760" s="2">
        <v>43878</v>
      </c>
    </row>
    <row r="4761" spans="1:15" ht="28.8" x14ac:dyDescent="0.3">
      <c r="A4761" s="1" t="s">
        <v>8433</v>
      </c>
      <c r="B4761" s="1" t="str">
        <f>"PROSERVE LOGISTICS LIMITED"</f>
        <v>PROSERVE LOGISTICS LIMITED</v>
      </c>
      <c r="C4761" s="1" t="s">
        <v>7263</v>
      </c>
      <c r="D4761" s="1" t="s">
        <v>197</v>
      </c>
      <c r="F4761" s="1" t="s">
        <v>198</v>
      </c>
      <c r="H4761" s="1" t="s">
        <v>7264</v>
      </c>
      <c r="I4761" s="1" t="s">
        <v>19</v>
      </c>
      <c r="J4761" s="1" t="s">
        <v>6</v>
      </c>
      <c r="K4761" s="1" t="s">
        <v>34</v>
      </c>
      <c r="L4761" s="1">
        <v>8176587</v>
      </c>
      <c r="M4761" s="2">
        <v>42783</v>
      </c>
      <c r="N4761" s="1" t="s">
        <v>8</v>
      </c>
      <c r="O4761" s="2">
        <v>43878</v>
      </c>
    </row>
    <row r="4762" spans="1:15" ht="28.8" x14ac:dyDescent="0.3">
      <c r="A4762" s="1" t="s">
        <v>8434</v>
      </c>
      <c r="B4762" s="1" t="str">
        <f>"Helm Haulage Limited"</f>
        <v>Helm Haulage Limited</v>
      </c>
      <c r="C4762" s="1" t="s">
        <v>8435</v>
      </c>
      <c r="F4762" s="1" t="s">
        <v>198</v>
      </c>
      <c r="H4762" s="1" t="s">
        <v>8436</v>
      </c>
      <c r="I4762" s="1" t="s">
        <v>19</v>
      </c>
      <c r="J4762" s="1" t="s">
        <v>6</v>
      </c>
      <c r="K4762" s="1" t="s">
        <v>34</v>
      </c>
      <c r="L4762" s="1">
        <v>7510213</v>
      </c>
      <c r="M4762" s="2">
        <v>42783</v>
      </c>
      <c r="N4762" s="1" t="s">
        <v>8</v>
      </c>
      <c r="O4762" s="2">
        <v>43913</v>
      </c>
    </row>
    <row r="4763" spans="1:15" ht="43.2" x14ac:dyDescent="0.3">
      <c r="A4763" s="1" t="s">
        <v>8437</v>
      </c>
      <c r="B4763" s="1" t="str">
        <f>"Border Force"</f>
        <v>Border Force</v>
      </c>
      <c r="C4763" s="1" t="s">
        <v>8438</v>
      </c>
      <c r="F4763" s="1" t="s">
        <v>4279</v>
      </c>
      <c r="H4763" s="1" t="s">
        <v>8439</v>
      </c>
      <c r="I4763" s="1" t="s">
        <v>188</v>
      </c>
      <c r="J4763" s="1" t="s">
        <v>67</v>
      </c>
      <c r="K4763" s="1" t="s">
        <v>14</v>
      </c>
      <c r="M4763" s="2">
        <v>42783</v>
      </c>
      <c r="N4763" s="1" t="s">
        <v>8</v>
      </c>
      <c r="O4763" s="1" t="s">
        <v>68</v>
      </c>
    </row>
    <row r="4764" spans="1:15" ht="28.8" x14ac:dyDescent="0.3">
      <c r="A4764" s="1" t="s">
        <v>8440</v>
      </c>
      <c r="B4764" s="1" t="str">
        <f>"Tim Edmeston"</f>
        <v>Tim Edmeston</v>
      </c>
      <c r="C4764" s="1" t="s">
        <v>8441</v>
      </c>
      <c r="F4764" s="1" t="s">
        <v>328</v>
      </c>
      <c r="H4764" s="1" t="s">
        <v>8442</v>
      </c>
      <c r="I4764" s="1" t="s">
        <v>125</v>
      </c>
      <c r="J4764" s="1" t="s">
        <v>6</v>
      </c>
      <c r="K4764" s="1" t="s">
        <v>34</v>
      </c>
      <c r="M4764" s="2">
        <v>42783</v>
      </c>
      <c r="N4764" s="1" t="s">
        <v>8</v>
      </c>
      <c r="O4764" s="2">
        <v>43878</v>
      </c>
    </row>
    <row r="4765" spans="1:15" ht="28.8" x14ac:dyDescent="0.3">
      <c r="A4765" s="1" t="s">
        <v>9622</v>
      </c>
      <c r="B4765" s="1" t="str">
        <f>"Grange Industries Group Ltd"</f>
        <v>Grange Industries Group Ltd</v>
      </c>
      <c r="C4765" s="1" t="s">
        <v>9623</v>
      </c>
      <c r="D4765" s="1" t="s">
        <v>5091</v>
      </c>
      <c r="E4765" s="1" t="s">
        <v>1839</v>
      </c>
      <c r="F4765" s="1" t="s">
        <v>103</v>
      </c>
      <c r="H4765" s="1" t="s">
        <v>9624</v>
      </c>
      <c r="I4765" s="1" t="s">
        <v>19</v>
      </c>
      <c r="J4765" s="1" t="s">
        <v>6</v>
      </c>
      <c r="K4765" s="1" t="s">
        <v>34</v>
      </c>
      <c r="L4765" s="1">
        <v>10526339</v>
      </c>
      <c r="M4765" s="2">
        <v>42783</v>
      </c>
      <c r="N4765" s="1" t="s">
        <v>8</v>
      </c>
      <c r="O4765" s="2">
        <v>43878</v>
      </c>
    </row>
    <row r="4766" spans="1:15" ht="28.8" x14ac:dyDescent="0.3">
      <c r="A4766" s="1" t="s">
        <v>22256</v>
      </c>
      <c r="B4766" s="1" t="str">
        <f>"Andrew Lloyd Andrew Lloyd"</f>
        <v>Andrew Lloyd Andrew Lloyd</v>
      </c>
      <c r="C4766" s="1" t="s">
        <v>22257</v>
      </c>
      <c r="F4766" s="1" t="s">
        <v>162</v>
      </c>
      <c r="H4766" s="1" t="s">
        <v>22258</v>
      </c>
      <c r="I4766" s="1" t="s">
        <v>5</v>
      </c>
      <c r="J4766" s="1" t="s">
        <v>6</v>
      </c>
      <c r="K4766" s="1" t="s">
        <v>24</v>
      </c>
      <c r="M4766" s="2">
        <v>42783</v>
      </c>
      <c r="N4766" s="1" t="s">
        <v>8</v>
      </c>
      <c r="O4766" s="2">
        <v>43878</v>
      </c>
    </row>
    <row r="4767" spans="1:15" ht="28.8" x14ac:dyDescent="0.3">
      <c r="A4767" s="1" t="s">
        <v>22259</v>
      </c>
      <c r="B4767" s="1" t="str">
        <f>"Gareth Llewelyn Jones"</f>
        <v>Gareth Llewelyn Jones</v>
      </c>
      <c r="C4767" s="1" t="s">
        <v>22260</v>
      </c>
      <c r="F4767" s="1" t="s">
        <v>50</v>
      </c>
      <c r="H4767" s="1" t="s">
        <v>22261</v>
      </c>
      <c r="I4767" s="1" t="s">
        <v>5</v>
      </c>
      <c r="J4767" s="1" t="s">
        <v>6</v>
      </c>
      <c r="K4767" s="1" t="s">
        <v>34</v>
      </c>
      <c r="M4767" s="2">
        <v>42783</v>
      </c>
      <c r="N4767" s="1" t="s">
        <v>8</v>
      </c>
      <c r="O4767" s="2">
        <v>43878</v>
      </c>
    </row>
    <row r="4768" spans="1:15" ht="43.2" x14ac:dyDescent="0.3">
      <c r="A4768" s="1" t="s">
        <v>22262</v>
      </c>
      <c r="B4768" s="1" t="str">
        <f>"S Niamir"</f>
        <v>S Niamir</v>
      </c>
      <c r="C4768" s="1" t="s">
        <v>22263</v>
      </c>
      <c r="D4768" s="1" t="s">
        <v>22264</v>
      </c>
      <c r="F4768" s="1" t="s">
        <v>380</v>
      </c>
      <c r="H4768" s="1" t="s">
        <v>22265</v>
      </c>
      <c r="I4768" s="1" t="s">
        <v>5</v>
      </c>
      <c r="J4768" s="1" t="s">
        <v>67</v>
      </c>
      <c r="K4768" s="1" t="s">
        <v>14</v>
      </c>
      <c r="M4768" s="2">
        <v>42783</v>
      </c>
      <c r="N4768" s="1" t="s">
        <v>8</v>
      </c>
      <c r="O4768" s="1" t="s">
        <v>68</v>
      </c>
    </row>
    <row r="4769" spans="1:15" x14ac:dyDescent="0.3">
      <c r="A4769" s="1" t="s">
        <v>22986</v>
      </c>
      <c r="B4769" s="1" t="str">
        <f>"David  Lewis"</f>
        <v>David  Lewis</v>
      </c>
      <c r="C4769" s="1" t="s">
        <v>3468</v>
      </c>
      <c r="F4769" s="1" t="s">
        <v>5291</v>
      </c>
      <c r="H4769" s="1" t="s">
        <v>22987</v>
      </c>
      <c r="I4769" s="1" t="s">
        <v>5</v>
      </c>
      <c r="J4769" s="1" t="s">
        <v>6</v>
      </c>
      <c r="K4769" s="1" t="s">
        <v>24</v>
      </c>
      <c r="M4769" s="2">
        <v>42783</v>
      </c>
      <c r="N4769" s="1" t="s">
        <v>8</v>
      </c>
      <c r="O4769" s="2">
        <v>43975</v>
      </c>
    </row>
    <row r="4770" spans="1:15" ht="43.2" x14ac:dyDescent="0.3">
      <c r="A4770" s="1" t="s">
        <v>22988</v>
      </c>
      <c r="B4770" s="1" t="str">
        <f>"John Chichester Rhiwbina sheds &amp; fencing"</f>
        <v>John Chichester Rhiwbina sheds &amp; fencing</v>
      </c>
      <c r="C4770" s="1" t="s">
        <v>22989</v>
      </c>
      <c r="F4770" s="1" t="s">
        <v>27</v>
      </c>
      <c r="H4770" s="1" t="s">
        <v>22990</v>
      </c>
      <c r="I4770" s="1" t="s">
        <v>5</v>
      </c>
      <c r="J4770" s="1" t="s">
        <v>6</v>
      </c>
      <c r="K4770" s="1" t="s">
        <v>24</v>
      </c>
      <c r="M4770" s="2">
        <v>42783</v>
      </c>
      <c r="N4770" s="1" t="s">
        <v>8</v>
      </c>
      <c r="O4770" s="2">
        <v>43878</v>
      </c>
    </row>
    <row r="4771" spans="1:15" ht="43.2" x14ac:dyDescent="0.3">
      <c r="A4771" s="1" t="s">
        <v>6169</v>
      </c>
      <c r="B4771" s="1" t="str">
        <f>"Rein-Force (UK) LTD"</f>
        <v>Rein-Force (UK) LTD</v>
      </c>
      <c r="C4771" s="1" t="s">
        <v>6170</v>
      </c>
      <c r="F4771" s="1" t="s">
        <v>457</v>
      </c>
      <c r="H4771" s="1" t="s">
        <v>6171</v>
      </c>
      <c r="I4771" s="1" t="s">
        <v>19</v>
      </c>
      <c r="J4771" s="1" t="s">
        <v>67</v>
      </c>
      <c r="K4771" s="1" t="s">
        <v>24</v>
      </c>
      <c r="L4771" s="1">
        <v>8479322</v>
      </c>
      <c r="M4771" s="2">
        <v>42782</v>
      </c>
      <c r="N4771" s="1" t="s">
        <v>8</v>
      </c>
      <c r="O4771" s="1" t="s">
        <v>68</v>
      </c>
    </row>
    <row r="4772" spans="1:15" ht="43.2" x14ac:dyDescent="0.3">
      <c r="A4772" s="1" t="s">
        <v>7247</v>
      </c>
      <c r="B4772" s="1" t="str">
        <f>"CONWY VALLEY WINDOWS  &amp;  CONSERVATORIES LTD."</f>
        <v>CONWY VALLEY WINDOWS  &amp;  CONSERVATORIES LTD.</v>
      </c>
      <c r="C4772" s="1" t="s">
        <v>7248</v>
      </c>
      <c r="F4772" s="1" t="s">
        <v>3242</v>
      </c>
      <c r="H4772" s="1" t="s">
        <v>7249</v>
      </c>
      <c r="I4772" s="1" t="s">
        <v>19</v>
      </c>
      <c r="J4772" s="1" t="s">
        <v>6</v>
      </c>
      <c r="K4772" s="1" t="s">
        <v>1859</v>
      </c>
      <c r="L4772" s="1">
        <v>6875386</v>
      </c>
      <c r="M4772" s="2">
        <v>42782</v>
      </c>
      <c r="N4772" s="1" t="s">
        <v>8</v>
      </c>
      <c r="O4772" s="2">
        <v>43877</v>
      </c>
    </row>
    <row r="4773" spans="1:15" ht="28.8" x14ac:dyDescent="0.3">
      <c r="A4773" s="1" t="s">
        <v>7250</v>
      </c>
      <c r="B4773" s="1" t="str">
        <f>"Zenith Washroom Solutions"</f>
        <v>Zenith Washroom Solutions</v>
      </c>
      <c r="C4773" s="1" t="s">
        <v>7251</v>
      </c>
      <c r="F4773" s="1" t="s">
        <v>7252</v>
      </c>
      <c r="H4773" s="1" t="s">
        <v>7253</v>
      </c>
      <c r="I4773" s="1" t="s">
        <v>19</v>
      </c>
      <c r="J4773" s="1" t="s">
        <v>6</v>
      </c>
      <c r="K4773" s="1" t="s">
        <v>34</v>
      </c>
      <c r="L4773" s="1">
        <v>3199148</v>
      </c>
      <c r="M4773" s="2">
        <v>42782</v>
      </c>
      <c r="N4773" s="1" t="s">
        <v>8</v>
      </c>
      <c r="O4773" s="2">
        <v>43877</v>
      </c>
    </row>
    <row r="4774" spans="1:15" ht="28.8" x14ac:dyDescent="0.3">
      <c r="A4774" s="1" t="s">
        <v>7254</v>
      </c>
      <c r="B4774" s="1" t="str">
        <f>"Avalon Insulation Services Ltd."</f>
        <v>Avalon Insulation Services Ltd.</v>
      </c>
      <c r="C4774" s="1" t="s">
        <v>7255</v>
      </c>
      <c r="F4774" s="1" t="s">
        <v>1351</v>
      </c>
      <c r="H4774" s="1" t="s">
        <v>7256</v>
      </c>
      <c r="I4774" s="1" t="s">
        <v>19</v>
      </c>
      <c r="J4774" s="1" t="s">
        <v>6</v>
      </c>
      <c r="K4774" s="1" t="s">
        <v>34</v>
      </c>
      <c r="L4774" s="1">
        <v>2071252</v>
      </c>
      <c r="M4774" s="2">
        <v>42782</v>
      </c>
      <c r="N4774" s="1" t="s">
        <v>8</v>
      </c>
      <c r="O4774" s="2">
        <v>43877</v>
      </c>
    </row>
    <row r="4775" spans="1:15" ht="28.8" x14ac:dyDescent="0.3">
      <c r="A4775" s="1" t="s">
        <v>7257</v>
      </c>
      <c r="B4775" s="1" t="str">
        <f>"Llanelli Rural Council"</f>
        <v>Llanelli Rural Council</v>
      </c>
      <c r="C4775" s="1" t="s">
        <v>4523</v>
      </c>
      <c r="F4775" s="1" t="s">
        <v>42</v>
      </c>
      <c r="H4775" s="1" t="s">
        <v>4524</v>
      </c>
      <c r="I4775" s="1" t="s">
        <v>188</v>
      </c>
      <c r="J4775" s="1" t="s">
        <v>6</v>
      </c>
      <c r="K4775" s="1" t="s">
        <v>24</v>
      </c>
      <c r="M4775" s="2">
        <v>42782</v>
      </c>
      <c r="N4775" s="1" t="s">
        <v>8</v>
      </c>
      <c r="O4775" s="2">
        <v>43877</v>
      </c>
    </row>
    <row r="4776" spans="1:15" ht="43.2" x14ac:dyDescent="0.3">
      <c r="A4776" s="1" t="s">
        <v>7258</v>
      </c>
      <c r="B4776" s="1" t="str">
        <f>"A J Crews &amp; Co. Ltd."</f>
        <v>A J Crews &amp; Co. Ltd.</v>
      </c>
      <c r="C4776" s="1" t="s">
        <v>7259</v>
      </c>
      <c r="D4776" s="1" t="s">
        <v>7260</v>
      </c>
      <c r="F4776" s="1" t="s">
        <v>123</v>
      </c>
      <c r="H4776" s="1" t="s">
        <v>7261</v>
      </c>
      <c r="I4776" s="1" t="s">
        <v>19</v>
      </c>
      <c r="J4776" s="1" t="s">
        <v>67</v>
      </c>
      <c r="K4776" s="1" t="s">
        <v>24</v>
      </c>
      <c r="L4776" s="1">
        <v>1192766</v>
      </c>
      <c r="M4776" s="2">
        <v>42782</v>
      </c>
      <c r="N4776" s="1" t="s">
        <v>8</v>
      </c>
      <c r="O4776" s="1" t="s">
        <v>68</v>
      </c>
    </row>
    <row r="4777" spans="1:15" ht="43.2" x14ac:dyDescent="0.3">
      <c r="A4777" s="1" t="s">
        <v>7262</v>
      </c>
      <c r="B4777" s="1" t="str">
        <f>"PROSERVE LOGISTICS LIMITED"</f>
        <v>PROSERVE LOGISTICS LIMITED</v>
      </c>
      <c r="C4777" s="1" t="s">
        <v>7263</v>
      </c>
      <c r="D4777" s="1" t="s">
        <v>197</v>
      </c>
      <c r="F4777" s="1" t="s">
        <v>198</v>
      </c>
      <c r="H4777" s="1" t="s">
        <v>7264</v>
      </c>
      <c r="I4777" s="1" t="s">
        <v>19</v>
      </c>
      <c r="J4777" s="1" t="s">
        <v>67</v>
      </c>
      <c r="K4777" s="1" t="s">
        <v>34</v>
      </c>
      <c r="L4777" s="1">
        <v>8176587</v>
      </c>
      <c r="M4777" s="2">
        <v>42782</v>
      </c>
      <c r="N4777" s="1" t="s">
        <v>8</v>
      </c>
      <c r="O4777" s="1" t="s">
        <v>68</v>
      </c>
    </row>
    <row r="4778" spans="1:15" ht="43.2" x14ac:dyDescent="0.3">
      <c r="A4778" s="1" t="s">
        <v>7265</v>
      </c>
      <c r="B4778" s="1" t="str">
        <f>"Gurnell food and wine limited "</f>
        <v xml:space="preserve">Gurnell food and wine limited </v>
      </c>
      <c r="C4778" s="1" t="s">
        <v>7266</v>
      </c>
      <c r="F4778" s="1" t="s">
        <v>170</v>
      </c>
      <c r="H4778" s="1" t="s">
        <v>7267</v>
      </c>
      <c r="I4778" s="1" t="s">
        <v>19</v>
      </c>
      <c r="J4778" s="1" t="s">
        <v>67</v>
      </c>
      <c r="K4778" s="1" t="s">
        <v>14</v>
      </c>
      <c r="M4778" s="2">
        <v>42782</v>
      </c>
      <c r="N4778" s="1" t="s">
        <v>8</v>
      </c>
      <c r="O4778" s="1" t="s">
        <v>68</v>
      </c>
    </row>
    <row r="4779" spans="1:15" ht="43.2" x14ac:dyDescent="0.3">
      <c r="A4779" s="1" t="s">
        <v>7268</v>
      </c>
      <c r="B4779" s="1" t="str">
        <f>"Chris Arlett Painting Contractors"</f>
        <v>Chris Arlett Painting Contractors</v>
      </c>
      <c r="C4779" s="1" t="s">
        <v>7269</v>
      </c>
      <c r="F4779" s="1" t="s">
        <v>91</v>
      </c>
      <c r="H4779" s="1" t="s">
        <v>7270</v>
      </c>
      <c r="I4779" s="1" t="s">
        <v>125</v>
      </c>
      <c r="J4779" s="1" t="s">
        <v>67</v>
      </c>
      <c r="K4779" s="1" t="s">
        <v>14</v>
      </c>
      <c r="M4779" s="2">
        <v>42782</v>
      </c>
      <c r="N4779" s="1" t="s">
        <v>8</v>
      </c>
      <c r="O4779" s="1" t="s">
        <v>68</v>
      </c>
    </row>
    <row r="4780" spans="1:15" ht="28.8" x14ac:dyDescent="0.3">
      <c r="A4780" s="1" t="s">
        <v>20637</v>
      </c>
      <c r="B4780" s="1" t="str">
        <f>"Simon  Davies Build me up buttercup "</f>
        <v xml:space="preserve">Simon  Davies Build me up buttercup </v>
      </c>
      <c r="C4780" s="1" t="s">
        <v>20638</v>
      </c>
      <c r="F4780" s="1" t="s">
        <v>65</v>
      </c>
      <c r="H4780" s="1" t="s">
        <v>20639</v>
      </c>
      <c r="I4780" s="1" t="s">
        <v>5</v>
      </c>
      <c r="J4780" s="1" t="s">
        <v>6</v>
      </c>
      <c r="K4780" s="1" t="s">
        <v>24</v>
      </c>
      <c r="M4780" s="2">
        <v>42782</v>
      </c>
      <c r="N4780" s="1" t="s">
        <v>8</v>
      </c>
      <c r="O4780" s="2">
        <v>43877</v>
      </c>
    </row>
    <row r="4781" spans="1:15" ht="28.8" x14ac:dyDescent="0.3">
      <c r="A4781" s="1" t="s">
        <v>20640</v>
      </c>
      <c r="B4781" s="1" t="str">
        <f>"Jason Escott JE Grab Hire"</f>
        <v>Jason Escott JE Grab Hire</v>
      </c>
      <c r="C4781" s="1" t="s">
        <v>20641</v>
      </c>
      <c r="F4781" s="1" t="s">
        <v>298</v>
      </c>
      <c r="H4781" s="1" t="s">
        <v>20642</v>
      </c>
      <c r="I4781" s="1" t="s">
        <v>5</v>
      </c>
      <c r="J4781" s="1" t="s">
        <v>6</v>
      </c>
      <c r="K4781" s="1" t="s">
        <v>24</v>
      </c>
      <c r="M4781" s="2">
        <v>42782</v>
      </c>
      <c r="N4781" s="1" t="s">
        <v>8</v>
      </c>
      <c r="O4781" s="2">
        <v>43877</v>
      </c>
    </row>
    <row r="4782" spans="1:15" ht="28.8" x14ac:dyDescent="0.3">
      <c r="A4782" s="1" t="s">
        <v>20643</v>
      </c>
      <c r="B4782" s="1" t="str">
        <f>"robert  jones RJ's Transport"</f>
        <v>robert  jones RJ's Transport</v>
      </c>
      <c r="C4782" s="1" t="s">
        <v>20644</v>
      </c>
      <c r="F4782" s="1" t="s">
        <v>1278</v>
      </c>
      <c r="H4782" s="1" t="s">
        <v>20645</v>
      </c>
      <c r="I4782" s="1" t="s">
        <v>5</v>
      </c>
      <c r="J4782" s="1" t="s">
        <v>6</v>
      </c>
      <c r="K4782" s="1" t="s">
        <v>34</v>
      </c>
      <c r="M4782" s="2">
        <v>42782</v>
      </c>
      <c r="N4782" s="1" t="s">
        <v>8</v>
      </c>
      <c r="O4782" s="2">
        <v>43877</v>
      </c>
    </row>
    <row r="4783" spans="1:15" ht="28.8" x14ac:dyDescent="0.3">
      <c r="A4783" s="1" t="s">
        <v>21416</v>
      </c>
      <c r="B4783" s="1" t="str">
        <f>"Martin Wayne Leworthy"</f>
        <v>Martin Wayne Leworthy</v>
      </c>
      <c r="C4783" s="1" t="s">
        <v>21417</v>
      </c>
      <c r="F4783" s="1" t="s">
        <v>27</v>
      </c>
      <c r="H4783" s="1" t="s">
        <v>21418</v>
      </c>
      <c r="I4783" s="1" t="s">
        <v>5</v>
      </c>
      <c r="J4783" s="1" t="s">
        <v>6</v>
      </c>
      <c r="K4783" s="1" t="s">
        <v>24</v>
      </c>
      <c r="M4783" s="2">
        <v>42782</v>
      </c>
      <c r="N4783" s="1" t="s">
        <v>8</v>
      </c>
      <c r="O4783" s="2">
        <v>43877</v>
      </c>
    </row>
    <row r="4784" spans="1:15" ht="43.2" x14ac:dyDescent="0.3">
      <c r="A4784" s="1" t="s">
        <v>21419</v>
      </c>
      <c r="B4784" s="1" t="str">
        <f>"Rabiap Sterling-weller"</f>
        <v>Rabiap Sterling-weller</v>
      </c>
      <c r="C4784" s="1" t="s">
        <v>21420</v>
      </c>
      <c r="F4784" s="1" t="s">
        <v>4279</v>
      </c>
      <c r="H4784" s="1" t="s">
        <v>21421</v>
      </c>
      <c r="I4784" s="1" t="s">
        <v>5</v>
      </c>
      <c r="J4784" s="1" t="s">
        <v>67</v>
      </c>
      <c r="K4784" s="1" t="s">
        <v>14</v>
      </c>
      <c r="M4784" s="2">
        <v>42782</v>
      </c>
      <c r="N4784" s="1" t="s">
        <v>8</v>
      </c>
      <c r="O4784" s="1" t="s">
        <v>68</v>
      </c>
    </row>
    <row r="4785" spans="1:15" ht="28.8" x14ac:dyDescent="0.3">
      <c r="A4785" s="1" t="s">
        <v>21422</v>
      </c>
      <c r="B4785" s="1" t="str">
        <f>"Ben Davies Ben davies plant hire"</f>
        <v>Ben Davies Ben davies plant hire</v>
      </c>
      <c r="C4785" s="1" t="s">
        <v>21423</v>
      </c>
      <c r="F4785" s="1" t="s">
        <v>21424</v>
      </c>
      <c r="H4785" s="1" t="s">
        <v>21425</v>
      </c>
      <c r="I4785" s="1" t="s">
        <v>5</v>
      </c>
      <c r="J4785" s="1" t="s">
        <v>6</v>
      </c>
      <c r="K4785" s="1" t="s">
        <v>24</v>
      </c>
      <c r="M4785" s="2">
        <v>42782</v>
      </c>
      <c r="N4785" s="1" t="s">
        <v>8</v>
      </c>
      <c r="O4785" s="2">
        <v>43877</v>
      </c>
    </row>
    <row r="4786" spans="1:15" ht="43.2" x14ac:dyDescent="0.3">
      <c r="A4786" s="1" t="s">
        <v>21426</v>
      </c>
      <c r="B4786" s="1" t="str">
        <f>"Emily Januszewski"</f>
        <v>Emily Januszewski</v>
      </c>
      <c r="C4786" s="1" t="s">
        <v>21427</v>
      </c>
      <c r="F4786" s="1" t="s">
        <v>3337</v>
      </c>
      <c r="H4786" s="1" t="s">
        <v>1716</v>
      </c>
      <c r="I4786" s="1" t="s">
        <v>5</v>
      </c>
      <c r="J4786" s="1" t="s">
        <v>67</v>
      </c>
      <c r="K4786" s="1" t="s">
        <v>14</v>
      </c>
      <c r="M4786" s="2">
        <v>42782</v>
      </c>
      <c r="N4786" s="1" t="s">
        <v>8</v>
      </c>
      <c r="O4786" s="1" t="s">
        <v>68</v>
      </c>
    </row>
    <row r="4787" spans="1:15" ht="43.2" x14ac:dyDescent="0.3">
      <c r="A4787" s="1" t="s">
        <v>22253</v>
      </c>
      <c r="B4787" s="1" t="str">
        <f>"Israr Un-Nabi"</f>
        <v>Israr Un-Nabi</v>
      </c>
      <c r="C4787" s="1" t="s">
        <v>22254</v>
      </c>
      <c r="F4787" s="1" t="s">
        <v>380</v>
      </c>
      <c r="H4787" s="1" t="s">
        <v>22255</v>
      </c>
      <c r="I4787" s="1" t="s">
        <v>5</v>
      </c>
      <c r="J4787" s="1" t="s">
        <v>67</v>
      </c>
      <c r="K4787" s="1" t="s">
        <v>14</v>
      </c>
      <c r="M4787" s="2">
        <v>42782</v>
      </c>
      <c r="N4787" s="1" t="s">
        <v>8</v>
      </c>
      <c r="O4787" s="1" t="s">
        <v>68</v>
      </c>
    </row>
    <row r="4788" spans="1:15" ht="28.8" x14ac:dyDescent="0.3">
      <c r="A4788" s="1" t="s">
        <v>4974</v>
      </c>
      <c r="B4788" s="1" t="str">
        <f>"Original Roofing Company Ltd"</f>
        <v>Original Roofing Company Ltd</v>
      </c>
      <c r="C4788" s="1" t="s">
        <v>4975</v>
      </c>
      <c r="D4788" s="1" t="s">
        <v>4976</v>
      </c>
      <c r="F4788" s="1" t="s">
        <v>370</v>
      </c>
      <c r="H4788" s="1" t="s">
        <v>4977</v>
      </c>
      <c r="I4788" s="1" t="s">
        <v>19</v>
      </c>
      <c r="J4788" s="1" t="s">
        <v>6</v>
      </c>
      <c r="K4788" s="1" t="s">
        <v>24</v>
      </c>
      <c r="L4788" s="1">
        <v>9763234</v>
      </c>
      <c r="M4788" s="2">
        <v>42781</v>
      </c>
      <c r="N4788" s="1" t="s">
        <v>8</v>
      </c>
      <c r="O4788" s="2">
        <v>43876</v>
      </c>
    </row>
    <row r="4789" spans="1:15" ht="28.8" x14ac:dyDescent="0.3">
      <c r="A4789" s="1" t="s">
        <v>4978</v>
      </c>
      <c r="B4789" s="1" t="str">
        <f>"Haran Roofing Limited"</f>
        <v>Haran Roofing Limited</v>
      </c>
      <c r="C4789" s="1" t="s">
        <v>4979</v>
      </c>
      <c r="D4789" s="1" t="s">
        <v>4980</v>
      </c>
      <c r="F4789" s="1" t="s">
        <v>767</v>
      </c>
      <c r="H4789" s="1" t="s">
        <v>4981</v>
      </c>
      <c r="I4789" s="1" t="s">
        <v>19</v>
      </c>
      <c r="J4789" s="1" t="s">
        <v>6</v>
      </c>
      <c r="K4789" s="1" t="s">
        <v>34</v>
      </c>
      <c r="L4789" s="1">
        <v>5384510</v>
      </c>
      <c r="M4789" s="2">
        <v>42781</v>
      </c>
      <c r="N4789" s="1" t="s">
        <v>8</v>
      </c>
      <c r="O4789" s="2">
        <v>43876</v>
      </c>
    </row>
    <row r="4790" spans="1:15" ht="43.2" x14ac:dyDescent="0.3">
      <c r="A4790" s="1" t="s">
        <v>4982</v>
      </c>
      <c r="B4790" s="1" t="str">
        <f>"Plas Farm Ltd"</f>
        <v>Plas Farm Ltd</v>
      </c>
      <c r="C4790" s="1" t="s">
        <v>4983</v>
      </c>
      <c r="F4790" s="1" t="s">
        <v>119</v>
      </c>
      <c r="H4790" s="1" t="s">
        <v>3059</v>
      </c>
      <c r="I4790" s="1" t="s">
        <v>19</v>
      </c>
      <c r="J4790" s="1" t="s">
        <v>67</v>
      </c>
      <c r="K4790" s="1" t="s">
        <v>14</v>
      </c>
      <c r="M4790" s="2">
        <v>42781</v>
      </c>
      <c r="N4790" s="1" t="s">
        <v>8</v>
      </c>
      <c r="O4790" s="1" t="s">
        <v>68</v>
      </c>
    </row>
    <row r="4791" spans="1:15" ht="28.8" x14ac:dyDescent="0.3">
      <c r="A4791" s="1" t="s">
        <v>4984</v>
      </c>
      <c r="B4791" s="1" t="str">
        <f>"Cryotron Consultancy Ltd"</f>
        <v>Cryotron Consultancy Ltd</v>
      </c>
      <c r="C4791" s="1" t="s">
        <v>4985</v>
      </c>
      <c r="D4791" s="1" t="s">
        <v>4986</v>
      </c>
      <c r="F4791" s="1" t="s">
        <v>4987</v>
      </c>
      <c r="H4791" s="1" t="s">
        <v>4988</v>
      </c>
      <c r="I4791" s="1" t="s">
        <v>19</v>
      </c>
      <c r="J4791" s="1" t="s">
        <v>6</v>
      </c>
      <c r="K4791" s="1" t="s">
        <v>24</v>
      </c>
      <c r="L4791" s="1">
        <v>9000003</v>
      </c>
      <c r="M4791" s="2">
        <v>42781</v>
      </c>
      <c r="N4791" s="1" t="s">
        <v>8</v>
      </c>
      <c r="O4791" s="2">
        <v>43876</v>
      </c>
    </row>
    <row r="4792" spans="1:15" ht="28.8" x14ac:dyDescent="0.3">
      <c r="A4792" s="1" t="s">
        <v>4989</v>
      </c>
      <c r="B4792" s="1" t="str">
        <f>"Main Street Maintenance"</f>
        <v>Main Street Maintenance</v>
      </c>
      <c r="C4792" s="1" t="s">
        <v>4990</v>
      </c>
      <c r="F4792" s="1" t="s">
        <v>1975</v>
      </c>
      <c r="H4792" s="1" t="s">
        <v>4991</v>
      </c>
      <c r="I4792" s="1" t="s">
        <v>125</v>
      </c>
      <c r="J4792" s="1" t="s">
        <v>6</v>
      </c>
      <c r="K4792" s="1" t="s">
        <v>34</v>
      </c>
      <c r="M4792" s="2">
        <v>42781</v>
      </c>
      <c r="N4792" s="1" t="s">
        <v>8</v>
      </c>
      <c r="O4792" s="2">
        <v>43876</v>
      </c>
    </row>
    <row r="4793" spans="1:15" ht="43.2" x14ac:dyDescent="0.3">
      <c r="A4793" s="1" t="s">
        <v>4992</v>
      </c>
      <c r="B4793" s="1" t="str">
        <f>"Tav's scrap metals "</f>
        <v xml:space="preserve">Tav's scrap metals </v>
      </c>
      <c r="C4793" s="1" t="s">
        <v>4993</v>
      </c>
      <c r="F4793" s="1" t="s">
        <v>103</v>
      </c>
      <c r="H4793" s="1" t="s">
        <v>4994</v>
      </c>
      <c r="I4793" s="1" t="s">
        <v>188</v>
      </c>
      <c r="J4793" s="1" t="s">
        <v>67</v>
      </c>
      <c r="K4793" s="1" t="s">
        <v>14</v>
      </c>
      <c r="M4793" s="2">
        <v>42781</v>
      </c>
      <c r="N4793" s="1" t="s">
        <v>8</v>
      </c>
      <c r="O4793" s="1" t="s">
        <v>68</v>
      </c>
    </row>
    <row r="4794" spans="1:15" ht="28.8" x14ac:dyDescent="0.3">
      <c r="A4794" s="1" t="s">
        <v>4995</v>
      </c>
      <c r="B4794" s="1" t="str">
        <f>"FURNITURE FLAIR LTD"</f>
        <v>FURNITURE FLAIR LTD</v>
      </c>
      <c r="C4794" s="1" t="s">
        <v>4996</v>
      </c>
      <c r="D4794" s="1" t="s">
        <v>4055</v>
      </c>
      <c r="E4794" s="1" t="s">
        <v>389</v>
      </c>
      <c r="F4794" s="1" t="s">
        <v>91</v>
      </c>
      <c r="H4794" s="1" t="s">
        <v>4997</v>
      </c>
      <c r="I4794" s="1" t="s">
        <v>19</v>
      </c>
      <c r="J4794" s="1" t="s">
        <v>6</v>
      </c>
      <c r="K4794" s="1" t="s">
        <v>34</v>
      </c>
      <c r="L4794" s="1">
        <v>5421378</v>
      </c>
      <c r="M4794" s="2">
        <v>42781</v>
      </c>
      <c r="N4794" s="1" t="s">
        <v>8</v>
      </c>
      <c r="O4794" s="2">
        <v>43876</v>
      </c>
    </row>
    <row r="4795" spans="1:15" ht="43.2" x14ac:dyDescent="0.3">
      <c r="A4795" s="1" t="s">
        <v>4998</v>
      </c>
      <c r="B4795" s="1" t="str">
        <f>"Rhondda Cynon Taff CBC Pest Control"</f>
        <v>Rhondda Cynon Taff CBC Pest Control</v>
      </c>
      <c r="C4795" s="1" t="s">
        <v>4999</v>
      </c>
      <c r="D4795" s="1" t="s">
        <v>5000</v>
      </c>
      <c r="E4795" s="1" t="s">
        <v>5001</v>
      </c>
      <c r="F4795" s="1" t="s">
        <v>457</v>
      </c>
      <c r="H4795" s="1" t="s">
        <v>5002</v>
      </c>
      <c r="I4795" s="1" t="s">
        <v>188</v>
      </c>
      <c r="J4795" s="1" t="s">
        <v>67</v>
      </c>
      <c r="K4795" s="1" t="s">
        <v>14</v>
      </c>
      <c r="M4795" s="2">
        <v>42781</v>
      </c>
      <c r="N4795" s="1" t="s">
        <v>8</v>
      </c>
      <c r="O4795" s="1" t="s">
        <v>68</v>
      </c>
    </row>
    <row r="4796" spans="1:15" ht="43.2" x14ac:dyDescent="0.3">
      <c r="A4796" s="1" t="s">
        <v>5003</v>
      </c>
      <c r="B4796" s="1" t="str">
        <f>"Dominion Garage"</f>
        <v>Dominion Garage</v>
      </c>
      <c r="C4796" s="1" t="s">
        <v>5004</v>
      </c>
      <c r="D4796" s="1" t="s">
        <v>5005</v>
      </c>
      <c r="F4796" s="1" t="s">
        <v>27</v>
      </c>
      <c r="H4796" s="1" t="s">
        <v>5006</v>
      </c>
      <c r="I4796" s="1" t="s">
        <v>125</v>
      </c>
      <c r="J4796" s="1" t="s">
        <v>67</v>
      </c>
      <c r="K4796" s="1" t="s">
        <v>14</v>
      </c>
      <c r="M4796" s="2">
        <v>42781</v>
      </c>
      <c r="N4796" s="1" t="s">
        <v>8</v>
      </c>
      <c r="O4796" s="1" t="s">
        <v>68</v>
      </c>
    </row>
    <row r="4797" spans="1:15" ht="43.2" x14ac:dyDescent="0.3">
      <c r="A4797" s="1" t="s">
        <v>6141</v>
      </c>
      <c r="B4797" s="1" t="str">
        <f>"G &amp; S TRAVEL LIMITED"</f>
        <v>G &amp; S TRAVEL LIMITED</v>
      </c>
      <c r="C4797" s="1" t="s">
        <v>6142</v>
      </c>
      <c r="D4797" s="1" t="s">
        <v>6143</v>
      </c>
      <c r="E4797" s="1" t="s">
        <v>6144</v>
      </c>
      <c r="F4797" s="1" t="s">
        <v>865</v>
      </c>
      <c r="H4797" s="1" t="s">
        <v>6145</v>
      </c>
      <c r="I4797" s="1" t="s">
        <v>19</v>
      </c>
      <c r="J4797" s="1" t="s">
        <v>67</v>
      </c>
      <c r="K4797" s="1" t="s">
        <v>24</v>
      </c>
      <c r="L4797" s="1">
        <v>7901533</v>
      </c>
      <c r="M4797" s="2">
        <v>42781</v>
      </c>
      <c r="N4797" s="1" t="s">
        <v>8</v>
      </c>
      <c r="O4797" s="1" t="s">
        <v>68</v>
      </c>
    </row>
    <row r="4798" spans="1:15" ht="28.8" x14ac:dyDescent="0.3">
      <c r="A4798" s="1" t="s">
        <v>6146</v>
      </c>
      <c r="B4798" s="1" t="str">
        <f>"TARANIS ENGINEERING LIMITED"</f>
        <v>TARANIS ENGINEERING LIMITED</v>
      </c>
      <c r="C4798" s="1" t="s">
        <v>6147</v>
      </c>
      <c r="F4798" s="1" t="s">
        <v>27</v>
      </c>
      <c r="H4798" s="1" t="s">
        <v>6148</v>
      </c>
      <c r="I4798" s="1" t="s">
        <v>19</v>
      </c>
      <c r="J4798" s="1" t="s">
        <v>6</v>
      </c>
      <c r="K4798" s="1" t="s">
        <v>34</v>
      </c>
      <c r="L4798" s="1">
        <v>8681173</v>
      </c>
      <c r="M4798" s="2">
        <v>42781</v>
      </c>
      <c r="N4798" s="1" t="s">
        <v>8</v>
      </c>
      <c r="O4798" s="2">
        <v>43876</v>
      </c>
    </row>
    <row r="4799" spans="1:15" ht="43.2" x14ac:dyDescent="0.3">
      <c r="A4799" s="1" t="s">
        <v>6149</v>
      </c>
      <c r="B4799" s="1" t="str">
        <f>"A J MECHANICAL &amp; ELECTRICAL SERVICES LIMITED"</f>
        <v>A J MECHANICAL &amp; ELECTRICAL SERVICES LIMITED</v>
      </c>
      <c r="C4799" s="1" t="s">
        <v>6150</v>
      </c>
      <c r="F4799" s="1" t="s">
        <v>865</v>
      </c>
      <c r="H4799" s="1" t="s">
        <v>6151</v>
      </c>
      <c r="I4799" s="1" t="s">
        <v>19</v>
      </c>
      <c r="J4799" s="1" t="s">
        <v>6</v>
      </c>
      <c r="K4799" s="1" t="s">
        <v>24</v>
      </c>
      <c r="L4799" s="1">
        <v>4571486</v>
      </c>
      <c r="M4799" s="2">
        <v>42781</v>
      </c>
      <c r="N4799" s="1" t="s">
        <v>8</v>
      </c>
      <c r="O4799" s="2">
        <v>43876</v>
      </c>
    </row>
    <row r="4800" spans="1:15" ht="28.8" x14ac:dyDescent="0.3">
      <c r="A4800" s="1" t="s">
        <v>6152</v>
      </c>
      <c r="B4800" s="1" t="str">
        <f>"Tawe Drylining &amp; Plastering Ltd"</f>
        <v>Tawe Drylining &amp; Plastering Ltd</v>
      </c>
      <c r="C4800" s="1" t="s">
        <v>6153</v>
      </c>
      <c r="F4800" s="1" t="s">
        <v>65</v>
      </c>
      <c r="H4800" s="1" t="s">
        <v>6154</v>
      </c>
      <c r="I4800" s="1" t="s">
        <v>19</v>
      </c>
      <c r="J4800" s="1" t="s">
        <v>6</v>
      </c>
      <c r="K4800" s="1" t="s">
        <v>1859</v>
      </c>
      <c r="L4800" s="1">
        <v>9493376</v>
      </c>
      <c r="M4800" s="2">
        <v>42781</v>
      </c>
      <c r="N4800" s="1" t="s">
        <v>8</v>
      </c>
      <c r="O4800" s="2">
        <v>43876</v>
      </c>
    </row>
    <row r="4801" spans="1:15" ht="43.2" x14ac:dyDescent="0.3">
      <c r="A4801" s="1" t="s">
        <v>6155</v>
      </c>
      <c r="B4801" s="1" t="str">
        <f>"Blue Sky Landscape Ltd."</f>
        <v>Blue Sky Landscape Ltd.</v>
      </c>
      <c r="C4801" s="1" t="s">
        <v>6156</v>
      </c>
      <c r="D4801" s="1" t="s">
        <v>5206</v>
      </c>
      <c r="F4801" s="1" t="s">
        <v>2277</v>
      </c>
      <c r="H4801" s="1" t="s">
        <v>3619</v>
      </c>
      <c r="I4801" s="1" t="s">
        <v>19</v>
      </c>
      <c r="J4801" s="1" t="s">
        <v>67</v>
      </c>
      <c r="K4801" s="1" t="s">
        <v>24</v>
      </c>
      <c r="L4801" s="1">
        <v>5424596</v>
      </c>
      <c r="M4801" s="2">
        <v>42781</v>
      </c>
      <c r="N4801" s="1" t="s">
        <v>8</v>
      </c>
      <c r="O4801" s="1" t="s">
        <v>68</v>
      </c>
    </row>
    <row r="4802" spans="1:15" x14ac:dyDescent="0.3">
      <c r="A4802" s="1" t="s">
        <v>6157</v>
      </c>
      <c r="B4802" s="1" t="str">
        <f>"W J G Evans &amp; Sons"</f>
        <v>W J G Evans &amp; Sons</v>
      </c>
      <c r="C4802" s="1" t="s">
        <v>6158</v>
      </c>
      <c r="F4802" s="1" t="s">
        <v>6159</v>
      </c>
      <c r="H4802" s="1" t="s">
        <v>6160</v>
      </c>
      <c r="I4802" s="1" t="s">
        <v>125</v>
      </c>
      <c r="J4802" s="1" t="s">
        <v>6</v>
      </c>
      <c r="K4802" s="1" t="s">
        <v>24</v>
      </c>
      <c r="M4802" s="2">
        <v>42781</v>
      </c>
      <c r="N4802" s="1" t="s">
        <v>8</v>
      </c>
      <c r="O4802" s="2">
        <v>43876</v>
      </c>
    </row>
    <row r="4803" spans="1:15" ht="43.2" x14ac:dyDescent="0.3">
      <c r="A4803" s="1" t="s">
        <v>6161</v>
      </c>
      <c r="B4803" s="1" t="str">
        <f>"Hay Deli"</f>
        <v>Hay Deli</v>
      </c>
      <c r="C4803" s="1" t="s">
        <v>6162</v>
      </c>
      <c r="F4803" s="1" t="s">
        <v>3337</v>
      </c>
      <c r="H4803" s="1" t="s">
        <v>6163</v>
      </c>
      <c r="I4803" s="1" t="s">
        <v>19</v>
      </c>
      <c r="J4803" s="1" t="s">
        <v>67</v>
      </c>
      <c r="K4803" s="1" t="s">
        <v>14</v>
      </c>
      <c r="M4803" s="2">
        <v>42781</v>
      </c>
      <c r="N4803" s="1" t="s">
        <v>8</v>
      </c>
      <c r="O4803" s="1" t="s">
        <v>68</v>
      </c>
    </row>
    <row r="4804" spans="1:15" ht="43.2" x14ac:dyDescent="0.3">
      <c r="A4804" s="1" t="s">
        <v>6164</v>
      </c>
      <c r="B4804" s="1" t="str">
        <f>"Swansea University"</f>
        <v>Swansea University</v>
      </c>
      <c r="C4804" s="1" t="s">
        <v>6165</v>
      </c>
      <c r="F4804" s="1" t="s">
        <v>65</v>
      </c>
      <c r="H4804" s="1" t="s">
        <v>1729</v>
      </c>
      <c r="I4804" s="1" t="s">
        <v>1872</v>
      </c>
      <c r="J4804" s="1" t="s">
        <v>67</v>
      </c>
      <c r="K4804" s="1" t="s">
        <v>14</v>
      </c>
      <c r="M4804" s="2">
        <v>42781</v>
      </c>
      <c r="N4804" s="1" t="s">
        <v>8</v>
      </c>
      <c r="O4804" s="1" t="s">
        <v>68</v>
      </c>
    </row>
    <row r="4805" spans="1:15" ht="28.8" x14ac:dyDescent="0.3">
      <c r="A4805" s="1" t="s">
        <v>6166</v>
      </c>
      <c r="B4805" s="1" t="str">
        <f>"Home Enhancement"</f>
        <v>Home Enhancement</v>
      </c>
      <c r="C4805" s="1" t="s">
        <v>6167</v>
      </c>
      <c r="F4805" s="1" t="s">
        <v>720</v>
      </c>
      <c r="H4805" s="1" t="s">
        <v>6168</v>
      </c>
      <c r="I4805" s="1" t="s">
        <v>125</v>
      </c>
      <c r="J4805" s="1" t="s">
        <v>6</v>
      </c>
      <c r="K4805" s="1" t="s">
        <v>24</v>
      </c>
      <c r="M4805" s="2">
        <v>42781</v>
      </c>
      <c r="N4805" s="1" t="s">
        <v>8</v>
      </c>
      <c r="O4805" s="2">
        <v>43876</v>
      </c>
    </row>
    <row r="4806" spans="1:15" ht="28.8" x14ac:dyDescent="0.3">
      <c r="A4806" s="1" t="s">
        <v>20615</v>
      </c>
      <c r="B4806" s="1" t="str">
        <f>"Rhys Lloyd LT Carpentry &amp; UPVC"</f>
        <v>Rhys Lloyd LT Carpentry &amp; UPVC</v>
      </c>
      <c r="C4806" s="1" t="s">
        <v>20616</v>
      </c>
      <c r="F4806" s="1" t="s">
        <v>873</v>
      </c>
      <c r="H4806" s="1" t="s">
        <v>20617</v>
      </c>
      <c r="I4806" s="1" t="s">
        <v>5</v>
      </c>
      <c r="J4806" s="1" t="s">
        <v>6</v>
      </c>
      <c r="K4806" s="1" t="s">
        <v>24</v>
      </c>
      <c r="M4806" s="2">
        <v>42781</v>
      </c>
      <c r="N4806" s="1" t="s">
        <v>8</v>
      </c>
      <c r="O4806" s="2">
        <v>43876</v>
      </c>
    </row>
    <row r="4807" spans="1:15" ht="43.2" x14ac:dyDescent="0.3">
      <c r="A4807" s="1" t="s">
        <v>20618</v>
      </c>
      <c r="B4807" s="1" t="str">
        <f>"Clive Francis "</f>
        <v xml:space="preserve">Clive Francis </v>
      </c>
      <c r="C4807" s="1" t="s">
        <v>20619</v>
      </c>
      <c r="F4807" s="1" t="s">
        <v>205</v>
      </c>
      <c r="H4807" s="1" t="s">
        <v>9795</v>
      </c>
      <c r="I4807" s="1" t="s">
        <v>5</v>
      </c>
      <c r="J4807" s="1" t="s">
        <v>67</v>
      </c>
      <c r="K4807" s="1" t="s">
        <v>14</v>
      </c>
      <c r="M4807" s="2">
        <v>42781</v>
      </c>
      <c r="N4807" s="1" t="s">
        <v>8</v>
      </c>
      <c r="O4807" s="1" t="s">
        <v>68</v>
      </c>
    </row>
    <row r="4808" spans="1:15" ht="43.2" x14ac:dyDescent="0.3">
      <c r="A4808" s="1" t="s">
        <v>20620</v>
      </c>
      <c r="B4808" s="1" t="str">
        <f>"stephen martin"</f>
        <v>stephen martin</v>
      </c>
      <c r="C4808" s="1" t="s">
        <v>20621</v>
      </c>
      <c r="F4808" s="1" t="s">
        <v>5645</v>
      </c>
      <c r="H4808" s="1" t="s">
        <v>20622</v>
      </c>
      <c r="I4808" s="1" t="s">
        <v>5</v>
      </c>
      <c r="J4808" s="1" t="s">
        <v>67</v>
      </c>
      <c r="K4808" s="1" t="s">
        <v>14</v>
      </c>
      <c r="M4808" s="2">
        <v>42781</v>
      </c>
      <c r="N4808" s="1" t="s">
        <v>8</v>
      </c>
      <c r="O4808" s="1" t="s">
        <v>68</v>
      </c>
    </row>
    <row r="4809" spans="1:15" ht="28.8" x14ac:dyDescent="0.3">
      <c r="A4809" s="1" t="s">
        <v>20623</v>
      </c>
      <c r="B4809" s="1" t="str">
        <f>"simon davies pork scrappings"</f>
        <v>simon davies pork scrappings</v>
      </c>
      <c r="C4809" s="1" t="s">
        <v>20624</v>
      </c>
      <c r="D4809" s="1" t="s">
        <v>20625</v>
      </c>
      <c r="F4809" s="1" t="s">
        <v>103</v>
      </c>
      <c r="H4809" s="1" t="s">
        <v>20626</v>
      </c>
      <c r="I4809" s="1" t="s">
        <v>5</v>
      </c>
      <c r="J4809" s="1" t="s">
        <v>6</v>
      </c>
      <c r="K4809" s="1" t="s">
        <v>24</v>
      </c>
      <c r="M4809" s="2">
        <v>42781</v>
      </c>
      <c r="N4809" s="1" t="s">
        <v>8</v>
      </c>
      <c r="O4809" s="2">
        <v>43876</v>
      </c>
    </row>
    <row r="4810" spans="1:15" ht="28.8" x14ac:dyDescent="0.3">
      <c r="A4810" s="1" t="s">
        <v>20627</v>
      </c>
      <c r="B4810" s="1" t="str">
        <f>"Michael Brown Michael brown"</f>
        <v>Michael Brown Michael brown</v>
      </c>
      <c r="C4810" s="1" t="s">
        <v>20628</v>
      </c>
      <c r="F4810" s="1" t="s">
        <v>17</v>
      </c>
      <c r="H4810" s="1" t="s">
        <v>20629</v>
      </c>
      <c r="I4810" s="1" t="s">
        <v>5</v>
      </c>
      <c r="J4810" s="1" t="s">
        <v>6</v>
      </c>
      <c r="K4810" s="1" t="s">
        <v>24</v>
      </c>
      <c r="M4810" s="2">
        <v>42781</v>
      </c>
      <c r="N4810" s="1" t="s">
        <v>8</v>
      </c>
      <c r="O4810" s="2">
        <v>43876</v>
      </c>
    </row>
    <row r="4811" spans="1:15" ht="43.2" x14ac:dyDescent="0.3">
      <c r="A4811" s="1" t="s">
        <v>20630</v>
      </c>
      <c r="B4811" s="1" t="str">
        <f>"geoffrey russon"</f>
        <v>geoffrey russon</v>
      </c>
      <c r="C4811" s="1" t="s">
        <v>20631</v>
      </c>
      <c r="F4811" s="1" t="s">
        <v>20632</v>
      </c>
      <c r="H4811" s="1" t="s">
        <v>20633</v>
      </c>
      <c r="I4811" s="1" t="s">
        <v>5</v>
      </c>
      <c r="J4811" s="1" t="s">
        <v>67</v>
      </c>
      <c r="K4811" s="1" t="s">
        <v>14</v>
      </c>
      <c r="M4811" s="2">
        <v>42781</v>
      </c>
      <c r="N4811" s="1" t="s">
        <v>8</v>
      </c>
      <c r="O4811" s="1" t="s">
        <v>68</v>
      </c>
    </row>
    <row r="4812" spans="1:15" ht="43.2" x14ac:dyDescent="0.3">
      <c r="A4812" s="1" t="s">
        <v>20634</v>
      </c>
      <c r="B4812" s="1" t="str">
        <f>"Andrew Jones A J Landscapes &amp; Grounds Maintenance"</f>
        <v>Andrew Jones A J Landscapes &amp; Grounds Maintenance</v>
      </c>
      <c r="C4812" s="1" t="s">
        <v>20635</v>
      </c>
      <c r="F4812" s="1" t="s">
        <v>198</v>
      </c>
      <c r="H4812" s="1" t="s">
        <v>20636</v>
      </c>
      <c r="I4812" s="1" t="s">
        <v>5</v>
      </c>
      <c r="J4812" s="1" t="s">
        <v>6</v>
      </c>
      <c r="K4812" s="1" t="s">
        <v>24</v>
      </c>
      <c r="M4812" s="2">
        <v>42781</v>
      </c>
      <c r="N4812" s="1" t="s">
        <v>8</v>
      </c>
      <c r="O4812" s="2">
        <v>43876</v>
      </c>
    </row>
    <row r="4813" spans="1:15" ht="28.8" x14ac:dyDescent="0.3">
      <c r="A4813" s="1" t="s">
        <v>3793</v>
      </c>
      <c r="B4813" s="1" t="str">
        <f>"ROWECORD TOTAL ACCESS LIMITED"</f>
        <v>ROWECORD TOTAL ACCESS LIMITED</v>
      </c>
      <c r="C4813" s="1" t="s">
        <v>3794</v>
      </c>
      <c r="F4813" s="1" t="s">
        <v>65</v>
      </c>
      <c r="H4813" s="1" t="s">
        <v>3795</v>
      </c>
      <c r="I4813" s="1" t="s">
        <v>19</v>
      </c>
      <c r="J4813" s="1" t="s">
        <v>6</v>
      </c>
      <c r="K4813" s="1" t="s">
        <v>34</v>
      </c>
      <c r="L4813" s="1">
        <v>1992396</v>
      </c>
      <c r="M4813" s="2">
        <v>42780</v>
      </c>
      <c r="N4813" s="1" t="s">
        <v>8</v>
      </c>
      <c r="O4813" s="2">
        <v>43875</v>
      </c>
    </row>
    <row r="4814" spans="1:15" ht="28.8" x14ac:dyDescent="0.3">
      <c r="A4814" s="1" t="s">
        <v>3796</v>
      </c>
      <c r="B4814" s="1" t="str">
        <f>"MARGDEN HEATING LTD"</f>
        <v>MARGDEN HEATING LTD</v>
      </c>
      <c r="C4814" s="1" t="s">
        <v>3797</v>
      </c>
      <c r="F4814" s="1" t="s">
        <v>2277</v>
      </c>
      <c r="H4814" s="1" t="s">
        <v>3798</v>
      </c>
      <c r="I4814" s="1" t="s">
        <v>19</v>
      </c>
      <c r="J4814" s="1" t="s">
        <v>6</v>
      </c>
      <c r="K4814" s="1" t="s">
        <v>24</v>
      </c>
      <c r="L4814" s="1">
        <v>5876850</v>
      </c>
      <c r="M4814" s="2">
        <v>42780</v>
      </c>
      <c r="N4814" s="1" t="s">
        <v>8</v>
      </c>
      <c r="O4814" s="2">
        <v>43875</v>
      </c>
    </row>
    <row r="4815" spans="1:15" x14ac:dyDescent="0.3">
      <c r="A4815" s="1" t="s">
        <v>3799</v>
      </c>
      <c r="B4815" s="1" t="str">
        <f>"Crimewatch Alarms Ltd"</f>
        <v>Crimewatch Alarms Ltd</v>
      </c>
      <c r="C4815" s="1" t="s">
        <v>3800</v>
      </c>
      <c r="F4815" s="1" t="s">
        <v>91</v>
      </c>
      <c r="H4815" s="1" t="s">
        <v>3801</v>
      </c>
      <c r="I4815" s="1" t="s">
        <v>19</v>
      </c>
      <c r="J4815" s="1" t="s">
        <v>6</v>
      </c>
      <c r="K4815" s="1" t="s">
        <v>24</v>
      </c>
      <c r="L4815" s="1">
        <v>2031656</v>
      </c>
      <c r="M4815" s="2">
        <v>42780</v>
      </c>
      <c r="N4815" s="1" t="s">
        <v>8</v>
      </c>
      <c r="O4815" s="2">
        <v>43875</v>
      </c>
    </row>
    <row r="4816" spans="1:15" x14ac:dyDescent="0.3">
      <c r="A4816" s="1" t="s">
        <v>3802</v>
      </c>
      <c r="B4816" s="1" t="str">
        <f>"T.M. Price Plant Hire"</f>
        <v>T.M. Price Plant Hire</v>
      </c>
      <c r="C4816" s="1" t="s">
        <v>3803</v>
      </c>
      <c r="F4816" s="1" t="s">
        <v>37</v>
      </c>
      <c r="H4816" s="1" t="s">
        <v>3804</v>
      </c>
      <c r="I4816" s="1" t="s">
        <v>125</v>
      </c>
      <c r="J4816" s="1" t="s">
        <v>6</v>
      </c>
      <c r="K4816" s="1" t="s">
        <v>24</v>
      </c>
      <c r="M4816" s="2">
        <v>42780</v>
      </c>
      <c r="N4816" s="1" t="s">
        <v>8</v>
      </c>
      <c r="O4816" s="2">
        <v>43875</v>
      </c>
    </row>
    <row r="4817" spans="1:15" ht="28.8" x14ac:dyDescent="0.3">
      <c r="A4817" s="1" t="s">
        <v>3805</v>
      </c>
      <c r="B4817" s="1" t="str">
        <f>"M &amp; R ROOFING AND CONSTRUCTION LTD"</f>
        <v>M &amp; R ROOFING AND CONSTRUCTION LTD</v>
      </c>
      <c r="C4817" s="1" t="s">
        <v>3806</v>
      </c>
      <c r="F4817" s="1" t="s">
        <v>174</v>
      </c>
      <c r="H4817" s="1" t="s">
        <v>3807</v>
      </c>
      <c r="I4817" s="1" t="s">
        <v>19</v>
      </c>
      <c r="J4817" s="1" t="s">
        <v>6</v>
      </c>
      <c r="K4817" s="1" t="s">
        <v>24</v>
      </c>
      <c r="L4817" s="1">
        <v>9444643</v>
      </c>
      <c r="M4817" s="2">
        <v>42780</v>
      </c>
      <c r="N4817" s="1" t="s">
        <v>8</v>
      </c>
      <c r="O4817" s="2">
        <v>43875</v>
      </c>
    </row>
    <row r="4818" spans="1:15" ht="28.8" x14ac:dyDescent="0.3">
      <c r="A4818" s="1" t="s">
        <v>3808</v>
      </c>
      <c r="B4818" s="1" t="str">
        <f>"T4 LOGISTICS LTD"</f>
        <v>T4 LOGISTICS LTD</v>
      </c>
      <c r="C4818" s="1" t="s">
        <v>3809</v>
      </c>
      <c r="D4818" s="1" t="s">
        <v>3810</v>
      </c>
      <c r="F4818" s="1" t="s">
        <v>27</v>
      </c>
      <c r="H4818" s="1" t="s">
        <v>3811</v>
      </c>
      <c r="I4818" s="1" t="s">
        <v>19</v>
      </c>
      <c r="J4818" s="1" t="s">
        <v>6</v>
      </c>
      <c r="K4818" s="1" t="s">
        <v>24</v>
      </c>
      <c r="L4818" s="1">
        <v>8538523</v>
      </c>
      <c r="M4818" s="2">
        <v>42780</v>
      </c>
      <c r="N4818" s="1" t="s">
        <v>8</v>
      </c>
      <c r="O4818" s="2">
        <v>43875</v>
      </c>
    </row>
    <row r="4819" spans="1:15" ht="28.8" x14ac:dyDescent="0.3">
      <c r="A4819" s="1" t="s">
        <v>4968</v>
      </c>
      <c r="B4819" s="1" t="str">
        <f>"Carter Lauren Construction Ltd"</f>
        <v>Carter Lauren Construction Ltd</v>
      </c>
      <c r="C4819" s="1" t="s">
        <v>4969</v>
      </c>
      <c r="F4819" s="1" t="s">
        <v>123</v>
      </c>
      <c r="H4819" s="1" t="s">
        <v>4970</v>
      </c>
      <c r="I4819" s="1" t="s">
        <v>19</v>
      </c>
      <c r="J4819" s="1" t="s">
        <v>6</v>
      </c>
      <c r="K4819" s="1" t="s">
        <v>24</v>
      </c>
      <c r="L4819" s="1">
        <v>2830998</v>
      </c>
      <c r="M4819" s="2">
        <v>42780</v>
      </c>
      <c r="N4819" s="1" t="s">
        <v>8</v>
      </c>
      <c r="O4819" s="2">
        <v>43875</v>
      </c>
    </row>
    <row r="4820" spans="1:15" ht="43.2" x14ac:dyDescent="0.3">
      <c r="A4820" s="1" t="s">
        <v>4971</v>
      </c>
      <c r="B4820" s="1" t="str">
        <f>"W d bowen"</f>
        <v>W d bowen</v>
      </c>
      <c r="C4820" s="1" t="s">
        <v>4972</v>
      </c>
      <c r="F4820" s="1" t="s">
        <v>146</v>
      </c>
      <c r="H4820" s="1" t="s">
        <v>4973</v>
      </c>
      <c r="I4820" s="1" t="s">
        <v>125</v>
      </c>
      <c r="J4820" s="1" t="s">
        <v>67</v>
      </c>
      <c r="K4820" s="1" t="s">
        <v>14</v>
      </c>
      <c r="M4820" s="2">
        <v>42780</v>
      </c>
      <c r="N4820" s="1" t="s">
        <v>8</v>
      </c>
      <c r="O4820" s="1" t="s">
        <v>68</v>
      </c>
    </row>
    <row r="4821" spans="1:15" ht="43.2" x14ac:dyDescent="0.3">
      <c r="A4821" s="1" t="s">
        <v>19882</v>
      </c>
      <c r="B4821" s="1" t="str">
        <f>"Glenn Grant Glenn Grant  Plastering &amp; Building"</f>
        <v>Glenn Grant Glenn Grant  Plastering &amp; Building</v>
      </c>
      <c r="C4821" s="1" t="s">
        <v>19883</v>
      </c>
      <c r="F4821" s="1" t="s">
        <v>290</v>
      </c>
      <c r="H4821" s="1" t="s">
        <v>19884</v>
      </c>
      <c r="I4821" s="1" t="s">
        <v>5</v>
      </c>
      <c r="J4821" s="1" t="s">
        <v>6</v>
      </c>
      <c r="K4821" s="1" t="s">
        <v>24</v>
      </c>
      <c r="M4821" s="2">
        <v>42780</v>
      </c>
      <c r="N4821" s="1" t="s">
        <v>8</v>
      </c>
      <c r="O4821" s="2">
        <v>43875</v>
      </c>
    </row>
    <row r="4822" spans="1:15" ht="43.2" x14ac:dyDescent="0.3">
      <c r="A4822" s="1" t="s">
        <v>3778</v>
      </c>
      <c r="B4822" s="1" t="str">
        <f>"EGNIDA LTD"</f>
        <v>EGNIDA LTD</v>
      </c>
      <c r="C4822" s="1" t="s">
        <v>3779</v>
      </c>
      <c r="D4822" s="1" t="s">
        <v>781</v>
      </c>
      <c r="F4822" s="1" t="s">
        <v>782</v>
      </c>
      <c r="H4822" s="1" t="s">
        <v>783</v>
      </c>
      <c r="I4822" s="1" t="s">
        <v>19</v>
      </c>
      <c r="J4822" s="1" t="s">
        <v>67</v>
      </c>
      <c r="K4822" s="1" t="s">
        <v>24</v>
      </c>
      <c r="L4822" s="1">
        <v>7670069</v>
      </c>
      <c r="M4822" s="2">
        <v>42779</v>
      </c>
      <c r="N4822" s="1" t="s">
        <v>8</v>
      </c>
      <c r="O4822" s="1" t="s">
        <v>68</v>
      </c>
    </row>
    <row r="4823" spans="1:15" x14ac:dyDescent="0.3">
      <c r="A4823" s="1" t="s">
        <v>3780</v>
      </c>
      <c r="B4823" s="1" t="str">
        <f>"P H COOLING LTD"</f>
        <v>P H COOLING LTD</v>
      </c>
      <c r="C4823" s="1" t="s">
        <v>3781</v>
      </c>
      <c r="F4823" s="1" t="s">
        <v>298</v>
      </c>
      <c r="H4823" s="1" t="s">
        <v>3782</v>
      </c>
      <c r="I4823" s="1" t="s">
        <v>19</v>
      </c>
      <c r="J4823" s="1" t="s">
        <v>6</v>
      </c>
      <c r="K4823" s="1" t="s">
        <v>24</v>
      </c>
      <c r="L4823" s="1">
        <v>8844497</v>
      </c>
      <c r="M4823" s="2">
        <v>42779</v>
      </c>
      <c r="N4823" s="1" t="s">
        <v>8</v>
      </c>
      <c r="O4823" s="2">
        <v>43874</v>
      </c>
    </row>
    <row r="4824" spans="1:15" ht="43.2" x14ac:dyDescent="0.3">
      <c r="A4824" s="1" t="s">
        <v>3783</v>
      </c>
      <c r="B4824" s="1" t="str">
        <f>"CHARLES FOOTMAN"</f>
        <v>CHARLES FOOTMAN</v>
      </c>
      <c r="C4824" s="1" t="s">
        <v>3784</v>
      </c>
      <c r="D4824" s="1" t="s">
        <v>3785</v>
      </c>
      <c r="F4824" s="1" t="s">
        <v>96</v>
      </c>
      <c r="H4824" s="1" t="s">
        <v>3786</v>
      </c>
      <c r="I4824" s="1" t="s">
        <v>125</v>
      </c>
      <c r="J4824" s="1" t="s">
        <v>67</v>
      </c>
      <c r="K4824" s="1" t="s">
        <v>14</v>
      </c>
      <c r="M4824" s="2">
        <v>42779</v>
      </c>
      <c r="N4824" s="1" t="s">
        <v>8</v>
      </c>
      <c r="O4824" s="1" t="s">
        <v>68</v>
      </c>
    </row>
    <row r="4825" spans="1:15" ht="28.8" x14ac:dyDescent="0.3">
      <c r="A4825" s="1" t="s">
        <v>3787</v>
      </c>
      <c r="B4825" s="1" t="str">
        <f>"Charles Footman"</f>
        <v>Charles Footman</v>
      </c>
      <c r="C4825" s="1" t="s">
        <v>3784</v>
      </c>
      <c r="D4825" s="1" t="s">
        <v>3785</v>
      </c>
      <c r="F4825" s="1" t="s">
        <v>96</v>
      </c>
      <c r="H4825" s="1" t="s">
        <v>3786</v>
      </c>
      <c r="I4825" s="1" t="s">
        <v>125</v>
      </c>
      <c r="J4825" s="1" t="s">
        <v>6</v>
      </c>
      <c r="K4825" s="1" t="s">
        <v>34</v>
      </c>
      <c r="M4825" s="2">
        <v>42779</v>
      </c>
      <c r="N4825" s="1" t="s">
        <v>8</v>
      </c>
      <c r="O4825" s="2">
        <v>43874</v>
      </c>
    </row>
    <row r="4826" spans="1:15" ht="28.8" x14ac:dyDescent="0.3">
      <c r="A4826" s="1" t="s">
        <v>3788</v>
      </c>
      <c r="B4826" s="1" t="str">
        <f>"RHD Construction &amp; Environmental Co"</f>
        <v>RHD Construction &amp; Environmental Co</v>
      </c>
      <c r="C4826" s="1" t="s">
        <v>3789</v>
      </c>
      <c r="D4826" s="1" t="s">
        <v>3790</v>
      </c>
      <c r="F4826" s="1" t="s">
        <v>3791</v>
      </c>
      <c r="H4826" s="1" t="s">
        <v>3792</v>
      </c>
      <c r="I4826" s="1" t="s">
        <v>19</v>
      </c>
      <c r="J4826" s="1" t="s">
        <v>6</v>
      </c>
      <c r="K4826" s="1" t="s">
        <v>34</v>
      </c>
      <c r="L4826" s="1">
        <v>8521705</v>
      </c>
      <c r="M4826" s="2">
        <v>42779</v>
      </c>
      <c r="N4826" s="1" t="s">
        <v>8</v>
      </c>
      <c r="O4826" s="2">
        <v>43874</v>
      </c>
    </row>
    <row r="4827" spans="1:15" ht="43.2" x14ac:dyDescent="0.3">
      <c r="A4827" s="1" t="s">
        <v>19016</v>
      </c>
      <c r="B4827" s="1" t="str">
        <f>"Jw Powell"</f>
        <v>Jw Powell</v>
      </c>
      <c r="C4827" s="1" t="s">
        <v>8374</v>
      </c>
      <c r="F4827" s="1" t="s">
        <v>91</v>
      </c>
      <c r="H4827" s="1" t="s">
        <v>8375</v>
      </c>
      <c r="I4827" s="1" t="s">
        <v>5</v>
      </c>
      <c r="J4827" s="1" t="s">
        <v>67</v>
      </c>
      <c r="K4827" s="1" t="s">
        <v>14</v>
      </c>
      <c r="M4827" s="2">
        <v>42779</v>
      </c>
      <c r="N4827" s="1" t="s">
        <v>8</v>
      </c>
      <c r="O4827" s="1" t="s">
        <v>68</v>
      </c>
    </row>
    <row r="4828" spans="1:15" ht="43.2" x14ac:dyDescent="0.3">
      <c r="A4828" s="1" t="s">
        <v>19017</v>
      </c>
      <c r="B4828" s="1" t="str">
        <f>"Matthew  Lewis  HARGAN Resin Driveways "</f>
        <v xml:space="preserve">Matthew  Lewis  HARGAN Resin Driveways </v>
      </c>
      <c r="C4828" s="1" t="s">
        <v>19018</v>
      </c>
      <c r="D4828" s="1" t="s">
        <v>19019</v>
      </c>
      <c r="F4828" s="1" t="s">
        <v>5855</v>
      </c>
      <c r="H4828" s="1" t="s">
        <v>19020</v>
      </c>
      <c r="I4828" s="1" t="s">
        <v>5</v>
      </c>
      <c r="J4828" s="1" t="s">
        <v>6</v>
      </c>
      <c r="K4828" s="1" t="s">
        <v>24</v>
      </c>
      <c r="M4828" s="2">
        <v>42779</v>
      </c>
      <c r="N4828" s="1" t="s">
        <v>8</v>
      </c>
      <c r="O4828" s="2">
        <v>43874</v>
      </c>
    </row>
    <row r="4829" spans="1:15" ht="28.8" x14ac:dyDescent="0.3">
      <c r="A4829" s="1" t="s">
        <v>19021</v>
      </c>
      <c r="B4829" s="1" t="str">
        <f>"Robert Hughes R Hughes &amp; Son"</f>
        <v>Robert Hughes R Hughes &amp; Son</v>
      </c>
      <c r="C4829" s="1" t="s">
        <v>19022</v>
      </c>
      <c r="F4829" s="1" t="s">
        <v>678</v>
      </c>
      <c r="H4829" s="1" t="s">
        <v>19023</v>
      </c>
      <c r="I4829" s="1" t="s">
        <v>5</v>
      </c>
      <c r="J4829" s="1" t="s">
        <v>6</v>
      </c>
      <c r="K4829" s="1" t="s">
        <v>24</v>
      </c>
      <c r="M4829" s="2">
        <v>42779</v>
      </c>
      <c r="N4829" s="1" t="s">
        <v>8</v>
      </c>
      <c r="O4829" s="2">
        <v>43874</v>
      </c>
    </row>
    <row r="4830" spans="1:15" ht="43.2" x14ac:dyDescent="0.3">
      <c r="A4830" s="1" t="s">
        <v>19024</v>
      </c>
      <c r="B4830" s="1" t="str">
        <f>"Stephen Heard"</f>
        <v>Stephen Heard</v>
      </c>
      <c r="C4830" s="1" t="s">
        <v>19025</v>
      </c>
      <c r="F4830" s="1" t="s">
        <v>27</v>
      </c>
      <c r="H4830" s="1" t="s">
        <v>19026</v>
      </c>
      <c r="I4830" s="1" t="s">
        <v>5</v>
      </c>
      <c r="J4830" s="1" t="s">
        <v>67</v>
      </c>
      <c r="K4830" s="1" t="s">
        <v>24</v>
      </c>
      <c r="M4830" s="2">
        <v>42779</v>
      </c>
      <c r="N4830" s="1" t="s">
        <v>8</v>
      </c>
      <c r="O4830" s="1" t="s">
        <v>68</v>
      </c>
    </row>
    <row r="4831" spans="1:15" x14ac:dyDescent="0.3">
      <c r="A4831" s="1" t="s">
        <v>3772</v>
      </c>
      <c r="B4831" s="1" t="str">
        <f>"BOREFENCE LTD"</f>
        <v>BOREFENCE LTD</v>
      </c>
      <c r="C4831" s="1" t="s">
        <v>3773</v>
      </c>
      <c r="F4831" s="1" t="s">
        <v>91</v>
      </c>
      <c r="H4831" s="1" t="s">
        <v>3774</v>
      </c>
      <c r="I4831" s="1" t="s">
        <v>19</v>
      </c>
      <c r="J4831" s="1" t="s">
        <v>6</v>
      </c>
      <c r="K4831" s="1" t="s">
        <v>24</v>
      </c>
      <c r="L4831" s="1">
        <v>6939628</v>
      </c>
      <c r="M4831" s="2">
        <v>42778</v>
      </c>
      <c r="N4831" s="1" t="s">
        <v>8</v>
      </c>
      <c r="O4831" s="2">
        <v>43873</v>
      </c>
    </row>
    <row r="4832" spans="1:15" x14ac:dyDescent="0.3">
      <c r="A4832" s="1" t="s">
        <v>3775</v>
      </c>
      <c r="B4832" s="1" t="str">
        <f>"CJB AERO LTD"</f>
        <v>CJB AERO LTD</v>
      </c>
      <c r="C4832" s="1" t="s">
        <v>3776</v>
      </c>
      <c r="F4832" s="1" t="s">
        <v>2277</v>
      </c>
      <c r="H4832" s="1" t="s">
        <v>3777</v>
      </c>
      <c r="I4832" s="1" t="s">
        <v>19</v>
      </c>
      <c r="J4832" s="1" t="s">
        <v>6</v>
      </c>
      <c r="K4832" s="1" t="s">
        <v>24</v>
      </c>
      <c r="L4832" s="1">
        <v>6492738</v>
      </c>
      <c r="M4832" s="2">
        <v>42778</v>
      </c>
      <c r="N4832" s="1" t="s">
        <v>8</v>
      </c>
      <c r="O4832" s="2">
        <v>43873</v>
      </c>
    </row>
    <row r="4833" spans="1:15" ht="28.8" x14ac:dyDescent="0.3">
      <c r="A4833" s="1" t="s">
        <v>19014</v>
      </c>
      <c r="B4833" s="1" t="str">
        <f>"DAVID GLYN THOMAS"</f>
        <v>DAVID GLYN THOMAS</v>
      </c>
      <c r="C4833" s="1" t="s">
        <v>19015</v>
      </c>
      <c r="D4833" s="1" t="s">
        <v>8016</v>
      </c>
      <c r="F4833" s="1" t="s">
        <v>607</v>
      </c>
      <c r="H4833" s="1" t="s">
        <v>13684</v>
      </c>
      <c r="I4833" s="1" t="s">
        <v>5</v>
      </c>
      <c r="J4833" s="1" t="s">
        <v>6</v>
      </c>
      <c r="K4833" s="1" t="s">
        <v>34</v>
      </c>
      <c r="M4833" s="2">
        <v>42777</v>
      </c>
      <c r="N4833" s="1" t="s">
        <v>8</v>
      </c>
      <c r="O4833" s="2">
        <v>43872</v>
      </c>
    </row>
    <row r="4834" spans="1:15" ht="28.8" x14ac:dyDescent="0.3">
      <c r="A4834" s="1" t="s">
        <v>18462</v>
      </c>
      <c r="B4834" s="1" t="str">
        <f>"Values in Care Ltd"</f>
        <v>Values in Care Ltd</v>
      </c>
      <c r="C4834" s="1" t="s">
        <v>18463</v>
      </c>
      <c r="F4834" s="1" t="s">
        <v>364</v>
      </c>
      <c r="H4834" s="1" t="s">
        <v>18464</v>
      </c>
      <c r="I4834" s="1" t="s">
        <v>19</v>
      </c>
      <c r="J4834" s="1" t="s">
        <v>6</v>
      </c>
      <c r="K4834" s="1" t="s">
        <v>24</v>
      </c>
      <c r="L4834" s="1">
        <v>4702523</v>
      </c>
      <c r="M4834" s="2">
        <v>42776</v>
      </c>
      <c r="N4834" s="1" t="s">
        <v>8</v>
      </c>
      <c r="O4834" s="2">
        <v>43871</v>
      </c>
    </row>
    <row r="4835" spans="1:15" ht="28.8" x14ac:dyDescent="0.3">
      <c r="A4835" s="1" t="s">
        <v>18465</v>
      </c>
      <c r="B4835" s="1" t="str">
        <f>"Japanese Knotweed Removal Wales"</f>
        <v>Japanese Knotweed Removal Wales</v>
      </c>
      <c r="C4835" s="1" t="s">
        <v>18466</v>
      </c>
      <c r="F4835" s="1" t="s">
        <v>151</v>
      </c>
      <c r="H4835" s="1" t="s">
        <v>18467</v>
      </c>
      <c r="I4835" s="1" t="s">
        <v>19</v>
      </c>
      <c r="J4835" s="1" t="s">
        <v>6</v>
      </c>
      <c r="K4835" s="1" t="s">
        <v>24</v>
      </c>
      <c r="L4835" s="1">
        <v>9631569</v>
      </c>
      <c r="M4835" s="2">
        <v>42776</v>
      </c>
      <c r="N4835" s="1" t="s">
        <v>8</v>
      </c>
      <c r="O4835" s="2">
        <v>43871</v>
      </c>
    </row>
    <row r="4836" spans="1:15" ht="28.8" x14ac:dyDescent="0.3">
      <c r="A4836" s="1" t="s">
        <v>18468</v>
      </c>
      <c r="B4836" s="1" t="str">
        <f>"Mega Electrical NW Ltd"</f>
        <v>Mega Electrical NW Ltd</v>
      </c>
      <c r="C4836" s="1" t="s">
        <v>18469</v>
      </c>
      <c r="D4836" s="1" t="s">
        <v>18470</v>
      </c>
      <c r="F4836" s="1" t="s">
        <v>607</v>
      </c>
      <c r="H4836" s="1" t="s">
        <v>18471</v>
      </c>
      <c r="I4836" s="1" t="s">
        <v>19</v>
      </c>
      <c r="J4836" s="1" t="s">
        <v>6</v>
      </c>
      <c r="K4836" s="1" t="s">
        <v>24</v>
      </c>
      <c r="L4836" s="1">
        <v>8229050</v>
      </c>
      <c r="M4836" s="2">
        <v>42776</v>
      </c>
      <c r="N4836" s="1" t="s">
        <v>8</v>
      </c>
      <c r="O4836" s="2">
        <v>43871</v>
      </c>
    </row>
    <row r="4837" spans="1:15" ht="43.2" x14ac:dyDescent="0.3">
      <c r="A4837" s="1" t="s">
        <v>18472</v>
      </c>
      <c r="B4837" s="1" t="str">
        <f>"Town &amp; County Electrical Contractors Ltd."</f>
        <v>Town &amp; County Electrical Contractors Ltd.</v>
      </c>
      <c r="C4837" s="1" t="s">
        <v>18473</v>
      </c>
      <c r="D4837" s="1" t="s">
        <v>4301</v>
      </c>
      <c r="F4837" s="1" t="s">
        <v>2950</v>
      </c>
      <c r="H4837" s="1" t="s">
        <v>12778</v>
      </c>
      <c r="I4837" s="1" t="s">
        <v>19</v>
      </c>
      <c r="J4837" s="1" t="s">
        <v>6</v>
      </c>
      <c r="K4837" s="1" t="s">
        <v>24</v>
      </c>
      <c r="L4837" s="1">
        <v>964313</v>
      </c>
      <c r="M4837" s="2">
        <v>42776</v>
      </c>
      <c r="N4837" s="1" t="s">
        <v>8</v>
      </c>
      <c r="O4837" s="2">
        <v>43871</v>
      </c>
    </row>
    <row r="4838" spans="1:15" ht="28.8" x14ac:dyDescent="0.3">
      <c r="A4838" s="1" t="s">
        <v>18474</v>
      </c>
      <c r="B4838" s="1" t="str">
        <f>"Twin Oaks Garden Services"</f>
        <v>Twin Oaks Garden Services</v>
      </c>
      <c r="C4838" s="1" t="s">
        <v>18475</v>
      </c>
      <c r="F4838" s="1" t="s">
        <v>91</v>
      </c>
      <c r="H4838" s="1" t="s">
        <v>18476</v>
      </c>
      <c r="I4838" s="1" t="s">
        <v>125</v>
      </c>
      <c r="J4838" s="1" t="s">
        <v>6</v>
      </c>
      <c r="K4838" s="1" t="s">
        <v>24</v>
      </c>
      <c r="M4838" s="2">
        <v>42776</v>
      </c>
      <c r="N4838" s="1" t="s">
        <v>8</v>
      </c>
      <c r="O4838" s="2">
        <v>43871</v>
      </c>
    </row>
    <row r="4839" spans="1:15" ht="43.2" x14ac:dyDescent="0.3">
      <c r="A4839" s="1" t="s">
        <v>18477</v>
      </c>
      <c r="B4839" s="1" t="str">
        <f>"Moore Trees Ltd"</f>
        <v>Moore Trees Ltd</v>
      </c>
      <c r="C4839" s="1" t="s">
        <v>14248</v>
      </c>
      <c r="F4839" s="1" t="s">
        <v>27</v>
      </c>
      <c r="H4839" s="1" t="s">
        <v>8951</v>
      </c>
      <c r="I4839" s="1" t="s">
        <v>19</v>
      </c>
      <c r="J4839" s="1" t="s">
        <v>67</v>
      </c>
      <c r="K4839" s="1" t="s">
        <v>14</v>
      </c>
      <c r="M4839" s="2">
        <v>42776</v>
      </c>
      <c r="N4839" s="1" t="s">
        <v>8</v>
      </c>
      <c r="O4839" s="1" t="s">
        <v>68</v>
      </c>
    </row>
    <row r="4840" spans="1:15" ht="28.8" x14ac:dyDescent="0.3">
      <c r="A4840" s="1" t="s">
        <v>18478</v>
      </c>
      <c r="B4840" s="1" t="str">
        <f>"Complete Remedial Solutions"</f>
        <v>Complete Remedial Solutions</v>
      </c>
      <c r="C4840" s="1" t="s">
        <v>18479</v>
      </c>
      <c r="F4840" s="1" t="s">
        <v>2169</v>
      </c>
      <c r="G4840" s="1" t="s">
        <v>1486</v>
      </c>
      <c r="H4840" s="1" t="s">
        <v>18480</v>
      </c>
      <c r="I4840" s="1" t="s">
        <v>19</v>
      </c>
      <c r="J4840" s="1" t="s">
        <v>6</v>
      </c>
      <c r="K4840" s="1" t="s">
        <v>34</v>
      </c>
      <c r="L4840" s="1">
        <v>9076690</v>
      </c>
      <c r="M4840" s="2">
        <v>42776</v>
      </c>
      <c r="N4840" s="1" t="s">
        <v>8</v>
      </c>
      <c r="O4840" s="2">
        <v>43870</v>
      </c>
    </row>
    <row r="4841" spans="1:15" ht="28.8" x14ac:dyDescent="0.3">
      <c r="A4841" s="1" t="s">
        <v>18481</v>
      </c>
      <c r="B4841" s="1" t="str">
        <f>"CHRIS SMITH SERVICES STOURBRIDGE LT"</f>
        <v>CHRIS SMITH SERVICES STOURBRIDGE LT</v>
      </c>
      <c r="C4841" s="1" t="s">
        <v>18482</v>
      </c>
      <c r="F4841" s="1" t="s">
        <v>18483</v>
      </c>
      <c r="H4841" s="1" t="s">
        <v>18484</v>
      </c>
      <c r="I4841" s="1" t="s">
        <v>19</v>
      </c>
      <c r="J4841" s="1" t="s">
        <v>6</v>
      </c>
      <c r="K4841" s="1" t="s">
        <v>34</v>
      </c>
      <c r="L4841" s="1">
        <v>10546714</v>
      </c>
      <c r="M4841" s="2">
        <v>42776</v>
      </c>
      <c r="N4841" s="1" t="s">
        <v>8</v>
      </c>
      <c r="O4841" s="2">
        <v>43871</v>
      </c>
    </row>
    <row r="4842" spans="1:15" ht="28.8" x14ac:dyDescent="0.3">
      <c r="A4842" s="1" t="s">
        <v>19010</v>
      </c>
      <c r="B4842" s="1" t="str">
        <f>"Vincent Shiel"</f>
        <v>Vincent Shiel</v>
      </c>
      <c r="C4842" s="1" t="s">
        <v>19011</v>
      </c>
      <c r="F4842" s="1" t="s">
        <v>19012</v>
      </c>
      <c r="H4842" s="1" t="s">
        <v>19013</v>
      </c>
      <c r="I4842" s="1" t="s">
        <v>5</v>
      </c>
      <c r="J4842" s="1" t="s">
        <v>6</v>
      </c>
      <c r="K4842" s="1" t="s">
        <v>24</v>
      </c>
      <c r="M4842" s="2">
        <v>42776</v>
      </c>
      <c r="N4842" s="1" t="s">
        <v>8</v>
      </c>
      <c r="O4842" s="2">
        <v>43871</v>
      </c>
    </row>
    <row r="4843" spans="1:15" ht="43.2" x14ac:dyDescent="0.3">
      <c r="A4843" s="1" t="s">
        <v>30051</v>
      </c>
      <c r="B4843" s="1" t="str">
        <f>"michael tucker"</f>
        <v>michael tucker</v>
      </c>
      <c r="C4843" s="1" t="s">
        <v>30052</v>
      </c>
      <c r="F4843" s="1" t="s">
        <v>27</v>
      </c>
      <c r="H4843" s="1" t="s">
        <v>30053</v>
      </c>
      <c r="I4843" s="1" t="s">
        <v>5</v>
      </c>
      <c r="J4843" s="1" t="s">
        <v>67</v>
      </c>
      <c r="K4843" s="1" t="s">
        <v>14</v>
      </c>
      <c r="M4843" s="2">
        <v>42776</v>
      </c>
      <c r="N4843" s="1" t="s">
        <v>8</v>
      </c>
      <c r="O4843" s="1" t="s">
        <v>68</v>
      </c>
    </row>
    <row r="4844" spans="1:15" ht="43.2" x14ac:dyDescent="0.3">
      <c r="A4844" s="1" t="s">
        <v>30054</v>
      </c>
      <c r="B4844" s="1" t="str">
        <f>"FRANCISC FARCASEL SC ROFF TRANS SRL"</f>
        <v>FRANCISC FARCASEL SC ROFF TRANS SRL</v>
      </c>
      <c r="C4844" s="1" t="s">
        <v>30055</v>
      </c>
      <c r="D4844" s="1" t="s">
        <v>30056</v>
      </c>
      <c r="E4844" s="1" t="s">
        <v>30057</v>
      </c>
      <c r="G4844" s="1" t="s">
        <v>8073</v>
      </c>
      <c r="I4844" s="1" t="s">
        <v>5</v>
      </c>
      <c r="J4844" s="1" t="s">
        <v>67</v>
      </c>
      <c r="K4844" s="1" t="s">
        <v>34</v>
      </c>
      <c r="M4844" s="2">
        <v>42776</v>
      </c>
      <c r="N4844" s="1" t="s">
        <v>8</v>
      </c>
      <c r="O4844" s="1" t="s">
        <v>68</v>
      </c>
    </row>
    <row r="4845" spans="1:15" ht="28.8" x14ac:dyDescent="0.3">
      <c r="A4845" s="1" t="s">
        <v>30058</v>
      </c>
      <c r="B4845" s="1" t="str">
        <f>"Michael   Greenall MGBuilders"</f>
        <v>Michael   Greenall MGBuilders</v>
      </c>
      <c r="C4845" s="1" t="s">
        <v>30059</v>
      </c>
      <c r="F4845" s="1" t="s">
        <v>65</v>
      </c>
      <c r="H4845" s="1" t="s">
        <v>30060</v>
      </c>
      <c r="I4845" s="1" t="s">
        <v>5</v>
      </c>
      <c r="J4845" s="1" t="s">
        <v>6</v>
      </c>
      <c r="K4845" s="1" t="s">
        <v>34</v>
      </c>
      <c r="M4845" s="2">
        <v>42776</v>
      </c>
      <c r="N4845" s="1" t="s">
        <v>8</v>
      </c>
      <c r="O4845" s="2">
        <v>43871</v>
      </c>
    </row>
    <row r="4846" spans="1:15" ht="28.8" x14ac:dyDescent="0.3">
      <c r="A4846" s="1" t="s">
        <v>17555</v>
      </c>
      <c r="B4846" s="1" t="str">
        <f>"ZONE ELECTRICAL LTD"</f>
        <v>ZONE ELECTRICAL LTD</v>
      </c>
      <c r="C4846" s="1" t="s">
        <v>17556</v>
      </c>
      <c r="F4846" s="1" t="s">
        <v>739</v>
      </c>
      <c r="H4846" s="1" t="s">
        <v>17557</v>
      </c>
      <c r="I4846" s="1" t="s">
        <v>19</v>
      </c>
      <c r="J4846" s="1" t="s">
        <v>6</v>
      </c>
      <c r="K4846" s="1" t="s">
        <v>34</v>
      </c>
      <c r="L4846" s="1">
        <v>5516429</v>
      </c>
      <c r="M4846" s="2">
        <v>42775</v>
      </c>
      <c r="N4846" s="1" t="s">
        <v>8</v>
      </c>
      <c r="O4846" s="2">
        <v>43904</v>
      </c>
    </row>
    <row r="4847" spans="1:15" ht="43.2" x14ac:dyDescent="0.3">
      <c r="A4847" s="1" t="s">
        <v>17558</v>
      </c>
      <c r="B4847" s="1" t="str">
        <f>"Bethany Training Services"</f>
        <v>Bethany Training Services</v>
      </c>
      <c r="C4847" s="1" t="s">
        <v>17559</v>
      </c>
      <c r="F4847" s="1" t="s">
        <v>3465</v>
      </c>
      <c r="H4847" s="1" t="s">
        <v>7383</v>
      </c>
      <c r="I4847" s="1" t="s">
        <v>19</v>
      </c>
      <c r="J4847" s="1" t="s">
        <v>67</v>
      </c>
      <c r="K4847" s="1" t="s">
        <v>14</v>
      </c>
      <c r="M4847" s="2">
        <v>42775</v>
      </c>
      <c r="N4847" s="1" t="s">
        <v>8</v>
      </c>
      <c r="O4847" s="1" t="s">
        <v>68</v>
      </c>
    </row>
    <row r="4848" spans="1:15" ht="43.2" x14ac:dyDescent="0.3">
      <c r="A4848" s="1" t="s">
        <v>18456</v>
      </c>
      <c r="B4848" s="1" t="str">
        <f>"Dig-It Plant Hire Ltd."</f>
        <v>Dig-It Plant Hire Ltd.</v>
      </c>
      <c r="C4848" s="1" t="s">
        <v>18457</v>
      </c>
      <c r="F4848" s="1" t="s">
        <v>358</v>
      </c>
      <c r="H4848" s="1" t="s">
        <v>18458</v>
      </c>
      <c r="I4848" s="1" t="s">
        <v>19</v>
      </c>
      <c r="J4848" s="1" t="s">
        <v>67</v>
      </c>
      <c r="K4848" s="1" t="s">
        <v>34</v>
      </c>
      <c r="L4848" s="1">
        <v>4549633</v>
      </c>
      <c r="M4848" s="2">
        <v>42775</v>
      </c>
      <c r="N4848" s="1" t="s">
        <v>8</v>
      </c>
      <c r="O4848" s="1" t="s">
        <v>68</v>
      </c>
    </row>
    <row r="4849" spans="1:15" ht="28.8" x14ac:dyDescent="0.3">
      <c r="A4849" s="1" t="s">
        <v>18459</v>
      </c>
      <c r="B4849" s="1" t="str">
        <f>"Towy Projects Ltd."</f>
        <v>Towy Projects Ltd.</v>
      </c>
      <c r="C4849" s="1" t="s">
        <v>18460</v>
      </c>
      <c r="F4849" s="1" t="s">
        <v>6881</v>
      </c>
      <c r="H4849" s="1" t="s">
        <v>18461</v>
      </c>
      <c r="I4849" s="1" t="s">
        <v>19</v>
      </c>
      <c r="J4849" s="1" t="s">
        <v>6</v>
      </c>
      <c r="K4849" s="1" t="s">
        <v>34</v>
      </c>
      <c r="L4849" s="1">
        <v>5511434</v>
      </c>
      <c r="M4849" s="2">
        <v>42775</v>
      </c>
      <c r="N4849" s="1" t="s">
        <v>8</v>
      </c>
      <c r="O4849" s="2">
        <v>43870</v>
      </c>
    </row>
    <row r="4850" spans="1:15" ht="43.2" x14ac:dyDescent="0.3">
      <c r="A4850" s="1" t="s">
        <v>29296</v>
      </c>
      <c r="B4850" s="1" t="str">
        <f>"Kevin Voice"</f>
        <v>Kevin Voice</v>
      </c>
      <c r="C4850" s="1" t="s">
        <v>29297</v>
      </c>
      <c r="F4850" s="1" t="s">
        <v>1366</v>
      </c>
      <c r="H4850" s="1" t="s">
        <v>29298</v>
      </c>
      <c r="I4850" s="1" t="s">
        <v>5</v>
      </c>
      <c r="J4850" s="1" t="s">
        <v>67</v>
      </c>
      <c r="K4850" s="1" t="s">
        <v>14</v>
      </c>
      <c r="M4850" s="2">
        <v>42775</v>
      </c>
      <c r="N4850" s="1" t="s">
        <v>8</v>
      </c>
      <c r="O4850" s="1" t="s">
        <v>68</v>
      </c>
    </row>
    <row r="4851" spans="1:15" ht="43.2" x14ac:dyDescent="0.3">
      <c r="A4851" s="1" t="s">
        <v>30049</v>
      </c>
      <c r="B4851" s="1" t="str">
        <f>"andrew jones"</f>
        <v>andrew jones</v>
      </c>
      <c r="C4851" s="1" t="s">
        <v>30050</v>
      </c>
      <c r="F4851" s="1" t="s">
        <v>65</v>
      </c>
      <c r="H4851" s="1" t="s">
        <v>13819</v>
      </c>
      <c r="I4851" s="1" t="s">
        <v>5</v>
      </c>
      <c r="J4851" s="1" t="s">
        <v>67</v>
      </c>
      <c r="K4851" s="1" t="s">
        <v>24</v>
      </c>
      <c r="M4851" s="2">
        <v>42775</v>
      </c>
      <c r="N4851" s="1" t="s">
        <v>8</v>
      </c>
      <c r="O4851" s="1" t="s">
        <v>68</v>
      </c>
    </row>
    <row r="4852" spans="1:15" ht="43.2" x14ac:dyDescent="0.3">
      <c r="A4852" s="1" t="s">
        <v>17530</v>
      </c>
      <c r="B4852" s="1" t="str">
        <f>"Eden Worldwide Ltd"</f>
        <v>Eden Worldwide Ltd</v>
      </c>
      <c r="C4852" s="1" t="s">
        <v>17531</v>
      </c>
      <c r="F4852" s="1" t="s">
        <v>170</v>
      </c>
      <c r="H4852" s="1" t="s">
        <v>17532</v>
      </c>
      <c r="I4852" s="1" t="s">
        <v>19</v>
      </c>
      <c r="J4852" s="1" t="s">
        <v>67</v>
      </c>
      <c r="K4852" s="1" t="s">
        <v>14</v>
      </c>
      <c r="M4852" s="2">
        <v>42774</v>
      </c>
      <c r="N4852" s="1" t="s">
        <v>8</v>
      </c>
      <c r="O4852" s="1" t="s">
        <v>68</v>
      </c>
    </row>
    <row r="4853" spans="1:15" ht="28.8" x14ac:dyDescent="0.3">
      <c r="A4853" s="1" t="s">
        <v>17533</v>
      </c>
      <c r="B4853" s="1" t="str">
        <f>"bute group holdings ltd"</f>
        <v>bute group holdings ltd</v>
      </c>
      <c r="C4853" s="1" t="s">
        <v>17534</v>
      </c>
      <c r="F4853" s="1" t="s">
        <v>27</v>
      </c>
      <c r="H4853" s="1" t="s">
        <v>17535</v>
      </c>
      <c r="I4853" s="1" t="s">
        <v>19</v>
      </c>
      <c r="J4853" s="1" t="s">
        <v>6</v>
      </c>
      <c r="K4853" s="1" t="s">
        <v>34</v>
      </c>
      <c r="L4853" s="1">
        <v>3710636</v>
      </c>
      <c r="M4853" s="2">
        <v>42774</v>
      </c>
      <c r="N4853" s="1" t="s">
        <v>8</v>
      </c>
      <c r="O4853" s="2">
        <v>43869</v>
      </c>
    </row>
    <row r="4854" spans="1:15" ht="43.2" x14ac:dyDescent="0.3">
      <c r="A4854" s="1" t="s">
        <v>17536</v>
      </c>
      <c r="B4854" s="1" t="str">
        <f>"RITE SHOP"</f>
        <v>RITE SHOP</v>
      </c>
      <c r="C4854" s="1" t="s">
        <v>17537</v>
      </c>
      <c r="F4854" s="1" t="s">
        <v>277</v>
      </c>
      <c r="H4854" s="1" t="s">
        <v>17538</v>
      </c>
      <c r="I4854" s="1" t="s">
        <v>125</v>
      </c>
      <c r="J4854" s="1" t="s">
        <v>67</v>
      </c>
      <c r="K4854" s="1" t="s">
        <v>14</v>
      </c>
      <c r="M4854" s="2">
        <v>42774</v>
      </c>
      <c r="N4854" s="1" t="s">
        <v>8</v>
      </c>
      <c r="O4854" s="1" t="s">
        <v>68</v>
      </c>
    </row>
    <row r="4855" spans="1:15" ht="28.8" x14ac:dyDescent="0.3">
      <c r="A4855" s="1" t="s">
        <v>17539</v>
      </c>
      <c r="B4855" s="1" t="str">
        <f>"CBOF group"</f>
        <v>CBOF group</v>
      </c>
      <c r="C4855" s="1" t="s">
        <v>17540</v>
      </c>
      <c r="D4855" s="1" t="s">
        <v>3853</v>
      </c>
      <c r="F4855" s="1" t="s">
        <v>27</v>
      </c>
      <c r="H4855" s="1" t="s">
        <v>3854</v>
      </c>
      <c r="I4855" s="1" t="s">
        <v>19</v>
      </c>
      <c r="J4855" s="1" t="s">
        <v>6</v>
      </c>
      <c r="K4855" s="1" t="s">
        <v>34</v>
      </c>
      <c r="L4855" s="1">
        <v>4410537</v>
      </c>
      <c r="M4855" s="2">
        <v>42774</v>
      </c>
      <c r="N4855" s="1" t="s">
        <v>8</v>
      </c>
      <c r="O4855" s="2">
        <v>43869</v>
      </c>
    </row>
    <row r="4856" spans="1:15" ht="28.8" x14ac:dyDescent="0.3">
      <c r="A4856" s="1" t="s">
        <v>17541</v>
      </c>
      <c r="B4856" s="1" t="str">
        <f>"ELLIOTT ELECTRICAL (BRIDGEND) LTD"</f>
        <v>ELLIOTT ELECTRICAL (BRIDGEND) LTD</v>
      </c>
      <c r="C4856" s="1" t="s">
        <v>17542</v>
      </c>
      <c r="F4856" s="1" t="s">
        <v>865</v>
      </c>
      <c r="H4856" s="1" t="s">
        <v>17543</v>
      </c>
      <c r="I4856" s="1" t="s">
        <v>19</v>
      </c>
      <c r="J4856" s="1" t="s">
        <v>6</v>
      </c>
      <c r="K4856" s="1" t="s">
        <v>24</v>
      </c>
      <c r="L4856" s="1">
        <v>2639950</v>
      </c>
      <c r="M4856" s="2">
        <v>42774</v>
      </c>
      <c r="N4856" s="1" t="s">
        <v>8</v>
      </c>
      <c r="O4856" s="2">
        <v>43869</v>
      </c>
    </row>
    <row r="4857" spans="1:15" ht="43.2" x14ac:dyDescent="0.3">
      <c r="A4857" s="1" t="s">
        <v>17544</v>
      </c>
      <c r="B4857" s="1" t="str">
        <f>"Jaytex (Manchester) Limited"</f>
        <v>Jaytex (Manchester) Limited</v>
      </c>
      <c r="C4857" s="1" t="s">
        <v>17545</v>
      </c>
      <c r="F4857" s="1" t="s">
        <v>4614</v>
      </c>
      <c r="H4857" s="1" t="s">
        <v>17546</v>
      </c>
      <c r="I4857" s="1" t="s">
        <v>19</v>
      </c>
      <c r="J4857" s="1" t="s">
        <v>67</v>
      </c>
      <c r="K4857" s="1" t="s">
        <v>14</v>
      </c>
      <c r="M4857" s="2">
        <v>42774</v>
      </c>
      <c r="N4857" s="1" t="s">
        <v>8</v>
      </c>
      <c r="O4857" s="1" t="s">
        <v>68</v>
      </c>
    </row>
    <row r="4858" spans="1:15" ht="43.2" x14ac:dyDescent="0.3">
      <c r="A4858" s="1" t="s">
        <v>17547</v>
      </c>
      <c r="B4858" s="1" t="str">
        <f>"Charcoal gril"</f>
        <v>Charcoal gril</v>
      </c>
      <c r="C4858" s="1" t="s">
        <v>17548</v>
      </c>
      <c r="D4858" s="1" t="s">
        <v>17508</v>
      </c>
      <c r="F4858" s="1" t="s">
        <v>17549</v>
      </c>
      <c r="H4858" s="1" t="s">
        <v>17550</v>
      </c>
      <c r="I4858" s="1" t="s">
        <v>19</v>
      </c>
      <c r="J4858" s="1" t="s">
        <v>67</v>
      </c>
      <c r="K4858" s="1" t="s">
        <v>14</v>
      </c>
      <c r="M4858" s="2">
        <v>42774</v>
      </c>
      <c r="N4858" s="1" t="s">
        <v>8</v>
      </c>
      <c r="O4858" s="1" t="s">
        <v>68</v>
      </c>
    </row>
    <row r="4859" spans="1:15" ht="28.8" x14ac:dyDescent="0.3">
      <c r="A4859" s="1" t="s">
        <v>17551</v>
      </c>
      <c r="B4859" s="1" t="str">
        <f>"Serenity services ltd"</f>
        <v>Serenity services ltd</v>
      </c>
      <c r="C4859" s="1" t="s">
        <v>17552</v>
      </c>
      <c r="F4859" s="1" t="s">
        <v>17553</v>
      </c>
      <c r="H4859" s="1" t="s">
        <v>17554</v>
      </c>
      <c r="I4859" s="1" t="s">
        <v>19</v>
      </c>
      <c r="J4859" s="1" t="s">
        <v>6</v>
      </c>
      <c r="K4859" s="1" t="s">
        <v>24</v>
      </c>
      <c r="L4859" s="1">
        <v>9844620</v>
      </c>
      <c r="M4859" s="2">
        <v>42774</v>
      </c>
      <c r="N4859" s="1" t="s">
        <v>8</v>
      </c>
      <c r="O4859" s="2">
        <v>43869</v>
      </c>
    </row>
    <row r="4860" spans="1:15" ht="43.2" x14ac:dyDescent="0.3">
      <c r="A4860" s="1" t="s">
        <v>29284</v>
      </c>
      <c r="B4860" s="1" t="str">
        <f>"Laszlo Markotics"</f>
        <v>Laszlo Markotics</v>
      </c>
      <c r="C4860" s="1" t="s">
        <v>29285</v>
      </c>
      <c r="F4860" s="1" t="s">
        <v>10091</v>
      </c>
      <c r="H4860" s="1" t="s">
        <v>29286</v>
      </c>
      <c r="I4860" s="1" t="s">
        <v>5</v>
      </c>
      <c r="J4860" s="1" t="s">
        <v>67</v>
      </c>
      <c r="K4860" s="1" t="s">
        <v>14</v>
      </c>
      <c r="M4860" s="2">
        <v>42774</v>
      </c>
      <c r="N4860" s="1" t="s">
        <v>8</v>
      </c>
      <c r="O4860" s="1" t="s">
        <v>68</v>
      </c>
    </row>
    <row r="4861" spans="1:15" ht="28.8" x14ac:dyDescent="0.3">
      <c r="A4861" s="1" t="s">
        <v>29287</v>
      </c>
      <c r="B4861" s="1" t="str">
        <f>"Michael Barbier Michael Barbier"</f>
        <v>Michael Barbier Michael Barbier</v>
      </c>
      <c r="C4861" s="1" t="s">
        <v>29288</v>
      </c>
      <c r="F4861" s="1" t="s">
        <v>2535</v>
      </c>
      <c r="H4861" s="1" t="s">
        <v>29289</v>
      </c>
      <c r="I4861" s="1" t="s">
        <v>5</v>
      </c>
      <c r="J4861" s="1" t="s">
        <v>6</v>
      </c>
      <c r="K4861" s="1" t="s">
        <v>24</v>
      </c>
      <c r="M4861" s="2">
        <v>42774</v>
      </c>
      <c r="N4861" s="1" t="s">
        <v>8</v>
      </c>
      <c r="O4861" s="2">
        <v>43869</v>
      </c>
    </row>
    <row r="4862" spans="1:15" ht="28.8" x14ac:dyDescent="0.3">
      <c r="A4862" s="1" t="s">
        <v>29290</v>
      </c>
      <c r="B4862" s="1" t="str">
        <f>"Anthony Beevor A.S. Heating"</f>
        <v>Anthony Beevor A.S. Heating</v>
      </c>
      <c r="C4862" s="1" t="s">
        <v>29291</v>
      </c>
      <c r="F4862" s="1" t="s">
        <v>7988</v>
      </c>
      <c r="H4862" s="1" t="s">
        <v>29292</v>
      </c>
      <c r="I4862" s="1" t="s">
        <v>5</v>
      </c>
      <c r="J4862" s="1" t="s">
        <v>6</v>
      </c>
      <c r="K4862" s="1" t="s">
        <v>34</v>
      </c>
      <c r="M4862" s="2">
        <v>42774</v>
      </c>
      <c r="N4862" s="1" t="s">
        <v>8</v>
      </c>
      <c r="O4862" s="2">
        <v>43869</v>
      </c>
    </row>
    <row r="4863" spans="1:15" ht="43.2" x14ac:dyDescent="0.3">
      <c r="A4863" s="1" t="s">
        <v>29293</v>
      </c>
      <c r="B4863" s="1" t="str">
        <f>"zeb browne"</f>
        <v>zeb browne</v>
      </c>
      <c r="C4863" s="1" t="s">
        <v>29294</v>
      </c>
      <c r="F4863" s="1" t="s">
        <v>170</v>
      </c>
      <c r="H4863" s="1" t="s">
        <v>29295</v>
      </c>
      <c r="I4863" s="1" t="s">
        <v>5</v>
      </c>
      <c r="J4863" s="1" t="s">
        <v>67</v>
      </c>
      <c r="K4863" s="1" t="s">
        <v>14</v>
      </c>
      <c r="M4863" s="2">
        <v>42774</v>
      </c>
      <c r="N4863" s="1" t="s">
        <v>8</v>
      </c>
      <c r="O4863" s="1" t="s">
        <v>68</v>
      </c>
    </row>
    <row r="4864" spans="1:15" ht="28.8" x14ac:dyDescent="0.3">
      <c r="A4864" s="1" t="s">
        <v>16499</v>
      </c>
      <c r="B4864" s="1" t="str">
        <f>"CBD Deliveries "</f>
        <v xml:space="preserve">CBD Deliveries </v>
      </c>
      <c r="C4864" s="1" t="s">
        <v>16500</v>
      </c>
      <c r="F4864" s="1" t="s">
        <v>7543</v>
      </c>
      <c r="H4864" s="1" t="s">
        <v>16501</v>
      </c>
      <c r="I4864" s="1" t="s">
        <v>19</v>
      </c>
      <c r="J4864" s="1" t="s">
        <v>6</v>
      </c>
      <c r="K4864" s="1" t="s">
        <v>34</v>
      </c>
      <c r="L4864" s="1">
        <v>8741715</v>
      </c>
      <c r="M4864" s="2">
        <v>42773</v>
      </c>
      <c r="N4864" s="1" t="s">
        <v>8</v>
      </c>
      <c r="O4864" s="2">
        <v>43868</v>
      </c>
    </row>
    <row r="4865" spans="1:15" ht="28.8" x14ac:dyDescent="0.3">
      <c r="A4865" s="1" t="s">
        <v>16502</v>
      </c>
      <c r="B4865" s="1" t="str">
        <f>"The Maltings DSS Limited "</f>
        <v xml:space="preserve">The Maltings DSS Limited </v>
      </c>
      <c r="C4865" s="1" t="s">
        <v>16503</v>
      </c>
      <c r="D4865" s="1" t="s">
        <v>16504</v>
      </c>
      <c r="F4865" s="1" t="s">
        <v>123</v>
      </c>
      <c r="H4865" s="1" t="s">
        <v>16505</v>
      </c>
      <c r="I4865" s="1" t="s">
        <v>19</v>
      </c>
      <c r="J4865" s="1" t="s">
        <v>6</v>
      </c>
      <c r="K4865" s="1" t="s">
        <v>34</v>
      </c>
      <c r="L4865" s="1">
        <v>10334384</v>
      </c>
      <c r="M4865" s="2">
        <v>42773</v>
      </c>
      <c r="N4865" s="1" t="s">
        <v>8</v>
      </c>
      <c r="O4865" s="2">
        <v>43868</v>
      </c>
    </row>
    <row r="4866" spans="1:15" ht="43.2" x14ac:dyDescent="0.3">
      <c r="A4866" s="1" t="s">
        <v>16506</v>
      </c>
      <c r="B4866" s="1" t="str">
        <f>"Brynmwar bargain limited "</f>
        <v xml:space="preserve">Brynmwar bargain limited </v>
      </c>
      <c r="C4866" s="1" t="s">
        <v>16507</v>
      </c>
      <c r="D4866" s="1" t="s">
        <v>16508</v>
      </c>
      <c r="F4866" s="1" t="s">
        <v>16509</v>
      </c>
      <c r="H4866" s="1" t="s">
        <v>7630</v>
      </c>
      <c r="I4866" s="1" t="s">
        <v>19</v>
      </c>
      <c r="J4866" s="1" t="s">
        <v>67</v>
      </c>
      <c r="K4866" s="1" t="s">
        <v>14</v>
      </c>
      <c r="M4866" s="2">
        <v>42773</v>
      </c>
      <c r="N4866" s="1" t="s">
        <v>8</v>
      </c>
      <c r="O4866" s="1" t="s">
        <v>68</v>
      </c>
    </row>
    <row r="4867" spans="1:15" ht="28.8" x14ac:dyDescent="0.3">
      <c r="A4867" s="1" t="s">
        <v>16510</v>
      </c>
      <c r="B4867" s="1" t="str">
        <f>"ANDREW D'AURIA SOLUTIONS LTD"</f>
        <v>ANDREW D'AURIA SOLUTIONS LTD</v>
      </c>
      <c r="C4867" s="1" t="s">
        <v>16511</v>
      </c>
      <c r="F4867" s="1" t="s">
        <v>65</v>
      </c>
      <c r="H4867" s="1" t="s">
        <v>16512</v>
      </c>
      <c r="I4867" s="1" t="s">
        <v>19</v>
      </c>
      <c r="J4867" s="1" t="s">
        <v>6</v>
      </c>
      <c r="K4867" s="1" t="s">
        <v>24</v>
      </c>
      <c r="L4867" s="1">
        <v>7477648</v>
      </c>
      <c r="M4867" s="2">
        <v>42773</v>
      </c>
      <c r="N4867" s="1" t="s">
        <v>8</v>
      </c>
      <c r="O4867" s="2">
        <v>43868</v>
      </c>
    </row>
    <row r="4868" spans="1:15" ht="43.2" x14ac:dyDescent="0.3">
      <c r="A4868" s="1" t="s">
        <v>16513</v>
      </c>
      <c r="B4868" s="1" t="str">
        <f>"Talybont Stores  Canalside Cafe &amp; P"</f>
        <v>Talybont Stores  Canalside Cafe &amp; P</v>
      </c>
      <c r="C4868" s="1" t="s">
        <v>16514</v>
      </c>
      <c r="F4868" s="1" t="s">
        <v>3415</v>
      </c>
      <c r="H4868" s="1" t="s">
        <v>16515</v>
      </c>
      <c r="I4868" s="1" t="s">
        <v>125</v>
      </c>
      <c r="J4868" s="1" t="s">
        <v>67</v>
      </c>
      <c r="K4868" s="1" t="s">
        <v>14</v>
      </c>
      <c r="M4868" s="2">
        <v>42773</v>
      </c>
      <c r="N4868" s="1" t="s">
        <v>8</v>
      </c>
      <c r="O4868" s="1" t="s">
        <v>68</v>
      </c>
    </row>
    <row r="4869" spans="1:15" x14ac:dyDescent="0.3">
      <c r="A4869" s="1" t="s">
        <v>16516</v>
      </c>
      <c r="B4869" s="1" t="str">
        <f>"J H Evans &amp; Son"</f>
        <v>J H Evans &amp; Son</v>
      </c>
      <c r="C4869" s="1" t="s">
        <v>16517</v>
      </c>
      <c r="F4869" s="1" t="s">
        <v>370</v>
      </c>
      <c r="H4869" s="1" t="s">
        <v>16518</v>
      </c>
      <c r="I4869" s="1" t="s">
        <v>125</v>
      </c>
      <c r="J4869" s="1" t="s">
        <v>6</v>
      </c>
      <c r="K4869" s="1" t="s">
        <v>24</v>
      </c>
      <c r="M4869" s="2">
        <v>42773</v>
      </c>
      <c r="N4869" s="1" t="s">
        <v>8</v>
      </c>
      <c r="O4869" s="2">
        <v>43868</v>
      </c>
    </row>
    <row r="4870" spans="1:15" ht="28.8" x14ac:dyDescent="0.3">
      <c r="A4870" s="1" t="s">
        <v>16519</v>
      </c>
      <c r="B4870" s="1" t="str">
        <f>"Barry Bangers LTD"</f>
        <v>Barry Bangers LTD</v>
      </c>
      <c r="C4870" s="1" t="s">
        <v>16520</v>
      </c>
      <c r="D4870" s="1" t="s">
        <v>706</v>
      </c>
      <c r="F4870" s="1" t="s">
        <v>211</v>
      </c>
      <c r="H4870" s="1" t="s">
        <v>966</v>
      </c>
      <c r="I4870" s="1" t="s">
        <v>19</v>
      </c>
      <c r="J4870" s="1" t="s">
        <v>6</v>
      </c>
      <c r="K4870" s="1" t="s">
        <v>34</v>
      </c>
      <c r="L4870" s="1">
        <v>10588647</v>
      </c>
      <c r="M4870" s="2">
        <v>42773</v>
      </c>
      <c r="N4870" s="1" t="s">
        <v>8</v>
      </c>
      <c r="O4870" s="2">
        <v>43868</v>
      </c>
    </row>
    <row r="4871" spans="1:15" ht="43.2" x14ac:dyDescent="0.3">
      <c r="A4871" s="1" t="s">
        <v>16521</v>
      </c>
      <c r="B4871" s="1" t="str">
        <f>"Avatar Business Solutions Limited"</f>
        <v>Avatar Business Solutions Limited</v>
      </c>
      <c r="C4871" s="1" t="s">
        <v>16522</v>
      </c>
      <c r="F4871" s="1" t="s">
        <v>65</v>
      </c>
      <c r="H4871" s="1" t="s">
        <v>16523</v>
      </c>
      <c r="I4871" s="1" t="s">
        <v>19</v>
      </c>
      <c r="J4871" s="1" t="s">
        <v>67</v>
      </c>
      <c r="K4871" s="1" t="s">
        <v>14</v>
      </c>
      <c r="M4871" s="2">
        <v>42773</v>
      </c>
      <c r="N4871" s="1" t="s">
        <v>8</v>
      </c>
      <c r="O4871" s="1" t="s">
        <v>68</v>
      </c>
    </row>
    <row r="4872" spans="1:15" ht="43.2" x14ac:dyDescent="0.3">
      <c r="A4872" s="1" t="s">
        <v>17521</v>
      </c>
      <c r="B4872" s="1" t="str">
        <f>"Tdm community studio CIC"</f>
        <v>Tdm community studio CIC</v>
      </c>
      <c r="C4872" s="1" t="s">
        <v>17522</v>
      </c>
      <c r="F4872" s="1" t="s">
        <v>1351</v>
      </c>
      <c r="H4872" s="1" t="s">
        <v>17523</v>
      </c>
      <c r="I4872" s="1" t="s">
        <v>1872</v>
      </c>
      <c r="J4872" s="1" t="s">
        <v>67</v>
      </c>
      <c r="K4872" s="1" t="s">
        <v>14</v>
      </c>
      <c r="M4872" s="2">
        <v>42773</v>
      </c>
      <c r="N4872" s="1" t="s">
        <v>8</v>
      </c>
      <c r="O4872" s="1" t="s">
        <v>68</v>
      </c>
    </row>
    <row r="4873" spans="1:15" x14ac:dyDescent="0.3">
      <c r="A4873" s="1" t="s">
        <v>17524</v>
      </c>
      <c r="B4873" s="1" t="str">
        <f>"Powys Luxury Loos"</f>
        <v>Powys Luxury Loos</v>
      </c>
      <c r="C4873" s="1" t="s">
        <v>17525</v>
      </c>
      <c r="F4873" s="1" t="s">
        <v>409</v>
      </c>
      <c r="H4873" s="1" t="s">
        <v>17526</v>
      </c>
      <c r="I4873" s="1" t="s">
        <v>125</v>
      </c>
      <c r="J4873" s="1" t="s">
        <v>6</v>
      </c>
      <c r="K4873" s="1" t="s">
        <v>24</v>
      </c>
      <c r="M4873" s="2">
        <v>42773</v>
      </c>
      <c r="N4873" s="1" t="s">
        <v>8</v>
      </c>
      <c r="O4873" s="2">
        <v>43868</v>
      </c>
    </row>
    <row r="4874" spans="1:15" ht="28.8" x14ac:dyDescent="0.3">
      <c r="A4874" s="1" t="s">
        <v>17527</v>
      </c>
      <c r="B4874" s="1" t="str">
        <f>"Nikelmon Services Limited"</f>
        <v>Nikelmon Services Limited</v>
      </c>
      <c r="C4874" s="1" t="s">
        <v>17528</v>
      </c>
      <c r="F4874" s="1" t="s">
        <v>14935</v>
      </c>
      <c r="H4874" s="1" t="s">
        <v>17529</v>
      </c>
      <c r="I4874" s="1" t="s">
        <v>19</v>
      </c>
      <c r="J4874" s="1" t="s">
        <v>6</v>
      </c>
      <c r="K4874" s="1" t="s">
        <v>24</v>
      </c>
      <c r="L4874" s="1">
        <v>10383626</v>
      </c>
      <c r="M4874" s="2">
        <v>42773</v>
      </c>
      <c r="N4874" s="1" t="s">
        <v>8</v>
      </c>
      <c r="O4874" s="2">
        <v>43868</v>
      </c>
    </row>
    <row r="4875" spans="1:15" ht="28.8" x14ac:dyDescent="0.3">
      <c r="A4875" s="1" t="s">
        <v>28557</v>
      </c>
      <c r="B4875" s="1" t="str">
        <f>"michael jeremiah second to none"</f>
        <v>michael jeremiah second to none</v>
      </c>
      <c r="C4875" s="1" t="s">
        <v>28558</v>
      </c>
      <c r="F4875" s="1" t="s">
        <v>457</v>
      </c>
      <c r="H4875" s="1" t="s">
        <v>28559</v>
      </c>
      <c r="I4875" s="1" t="s">
        <v>5</v>
      </c>
      <c r="J4875" s="1" t="s">
        <v>6</v>
      </c>
      <c r="K4875" s="1" t="s">
        <v>24</v>
      </c>
      <c r="M4875" s="2">
        <v>42773</v>
      </c>
      <c r="N4875" s="1" t="s">
        <v>8</v>
      </c>
      <c r="O4875" s="2">
        <v>43868</v>
      </c>
    </row>
    <row r="4876" spans="1:15" ht="43.2" x14ac:dyDescent="0.3">
      <c r="A4876" s="1" t="s">
        <v>28560</v>
      </c>
      <c r="B4876" s="1" t="str">
        <f>"Larry O'Keefe"</f>
        <v>Larry O'Keefe</v>
      </c>
      <c r="C4876" s="1" t="s">
        <v>28561</v>
      </c>
      <c r="F4876" s="1" t="s">
        <v>739</v>
      </c>
      <c r="H4876" s="1" t="s">
        <v>28562</v>
      </c>
      <c r="I4876" s="1" t="s">
        <v>5</v>
      </c>
      <c r="J4876" s="1" t="s">
        <v>67</v>
      </c>
      <c r="K4876" s="1" t="s">
        <v>14</v>
      </c>
      <c r="M4876" s="2">
        <v>42773</v>
      </c>
      <c r="N4876" s="1" t="s">
        <v>8</v>
      </c>
      <c r="O4876" s="1" t="s">
        <v>68</v>
      </c>
    </row>
    <row r="4877" spans="1:15" ht="28.8" x14ac:dyDescent="0.3">
      <c r="A4877" s="1" t="s">
        <v>28563</v>
      </c>
      <c r="B4877" s="1" t="str">
        <f>"PAUL NEWMAN PAUL NEWMAN"</f>
        <v>PAUL NEWMAN PAUL NEWMAN</v>
      </c>
      <c r="C4877" s="1" t="s">
        <v>28564</v>
      </c>
      <c r="F4877" s="1" t="s">
        <v>65</v>
      </c>
      <c r="H4877" s="1" t="s">
        <v>28565</v>
      </c>
      <c r="I4877" s="1" t="s">
        <v>5</v>
      </c>
      <c r="J4877" s="1" t="s">
        <v>6</v>
      </c>
      <c r="K4877" s="1" t="s">
        <v>34</v>
      </c>
      <c r="M4877" s="2">
        <v>42773</v>
      </c>
      <c r="N4877" s="1" t="s">
        <v>8</v>
      </c>
      <c r="O4877" s="2">
        <v>43868</v>
      </c>
    </row>
    <row r="4878" spans="1:15" ht="28.8" x14ac:dyDescent="0.3">
      <c r="A4878" s="1" t="s">
        <v>28566</v>
      </c>
      <c r="B4878" s="1" t="str">
        <f>"Andrew George Davies"</f>
        <v>Andrew George Davies</v>
      </c>
      <c r="C4878" s="1" t="s">
        <v>28567</v>
      </c>
      <c r="F4878" s="1" t="s">
        <v>950</v>
      </c>
      <c r="H4878" s="1" t="s">
        <v>28568</v>
      </c>
      <c r="I4878" s="1" t="s">
        <v>5</v>
      </c>
      <c r="J4878" s="1" t="s">
        <v>6</v>
      </c>
      <c r="K4878" s="1" t="s">
        <v>34</v>
      </c>
      <c r="M4878" s="2">
        <v>42773</v>
      </c>
      <c r="N4878" s="1" t="s">
        <v>8</v>
      </c>
      <c r="O4878" s="2">
        <v>43868</v>
      </c>
    </row>
    <row r="4879" spans="1:15" ht="43.2" x14ac:dyDescent="0.3">
      <c r="A4879" s="1" t="s">
        <v>29278</v>
      </c>
      <c r="B4879" s="1" t="str">
        <f>"Mark Skitt"</f>
        <v>Mark Skitt</v>
      </c>
      <c r="C4879" s="1" t="s">
        <v>29279</v>
      </c>
      <c r="F4879" s="1" t="s">
        <v>37</v>
      </c>
      <c r="H4879" s="1" t="s">
        <v>29280</v>
      </c>
      <c r="I4879" s="1" t="s">
        <v>5</v>
      </c>
      <c r="J4879" s="1" t="s">
        <v>67</v>
      </c>
      <c r="K4879" s="1" t="s">
        <v>14</v>
      </c>
      <c r="M4879" s="2">
        <v>42773</v>
      </c>
      <c r="N4879" s="1" t="s">
        <v>8</v>
      </c>
      <c r="O4879" s="1" t="s">
        <v>68</v>
      </c>
    </row>
    <row r="4880" spans="1:15" ht="43.2" x14ac:dyDescent="0.3">
      <c r="A4880" s="1" t="s">
        <v>29281</v>
      </c>
      <c r="B4880" s="1" t="str">
        <f>"allen jenkins"</f>
        <v>allen jenkins</v>
      </c>
      <c r="C4880" s="1" t="s">
        <v>29282</v>
      </c>
      <c r="F4880" s="1" t="s">
        <v>134</v>
      </c>
      <c r="H4880" s="1" t="s">
        <v>29283</v>
      </c>
      <c r="I4880" s="1" t="s">
        <v>5</v>
      </c>
      <c r="J4880" s="1" t="s">
        <v>67</v>
      </c>
      <c r="K4880" s="1" t="s">
        <v>14</v>
      </c>
      <c r="M4880" s="2">
        <v>42773</v>
      </c>
      <c r="N4880" s="1" t="s">
        <v>8</v>
      </c>
      <c r="O4880" s="1" t="s">
        <v>68</v>
      </c>
    </row>
    <row r="4881" spans="1:15" ht="28.8" x14ac:dyDescent="0.3">
      <c r="A4881" s="1" t="s">
        <v>15460</v>
      </c>
      <c r="B4881" s="1" t="str">
        <f>"WHITLAND ENGINEERING LTD"</f>
        <v>WHITLAND ENGINEERING LTD</v>
      </c>
      <c r="C4881" s="1" t="s">
        <v>15461</v>
      </c>
      <c r="D4881" s="1" t="s">
        <v>15462</v>
      </c>
      <c r="F4881" s="1" t="s">
        <v>9179</v>
      </c>
      <c r="H4881" s="1" t="s">
        <v>15463</v>
      </c>
      <c r="I4881" s="1" t="s">
        <v>19</v>
      </c>
      <c r="J4881" s="1" t="s">
        <v>6</v>
      </c>
      <c r="K4881" s="1" t="s">
        <v>34</v>
      </c>
      <c r="L4881" s="1">
        <v>2566083</v>
      </c>
      <c r="M4881" s="2">
        <v>42772</v>
      </c>
      <c r="N4881" s="1" t="s">
        <v>8</v>
      </c>
      <c r="O4881" s="2">
        <v>43867</v>
      </c>
    </row>
    <row r="4882" spans="1:15" ht="28.8" x14ac:dyDescent="0.3">
      <c r="A4882" s="1" t="s">
        <v>15464</v>
      </c>
      <c r="B4882" s="1" t="str">
        <f>"Ultimate Window Systems Ltd."</f>
        <v>Ultimate Window Systems Ltd.</v>
      </c>
      <c r="C4882" s="1" t="s">
        <v>15465</v>
      </c>
      <c r="F4882" s="1" t="s">
        <v>12</v>
      </c>
      <c r="H4882" s="1" t="s">
        <v>15466</v>
      </c>
      <c r="I4882" s="1" t="s">
        <v>19</v>
      </c>
      <c r="J4882" s="1" t="s">
        <v>6</v>
      </c>
      <c r="K4882" s="1" t="s">
        <v>24</v>
      </c>
      <c r="L4882" s="1">
        <v>4260496</v>
      </c>
      <c r="M4882" s="2">
        <v>42772</v>
      </c>
      <c r="N4882" s="1" t="s">
        <v>8</v>
      </c>
      <c r="O4882" s="2">
        <v>43867</v>
      </c>
    </row>
    <row r="4883" spans="1:15" ht="28.8" x14ac:dyDescent="0.3">
      <c r="A4883" s="1" t="s">
        <v>15467</v>
      </c>
      <c r="B4883" s="1" t="str">
        <f>"BKS"</f>
        <v>BKS</v>
      </c>
      <c r="C4883" s="1" t="s">
        <v>15468</v>
      </c>
      <c r="D4883" s="1" t="s">
        <v>5617</v>
      </c>
      <c r="E4883" s="1" t="s">
        <v>2623</v>
      </c>
      <c r="F4883" s="1" t="s">
        <v>65</v>
      </c>
      <c r="H4883" s="1" t="s">
        <v>5618</v>
      </c>
      <c r="I4883" s="1" t="s">
        <v>19</v>
      </c>
      <c r="J4883" s="1" t="s">
        <v>6</v>
      </c>
      <c r="K4883" s="1" t="s">
        <v>24</v>
      </c>
      <c r="L4883" s="1">
        <v>6760721</v>
      </c>
      <c r="M4883" s="2">
        <v>42772</v>
      </c>
      <c r="N4883" s="1" t="s">
        <v>8</v>
      </c>
      <c r="O4883" s="2">
        <v>43891</v>
      </c>
    </row>
    <row r="4884" spans="1:15" ht="28.8" x14ac:dyDescent="0.3">
      <c r="A4884" s="1" t="s">
        <v>27755</v>
      </c>
      <c r="B4884" s="1" t="str">
        <f>"Andrew Avery Avery Cleaning Services"</f>
        <v>Andrew Avery Avery Cleaning Services</v>
      </c>
      <c r="C4884" s="1" t="s">
        <v>27756</v>
      </c>
      <c r="F4884" s="1" t="s">
        <v>27</v>
      </c>
      <c r="H4884" s="1" t="s">
        <v>27757</v>
      </c>
      <c r="I4884" s="1" t="s">
        <v>5</v>
      </c>
      <c r="J4884" s="1" t="s">
        <v>6</v>
      </c>
      <c r="K4884" s="1" t="s">
        <v>24</v>
      </c>
      <c r="M4884" s="2">
        <v>42772</v>
      </c>
      <c r="N4884" s="1" t="s">
        <v>8</v>
      </c>
      <c r="O4884" s="2">
        <v>43867</v>
      </c>
    </row>
    <row r="4885" spans="1:15" x14ac:dyDescent="0.3">
      <c r="A4885" s="1" t="s">
        <v>27758</v>
      </c>
      <c r="B4885" s="1" t="str">
        <f>"Shaun Young Spandeck"</f>
        <v>Shaun Young Spandeck</v>
      </c>
      <c r="C4885" s="1" t="s">
        <v>27759</v>
      </c>
      <c r="F4885" s="1" t="s">
        <v>2711</v>
      </c>
      <c r="H4885" s="1" t="s">
        <v>14318</v>
      </c>
      <c r="I4885" s="1" t="s">
        <v>5</v>
      </c>
      <c r="J4885" s="1" t="s">
        <v>6</v>
      </c>
      <c r="K4885" s="1" t="s">
        <v>24</v>
      </c>
      <c r="M4885" s="2">
        <v>42772</v>
      </c>
      <c r="N4885" s="1" t="s">
        <v>8</v>
      </c>
      <c r="O4885" s="2">
        <v>43867</v>
      </c>
    </row>
    <row r="4886" spans="1:15" ht="43.2" x14ac:dyDescent="0.3">
      <c r="A4886" s="1" t="s">
        <v>27760</v>
      </c>
      <c r="B4886" s="1" t="str">
        <f>"Martin Paine MDH Horticultural Contractors"</f>
        <v>Martin Paine MDH Horticultural Contractors</v>
      </c>
      <c r="C4886" s="1" t="s">
        <v>27761</v>
      </c>
      <c r="F4886" s="1" t="s">
        <v>27762</v>
      </c>
      <c r="H4886" s="1" t="s">
        <v>27763</v>
      </c>
      <c r="I4886" s="1" t="s">
        <v>5</v>
      </c>
      <c r="J4886" s="1" t="s">
        <v>6</v>
      </c>
      <c r="K4886" s="1" t="s">
        <v>34</v>
      </c>
      <c r="M4886" s="2">
        <v>42772</v>
      </c>
      <c r="N4886" s="1" t="s">
        <v>8</v>
      </c>
      <c r="O4886" s="2">
        <v>43867</v>
      </c>
    </row>
    <row r="4887" spans="1:15" ht="43.2" x14ac:dyDescent="0.3">
      <c r="A4887" s="1" t="s">
        <v>15453</v>
      </c>
      <c r="B4887" s="1" t="str">
        <f>"Arwyn Parry Construction Services Limited"</f>
        <v>Arwyn Parry Construction Services Limited</v>
      </c>
      <c r="C4887" s="1" t="s">
        <v>15454</v>
      </c>
      <c r="D4887" s="1" t="s">
        <v>4644</v>
      </c>
      <c r="F4887" s="1" t="s">
        <v>1278</v>
      </c>
      <c r="H4887" s="1" t="s">
        <v>15455</v>
      </c>
      <c r="I4887" s="1" t="s">
        <v>19</v>
      </c>
      <c r="J4887" s="1" t="s">
        <v>6</v>
      </c>
      <c r="K4887" s="1" t="s">
        <v>34</v>
      </c>
      <c r="L4887" s="1">
        <v>8116039</v>
      </c>
      <c r="M4887" s="2">
        <v>42771</v>
      </c>
      <c r="N4887" s="1" t="s">
        <v>8</v>
      </c>
      <c r="O4887" s="2">
        <v>43866</v>
      </c>
    </row>
    <row r="4888" spans="1:15" ht="43.2" x14ac:dyDescent="0.3">
      <c r="A4888" s="1" t="s">
        <v>15456</v>
      </c>
      <c r="B4888" s="1" t="str">
        <f>"J T MONKHOUSE"</f>
        <v>J T MONKHOUSE</v>
      </c>
      <c r="C4888" s="1" t="s">
        <v>15457</v>
      </c>
      <c r="F4888" s="1" t="s">
        <v>15458</v>
      </c>
      <c r="H4888" s="1" t="s">
        <v>15459</v>
      </c>
      <c r="I4888" s="1" t="s">
        <v>125</v>
      </c>
      <c r="J4888" s="1" t="s">
        <v>67</v>
      </c>
      <c r="K4888" s="1" t="s">
        <v>14</v>
      </c>
      <c r="M4888" s="2">
        <v>42771</v>
      </c>
      <c r="N4888" s="1" t="s">
        <v>8</v>
      </c>
      <c r="O4888" s="1" t="s">
        <v>68</v>
      </c>
    </row>
    <row r="4889" spans="1:15" x14ac:dyDescent="0.3">
      <c r="A4889" s="1" t="s">
        <v>27752</v>
      </c>
      <c r="B4889" s="1" t="str">
        <f>"Alan Vaughan Cooper"</f>
        <v>Alan Vaughan Cooper</v>
      </c>
      <c r="C4889" s="1" t="s">
        <v>27753</v>
      </c>
      <c r="F4889" s="1" t="s">
        <v>174</v>
      </c>
      <c r="H4889" s="1" t="s">
        <v>27754</v>
      </c>
      <c r="I4889" s="1" t="s">
        <v>5</v>
      </c>
      <c r="J4889" s="1" t="s">
        <v>6</v>
      </c>
      <c r="K4889" s="1" t="s">
        <v>24</v>
      </c>
      <c r="M4889" s="2">
        <v>42771</v>
      </c>
      <c r="N4889" s="1" t="s">
        <v>8</v>
      </c>
      <c r="O4889" s="2">
        <v>43866</v>
      </c>
    </row>
    <row r="4890" spans="1:15" ht="28.8" x14ac:dyDescent="0.3">
      <c r="A4890" s="1" t="s">
        <v>26900</v>
      </c>
      <c r="B4890" s="1" t="str">
        <f>"Michael Hamer Eastwing Construction"</f>
        <v>Michael Hamer Eastwing Construction</v>
      </c>
      <c r="C4890" s="1" t="s">
        <v>26901</v>
      </c>
      <c r="F4890" s="1" t="s">
        <v>123</v>
      </c>
      <c r="H4890" s="1" t="s">
        <v>26902</v>
      </c>
      <c r="I4890" s="1" t="s">
        <v>5</v>
      </c>
      <c r="J4890" s="1" t="s">
        <v>6</v>
      </c>
      <c r="K4890" s="1" t="s">
        <v>34</v>
      </c>
      <c r="M4890" s="2">
        <v>42770</v>
      </c>
      <c r="N4890" s="1" t="s">
        <v>8</v>
      </c>
      <c r="O4890" s="2">
        <v>43865</v>
      </c>
    </row>
    <row r="4891" spans="1:15" ht="43.2" x14ac:dyDescent="0.3">
      <c r="A4891" s="1" t="s">
        <v>26903</v>
      </c>
      <c r="B4891" s="1" t="str">
        <f>"Rupert Moore"</f>
        <v>Rupert Moore</v>
      </c>
      <c r="C4891" s="1" t="s">
        <v>26904</v>
      </c>
      <c r="D4891" s="1" t="s">
        <v>6087</v>
      </c>
      <c r="F4891" s="1" t="s">
        <v>27</v>
      </c>
      <c r="H4891" s="1" t="s">
        <v>26905</v>
      </c>
      <c r="I4891" s="1" t="s">
        <v>5</v>
      </c>
      <c r="J4891" s="1" t="s">
        <v>67</v>
      </c>
      <c r="K4891" s="1" t="s">
        <v>24</v>
      </c>
      <c r="M4891" s="2">
        <v>42770</v>
      </c>
      <c r="N4891" s="1" t="s">
        <v>8</v>
      </c>
      <c r="O4891" s="1" t="s">
        <v>68</v>
      </c>
    </row>
    <row r="4892" spans="1:15" x14ac:dyDescent="0.3">
      <c r="A4892" s="1" t="s">
        <v>13732</v>
      </c>
      <c r="B4892" s="1" t="str">
        <f>"STEVE FLOYD LIMITED"</f>
        <v>STEVE FLOYD LIMITED</v>
      </c>
      <c r="C4892" s="1" t="s">
        <v>13733</v>
      </c>
      <c r="D4892" s="1" t="s">
        <v>13734</v>
      </c>
      <c r="F4892" s="1" t="s">
        <v>179</v>
      </c>
      <c r="H4892" s="1" t="s">
        <v>13735</v>
      </c>
      <c r="I4892" s="1" t="s">
        <v>19</v>
      </c>
      <c r="J4892" s="1" t="s">
        <v>6</v>
      </c>
      <c r="K4892" s="1" t="s">
        <v>24</v>
      </c>
      <c r="L4892" s="1">
        <v>8568859</v>
      </c>
      <c r="M4892" s="2">
        <v>42769</v>
      </c>
      <c r="N4892" s="1" t="s">
        <v>8</v>
      </c>
      <c r="O4892" s="2">
        <v>43864</v>
      </c>
    </row>
    <row r="4893" spans="1:15" ht="28.8" x14ac:dyDescent="0.3">
      <c r="A4893" s="1" t="s">
        <v>13736</v>
      </c>
      <c r="B4893" s="1" t="str">
        <f>"Kingston City Properties Ltd"</f>
        <v>Kingston City Properties Ltd</v>
      </c>
      <c r="C4893" s="1" t="s">
        <v>13737</v>
      </c>
      <c r="F4893" s="1" t="s">
        <v>27</v>
      </c>
      <c r="H4893" s="1" t="s">
        <v>13738</v>
      </c>
      <c r="I4893" s="1" t="s">
        <v>19</v>
      </c>
      <c r="J4893" s="1" t="s">
        <v>6</v>
      </c>
      <c r="K4893" s="1" t="s">
        <v>34</v>
      </c>
      <c r="L4893" s="1">
        <v>6419630</v>
      </c>
      <c r="M4893" s="2">
        <v>42769</v>
      </c>
      <c r="N4893" s="1" t="s">
        <v>8</v>
      </c>
      <c r="O4893" s="2">
        <v>43864</v>
      </c>
    </row>
    <row r="4894" spans="1:15" ht="28.8" x14ac:dyDescent="0.3">
      <c r="A4894" s="1" t="s">
        <v>13739</v>
      </c>
      <c r="B4894" s="1" t="str">
        <f>"JLT PLUMBING &amp; HEATING LTD"</f>
        <v>JLT PLUMBING &amp; HEATING LTD</v>
      </c>
      <c r="C4894" s="1" t="s">
        <v>13740</v>
      </c>
      <c r="F4894" s="1" t="s">
        <v>621</v>
      </c>
      <c r="H4894" s="1" t="s">
        <v>13741</v>
      </c>
      <c r="I4894" s="1" t="s">
        <v>19</v>
      </c>
      <c r="J4894" s="1" t="s">
        <v>6</v>
      </c>
      <c r="K4894" s="1" t="s">
        <v>24</v>
      </c>
      <c r="L4894" s="1">
        <v>9381343</v>
      </c>
      <c r="M4894" s="2">
        <v>42769</v>
      </c>
      <c r="N4894" s="1" t="s">
        <v>8</v>
      </c>
      <c r="O4894" s="2">
        <v>43864</v>
      </c>
    </row>
    <row r="4895" spans="1:15" ht="43.2" x14ac:dyDescent="0.3">
      <c r="A4895" s="1" t="s">
        <v>13742</v>
      </c>
      <c r="B4895" s="1" t="str">
        <f>"rhymney convenience store"</f>
        <v>rhymney convenience store</v>
      </c>
      <c r="C4895" s="1" t="s">
        <v>13743</v>
      </c>
      <c r="D4895" s="1" t="s">
        <v>6091</v>
      </c>
      <c r="F4895" s="1" t="s">
        <v>4656</v>
      </c>
      <c r="H4895" s="1" t="s">
        <v>13744</v>
      </c>
      <c r="I4895" s="1" t="s">
        <v>19</v>
      </c>
      <c r="J4895" s="1" t="s">
        <v>67</v>
      </c>
      <c r="K4895" s="1" t="s">
        <v>14</v>
      </c>
      <c r="M4895" s="2">
        <v>42769</v>
      </c>
      <c r="N4895" s="1" t="s">
        <v>8</v>
      </c>
      <c r="O4895" s="1" t="s">
        <v>68</v>
      </c>
    </row>
    <row r="4896" spans="1:15" ht="28.8" x14ac:dyDescent="0.3">
      <c r="A4896" s="1" t="s">
        <v>14555</v>
      </c>
      <c r="B4896" s="1" t="str">
        <f>"Total Skip Hire Ltd."</f>
        <v>Total Skip Hire Ltd.</v>
      </c>
      <c r="C4896" s="1" t="s">
        <v>14556</v>
      </c>
      <c r="F4896" s="1" t="s">
        <v>174</v>
      </c>
      <c r="H4896" s="1" t="s">
        <v>3843</v>
      </c>
      <c r="I4896" s="1" t="s">
        <v>19</v>
      </c>
      <c r="J4896" s="1" t="s">
        <v>6</v>
      </c>
      <c r="K4896" s="1" t="s">
        <v>24</v>
      </c>
      <c r="L4896" s="1">
        <v>5089910</v>
      </c>
      <c r="M4896" s="2">
        <v>42769</v>
      </c>
      <c r="N4896" s="1" t="s">
        <v>8</v>
      </c>
      <c r="O4896" s="2">
        <v>43864</v>
      </c>
    </row>
    <row r="4897" spans="1:15" x14ac:dyDescent="0.3">
      <c r="A4897" s="1" t="s">
        <v>14557</v>
      </c>
      <c r="B4897" s="1" t="str">
        <f>"J H Roberts &amp; Sons"</f>
        <v>J H Roberts &amp; Sons</v>
      </c>
      <c r="C4897" s="1" t="s">
        <v>14558</v>
      </c>
      <c r="F4897" s="1" t="s">
        <v>17</v>
      </c>
      <c r="H4897" s="1" t="s">
        <v>14559</v>
      </c>
      <c r="I4897" s="1" t="s">
        <v>125</v>
      </c>
      <c r="J4897" s="1" t="s">
        <v>6</v>
      </c>
      <c r="K4897" s="1" t="s">
        <v>24</v>
      </c>
      <c r="M4897" s="2">
        <v>42769</v>
      </c>
      <c r="N4897" s="1" t="s">
        <v>8</v>
      </c>
      <c r="O4897" s="2">
        <v>43864</v>
      </c>
    </row>
    <row r="4898" spans="1:15" ht="28.8" x14ac:dyDescent="0.3">
      <c r="A4898" s="1" t="s">
        <v>14560</v>
      </c>
      <c r="B4898" s="1" t="str">
        <f>"Mason's Flat Roofing Ltd."</f>
        <v>Mason's Flat Roofing Ltd.</v>
      </c>
      <c r="C4898" s="1" t="s">
        <v>14561</v>
      </c>
      <c r="F4898" s="1" t="s">
        <v>14562</v>
      </c>
      <c r="H4898" s="1" t="s">
        <v>14563</v>
      </c>
      <c r="I4898" s="1" t="s">
        <v>19</v>
      </c>
      <c r="J4898" s="1" t="s">
        <v>6</v>
      </c>
      <c r="K4898" s="1" t="s">
        <v>34</v>
      </c>
      <c r="L4898" s="1">
        <v>4781732</v>
      </c>
      <c r="M4898" s="2">
        <v>42769</v>
      </c>
      <c r="N4898" s="1" t="s">
        <v>8</v>
      </c>
      <c r="O4898" s="2">
        <v>43864</v>
      </c>
    </row>
    <row r="4899" spans="1:15" ht="28.8" x14ac:dyDescent="0.3">
      <c r="A4899" s="1" t="s">
        <v>14564</v>
      </c>
      <c r="B4899" s="1" t="str">
        <f>"The Rhondda Asphalt Co. Ltd."</f>
        <v>The Rhondda Asphalt Co. Ltd.</v>
      </c>
      <c r="C4899" s="1" t="s">
        <v>14565</v>
      </c>
      <c r="F4899" s="1" t="s">
        <v>1115</v>
      </c>
      <c r="H4899" s="1" t="s">
        <v>14566</v>
      </c>
      <c r="I4899" s="1" t="s">
        <v>19</v>
      </c>
      <c r="J4899" s="1" t="s">
        <v>6</v>
      </c>
      <c r="K4899" s="1" t="s">
        <v>24</v>
      </c>
      <c r="L4899" s="1">
        <v>6011617</v>
      </c>
      <c r="M4899" s="2">
        <v>42769</v>
      </c>
      <c r="N4899" s="1" t="s">
        <v>8</v>
      </c>
      <c r="O4899" s="2">
        <v>43864</v>
      </c>
    </row>
    <row r="4900" spans="1:15" ht="43.2" x14ac:dyDescent="0.3">
      <c r="A4900" s="1" t="s">
        <v>14567</v>
      </c>
      <c r="B4900" s="1" t="str">
        <f>"A &amp; H Sweets &amp; Drinks Ltd"</f>
        <v>A &amp; H Sweets &amp; Drinks Ltd</v>
      </c>
      <c r="C4900" s="1" t="s">
        <v>14568</v>
      </c>
      <c r="D4900" s="1" t="s">
        <v>14569</v>
      </c>
      <c r="F4900" s="1" t="s">
        <v>1230</v>
      </c>
      <c r="H4900" s="1" t="s">
        <v>6793</v>
      </c>
      <c r="I4900" s="1" t="s">
        <v>19</v>
      </c>
      <c r="J4900" s="1" t="s">
        <v>67</v>
      </c>
      <c r="K4900" s="1" t="s">
        <v>14</v>
      </c>
      <c r="M4900" s="2">
        <v>42769</v>
      </c>
      <c r="N4900" s="1" t="s">
        <v>8</v>
      </c>
      <c r="O4900" s="1" t="s">
        <v>68</v>
      </c>
    </row>
    <row r="4901" spans="1:15" ht="43.2" x14ac:dyDescent="0.3">
      <c r="A4901" s="1" t="s">
        <v>14570</v>
      </c>
      <c r="B4901" s="1" t="str">
        <f>"touratech limited"</f>
        <v>touratech limited</v>
      </c>
      <c r="C4901" s="1" t="s">
        <v>14571</v>
      </c>
      <c r="D4901" s="1" t="s">
        <v>6825</v>
      </c>
      <c r="F4901" s="1" t="s">
        <v>65</v>
      </c>
      <c r="H4901" s="1" t="s">
        <v>14572</v>
      </c>
      <c r="I4901" s="1" t="s">
        <v>19</v>
      </c>
      <c r="J4901" s="1" t="s">
        <v>67</v>
      </c>
      <c r="K4901" s="1" t="s">
        <v>14</v>
      </c>
      <c r="M4901" s="2">
        <v>42769</v>
      </c>
      <c r="N4901" s="1" t="s">
        <v>8</v>
      </c>
      <c r="O4901" s="1" t="s">
        <v>68</v>
      </c>
    </row>
    <row r="4902" spans="1:15" ht="43.2" x14ac:dyDescent="0.3">
      <c r="A4902" s="1" t="s">
        <v>14573</v>
      </c>
      <c r="B4902" s="1" t="str">
        <f>"town and country pest services ltd"</f>
        <v>town and country pest services ltd</v>
      </c>
      <c r="C4902" s="1" t="s">
        <v>14574</v>
      </c>
      <c r="D4902" s="1" t="s">
        <v>14575</v>
      </c>
      <c r="F4902" s="1" t="s">
        <v>12546</v>
      </c>
      <c r="H4902" s="1" t="s">
        <v>14576</v>
      </c>
      <c r="I4902" s="1" t="s">
        <v>19</v>
      </c>
      <c r="J4902" s="1" t="s">
        <v>67</v>
      </c>
      <c r="K4902" s="1" t="s">
        <v>14</v>
      </c>
      <c r="M4902" s="2">
        <v>42769</v>
      </c>
      <c r="N4902" s="1" t="s">
        <v>8</v>
      </c>
      <c r="O4902" s="1" t="s">
        <v>68</v>
      </c>
    </row>
    <row r="4903" spans="1:15" ht="28.8" x14ac:dyDescent="0.3">
      <c r="A4903" s="1" t="s">
        <v>14577</v>
      </c>
      <c r="B4903" s="1" t="str">
        <f>"Phillips Homes"</f>
        <v>Phillips Homes</v>
      </c>
      <c r="C4903" s="1" t="s">
        <v>14578</v>
      </c>
      <c r="F4903" s="1" t="s">
        <v>457</v>
      </c>
      <c r="H4903" s="1" t="s">
        <v>14579</v>
      </c>
      <c r="I4903" s="1" t="s">
        <v>19</v>
      </c>
      <c r="J4903" s="1" t="s">
        <v>6</v>
      </c>
      <c r="K4903" s="1" t="s">
        <v>34</v>
      </c>
      <c r="L4903" s="1">
        <v>7056689</v>
      </c>
      <c r="M4903" s="2">
        <v>42769</v>
      </c>
      <c r="N4903" s="1" t="s">
        <v>8</v>
      </c>
      <c r="O4903" s="2">
        <v>43864</v>
      </c>
    </row>
    <row r="4904" spans="1:15" x14ac:dyDescent="0.3">
      <c r="A4904" s="1" t="s">
        <v>14580</v>
      </c>
      <c r="B4904" s="1" t="str">
        <f>"H O Davies Ltd."</f>
        <v>H O Davies Ltd.</v>
      </c>
      <c r="C4904" s="1" t="s">
        <v>14581</v>
      </c>
      <c r="D4904" s="1" t="s">
        <v>1321</v>
      </c>
      <c r="F4904" s="1" t="s">
        <v>3</v>
      </c>
      <c r="H4904" s="1" t="s">
        <v>14582</v>
      </c>
      <c r="I4904" s="1" t="s">
        <v>19</v>
      </c>
      <c r="J4904" s="1" t="s">
        <v>6</v>
      </c>
      <c r="K4904" s="1" t="s">
        <v>24</v>
      </c>
      <c r="L4904" s="1">
        <v>1054978</v>
      </c>
      <c r="M4904" s="2">
        <v>42769</v>
      </c>
      <c r="N4904" s="1" t="s">
        <v>8</v>
      </c>
      <c r="O4904" s="2">
        <v>43864</v>
      </c>
    </row>
    <row r="4905" spans="1:15" x14ac:dyDescent="0.3">
      <c r="A4905" s="1" t="s">
        <v>14583</v>
      </c>
      <c r="B4905" s="1" t="str">
        <f>"Recycle-X"</f>
        <v>Recycle-X</v>
      </c>
      <c r="C4905" s="1" t="s">
        <v>12294</v>
      </c>
      <c r="F4905" s="1" t="s">
        <v>1556</v>
      </c>
      <c r="H4905" s="1" t="s">
        <v>12295</v>
      </c>
      <c r="I4905" s="1" t="s">
        <v>125</v>
      </c>
      <c r="J4905" s="1" t="s">
        <v>6</v>
      </c>
      <c r="K4905" s="1" t="s">
        <v>24</v>
      </c>
      <c r="M4905" s="2">
        <v>42769</v>
      </c>
      <c r="N4905" s="1" t="s">
        <v>8</v>
      </c>
      <c r="O4905" s="2">
        <v>43864</v>
      </c>
    </row>
    <row r="4906" spans="1:15" ht="43.2" x14ac:dyDescent="0.3">
      <c r="A4906" s="1" t="s">
        <v>26180</v>
      </c>
      <c r="B4906" s="1" t="str">
        <f>"kenneth watkins"</f>
        <v>kenneth watkins</v>
      </c>
      <c r="C4906" s="1" t="s">
        <v>23135</v>
      </c>
      <c r="F4906" s="1" t="s">
        <v>865</v>
      </c>
      <c r="H4906" s="1" t="s">
        <v>23136</v>
      </c>
      <c r="I4906" s="1" t="s">
        <v>5</v>
      </c>
      <c r="J4906" s="1" t="s">
        <v>67</v>
      </c>
      <c r="K4906" s="1" t="s">
        <v>24</v>
      </c>
      <c r="M4906" s="2">
        <v>42769</v>
      </c>
      <c r="N4906" s="1" t="s">
        <v>8</v>
      </c>
      <c r="O4906" s="1" t="s">
        <v>68</v>
      </c>
    </row>
    <row r="4907" spans="1:15" ht="28.8" x14ac:dyDescent="0.3">
      <c r="A4907" s="1" t="s">
        <v>26181</v>
      </c>
      <c r="B4907" s="1" t="str">
        <f>"David Bennett Abbey Building Services"</f>
        <v>David Bennett Abbey Building Services</v>
      </c>
      <c r="C4907" s="1" t="s">
        <v>26182</v>
      </c>
      <c r="D4907" s="1" t="s">
        <v>7012</v>
      </c>
      <c r="F4907" s="1" t="s">
        <v>27</v>
      </c>
      <c r="H4907" s="1" t="s">
        <v>7013</v>
      </c>
      <c r="I4907" s="1" t="s">
        <v>5</v>
      </c>
      <c r="J4907" s="1" t="s">
        <v>6</v>
      </c>
      <c r="K4907" s="1" t="s">
        <v>24</v>
      </c>
      <c r="M4907" s="2">
        <v>42769</v>
      </c>
      <c r="N4907" s="1" t="s">
        <v>8</v>
      </c>
      <c r="O4907" s="2">
        <v>43864</v>
      </c>
    </row>
    <row r="4908" spans="1:15" ht="43.2" x14ac:dyDescent="0.3">
      <c r="A4908" s="1" t="s">
        <v>26894</v>
      </c>
      <c r="B4908" s="1" t="str">
        <f>"Edward Yanez"</f>
        <v>Edward Yanez</v>
      </c>
      <c r="C4908" s="1" t="s">
        <v>26895</v>
      </c>
      <c r="F4908" s="1" t="s">
        <v>865</v>
      </c>
      <c r="H4908" s="1" t="s">
        <v>26896</v>
      </c>
      <c r="I4908" s="1" t="s">
        <v>5</v>
      </c>
      <c r="J4908" s="1" t="s">
        <v>67</v>
      </c>
      <c r="K4908" s="1" t="s">
        <v>14</v>
      </c>
      <c r="M4908" s="2">
        <v>42769</v>
      </c>
      <c r="N4908" s="1" t="s">
        <v>8</v>
      </c>
      <c r="O4908" s="1" t="s">
        <v>68</v>
      </c>
    </row>
    <row r="4909" spans="1:15" ht="43.2" x14ac:dyDescent="0.3">
      <c r="A4909" s="1" t="s">
        <v>26897</v>
      </c>
      <c r="B4909" s="1" t="str">
        <f>"James Dawkins JD Locksmiths and Drainage Services"</f>
        <v>James Dawkins JD Locksmiths and Drainage Services</v>
      </c>
      <c r="C4909" s="1" t="s">
        <v>26898</v>
      </c>
      <c r="F4909" s="1" t="s">
        <v>174</v>
      </c>
      <c r="H4909" s="1" t="s">
        <v>26899</v>
      </c>
      <c r="I4909" s="1" t="s">
        <v>5</v>
      </c>
      <c r="J4909" s="1" t="s">
        <v>6</v>
      </c>
      <c r="K4909" s="1" t="s">
        <v>24</v>
      </c>
      <c r="M4909" s="2">
        <v>42769</v>
      </c>
      <c r="N4909" s="1" t="s">
        <v>8</v>
      </c>
      <c r="O4909" s="2">
        <v>43864</v>
      </c>
    </row>
    <row r="4910" spans="1:15" ht="43.2" x14ac:dyDescent="0.3">
      <c r="A4910" s="1" t="s">
        <v>13720</v>
      </c>
      <c r="B4910" s="1" t="str">
        <f>"Seven Ways Environmental Services Ltd."</f>
        <v>Seven Ways Environmental Services Ltd.</v>
      </c>
      <c r="C4910" s="1" t="s">
        <v>13721</v>
      </c>
      <c r="D4910" s="1" t="s">
        <v>82</v>
      </c>
      <c r="F4910" s="1" t="s">
        <v>83</v>
      </c>
      <c r="H4910" s="1" t="s">
        <v>13722</v>
      </c>
      <c r="I4910" s="1" t="s">
        <v>19</v>
      </c>
      <c r="J4910" s="1" t="s">
        <v>6</v>
      </c>
      <c r="K4910" s="1" t="s">
        <v>34</v>
      </c>
      <c r="L4910" s="1">
        <v>4307297</v>
      </c>
      <c r="M4910" s="2">
        <v>42768</v>
      </c>
      <c r="N4910" s="1" t="s">
        <v>8</v>
      </c>
      <c r="O4910" s="2">
        <v>43863</v>
      </c>
    </row>
    <row r="4911" spans="1:15" ht="28.8" x14ac:dyDescent="0.3">
      <c r="A4911" s="1" t="s">
        <v>13723</v>
      </c>
      <c r="B4911" s="1" t="str">
        <f>"AVP Recycling Ltd"</f>
        <v>AVP Recycling Ltd</v>
      </c>
      <c r="C4911" s="1" t="s">
        <v>13724</v>
      </c>
      <c r="D4911" s="1" t="s">
        <v>1839</v>
      </c>
      <c r="F4911" s="1" t="s">
        <v>103</v>
      </c>
      <c r="H4911" s="1" t="s">
        <v>1202</v>
      </c>
      <c r="I4911" s="1" t="s">
        <v>19</v>
      </c>
      <c r="J4911" s="1" t="s">
        <v>6</v>
      </c>
      <c r="K4911" s="1" t="s">
        <v>24</v>
      </c>
      <c r="L4911" s="1">
        <v>1685320</v>
      </c>
      <c r="M4911" s="2">
        <v>42768</v>
      </c>
      <c r="N4911" s="1" t="s">
        <v>8</v>
      </c>
      <c r="O4911" s="2">
        <v>43863</v>
      </c>
    </row>
    <row r="4912" spans="1:15" ht="28.8" x14ac:dyDescent="0.3">
      <c r="A4912" s="1" t="s">
        <v>13725</v>
      </c>
      <c r="B4912" s="1" t="str">
        <f>"TELEDATA SOLUTIONS LTD"</f>
        <v>TELEDATA SOLUTIONS LTD</v>
      </c>
      <c r="C4912" s="1" t="s">
        <v>13726</v>
      </c>
      <c r="F4912" s="1" t="s">
        <v>65</v>
      </c>
      <c r="H4912" s="1" t="s">
        <v>13727</v>
      </c>
      <c r="I4912" s="1" t="s">
        <v>19</v>
      </c>
      <c r="J4912" s="1" t="s">
        <v>6</v>
      </c>
      <c r="K4912" s="1" t="s">
        <v>24</v>
      </c>
      <c r="L4912" s="1">
        <v>4394718</v>
      </c>
      <c r="M4912" s="2">
        <v>42768</v>
      </c>
      <c r="N4912" s="1" t="s">
        <v>8</v>
      </c>
      <c r="O4912" s="2">
        <v>43863</v>
      </c>
    </row>
    <row r="4913" spans="1:15" ht="43.2" x14ac:dyDescent="0.3">
      <c r="A4913" s="1" t="s">
        <v>13728</v>
      </c>
      <c r="B4913" s="1" t="str">
        <f>"Northwest road sweepers "</f>
        <v xml:space="preserve">Northwest road sweepers </v>
      </c>
      <c r="C4913" s="1" t="s">
        <v>13729</v>
      </c>
      <c r="F4913" s="1" t="s">
        <v>13730</v>
      </c>
      <c r="H4913" s="1" t="s">
        <v>13731</v>
      </c>
      <c r="I4913" s="1" t="s">
        <v>125</v>
      </c>
      <c r="J4913" s="1" t="s">
        <v>67</v>
      </c>
      <c r="K4913" s="1" t="s">
        <v>14</v>
      </c>
      <c r="M4913" s="2">
        <v>42768</v>
      </c>
      <c r="N4913" s="1" t="s">
        <v>8</v>
      </c>
      <c r="O4913" s="1" t="s">
        <v>68</v>
      </c>
    </row>
    <row r="4914" spans="1:15" ht="43.2" x14ac:dyDescent="0.3">
      <c r="A4914" s="1" t="s">
        <v>25458</v>
      </c>
      <c r="B4914" s="1" t="str">
        <f>"Philip  Wilson Simply Clearing Rubbish Removals."</f>
        <v>Philip  Wilson Simply Clearing Rubbish Removals.</v>
      </c>
      <c r="C4914" s="1" t="s">
        <v>25459</v>
      </c>
      <c r="F4914" s="1" t="s">
        <v>1278</v>
      </c>
      <c r="H4914" s="1" t="s">
        <v>24134</v>
      </c>
      <c r="I4914" s="1" t="s">
        <v>5</v>
      </c>
      <c r="J4914" s="1" t="s">
        <v>6</v>
      </c>
      <c r="K4914" s="1" t="s">
        <v>34</v>
      </c>
      <c r="M4914" s="2">
        <v>42768</v>
      </c>
      <c r="N4914" s="1" t="s">
        <v>8</v>
      </c>
      <c r="O4914" s="2">
        <v>43863</v>
      </c>
    </row>
    <row r="4915" spans="1:15" ht="43.2" x14ac:dyDescent="0.3">
      <c r="A4915" s="1" t="s">
        <v>26172</v>
      </c>
      <c r="B4915" s="1" t="str">
        <f>"vivian robinson"</f>
        <v>vivian robinson</v>
      </c>
      <c r="C4915" s="1" t="s">
        <v>20736</v>
      </c>
      <c r="F4915" s="1" t="s">
        <v>2817</v>
      </c>
      <c r="H4915" s="1" t="s">
        <v>20737</v>
      </c>
      <c r="I4915" s="1" t="s">
        <v>5</v>
      </c>
      <c r="J4915" s="1" t="s">
        <v>67</v>
      </c>
      <c r="K4915" s="1" t="s">
        <v>14</v>
      </c>
      <c r="M4915" s="2">
        <v>42768</v>
      </c>
      <c r="N4915" s="1" t="s">
        <v>8</v>
      </c>
      <c r="O4915" s="1" t="s">
        <v>68</v>
      </c>
    </row>
    <row r="4916" spans="1:15" ht="43.2" x14ac:dyDescent="0.3">
      <c r="A4916" s="1" t="s">
        <v>26173</v>
      </c>
      <c r="B4916" s="1" t="str">
        <f>"Jason Coupe"</f>
        <v>Jason Coupe</v>
      </c>
      <c r="C4916" s="1" t="s">
        <v>26174</v>
      </c>
      <c r="D4916" s="1" t="s">
        <v>26175</v>
      </c>
      <c r="F4916" s="1" t="s">
        <v>710</v>
      </c>
      <c r="H4916" s="1" t="s">
        <v>26176</v>
      </c>
      <c r="I4916" s="1" t="s">
        <v>5</v>
      </c>
      <c r="J4916" s="1" t="s">
        <v>67</v>
      </c>
      <c r="K4916" s="1" t="s">
        <v>14</v>
      </c>
      <c r="M4916" s="2">
        <v>42768</v>
      </c>
      <c r="N4916" s="1" t="s">
        <v>8</v>
      </c>
      <c r="O4916" s="1" t="s">
        <v>68</v>
      </c>
    </row>
    <row r="4917" spans="1:15" ht="28.8" x14ac:dyDescent="0.3">
      <c r="A4917" s="1" t="s">
        <v>26177</v>
      </c>
      <c r="B4917" s="1" t="str">
        <f>"Hayley Lidster Cynon Valley Clearance"</f>
        <v>Hayley Lidster Cynon Valley Clearance</v>
      </c>
      <c r="C4917" s="1" t="s">
        <v>26178</v>
      </c>
      <c r="F4917" s="1" t="s">
        <v>996</v>
      </c>
      <c r="H4917" s="1" t="s">
        <v>26179</v>
      </c>
      <c r="I4917" s="1" t="s">
        <v>5</v>
      </c>
      <c r="J4917" s="1" t="s">
        <v>6</v>
      </c>
      <c r="K4917" s="1" t="s">
        <v>24</v>
      </c>
      <c r="M4917" s="2">
        <v>42768</v>
      </c>
      <c r="N4917" s="1" t="s">
        <v>8</v>
      </c>
      <c r="O4917" s="2">
        <v>43863</v>
      </c>
    </row>
    <row r="4918" spans="1:15" x14ac:dyDescent="0.3">
      <c r="A4918" s="1" t="s">
        <v>11691</v>
      </c>
      <c r="B4918" s="1" t="str">
        <f>"Celtic Kilncare Ltd"</f>
        <v>Celtic Kilncare Ltd</v>
      </c>
      <c r="C4918" s="1" t="s">
        <v>925</v>
      </c>
      <c r="F4918" s="1" t="s">
        <v>91</v>
      </c>
      <c r="H4918" s="1" t="s">
        <v>926</v>
      </c>
      <c r="I4918" s="1" t="s">
        <v>19</v>
      </c>
      <c r="J4918" s="1" t="s">
        <v>6</v>
      </c>
      <c r="K4918" s="1" t="s">
        <v>24</v>
      </c>
      <c r="L4918" s="1">
        <v>2769522</v>
      </c>
      <c r="M4918" s="2">
        <v>42767</v>
      </c>
      <c r="N4918" s="1" t="s">
        <v>8</v>
      </c>
      <c r="O4918" s="2">
        <v>43862</v>
      </c>
    </row>
    <row r="4919" spans="1:15" ht="28.8" x14ac:dyDescent="0.3">
      <c r="A4919" s="1" t="s">
        <v>11692</v>
      </c>
      <c r="B4919" s="1" t="str">
        <f>"S R BUILDING SOLUTIONS LTD"</f>
        <v>S R BUILDING SOLUTIONS LTD</v>
      </c>
      <c r="C4919" s="1" t="s">
        <v>11693</v>
      </c>
      <c r="D4919" s="1" t="s">
        <v>1264</v>
      </c>
      <c r="F4919" s="1" t="s">
        <v>556</v>
      </c>
      <c r="H4919" s="1" t="s">
        <v>220</v>
      </c>
      <c r="I4919" s="1" t="s">
        <v>19</v>
      </c>
      <c r="J4919" s="1" t="s">
        <v>6</v>
      </c>
      <c r="K4919" s="1" t="s">
        <v>34</v>
      </c>
      <c r="L4919" s="1">
        <v>6057456</v>
      </c>
      <c r="M4919" s="2">
        <v>42767</v>
      </c>
      <c r="N4919" s="1" t="s">
        <v>8</v>
      </c>
      <c r="O4919" s="2">
        <v>43862</v>
      </c>
    </row>
    <row r="4920" spans="1:15" ht="28.8" x14ac:dyDescent="0.3">
      <c r="A4920" s="1" t="s">
        <v>11694</v>
      </c>
      <c r="B4920" s="1" t="str">
        <f>"YESSS C"</f>
        <v>YESSS C</v>
      </c>
      <c r="C4920" s="1" t="s">
        <v>11695</v>
      </c>
      <c r="D4920" s="1" t="s">
        <v>11696</v>
      </c>
      <c r="F4920" s="1" t="s">
        <v>10364</v>
      </c>
      <c r="H4920" s="1" t="s">
        <v>11697</v>
      </c>
      <c r="I4920" s="1" t="s">
        <v>19</v>
      </c>
      <c r="J4920" s="1" t="s">
        <v>6</v>
      </c>
      <c r="K4920" s="1" t="s">
        <v>34</v>
      </c>
      <c r="L4920" s="1">
        <v>7892359</v>
      </c>
      <c r="M4920" s="2">
        <v>42767</v>
      </c>
      <c r="N4920" s="1" t="s">
        <v>8</v>
      </c>
      <c r="O4920" s="2">
        <v>43862</v>
      </c>
    </row>
    <row r="4921" spans="1:15" ht="43.2" x14ac:dyDescent="0.3">
      <c r="A4921" s="1" t="s">
        <v>12619</v>
      </c>
      <c r="B4921" s="1" t="str">
        <f>"Swansea Decorating Services Ltd"</f>
        <v>Swansea Decorating Services Ltd</v>
      </c>
      <c r="C4921" s="1" t="s">
        <v>12620</v>
      </c>
      <c r="F4921" s="1" t="s">
        <v>65</v>
      </c>
      <c r="H4921" s="1" t="s">
        <v>12621</v>
      </c>
      <c r="I4921" s="1" t="s">
        <v>19</v>
      </c>
      <c r="J4921" s="1" t="s">
        <v>67</v>
      </c>
      <c r="K4921" s="1" t="s">
        <v>14</v>
      </c>
      <c r="M4921" s="2">
        <v>42767</v>
      </c>
      <c r="N4921" s="1" t="s">
        <v>8</v>
      </c>
      <c r="O4921" s="1" t="s">
        <v>68</v>
      </c>
    </row>
    <row r="4922" spans="1:15" ht="43.2" x14ac:dyDescent="0.3">
      <c r="A4922" s="1" t="s">
        <v>12622</v>
      </c>
      <c r="B4922" s="1" t="str">
        <f>"Mondi Consumer Goods &amp; Packaging - "</f>
        <v xml:space="preserve">Mondi Consumer Goods &amp; Packaging - </v>
      </c>
      <c r="C4922" s="1" t="s">
        <v>3385</v>
      </c>
      <c r="F4922" s="1" t="s">
        <v>1346</v>
      </c>
      <c r="H4922" s="1" t="s">
        <v>8423</v>
      </c>
      <c r="I4922" s="1" t="s">
        <v>19</v>
      </c>
      <c r="J4922" s="1" t="s">
        <v>67</v>
      </c>
      <c r="K4922" s="1" t="s">
        <v>34</v>
      </c>
      <c r="L4922" s="1">
        <v>5188170</v>
      </c>
      <c r="M4922" s="2">
        <v>42767</v>
      </c>
      <c r="N4922" s="1" t="s">
        <v>8</v>
      </c>
      <c r="O4922" s="1" t="s">
        <v>68</v>
      </c>
    </row>
    <row r="4923" spans="1:15" ht="28.8" x14ac:dyDescent="0.3">
      <c r="A4923" s="1" t="s">
        <v>12623</v>
      </c>
      <c r="B4923" s="1" t="str">
        <f>"S &amp; G Soils Ltd."</f>
        <v>S &amp; G Soils Ltd.</v>
      </c>
      <c r="C4923" s="1" t="s">
        <v>12624</v>
      </c>
      <c r="D4923" s="1" t="s">
        <v>1389</v>
      </c>
      <c r="F4923" s="1" t="s">
        <v>865</v>
      </c>
      <c r="H4923" s="1" t="s">
        <v>1390</v>
      </c>
      <c r="I4923" s="1" t="s">
        <v>19</v>
      </c>
      <c r="J4923" s="1" t="s">
        <v>6</v>
      </c>
      <c r="K4923" s="1" t="s">
        <v>34</v>
      </c>
      <c r="L4923" s="1">
        <v>7081648</v>
      </c>
      <c r="M4923" s="2">
        <v>42767</v>
      </c>
      <c r="N4923" s="1" t="s">
        <v>8</v>
      </c>
      <c r="O4923" s="2">
        <v>43867</v>
      </c>
    </row>
    <row r="4924" spans="1:15" ht="28.8" x14ac:dyDescent="0.3">
      <c r="A4924" s="1" t="s">
        <v>12625</v>
      </c>
      <c r="B4924" s="1" t="str">
        <f>"Security Centres Securus Ltd"</f>
        <v>Security Centres Securus Ltd</v>
      </c>
      <c r="C4924" s="1" t="s">
        <v>12626</v>
      </c>
      <c r="D4924" s="1" t="s">
        <v>2041</v>
      </c>
      <c r="F4924" s="1" t="s">
        <v>65</v>
      </c>
      <c r="H4924" s="1" t="s">
        <v>8211</v>
      </c>
      <c r="I4924" s="1" t="s">
        <v>19</v>
      </c>
      <c r="J4924" s="1" t="s">
        <v>6</v>
      </c>
      <c r="K4924" s="1" t="s">
        <v>1859</v>
      </c>
      <c r="L4924" s="1">
        <v>2345265</v>
      </c>
      <c r="M4924" s="2">
        <v>42767</v>
      </c>
      <c r="N4924" s="1" t="s">
        <v>8</v>
      </c>
      <c r="O4924" s="2">
        <v>43862</v>
      </c>
    </row>
    <row r="4925" spans="1:15" ht="28.8" x14ac:dyDescent="0.3">
      <c r="A4925" s="1" t="s">
        <v>12627</v>
      </c>
      <c r="B4925" s="1" t="str">
        <f>"Carpet Services (Cardiff) Ltd."</f>
        <v>Carpet Services (Cardiff) Ltd.</v>
      </c>
      <c r="C4925" s="1" t="s">
        <v>12628</v>
      </c>
      <c r="F4925" s="1" t="s">
        <v>277</v>
      </c>
      <c r="H4925" s="1" t="s">
        <v>963</v>
      </c>
      <c r="I4925" s="1" t="s">
        <v>19</v>
      </c>
      <c r="J4925" s="1" t="s">
        <v>6</v>
      </c>
      <c r="K4925" s="1" t="s">
        <v>24</v>
      </c>
      <c r="L4925" s="1">
        <v>780547</v>
      </c>
      <c r="M4925" s="2">
        <v>42767</v>
      </c>
      <c r="N4925" s="1" t="s">
        <v>8</v>
      </c>
      <c r="O4925" s="2">
        <v>43862</v>
      </c>
    </row>
    <row r="4926" spans="1:15" ht="28.8" x14ac:dyDescent="0.3">
      <c r="A4926" s="1" t="s">
        <v>12629</v>
      </c>
      <c r="B4926" s="1" t="str">
        <f>"United Worldwide Logistics Ltd"</f>
        <v>United Worldwide Logistics Ltd</v>
      </c>
      <c r="C4926" s="1" t="s">
        <v>12630</v>
      </c>
      <c r="F4926" s="1" t="s">
        <v>865</v>
      </c>
      <c r="H4926" s="1" t="s">
        <v>12631</v>
      </c>
      <c r="I4926" s="1" t="s">
        <v>19</v>
      </c>
      <c r="J4926" s="1" t="s">
        <v>6</v>
      </c>
      <c r="K4926" s="1" t="s">
        <v>24</v>
      </c>
      <c r="L4926" s="1">
        <v>6324210</v>
      </c>
      <c r="M4926" s="2">
        <v>42767</v>
      </c>
      <c r="N4926" s="1" t="s">
        <v>8</v>
      </c>
      <c r="O4926" s="2">
        <v>43862</v>
      </c>
    </row>
    <row r="4927" spans="1:15" x14ac:dyDescent="0.3">
      <c r="A4927" s="1" t="s">
        <v>12632</v>
      </c>
      <c r="B4927" s="1" t="str">
        <f>"RLBS Ltd"</f>
        <v>RLBS Ltd</v>
      </c>
      <c r="C4927" s="1" t="s">
        <v>12633</v>
      </c>
      <c r="D4927" s="1" t="s">
        <v>12634</v>
      </c>
      <c r="E4927" s="1" t="s">
        <v>1345</v>
      </c>
      <c r="F4927" s="1" t="s">
        <v>198</v>
      </c>
      <c r="H4927" s="1" t="s">
        <v>12635</v>
      </c>
      <c r="I4927" s="1" t="s">
        <v>19</v>
      </c>
      <c r="J4927" s="1" t="s">
        <v>6</v>
      </c>
      <c r="K4927" s="1" t="s">
        <v>24</v>
      </c>
      <c r="L4927" s="1">
        <v>4386404</v>
      </c>
      <c r="M4927" s="2">
        <v>42767</v>
      </c>
      <c r="N4927" s="1" t="s">
        <v>8</v>
      </c>
      <c r="O4927" s="2">
        <v>43862</v>
      </c>
    </row>
    <row r="4928" spans="1:15" ht="28.8" x14ac:dyDescent="0.3">
      <c r="A4928" s="1" t="s">
        <v>12636</v>
      </c>
      <c r="B4928" s="1" t="str">
        <f>"Quality Carpets &amp; Furniture"</f>
        <v>Quality Carpets &amp; Furniture</v>
      </c>
      <c r="C4928" s="1" t="s">
        <v>12637</v>
      </c>
      <c r="D4928" s="1" t="s">
        <v>12638</v>
      </c>
      <c r="F4928" s="1" t="s">
        <v>2459</v>
      </c>
      <c r="H4928" s="1" t="s">
        <v>777</v>
      </c>
      <c r="I4928" s="1" t="s">
        <v>19</v>
      </c>
      <c r="J4928" s="1" t="s">
        <v>6</v>
      </c>
      <c r="K4928" s="1" t="s">
        <v>24</v>
      </c>
      <c r="L4928" s="1">
        <v>6782566</v>
      </c>
      <c r="M4928" s="2">
        <v>42767</v>
      </c>
      <c r="N4928" s="1" t="s">
        <v>8</v>
      </c>
      <c r="O4928" s="2">
        <v>43862</v>
      </c>
    </row>
    <row r="4929" spans="1:15" x14ac:dyDescent="0.3">
      <c r="A4929" s="1" t="s">
        <v>12639</v>
      </c>
      <c r="B4929" s="1" t="str">
        <f>"Lloyd Building Services"</f>
        <v>Lloyd Building Services</v>
      </c>
      <c r="C4929" s="1" t="s">
        <v>12640</v>
      </c>
      <c r="F4929" s="1" t="s">
        <v>1700</v>
      </c>
      <c r="H4929" s="1" t="s">
        <v>12641</v>
      </c>
      <c r="I4929" s="1" t="s">
        <v>125</v>
      </c>
      <c r="J4929" s="1" t="s">
        <v>6</v>
      </c>
      <c r="K4929" s="1" t="s">
        <v>24</v>
      </c>
      <c r="M4929" s="2">
        <v>42767</v>
      </c>
      <c r="N4929" s="1" t="s">
        <v>8</v>
      </c>
      <c r="O4929" s="2">
        <v>43862</v>
      </c>
    </row>
    <row r="4930" spans="1:15" ht="28.8" x14ac:dyDescent="0.3">
      <c r="A4930" s="1" t="s">
        <v>12642</v>
      </c>
      <c r="B4930" s="1" t="str">
        <f>"A Poole &amp; Sons International Ltd"</f>
        <v>A Poole &amp; Sons International Ltd</v>
      </c>
      <c r="C4930" s="1" t="s">
        <v>12643</v>
      </c>
      <c r="F4930" s="1" t="s">
        <v>6471</v>
      </c>
      <c r="H4930" s="1" t="s">
        <v>12644</v>
      </c>
      <c r="I4930" s="1" t="s">
        <v>19</v>
      </c>
      <c r="J4930" s="1" t="s">
        <v>6</v>
      </c>
      <c r="K4930" s="1" t="s">
        <v>24</v>
      </c>
      <c r="L4930" s="1">
        <v>9457352</v>
      </c>
      <c r="M4930" s="2">
        <v>42767</v>
      </c>
      <c r="N4930" s="1" t="s">
        <v>8</v>
      </c>
      <c r="O4930" s="2">
        <v>43862</v>
      </c>
    </row>
    <row r="4931" spans="1:15" ht="28.8" x14ac:dyDescent="0.3">
      <c r="A4931" s="1" t="s">
        <v>12645</v>
      </c>
      <c r="B4931" s="1" t="str">
        <f>"R.T. (Contractors) Ltd."</f>
        <v>R.T. (Contractors) Ltd.</v>
      </c>
      <c r="C4931" s="1" t="s">
        <v>12646</v>
      </c>
      <c r="F4931" s="1" t="s">
        <v>782</v>
      </c>
      <c r="H4931" s="1" t="s">
        <v>12647</v>
      </c>
      <c r="I4931" s="1" t="s">
        <v>19</v>
      </c>
      <c r="J4931" s="1" t="s">
        <v>6</v>
      </c>
      <c r="K4931" s="1" t="s">
        <v>34</v>
      </c>
      <c r="L4931" s="1">
        <v>412693</v>
      </c>
      <c r="M4931" s="2">
        <v>42767</v>
      </c>
      <c r="N4931" s="1" t="s">
        <v>8</v>
      </c>
      <c r="O4931" s="2">
        <v>43862</v>
      </c>
    </row>
    <row r="4932" spans="1:15" ht="43.2" x14ac:dyDescent="0.3">
      <c r="A4932" s="1" t="s">
        <v>25441</v>
      </c>
      <c r="B4932" s="1" t="str">
        <f>"Tony Hodgson"</f>
        <v>Tony Hodgson</v>
      </c>
      <c r="C4932" s="1" t="s">
        <v>25442</v>
      </c>
      <c r="F4932" s="1" t="s">
        <v>15275</v>
      </c>
      <c r="H4932" s="1" t="s">
        <v>25443</v>
      </c>
      <c r="I4932" s="1" t="s">
        <v>5</v>
      </c>
      <c r="J4932" s="1" t="s">
        <v>67</v>
      </c>
      <c r="K4932" s="1" t="s">
        <v>14</v>
      </c>
      <c r="M4932" s="2">
        <v>42767</v>
      </c>
      <c r="N4932" s="1" t="s">
        <v>8</v>
      </c>
      <c r="O4932" s="1" t="s">
        <v>68</v>
      </c>
    </row>
    <row r="4933" spans="1:15" ht="43.2" x14ac:dyDescent="0.3">
      <c r="A4933" s="1" t="s">
        <v>25444</v>
      </c>
      <c r="B4933" s="1" t="str">
        <f>"Andrew Read"</f>
        <v>Andrew Read</v>
      </c>
      <c r="C4933" s="1" t="s">
        <v>25445</v>
      </c>
      <c r="F4933" s="1" t="s">
        <v>556</v>
      </c>
      <c r="H4933" s="1" t="s">
        <v>25446</v>
      </c>
      <c r="I4933" s="1" t="s">
        <v>5</v>
      </c>
      <c r="J4933" s="1" t="s">
        <v>67</v>
      </c>
      <c r="K4933" s="1" t="s">
        <v>14</v>
      </c>
      <c r="M4933" s="2">
        <v>42767</v>
      </c>
      <c r="N4933" s="1" t="s">
        <v>8</v>
      </c>
      <c r="O4933" s="1" t="s">
        <v>68</v>
      </c>
    </row>
    <row r="4934" spans="1:15" ht="28.8" x14ac:dyDescent="0.3">
      <c r="A4934" s="1" t="s">
        <v>25447</v>
      </c>
      <c r="B4934" s="1" t="str">
        <f>"andrew knight R J Knight &amp; Son"</f>
        <v>andrew knight R J Knight &amp; Son</v>
      </c>
      <c r="C4934" s="1" t="s">
        <v>25448</v>
      </c>
      <c r="D4934" s="1" t="s">
        <v>852</v>
      </c>
      <c r="F4934" s="1" t="s">
        <v>65</v>
      </c>
      <c r="H4934" s="1" t="s">
        <v>25449</v>
      </c>
      <c r="I4934" s="1" t="s">
        <v>5</v>
      </c>
      <c r="J4934" s="1" t="s">
        <v>6</v>
      </c>
      <c r="K4934" s="1" t="s">
        <v>24</v>
      </c>
      <c r="M4934" s="2">
        <v>42767</v>
      </c>
      <c r="N4934" s="1" t="s">
        <v>8</v>
      </c>
      <c r="O4934" s="2">
        <v>43862</v>
      </c>
    </row>
    <row r="4935" spans="1:15" ht="43.2" x14ac:dyDescent="0.3">
      <c r="A4935" s="1" t="s">
        <v>25450</v>
      </c>
      <c r="B4935" s="1" t="str">
        <f>"ANDREW ROUND GREYHOUND RECYCLING"</f>
        <v>ANDREW ROUND GREYHOUND RECYCLING</v>
      </c>
      <c r="C4935" s="1" t="s">
        <v>25451</v>
      </c>
      <c r="F4935" s="1" t="s">
        <v>1346</v>
      </c>
      <c r="H4935" s="1" t="s">
        <v>25452</v>
      </c>
      <c r="I4935" s="1" t="s">
        <v>5</v>
      </c>
      <c r="J4935" s="1" t="s">
        <v>6</v>
      </c>
      <c r="K4935" s="1" t="s">
        <v>24</v>
      </c>
      <c r="M4935" s="2">
        <v>42767</v>
      </c>
      <c r="N4935" s="1" t="s">
        <v>8</v>
      </c>
      <c r="O4935" s="2">
        <v>43862</v>
      </c>
    </row>
    <row r="4936" spans="1:15" ht="28.8" x14ac:dyDescent="0.3">
      <c r="A4936" s="1" t="s">
        <v>25453</v>
      </c>
      <c r="B4936" s="1" t="str">
        <f>"Mathew  Phillips  Mathew phillips "</f>
        <v xml:space="preserve">Mathew  Phillips  Mathew phillips </v>
      </c>
      <c r="C4936" s="1" t="s">
        <v>25454</v>
      </c>
      <c r="F4936" s="1" t="s">
        <v>96</v>
      </c>
      <c r="H4936" s="1" t="s">
        <v>21241</v>
      </c>
      <c r="I4936" s="1" t="s">
        <v>5</v>
      </c>
      <c r="J4936" s="1" t="s">
        <v>6</v>
      </c>
      <c r="K4936" s="1" t="s">
        <v>24</v>
      </c>
      <c r="M4936" s="2">
        <v>42767</v>
      </c>
      <c r="N4936" s="1" t="s">
        <v>8</v>
      </c>
      <c r="O4936" s="2">
        <v>43862</v>
      </c>
    </row>
    <row r="4937" spans="1:15" ht="28.8" x14ac:dyDescent="0.3">
      <c r="A4937" s="1" t="s">
        <v>25455</v>
      </c>
      <c r="B4937" s="1" t="str">
        <f>"DONNA EVANS SHE MOVES"</f>
        <v>DONNA EVANS SHE MOVES</v>
      </c>
      <c r="C4937" s="1" t="s">
        <v>25456</v>
      </c>
      <c r="F4937" s="1" t="s">
        <v>277</v>
      </c>
      <c r="H4937" s="1" t="s">
        <v>25457</v>
      </c>
      <c r="I4937" s="1" t="s">
        <v>5</v>
      </c>
      <c r="J4937" s="1" t="s">
        <v>6</v>
      </c>
      <c r="K4937" s="1" t="s">
        <v>24</v>
      </c>
      <c r="M4937" s="2">
        <v>42767</v>
      </c>
      <c r="N4937" s="1" t="s">
        <v>8</v>
      </c>
      <c r="O4937" s="2">
        <v>43862</v>
      </c>
    </row>
    <row r="4938" spans="1:15" ht="28.8" x14ac:dyDescent="0.3">
      <c r="A4938" s="1" t="s">
        <v>10643</v>
      </c>
      <c r="B4938" s="1" t="str">
        <f>"MPN Site Services"</f>
        <v>MPN Site Services</v>
      </c>
      <c r="C4938" s="1" t="s">
        <v>10637</v>
      </c>
      <c r="D4938" s="1" t="s">
        <v>10638</v>
      </c>
      <c r="F4938" s="1" t="s">
        <v>930</v>
      </c>
      <c r="H4938" s="1" t="s">
        <v>10639</v>
      </c>
      <c r="I4938" s="1" t="s">
        <v>125</v>
      </c>
      <c r="J4938" s="1" t="s">
        <v>6</v>
      </c>
      <c r="K4938" s="1" t="s">
        <v>34</v>
      </c>
      <c r="M4938" s="2">
        <v>42766</v>
      </c>
      <c r="N4938" s="1" t="s">
        <v>8</v>
      </c>
      <c r="O4938" s="2">
        <v>43861</v>
      </c>
    </row>
    <row r="4939" spans="1:15" ht="28.8" x14ac:dyDescent="0.3">
      <c r="A4939" s="1" t="s">
        <v>10644</v>
      </c>
      <c r="B4939" s="1" t="str">
        <f>"ALAN'S SKIP HIRE WALES LTD"</f>
        <v>ALAN'S SKIP HIRE WALES LTD</v>
      </c>
      <c r="C4939" s="1" t="s">
        <v>10645</v>
      </c>
      <c r="D4939" s="1" t="s">
        <v>7509</v>
      </c>
      <c r="F4939" s="1" t="s">
        <v>532</v>
      </c>
      <c r="H4939" s="1" t="s">
        <v>3814</v>
      </c>
      <c r="I4939" s="1" t="s">
        <v>19</v>
      </c>
      <c r="J4939" s="1" t="s">
        <v>6</v>
      </c>
      <c r="K4939" s="1" t="s">
        <v>34</v>
      </c>
      <c r="L4939" s="1">
        <v>5338002</v>
      </c>
      <c r="M4939" s="2">
        <v>42766</v>
      </c>
      <c r="N4939" s="1" t="s">
        <v>8</v>
      </c>
      <c r="O4939" s="2">
        <v>43861</v>
      </c>
    </row>
    <row r="4940" spans="1:15" ht="28.8" x14ac:dyDescent="0.3">
      <c r="A4940" s="1" t="s">
        <v>10646</v>
      </c>
      <c r="B4940" s="1" t="str">
        <f>"ASH WASTE SERVICES LTD"</f>
        <v>ASH WASTE SERVICES LTD</v>
      </c>
      <c r="C4940" s="1" t="s">
        <v>10647</v>
      </c>
      <c r="D4940" s="1" t="s">
        <v>10648</v>
      </c>
      <c r="E4940" s="1" t="s">
        <v>7509</v>
      </c>
      <c r="F4940" s="1" t="s">
        <v>532</v>
      </c>
      <c r="G4940" s="1" t="s">
        <v>198</v>
      </c>
      <c r="H4940" s="1" t="s">
        <v>3814</v>
      </c>
      <c r="I4940" s="1" t="s">
        <v>19</v>
      </c>
      <c r="J4940" s="1" t="s">
        <v>6</v>
      </c>
      <c r="K4940" s="1" t="s">
        <v>34</v>
      </c>
      <c r="L4940" s="1">
        <v>6097593</v>
      </c>
      <c r="M4940" s="2">
        <v>42766</v>
      </c>
      <c r="N4940" s="1" t="s">
        <v>8</v>
      </c>
      <c r="O4940" s="2">
        <v>43860</v>
      </c>
    </row>
    <row r="4941" spans="1:15" ht="43.2" x14ac:dyDescent="0.3">
      <c r="A4941" s="1" t="s">
        <v>10649</v>
      </c>
      <c r="B4941" s="1" t="str">
        <f>"NATIONWIDE WASTE SERVICES LIMITED"</f>
        <v>NATIONWIDE WASTE SERVICES LIMITED</v>
      </c>
      <c r="C4941" s="1" t="s">
        <v>10650</v>
      </c>
      <c r="D4941" s="1" t="s">
        <v>7509</v>
      </c>
      <c r="F4941" s="1" t="s">
        <v>532</v>
      </c>
      <c r="H4941" s="1" t="s">
        <v>3814</v>
      </c>
      <c r="I4941" s="1" t="s">
        <v>19</v>
      </c>
      <c r="J4941" s="1" t="s">
        <v>6</v>
      </c>
      <c r="K4941" s="1" t="s">
        <v>34</v>
      </c>
      <c r="L4941" s="1">
        <v>6170740</v>
      </c>
      <c r="M4941" s="2">
        <v>42766</v>
      </c>
      <c r="N4941" s="1" t="s">
        <v>8</v>
      </c>
      <c r="O4941" s="2">
        <v>43861</v>
      </c>
    </row>
    <row r="4942" spans="1:15" ht="28.8" x14ac:dyDescent="0.3">
      <c r="A4942" s="1" t="s">
        <v>10651</v>
      </c>
      <c r="B4942" s="1" t="str">
        <f>"PENYFAN PROCESSING  &amp;  RECYCLING LTD"</f>
        <v>PENYFAN PROCESSING  &amp;  RECYCLING LTD</v>
      </c>
      <c r="C4942" s="1" t="s">
        <v>10652</v>
      </c>
      <c r="F4942" s="1" t="s">
        <v>621</v>
      </c>
      <c r="H4942" s="1" t="s">
        <v>10653</v>
      </c>
      <c r="I4942" s="1" t="s">
        <v>19</v>
      </c>
      <c r="J4942" s="1" t="s">
        <v>6</v>
      </c>
      <c r="K4942" s="1" t="s">
        <v>34</v>
      </c>
      <c r="L4942" s="1">
        <v>5175541</v>
      </c>
      <c r="M4942" s="2">
        <v>42766</v>
      </c>
      <c r="N4942" s="1" t="s">
        <v>8</v>
      </c>
      <c r="O4942" s="2">
        <v>43861</v>
      </c>
    </row>
    <row r="4943" spans="1:15" ht="28.8" x14ac:dyDescent="0.3">
      <c r="A4943" s="1" t="s">
        <v>10654</v>
      </c>
      <c r="B4943" s="1" t="str">
        <f>"Butler's metal recycling ltd"</f>
        <v>Butler's metal recycling ltd</v>
      </c>
      <c r="C4943" s="1" t="s">
        <v>10655</v>
      </c>
      <c r="F4943" s="1" t="s">
        <v>10656</v>
      </c>
      <c r="H4943" s="1" t="s">
        <v>10657</v>
      </c>
      <c r="I4943" s="1" t="s">
        <v>19</v>
      </c>
      <c r="J4943" s="1" t="s">
        <v>6</v>
      </c>
      <c r="K4943" s="1" t="s">
        <v>1859</v>
      </c>
      <c r="L4943" s="1">
        <v>10592349</v>
      </c>
      <c r="M4943" s="2">
        <v>42766</v>
      </c>
      <c r="N4943" s="1" t="s">
        <v>8</v>
      </c>
      <c r="O4943" s="2">
        <v>43861</v>
      </c>
    </row>
    <row r="4944" spans="1:15" ht="43.2" x14ac:dyDescent="0.3">
      <c r="A4944" s="1" t="s">
        <v>10658</v>
      </c>
      <c r="B4944" s="1" t="str">
        <f>"AK Engineering"</f>
        <v>AK Engineering</v>
      </c>
      <c r="C4944" s="1" t="s">
        <v>10659</v>
      </c>
      <c r="D4944" s="1" t="s">
        <v>10660</v>
      </c>
      <c r="F4944" s="1" t="s">
        <v>10661</v>
      </c>
      <c r="H4944" s="1" t="s">
        <v>10662</v>
      </c>
      <c r="I4944" s="1" t="s">
        <v>125</v>
      </c>
      <c r="J4944" s="1" t="s">
        <v>67</v>
      </c>
      <c r="K4944" s="1" t="s">
        <v>14</v>
      </c>
      <c r="M4944" s="2">
        <v>42766</v>
      </c>
      <c r="N4944" s="1" t="s">
        <v>8</v>
      </c>
      <c r="O4944" s="1" t="s">
        <v>68</v>
      </c>
    </row>
    <row r="4945" spans="1:15" ht="43.2" x14ac:dyDescent="0.3">
      <c r="A4945" s="1" t="s">
        <v>11683</v>
      </c>
      <c r="B4945" s="1" t="str">
        <f>"Abbey Piano Services Ltd"</f>
        <v>Abbey Piano Services Ltd</v>
      </c>
      <c r="C4945" s="1" t="s">
        <v>11684</v>
      </c>
      <c r="F4945" s="1" t="s">
        <v>11685</v>
      </c>
      <c r="H4945" s="1" t="s">
        <v>11686</v>
      </c>
      <c r="I4945" s="1" t="s">
        <v>19</v>
      </c>
      <c r="J4945" s="1" t="s">
        <v>67</v>
      </c>
      <c r="K4945" s="1" t="s">
        <v>14</v>
      </c>
      <c r="M4945" s="2">
        <v>42766</v>
      </c>
      <c r="N4945" s="1" t="s">
        <v>8</v>
      </c>
      <c r="O4945" s="1" t="s">
        <v>68</v>
      </c>
    </row>
    <row r="4946" spans="1:15" ht="43.2" x14ac:dyDescent="0.3">
      <c r="A4946" s="1" t="s">
        <v>11687</v>
      </c>
      <c r="B4946" s="1" t="str">
        <f>"THE HOLLINS MURRAY GROUP LTD"</f>
        <v>THE HOLLINS MURRAY GROUP LTD</v>
      </c>
      <c r="C4946" s="1" t="s">
        <v>11688</v>
      </c>
      <c r="F4946" s="1" t="s">
        <v>11689</v>
      </c>
      <c r="H4946" s="1" t="s">
        <v>11690</v>
      </c>
      <c r="I4946" s="1" t="s">
        <v>19</v>
      </c>
      <c r="J4946" s="1" t="s">
        <v>67</v>
      </c>
      <c r="K4946" s="1" t="s">
        <v>24</v>
      </c>
      <c r="L4946" s="1">
        <v>8273718</v>
      </c>
      <c r="M4946" s="2">
        <v>42766</v>
      </c>
      <c r="N4946" s="1" t="s">
        <v>8</v>
      </c>
      <c r="O4946" s="1" t="s">
        <v>68</v>
      </c>
    </row>
    <row r="4947" spans="1:15" ht="28.8" x14ac:dyDescent="0.3">
      <c r="A4947" s="1" t="s">
        <v>23786</v>
      </c>
      <c r="B4947" s="1" t="str">
        <f>"MATHIEU ROBERTS HMR METALS"</f>
        <v>MATHIEU ROBERTS HMR METALS</v>
      </c>
      <c r="C4947" s="1" t="s">
        <v>23787</v>
      </c>
      <c r="D4947" s="1" t="s">
        <v>12970</v>
      </c>
      <c r="F4947" s="1" t="s">
        <v>364</v>
      </c>
      <c r="H4947" s="1" t="s">
        <v>23788</v>
      </c>
      <c r="I4947" s="1" t="s">
        <v>5</v>
      </c>
      <c r="J4947" s="1" t="s">
        <v>6</v>
      </c>
      <c r="K4947" s="1" t="s">
        <v>24</v>
      </c>
      <c r="M4947" s="2">
        <v>42766</v>
      </c>
      <c r="N4947" s="1" t="s">
        <v>8</v>
      </c>
      <c r="O4947" s="2">
        <v>43861</v>
      </c>
    </row>
    <row r="4948" spans="1:15" ht="43.2" x14ac:dyDescent="0.3">
      <c r="A4948" s="1" t="s">
        <v>23789</v>
      </c>
      <c r="B4948" s="1" t="str">
        <f>"dean lewis"</f>
        <v>dean lewis</v>
      </c>
      <c r="C4948" s="1" t="s">
        <v>20482</v>
      </c>
      <c r="D4948" s="1" t="s">
        <v>9199</v>
      </c>
      <c r="F4948" s="1" t="s">
        <v>22</v>
      </c>
      <c r="H4948" s="1" t="s">
        <v>20483</v>
      </c>
      <c r="I4948" s="1" t="s">
        <v>5</v>
      </c>
      <c r="J4948" s="1" t="s">
        <v>67</v>
      </c>
      <c r="K4948" s="1" t="s">
        <v>14</v>
      </c>
      <c r="M4948" s="2">
        <v>42766</v>
      </c>
      <c r="N4948" s="1" t="s">
        <v>8</v>
      </c>
      <c r="O4948" s="1" t="s">
        <v>68</v>
      </c>
    </row>
    <row r="4949" spans="1:15" ht="28.8" x14ac:dyDescent="0.3">
      <c r="A4949" s="1" t="s">
        <v>24620</v>
      </c>
      <c r="B4949" s="1" t="str">
        <f>"Brian Mceachran Project OAP"</f>
        <v>Brian Mceachran Project OAP</v>
      </c>
      <c r="C4949" s="1" t="s">
        <v>24621</v>
      </c>
      <c r="F4949" s="1" t="s">
        <v>12</v>
      </c>
      <c r="H4949" s="1" t="s">
        <v>24622</v>
      </c>
      <c r="I4949" s="1" t="s">
        <v>5</v>
      </c>
      <c r="J4949" s="1" t="s">
        <v>6</v>
      </c>
      <c r="K4949" s="1" t="s">
        <v>24</v>
      </c>
      <c r="M4949" s="2">
        <v>42766</v>
      </c>
      <c r="N4949" s="1" t="s">
        <v>8</v>
      </c>
      <c r="O4949" s="2">
        <v>43861</v>
      </c>
    </row>
    <row r="4950" spans="1:15" ht="43.2" x14ac:dyDescent="0.3">
      <c r="A4950" s="1" t="s">
        <v>24623</v>
      </c>
      <c r="B4950" s="1" t="str">
        <f>"Margaret Smith"</f>
        <v>Margaret Smith</v>
      </c>
      <c r="C4950" s="1" t="s">
        <v>24624</v>
      </c>
      <c r="F4950" s="1" t="s">
        <v>277</v>
      </c>
      <c r="H4950" s="1" t="s">
        <v>24625</v>
      </c>
      <c r="I4950" s="1" t="s">
        <v>5</v>
      </c>
      <c r="J4950" s="1" t="s">
        <v>67</v>
      </c>
      <c r="K4950" s="1" t="s">
        <v>14</v>
      </c>
      <c r="M4950" s="2">
        <v>42766</v>
      </c>
      <c r="N4950" s="1" t="s">
        <v>8</v>
      </c>
      <c r="O4950" s="1" t="s">
        <v>68</v>
      </c>
    </row>
    <row r="4951" spans="1:15" ht="43.2" x14ac:dyDescent="0.3">
      <c r="A4951" s="1" t="s">
        <v>24626</v>
      </c>
      <c r="B4951" s="1" t="str">
        <f>"Don Woods"</f>
        <v>Don Woods</v>
      </c>
      <c r="C4951" s="1" t="s">
        <v>24627</v>
      </c>
      <c r="F4951" s="1" t="s">
        <v>24628</v>
      </c>
      <c r="H4951" s="1" t="s">
        <v>24629</v>
      </c>
      <c r="I4951" s="1" t="s">
        <v>5</v>
      </c>
      <c r="J4951" s="1" t="s">
        <v>67</v>
      </c>
      <c r="K4951" s="1" t="s">
        <v>14</v>
      </c>
      <c r="M4951" s="2">
        <v>42766</v>
      </c>
      <c r="N4951" s="1" t="s">
        <v>8</v>
      </c>
      <c r="O4951" s="1" t="s">
        <v>68</v>
      </c>
    </row>
    <row r="4952" spans="1:15" ht="43.2" x14ac:dyDescent="0.3">
      <c r="A4952" s="1" t="s">
        <v>24630</v>
      </c>
      <c r="B4952" s="1" t="str">
        <f>"Jason  Austin  reflex window and door repairs"</f>
        <v>Jason  Austin  reflex window and door repairs</v>
      </c>
      <c r="C4952" s="1" t="s">
        <v>24631</v>
      </c>
      <c r="F4952" s="1" t="s">
        <v>1351</v>
      </c>
      <c r="H4952" s="1" t="s">
        <v>24632</v>
      </c>
      <c r="I4952" s="1" t="s">
        <v>5</v>
      </c>
      <c r="J4952" s="1" t="s">
        <v>6</v>
      </c>
      <c r="K4952" s="1" t="s">
        <v>24</v>
      </c>
      <c r="M4952" s="2">
        <v>42766</v>
      </c>
      <c r="N4952" s="1" t="s">
        <v>8</v>
      </c>
      <c r="O4952" s="2">
        <v>43861</v>
      </c>
    </row>
    <row r="4953" spans="1:15" ht="43.2" x14ac:dyDescent="0.3">
      <c r="A4953" s="1" t="s">
        <v>24633</v>
      </c>
      <c r="B4953" s="1" t="str">
        <f>"Rosemary Owen"</f>
        <v>Rosemary Owen</v>
      </c>
      <c r="C4953" s="1" t="s">
        <v>24634</v>
      </c>
      <c r="F4953" s="1" t="s">
        <v>438</v>
      </c>
      <c r="H4953" s="1" t="s">
        <v>24635</v>
      </c>
      <c r="I4953" s="1" t="s">
        <v>5</v>
      </c>
      <c r="J4953" s="1" t="s">
        <v>67</v>
      </c>
      <c r="K4953" s="1" t="s">
        <v>14</v>
      </c>
      <c r="M4953" s="2">
        <v>42766</v>
      </c>
      <c r="N4953" s="1" t="s">
        <v>8</v>
      </c>
      <c r="O4953" s="1" t="s">
        <v>68</v>
      </c>
    </row>
    <row r="4954" spans="1:15" ht="43.2" x14ac:dyDescent="0.3">
      <c r="A4954" s="1" t="s">
        <v>24636</v>
      </c>
      <c r="B4954" s="1" t="str">
        <f>"Callum Jones Complete home and garden services"</f>
        <v>Callum Jones Complete home and garden services</v>
      </c>
      <c r="C4954" s="1" t="s">
        <v>24637</v>
      </c>
      <c r="F4954" s="1" t="s">
        <v>65</v>
      </c>
      <c r="H4954" s="1" t="s">
        <v>24638</v>
      </c>
      <c r="I4954" s="1" t="s">
        <v>5</v>
      </c>
      <c r="J4954" s="1" t="s">
        <v>6</v>
      </c>
      <c r="K4954" s="1" t="s">
        <v>34</v>
      </c>
      <c r="M4954" s="2">
        <v>42766</v>
      </c>
      <c r="N4954" s="1" t="s">
        <v>8</v>
      </c>
      <c r="O4954" s="2">
        <v>43861</v>
      </c>
    </row>
    <row r="4955" spans="1:15" ht="28.8" x14ac:dyDescent="0.3">
      <c r="A4955" s="1" t="s">
        <v>9597</v>
      </c>
      <c r="B4955" s="1" t="str">
        <f>"Prostone Interiors Ltd"</f>
        <v>Prostone Interiors Ltd</v>
      </c>
      <c r="C4955" s="1" t="s">
        <v>9598</v>
      </c>
      <c r="F4955" s="1" t="s">
        <v>12</v>
      </c>
      <c r="H4955" s="1" t="s">
        <v>2163</v>
      </c>
      <c r="I4955" s="1" t="s">
        <v>19</v>
      </c>
      <c r="J4955" s="1" t="s">
        <v>6</v>
      </c>
      <c r="K4955" s="1" t="s">
        <v>24</v>
      </c>
      <c r="L4955" s="1">
        <v>5428253</v>
      </c>
      <c r="M4955" s="2">
        <v>42765</v>
      </c>
      <c r="N4955" s="1" t="s">
        <v>8</v>
      </c>
      <c r="O4955" s="2">
        <v>43860</v>
      </c>
    </row>
    <row r="4956" spans="1:15" ht="28.8" x14ac:dyDescent="0.3">
      <c r="A4956" s="1" t="s">
        <v>9599</v>
      </c>
      <c r="B4956" s="1" t="str">
        <f>"H M  Price (Agricultural Engineers) Ltd."</f>
        <v>H M  Price (Agricultural Engineers) Ltd.</v>
      </c>
      <c r="C4956" s="1" t="s">
        <v>9600</v>
      </c>
      <c r="F4956" s="1" t="s">
        <v>65</v>
      </c>
      <c r="H4956" s="1" t="s">
        <v>9601</v>
      </c>
      <c r="I4956" s="1" t="s">
        <v>19</v>
      </c>
      <c r="J4956" s="1" t="s">
        <v>6</v>
      </c>
      <c r="K4956" s="1" t="s">
        <v>34</v>
      </c>
      <c r="L4956" s="1">
        <v>1925461</v>
      </c>
      <c r="M4956" s="2">
        <v>42765</v>
      </c>
      <c r="N4956" s="1" t="s">
        <v>8</v>
      </c>
      <c r="O4956" s="2">
        <v>43860</v>
      </c>
    </row>
    <row r="4957" spans="1:15" ht="28.8" x14ac:dyDescent="0.3">
      <c r="A4957" s="1" t="s">
        <v>9602</v>
      </c>
      <c r="B4957" s="1" t="str">
        <f>"smiths mechanical services ltd"</f>
        <v>smiths mechanical services ltd</v>
      </c>
      <c r="C4957" s="1" t="s">
        <v>9603</v>
      </c>
      <c r="F4957" s="1" t="s">
        <v>865</v>
      </c>
      <c r="H4957" s="1" t="s">
        <v>9604</v>
      </c>
      <c r="I4957" s="1" t="s">
        <v>19</v>
      </c>
      <c r="J4957" s="1" t="s">
        <v>6</v>
      </c>
      <c r="K4957" s="1" t="s">
        <v>24</v>
      </c>
      <c r="L4957" s="1">
        <v>2606557</v>
      </c>
      <c r="M4957" s="2">
        <v>42765</v>
      </c>
      <c r="N4957" s="1" t="s">
        <v>8</v>
      </c>
      <c r="O4957" s="2">
        <v>43860</v>
      </c>
    </row>
    <row r="4958" spans="1:15" ht="43.2" x14ac:dyDescent="0.3">
      <c r="A4958" s="1" t="s">
        <v>9605</v>
      </c>
      <c r="B4958" s="1" t="str">
        <f>"JOHN DREW TRANSPORT LTD"</f>
        <v>JOHN DREW TRANSPORT LTD</v>
      </c>
      <c r="C4958" s="1" t="s">
        <v>9606</v>
      </c>
      <c r="D4958" s="1" t="s">
        <v>465</v>
      </c>
      <c r="F4958" s="1" t="s">
        <v>27</v>
      </c>
      <c r="H4958" s="1" t="s">
        <v>466</v>
      </c>
      <c r="I4958" s="1" t="s">
        <v>19</v>
      </c>
      <c r="J4958" s="1" t="s">
        <v>67</v>
      </c>
      <c r="K4958" s="1" t="s">
        <v>24</v>
      </c>
      <c r="L4958" s="1">
        <v>6293719</v>
      </c>
      <c r="M4958" s="2">
        <v>42765</v>
      </c>
      <c r="N4958" s="1" t="s">
        <v>8</v>
      </c>
      <c r="O4958" s="1" t="s">
        <v>68</v>
      </c>
    </row>
    <row r="4959" spans="1:15" ht="28.8" x14ac:dyDescent="0.3">
      <c r="A4959" s="1" t="s">
        <v>9607</v>
      </c>
      <c r="B4959" s="1" t="str">
        <f>"WATTS BRICKWORK LTD"</f>
        <v>WATTS BRICKWORK LTD</v>
      </c>
      <c r="C4959" s="1" t="s">
        <v>9608</v>
      </c>
      <c r="D4959" s="1" t="s">
        <v>9609</v>
      </c>
      <c r="E4959" s="1" t="s">
        <v>8812</v>
      </c>
      <c r="F4959" s="1" t="s">
        <v>65</v>
      </c>
      <c r="H4959" s="1" t="s">
        <v>9610</v>
      </c>
      <c r="I4959" s="1" t="s">
        <v>19</v>
      </c>
      <c r="J4959" s="1" t="s">
        <v>6</v>
      </c>
      <c r="K4959" s="1" t="s">
        <v>24</v>
      </c>
      <c r="L4959" s="1">
        <v>6278869</v>
      </c>
      <c r="M4959" s="2">
        <v>42765</v>
      </c>
      <c r="N4959" s="1" t="s">
        <v>8</v>
      </c>
      <c r="O4959" s="2">
        <v>43860</v>
      </c>
    </row>
    <row r="4960" spans="1:15" ht="28.8" x14ac:dyDescent="0.3">
      <c r="A4960" s="1" t="s">
        <v>9611</v>
      </c>
      <c r="B4960" s="1" t="str">
        <f>"John Drew Transport Ltd"</f>
        <v>John Drew Transport Ltd</v>
      </c>
      <c r="C4960" s="1" t="s">
        <v>9606</v>
      </c>
      <c r="D4960" s="1" t="s">
        <v>465</v>
      </c>
      <c r="F4960" s="1" t="s">
        <v>27</v>
      </c>
      <c r="H4960" s="1" t="s">
        <v>466</v>
      </c>
      <c r="I4960" s="1" t="s">
        <v>19</v>
      </c>
      <c r="J4960" s="1" t="s">
        <v>6</v>
      </c>
      <c r="K4960" s="1" t="s">
        <v>24</v>
      </c>
      <c r="L4960" s="1">
        <v>6293719</v>
      </c>
      <c r="M4960" s="2">
        <v>42765</v>
      </c>
      <c r="N4960" s="1" t="s">
        <v>8</v>
      </c>
      <c r="O4960" s="2">
        <v>43860</v>
      </c>
    </row>
    <row r="4961" spans="1:15" ht="28.8" x14ac:dyDescent="0.3">
      <c r="A4961" s="1" t="s">
        <v>9612</v>
      </c>
      <c r="B4961" s="1" t="str">
        <f>"Warmhomes Insulation"</f>
        <v>Warmhomes Insulation</v>
      </c>
      <c r="C4961" s="1" t="s">
        <v>9613</v>
      </c>
      <c r="D4961" s="1" t="s">
        <v>9614</v>
      </c>
      <c r="F4961" s="1" t="s">
        <v>8841</v>
      </c>
      <c r="H4961" s="1" t="s">
        <v>9615</v>
      </c>
      <c r="I4961" s="1" t="s">
        <v>19</v>
      </c>
      <c r="J4961" s="1" t="s">
        <v>6</v>
      </c>
      <c r="K4961" s="1" t="s">
        <v>24</v>
      </c>
      <c r="L4961" s="1">
        <v>8942184</v>
      </c>
      <c r="M4961" s="2">
        <v>42765</v>
      </c>
      <c r="N4961" s="1" t="s">
        <v>8</v>
      </c>
      <c r="O4961" s="2">
        <v>43860</v>
      </c>
    </row>
    <row r="4962" spans="1:15" ht="43.2" x14ac:dyDescent="0.3">
      <c r="A4962" s="1" t="s">
        <v>9616</v>
      </c>
      <c r="B4962" s="1" t="str">
        <f>"WESTERN CARBONS LTD"</f>
        <v>WESTERN CARBONS LTD</v>
      </c>
      <c r="C4962" s="1" t="s">
        <v>9617</v>
      </c>
      <c r="D4962" s="1" t="s">
        <v>2041</v>
      </c>
      <c r="F4962" s="1" t="s">
        <v>65</v>
      </c>
      <c r="H4962" s="1" t="s">
        <v>9618</v>
      </c>
      <c r="I4962" s="1" t="s">
        <v>19</v>
      </c>
      <c r="J4962" s="1" t="s">
        <v>67</v>
      </c>
      <c r="K4962" s="1" t="s">
        <v>24</v>
      </c>
      <c r="L4962" s="1">
        <v>3131499</v>
      </c>
      <c r="M4962" s="2">
        <v>42765</v>
      </c>
      <c r="N4962" s="1" t="s">
        <v>8</v>
      </c>
      <c r="O4962" s="1" t="s">
        <v>68</v>
      </c>
    </row>
    <row r="4963" spans="1:15" ht="43.2" x14ac:dyDescent="0.3">
      <c r="A4963" s="1" t="s">
        <v>9619</v>
      </c>
      <c r="B4963" s="1" t="str">
        <f>"Branching Out Tree Consultancy LTD"</f>
        <v>Branching Out Tree Consultancy LTD</v>
      </c>
      <c r="C4963" s="1" t="s">
        <v>9620</v>
      </c>
      <c r="F4963" s="1" t="s">
        <v>65</v>
      </c>
      <c r="H4963" s="1" t="s">
        <v>9621</v>
      </c>
      <c r="I4963" s="1" t="s">
        <v>19</v>
      </c>
      <c r="J4963" s="1" t="s">
        <v>67</v>
      </c>
      <c r="K4963" s="1" t="s">
        <v>24</v>
      </c>
      <c r="L4963" s="1">
        <v>5790766</v>
      </c>
      <c r="M4963" s="2">
        <v>42765</v>
      </c>
      <c r="N4963" s="1" t="s">
        <v>8</v>
      </c>
      <c r="O4963" s="1" t="s">
        <v>68</v>
      </c>
    </row>
    <row r="4964" spans="1:15" ht="43.2" x14ac:dyDescent="0.3">
      <c r="A4964" s="1" t="s">
        <v>10632</v>
      </c>
      <c r="B4964" s="1" t="str">
        <f>"penbuckles delicatessen"</f>
        <v>penbuckles delicatessen</v>
      </c>
      <c r="C4964" s="1" t="s">
        <v>10633</v>
      </c>
      <c r="F4964" s="1" t="s">
        <v>10634</v>
      </c>
      <c r="H4964" s="1" t="s">
        <v>10635</v>
      </c>
      <c r="I4964" s="1" t="s">
        <v>125</v>
      </c>
      <c r="J4964" s="1" t="s">
        <v>67</v>
      </c>
      <c r="K4964" s="1" t="s">
        <v>14</v>
      </c>
      <c r="M4964" s="2">
        <v>42765</v>
      </c>
      <c r="N4964" s="1" t="s">
        <v>8</v>
      </c>
      <c r="O4964" s="1" t="s">
        <v>68</v>
      </c>
    </row>
    <row r="4965" spans="1:15" ht="28.8" x14ac:dyDescent="0.3">
      <c r="A4965" s="1" t="s">
        <v>10636</v>
      </c>
      <c r="B4965" s="1" t="str">
        <f>"MPN Site Services"</f>
        <v>MPN Site Services</v>
      </c>
      <c r="C4965" s="1" t="s">
        <v>10637</v>
      </c>
      <c r="D4965" s="1" t="s">
        <v>10638</v>
      </c>
      <c r="F4965" s="1" t="s">
        <v>930</v>
      </c>
      <c r="H4965" s="1" t="s">
        <v>10639</v>
      </c>
      <c r="I4965" s="1" t="s">
        <v>125</v>
      </c>
      <c r="J4965" s="1" t="s">
        <v>6</v>
      </c>
      <c r="K4965" s="1" t="s">
        <v>24</v>
      </c>
      <c r="M4965" s="2">
        <v>42765</v>
      </c>
      <c r="N4965" s="1" t="s">
        <v>8</v>
      </c>
      <c r="O4965" s="2">
        <v>43860</v>
      </c>
    </row>
    <row r="4966" spans="1:15" ht="43.2" x14ac:dyDescent="0.3">
      <c r="A4966" s="1" t="s">
        <v>10640</v>
      </c>
      <c r="B4966" s="1" t="str">
        <f>"Kevin Henry "</f>
        <v xml:space="preserve">Kevin Henry </v>
      </c>
      <c r="C4966" s="1" t="s">
        <v>10641</v>
      </c>
      <c r="F4966" s="1" t="s">
        <v>198</v>
      </c>
      <c r="H4966" s="1" t="s">
        <v>10642</v>
      </c>
      <c r="I4966" s="1" t="s">
        <v>188</v>
      </c>
      <c r="J4966" s="1" t="s">
        <v>67</v>
      </c>
      <c r="K4966" s="1" t="s">
        <v>14</v>
      </c>
      <c r="M4966" s="2">
        <v>42765</v>
      </c>
      <c r="N4966" s="1" t="s">
        <v>8</v>
      </c>
      <c r="O4966" s="1" t="s">
        <v>68</v>
      </c>
    </row>
    <row r="4967" spans="1:15" ht="28.8" x14ac:dyDescent="0.3">
      <c r="A4967" s="1" t="s">
        <v>22983</v>
      </c>
      <c r="B4967" s="1" t="str">
        <f>"Patrick  Quinn Speedy House Clearance"</f>
        <v>Patrick  Quinn Speedy House Clearance</v>
      </c>
      <c r="C4967" s="1" t="s">
        <v>22984</v>
      </c>
      <c r="D4967" s="1" t="s">
        <v>2152</v>
      </c>
      <c r="F4967" s="1" t="s">
        <v>123</v>
      </c>
      <c r="H4967" s="1" t="s">
        <v>22087</v>
      </c>
      <c r="I4967" s="1" t="s">
        <v>5</v>
      </c>
      <c r="J4967" s="1" t="s">
        <v>6</v>
      </c>
      <c r="K4967" s="1" t="s">
        <v>24</v>
      </c>
      <c r="M4967" s="2">
        <v>42765</v>
      </c>
      <c r="N4967" s="1" t="s">
        <v>8</v>
      </c>
      <c r="O4967" s="2">
        <v>43860</v>
      </c>
    </row>
    <row r="4968" spans="1:15" ht="28.8" x14ac:dyDescent="0.3">
      <c r="A4968" s="1" t="s">
        <v>22985</v>
      </c>
      <c r="B4968" s="1" t="str">
        <f>"Virgil Scott Davies"</f>
        <v>Virgil Scott Davies</v>
      </c>
      <c r="C4968" s="1" t="s">
        <v>18796</v>
      </c>
      <c r="F4968" s="1" t="s">
        <v>457</v>
      </c>
      <c r="H4968" s="1" t="s">
        <v>18797</v>
      </c>
      <c r="I4968" s="1" t="s">
        <v>5</v>
      </c>
      <c r="J4968" s="1" t="s">
        <v>6</v>
      </c>
      <c r="K4968" s="1" t="s">
        <v>34</v>
      </c>
      <c r="M4968" s="2">
        <v>42765</v>
      </c>
      <c r="N4968" s="1" t="s">
        <v>8</v>
      </c>
      <c r="O4968" s="2">
        <v>43860</v>
      </c>
    </row>
    <row r="4969" spans="1:15" ht="43.2" x14ac:dyDescent="0.3">
      <c r="A4969" s="1" t="s">
        <v>23764</v>
      </c>
      <c r="B4969" s="1" t="str">
        <f>"Narinder Singh"</f>
        <v>Narinder Singh</v>
      </c>
      <c r="C4969" s="1" t="s">
        <v>23765</v>
      </c>
      <c r="F4969" s="1" t="s">
        <v>739</v>
      </c>
      <c r="H4969" s="1" t="s">
        <v>23766</v>
      </c>
      <c r="I4969" s="1" t="s">
        <v>5</v>
      </c>
      <c r="J4969" s="1" t="s">
        <v>67</v>
      </c>
      <c r="K4969" s="1" t="s">
        <v>14</v>
      </c>
      <c r="M4969" s="2">
        <v>42765</v>
      </c>
      <c r="N4969" s="1" t="s">
        <v>8</v>
      </c>
      <c r="O4969" s="1" t="s">
        <v>68</v>
      </c>
    </row>
    <row r="4970" spans="1:15" ht="28.8" x14ac:dyDescent="0.3">
      <c r="A4970" s="1" t="s">
        <v>23767</v>
      </c>
      <c r="B4970" s="1" t="str">
        <f>"Emlyn Williams Emlyn Williams"</f>
        <v>Emlyn Williams Emlyn Williams</v>
      </c>
      <c r="C4970" s="1" t="s">
        <v>23768</v>
      </c>
      <c r="F4970" s="1" t="s">
        <v>1346</v>
      </c>
      <c r="H4970" s="1" t="s">
        <v>23769</v>
      </c>
      <c r="I4970" s="1" t="s">
        <v>5</v>
      </c>
      <c r="J4970" s="1" t="s">
        <v>6</v>
      </c>
      <c r="K4970" s="1" t="s">
        <v>24</v>
      </c>
      <c r="M4970" s="2">
        <v>42765</v>
      </c>
      <c r="N4970" s="1" t="s">
        <v>8</v>
      </c>
      <c r="O4970" s="2">
        <v>43860</v>
      </c>
    </row>
    <row r="4971" spans="1:15" ht="43.2" x14ac:dyDescent="0.3">
      <c r="A4971" s="1" t="s">
        <v>23770</v>
      </c>
      <c r="B4971" s="1" t="str">
        <f>"Vito Stephens"</f>
        <v>Vito Stephens</v>
      </c>
      <c r="C4971" s="1" t="s">
        <v>23771</v>
      </c>
      <c r="F4971" s="1" t="s">
        <v>9261</v>
      </c>
      <c r="H4971" s="1" t="s">
        <v>23772</v>
      </c>
      <c r="I4971" s="1" t="s">
        <v>5</v>
      </c>
      <c r="J4971" s="1" t="s">
        <v>67</v>
      </c>
      <c r="K4971" s="1" t="s">
        <v>14</v>
      </c>
      <c r="M4971" s="2">
        <v>42765</v>
      </c>
      <c r="N4971" s="1" t="s">
        <v>8</v>
      </c>
      <c r="O4971" s="1" t="s">
        <v>68</v>
      </c>
    </row>
    <row r="4972" spans="1:15" x14ac:dyDescent="0.3">
      <c r="A4972" s="1" t="s">
        <v>23773</v>
      </c>
      <c r="B4972" s="1" t="str">
        <f>"NIGEL KALER Gemini"</f>
        <v>NIGEL KALER Gemini</v>
      </c>
      <c r="C4972" s="1" t="s">
        <v>23774</v>
      </c>
      <c r="F4972" s="1" t="s">
        <v>739</v>
      </c>
      <c r="H4972" s="1" t="s">
        <v>23775</v>
      </c>
      <c r="I4972" s="1" t="s">
        <v>5</v>
      </c>
      <c r="J4972" s="1" t="s">
        <v>6</v>
      </c>
      <c r="K4972" s="1" t="s">
        <v>24</v>
      </c>
      <c r="M4972" s="2">
        <v>42765</v>
      </c>
      <c r="N4972" s="1" t="s">
        <v>8</v>
      </c>
      <c r="O4972" s="2">
        <v>43860</v>
      </c>
    </row>
    <row r="4973" spans="1:15" ht="43.2" x14ac:dyDescent="0.3">
      <c r="A4973" s="1" t="s">
        <v>23776</v>
      </c>
      <c r="B4973" s="1" t="str">
        <f>"Sean Godderidge"</f>
        <v>Sean Godderidge</v>
      </c>
      <c r="C4973" s="1" t="s">
        <v>23777</v>
      </c>
      <c r="F4973" s="1" t="s">
        <v>6318</v>
      </c>
      <c r="H4973" s="1" t="s">
        <v>23778</v>
      </c>
      <c r="I4973" s="1" t="s">
        <v>5</v>
      </c>
      <c r="J4973" s="1" t="s">
        <v>67</v>
      </c>
      <c r="K4973" s="1" t="s">
        <v>14</v>
      </c>
      <c r="M4973" s="2">
        <v>42765</v>
      </c>
      <c r="N4973" s="1" t="s">
        <v>8</v>
      </c>
      <c r="O4973" s="1" t="s">
        <v>68</v>
      </c>
    </row>
    <row r="4974" spans="1:15" ht="43.2" x14ac:dyDescent="0.3">
      <c r="A4974" s="1" t="s">
        <v>23779</v>
      </c>
      <c r="B4974" s="1" t="str">
        <f>"Conor  Lakin"</f>
        <v>Conor  Lakin</v>
      </c>
      <c r="C4974" s="1" t="s">
        <v>23780</v>
      </c>
      <c r="F4974" s="1" t="s">
        <v>198</v>
      </c>
      <c r="H4974" s="1" t="s">
        <v>23781</v>
      </c>
      <c r="I4974" s="1" t="s">
        <v>5</v>
      </c>
      <c r="J4974" s="1" t="s">
        <v>67</v>
      </c>
      <c r="K4974" s="1" t="s">
        <v>14</v>
      </c>
      <c r="M4974" s="2">
        <v>42765</v>
      </c>
      <c r="N4974" s="1" t="s">
        <v>8</v>
      </c>
      <c r="O4974" s="1" t="s">
        <v>68</v>
      </c>
    </row>
    <row r="4975" spans="1:15" ht="28.8" x14ac:dyDescent="0.3">
      <c r="A4975" s="1" t="s">
        <v>23782</v>
      </c>
      <c r="B4975" s="1" t="str">
        <f>"Steven  Dyer Steven dyer"</f>
        <v>Steven  Dyer Steven dyer</v>
      </c>
      <c r="C4975" s="1" t="s">
        <v>23783</v>
      </c>
      <c r="F4975" s="1" t="s">
        <v>42</v>
      </c>
      <c r="H4975" s="1" t="s">
        <v>14596</v>
      </c>
      <c r="I4975" s="1" t="s">
        <v>5</v>
      </c>
      <c r="J4975" s="1" t="s">
        <v>6</v>
      </c>
      <c r="K4975" s="1" t="s">
        <v>24</v>
      </c>
      <c r="M4975" s="2">
        <v>42765</v>
      </c>
      <c r="N4975" s="1" t="s">
        <v>8</v>
      </c>
      <c r="O4975" s="2">
        <v>43860</v>
      </c>
    </row>
    <row r="4976" spans="1:15" ht="43.2" x14ac:dyDescent="0.3">
      <c r="A4976" s="1" t="s">
        <v>23784</v>
      </c>
      <c r="B4976" s="1" t="str">
        <f>"BRYAN HART HART HOME IMPROVEMENTS"</f>
        <v>BRYAN HART HART HOME IMPROVEMENTS</v>
      </c>
      <c r="C4976" s="1" t="s">
        <v>23785</v>
      </c>
      <c r="D4976" s="1" t="s">
        <v>596</v>
      </c>
      <c r="F4976" s="1" t="s">
        <v>65</v>
      </c>
      <c r="H4976" s="1" t="s">
        <v>21967</v>
      </c>
      <c r="I4976" s="1" t="s">
        <v>5</v>
      </c>
      <c r="J4976" s="1" t="s">
        <v>6</v>
      </c>
      <c r="K4976" s="1" t="s">
        <v>34</v>
      </c>
      <c r="M4976" s="2">
        <v>42765</v>
      </c>
      <c r="N4976" s="1" t="s">
        <v>8</v>
      </c>
      <c r="O4976" s="2">
        <v>43860</v>
      </c>
    </row>
    <row r="4977" spans="1:15" ht="43.2" x14ac:dyDescent="0.3">
      <c r="A4977" s="1" t="s">
        <v>8413</v>
      </c>
      <c r="B4977" s="1" t="str">
        <f>"jmg convenience store"</f>
        <v>jmg convenience store</v>
      </c>
      <c r="C4977" s="1" t="s">
        <v>8414</v>
      </c>
      <c r="F4977" s="1" t="s">
        <v>5149</v>
      </c>
      <c r="H4977" s="1" t="s">
        <v>8415</v>
      </c>
      <c r="I4977" s="1" t="s">
        <v>19</v>
      </c>
      <c r="J4977" s="1" t="s">
        <v>67</v>
      </c>
      <c r="K4977" s="1" t="s">
        <v>14</v>
      </c>
      <c r="M4977" s="2">
        <v>42764</v>
      </c>
      <c r="N4977" s="1" t="s">
        <v>8</v>
      </c>
      <c r="O4977" s="1" t="s">
        <v>68</v>
      </c>
    </row>
    <row r="4978" spans="1:15" ht="43.2" x14ac:dyDescent="0.3">
      <c r="A4978" s="1" t="s">
        <v>8416</v>
      </c>
      <c r="B4978" s="1" t="str">
        <f>"R J MURRAY CONSTRUCTION SERVICES LTD"</f>
        <v>R J MURRAY CONSTRUCTION SERVICES LTD</v>
      </c>
      <c r="C4978" s="1" t="s">
        <v>8417</v>
      </c>
      <c r="F4978" s="1" t="s">
        <v>825</v>
      </c>
      <c r="H4978" s="1" t="s">
        <v>8418</v>
      </c>
      <c r="I4978" s="1" t="s">
        <v>19</v>
      </c>
      <c r="J4978" s="1" t="s">
        <v>6</v>
      </c>
      <c r="K4978" s="1" t="s">
        <v>34</v>
      </c>
      <c r="L4978" s="1">
        <v>4763151</v>
      </c>
      <c r="M4978" s="2">
        <v>42764</v>
      </c>
      <c r="N4978" s="1" t="s">
        <v>8</v>
      </c>
      <c r="O4978" s="2">
        <v>43859</v>
      </c>
    </row>
    <row r="4979" spans="1:15" ht="28.8" x14ac:dyDescent="0.3">
      <c r="A4979" s="1" t="s">
        <v>9591</v>
      </c>
      <c r="B4979" s="1" t="str">
        <f>"Advanced Resource Management Ltd"</f>
        <v>Advanced Resource Management Ltd</v>
      </c>
      <c r="C4979" s="1" t="s">
        <v>9592</v>
      </c>
      <c r="D4979" s="1" t="s">
        <v>3029</v>
      </c>
      <c r="F4979" s="1" t="s">
        <v>277</v>
      </c>
      <c r="H4979" s="1" t="s">
        <v>9593</v>
      </c>
      <c r="I4979" s="1" t="s">
        <v>19</v>
      </c>
      <c r="J4979" s="1" t="s">
        <v>6</v>
      </c>
      <c r="K4979" s="1" t="s">
        <v>24</v>
      </c>
      <c r="L4979" s="1">
        <v>5699730</v>
      </c>
      <c r="M4979" s="2">
        <v>42764</v>
      </c>
      <c r="N4979" s="1" t="s">
        <v>8</v>
      </c>
      <c r="O4979" s="2">
        <v>43859</v>
      </c>
    </row>
    <row r="4980" spans="1:15" ht="43.2" x14ac:dyDescent="0.3">
      <c r="A4980" s="1" t="s">
        <v>9594</v>
      </c>
      <c r="B4980" s="1" t="str">
        <f>"Green Valley Solutions Ltd"</f>
        <v>Green Valley Solutions Ltd</v>
      </c>
      <c r="C4980" s="1" t="s">
        <v>9595</v>
      </c>
      <c r="F4980" s="1" t="s">
        <v>1888</v>
      </c>
      <c r="H4980" s="1" t="s">
        <v>9596</v>
      </c>
      <c r="I4980" s="1" t="s">
        <v>19</v>
      </c>
      <c r="J4980" s="1" t="s">
        <v>67</v>
      </c>
      <c r="K4980" s="1" t="s">
        <v>14</v>
      </c>
      <c r="M4980" s="2">
        <v>42764</v>
      </c>
      <c r="N4980" s="1" t="s">
        <v>8</v>
      </c>
      <c r="O4980" s="1" t="s">
        <v>68</v>
      </c>
    </row>
    <row r="4981" spans="1:15" ht="28.8" x14ac:dyDescent="0.3">
      <c r="A4981" s="1" t="s">
        <v>22239</v>
      </c>
      <c r="B4981" s="1" t="str">
        <f>"Stephen Farthing Sjf building restoration"</f>
        <v>Stephen Farthing Sjf building restoration</v>
      </c>
      <c r="C4981" s="1" t="s">
        <v>22240</v>
      </c>
      <c r="F4981" s="1" t="s">
        <v>27</v>
      </c>
      <c r="H4981" s="1" t="s">
        <v>22241</v>
      </c>
      <c r="I4981" s="1" t="s">
        <v>5</v>
      </c>
      <c r="J4981" s="1" t="s">
        <v>6</v>
      </c>
      <c r="K4981" s="1" t="s">
        <v>34</v>
      </c>
      <c r="M4981" s="2">
        <v>42764</v>
      </c>
      <c r="N4981" s="1" t="s">
        <v>8</v>
      </c>
      <c r="O4981" s="2">
        <v>43859</v>
      </c>
    </row>
    <row r="4982" spans="1:15" ht="43.2" x14ac:dyDescent="0.3">
      <c r="A4982" s="1" t="s">
        <v>22242</v>
      </c>
      <c r="B4982" s="1" t="str">
        <f>"Llewelyn Williams Lligwy Heating and Plumbing"</f>
        <v>Llewelyn Williams Lligwy Heating and Plumbing</v>
      </c>
      <c r="C4982" s="1" t="s">
        <v>22243</v>
      </c>
      <c r="F4982" s="1" t="s">
        <v>328</v>
      </c>
      <c r="H4982" s="1" t="s">
        <v>22244</v>
      </c>
      <c r="I4982" s="1" t="s">
        <v>5</v>
      </c>
      <c r="J4982" s="1" t="s">
        <v>6</v>
      </c>
      <c r="K4982" s="1" t="s">
        <v>24</v>
      </c>
      <c r="M4982" s="2">
        <v>42764</v>
      </c>
      <c r="N4982" s="1" t="s">
        <v>8</v>
      </c>
      <c r="O4982" s="2">
        <v>43859</v>
      </c>
    </row>
    <row r="4983" spans="1:15" ht="28.8" x14ac:dyDescent="0.3">
      <c r="A4983" s="1" t="s">
        <v>22245</v>
      </c>
      <c r="B4983" s="1" t="str">
        <f>"Christopher Dix Dixy's 'Do It All'"</f>
        <v>Christopher Dix Dixy's 'Do It All'</v>
      </c>
      <c r="C4983" s="1" t="s">
        <v>22246</v>
      </c>
      <c r="F4983" s="1" t="s">
        <v>65</v>
      </c>
      <c r="H4983" s="1" t="s">
        <v>22247</v>
      </c>
      <c r="I4983" s="1" t="s">
        <v>5</v>
      </c>
      <c r="J4983" s="1" t="s">
        <v>6</v>
      </c>
      <c r="K4983" s="1" t="s">
        <v>24</v>
      </c>
      <c r="M4983" s="2">
        <v>42764</v>
      </c>
      <c r="N4983" s="1" t="s">
        <v>8</v>
      </c>
      <c r="O4983" s="2">
        <v>43859</v>
      </c>
    </row>
    <row r="4984" spans="1:15" ht="28.8" x14ac:dyDescent="0.3">
      <c r="A4984" s="1" t="s">
        <v>22248</v>
      </c>
      <c r="B4984" s="1" t="str">
        <f>"James Mayho James A Mayho"</f>
        <v>James Mayho James A Mayho</v>
      </c>
      <c r="C4984" s="1" t="s">
        <v>22249</v>
      </c>
      <c r="D4984" s="1" t="s">
        <v>7242</v>
      </c>
      <c r="F4984" s="1" t="s">
        <v>91</v>
      </c>
      <c r="H4984" s="1" t="s">
        <v>17718</v>
      </c>
      <c r="I4984" s="1" t="s">
        <v>5</v>
      </c>
      <c r="J4984" s="1" t="s">
        <v>6</v>
      </c>
      <c r="K4984" s="1" t="s">
        <v>24</v>
      </c>
      <c r="M4984" s="2">
        <v>42764</v>
      </c>
      <c r="N4984" s="1" t="s">
        <v>8</v>
      </c>
      <c r="O4984" s="2">
        <v>43859</v>
      </c>
    </row>
    <row r="4985" spans="1:15" ht="43.2" x14ac:dyDescent="0.3">
      <c r="A4985" s="1" t="s">
        <v>22250</v>
      </c>
      <c r="B4985" s="1" t="str">
        <f>"Jonathan Beynon"</f>
        <v>Jonathan Beynon</v>
      </c>
      <c r="C4985" s="1" t="s">
        <v>22251</v>
      </c>
      <c r="F4985" s="1" t="s">
        <v>65</v>
      </c>
      <c r="H4985" s="1" t="s">
        <v>22252</v>
      </c>
      <c r="I4985" s="1" t="s">
        <v>5</v>
      </c>
      <c r="J4985" s="1" t="s">
        <v>67</v>
      </c>
      <c r="K4985" s="1" t="s">
        <v>24</v>
      </c>
      <c r="M4985" s="2">
        <v>42764</v>
      </c>
      <c r="N4985" s="1" t="s">
        <v>8</v>
      </c>
      <c r="O4985" s="1" t="s">
        <v>68</v>
      </c>
    </row>
    <row r="4986" spans="1:15" ht="28.8" x14ac:dyDescent="0.3">
      <c r="A4986" s="1" t="s">
        <v>8410</v>
      </c>
      <c r="B4986" s="1" t="str">
        <f>"TK CONTRACTORS LIMITED"</f>
        <v>TK CONTRACTORS LIMITED</v>
      </c>
      <c r="C4986" s="1" t="s">
        <v>8411</v>
      </c>
      <c r="F4986" s="1" t="s">
        <v>6304</v>
      </c>
      <c r="H4986" s="1" t="s">
        <v>8412</v>
      </c>
      <c r="I4986" s="1" t="s">
        <v>19</v>
      </c>
      <c r="J4986" s="1" t="s">
        <v>6</v>
      </c>
      <c r="K4986" s="1" t="s">
        <v>34</v>
      </c>
      <c r="L4986" s="1">
        <v>7911185</v>
      </c>
      <c r="M4986" s="2">
        <v>42763</v>
      </c>
      <c r="N4986" s="1" t="s">
        <v>8</v>
      </c>
      <c r="O4986" s="2">
        <v>43858</v>
      </c>
    </row>
    <row r="4987" spans="1:15" ht="43.2" x14ac:dyDescent="0.3">
      <c r="A4987" s="1" t="s">
        <v>22234</v>
      </c>
      <c r="B4987" s="1" t="str">
        <f>"Gareth King"</f>
        <v>Gareth King</v>
      </c>
      <c r="C4987" s="1" t="s">
        <v>22235</v>
      </c>
      <c r="F4987" s="1" t="s">
        <v>27</v>
      </c>
      <c r="H4987" s="1" t="s">
        <v>22236</v>
      </c>
      <c r="I4987" s="1" t="s">
        <v>5</v>
      </c>
      <c r="J4987" s="1" t="s">
        <v>67</v>
      </c>
      <c r="K4987" s="1" t="s">
        <v>14</v>
      </c>
      <c r="M4987" s="2">
        <v>42763</v>
      </c>
      <c r="N4987" s="1" t="s">
        <v>8</v>
      </c>
      <c r="O4987" s="1" t="s">
        <v>68</v>
      </c>
    </row>
    <row r="4988" spans="1:15" ht="28.8" x14ac:dyDescent="0.3">
      <c r="A4988" s="1" t="s">
        <v>22237</v>
      </c>
      <c r="B4988" s="1" t="str">
        <f>"Gaz Waste carrier licences"</f>
        <v>Gaz Waste carrier licences</v>
      </c>
      <c r="C4988" s="1" t="s">
        <v>22238</v>
      </c>
      <c r="F4988" s="1" t="s">
        <v>91</v>
      </c>
      <c r="H4988" s="1" t="s">
        <v>19073</v>
      </c>
      <c r="I4988" s="1" t="s">
        <v>5</v>
      </c>
      <c r="J4988" s="1" t="s">
        <v>6</v>
      </c>
      <c r="K4988" s="1" t="s">
        <v>34</v>
      </c>
      <c r="M4988" s="2">
        <v>42763</v>
      </c>
      <c r="N4988" s="1" t="s">
        <v>8</v>
      </c>
      <c r="O4988" s="2">
        <v>43858</v>
      </c>
    </row>
    <row r="4989" spans="1:15" ht="28.8" x14ac:dyDescent="0.3">
      <c r="A4989" s="1" t="s">
        <v>7230</v>
      </c>
      <c r="B4989" s="1" t="str">
        <f>"Bro Cader haulage and plant ltd"</f>
        <v>Bro Cader haulage and plant ltd</v>
      </c>
      <c r="C4989" s="1" t="s">
        <v>7231</v>
      </c>
      <c r="F4989" s="1" t="s">
        <v>1818</v>
      </c>
      <c r="H4989" s="1" t="s">
        <v>7232</v>
      </c>
      <c r="I4989" s="1" t="s">
        <v>19</v>
      </c>
      <c r="J4989" s="1" t="s">
        <v>6</v>
      </c>
      <c r="K4989" s="1" t="s">
        <v>34</v>
      </c>
      <c r="L4989" s="1">
        <v>7175396</v>
      </c>
      <c r="M4989" s="2">
        <v>42762</v>
      </c>
      <c r="N4989" s="1" t="s">
        <v>8</v>
      </c>
      <c r="O4989" s="2">
        <v>43857</v>
      </c>
    </row>
    <row r="4990" spans="1:15" ht="43.2" x14ac:dyDescent="0.3">
      <c r="A4990" s="1" t="s">
        <v>7233</v>
      </c>
      <c r="B4990" s="1" t="str">
        <f>"D T CONTRACTING (SOUTH WEST) LIMITED"</f>
        <v>D T CONTRACTING (SOUTH WEST) LIMITED</v>
      </c>
      <c r="C4990" s="1" t="s">
        <v>7234</v>
      </c>
      <c r="D4990" s="1" t="s">
        <v>1457</v>
      </c>
      <c r="F4990" s="1" t="s">
        <v>380</v>
      </c>
      <c r="H4990" s="1" t="s">
        <v>1458</v>
      </c>
      <c r="I4990" s="1" t="s">
        <v>19</v>
      </c>
      <c r="J4990" s="1" t="s">
        <v>6</v>
      </c>
      <c r="K4990" s="1" t="s">
        <v>34</v>
      </c>
      <c r="L4990" s="1">
        <v>8438750</v>
      </c>
      <c r="M4990" s="2">
        <v>42762</v>
      </c>
      <c r="N4990" s="1" t="s">
        <v>8</v>
      </c>
      <c r="O4990" s="2">
        <v>43857</v>
      </c>
    </row>
    <row r="4991" spans="1:15" ht="43.2" x14ac:dyDescent="0.3">
      <c r="A4991" s="1" t="s">
        <v>7235</v>
      </c>
      <c r="B4991" s="1" t="str">
        <f>"Lyndon Scaffolding plc"</f>
        <v>Lyndon Scaffolding plc</v>
      </c>
      <c r="C4991" s="1" t="s">
        <v>7236</v>
      </c>
      <c r="F4991" s="1" t="s">
        <v>298</v>
      </c>
      <c r="H4991" s="1" t="s">
        <v>966</v>
      </c>
      <c r="I4991" s="1" t="s">
        <v>19</v>
      </c>
      <c r="J4991" s="1" t="s">
        <v>67</v>
      </c>
      <c r="K4991" s="1" t="s">
        <v>14</v>
      </c>
      <c r="M4991" s="2">
        <v>42762</v>
      </c>
      <c r="N4991" s="1" t="s">
        <v>8</v>
      </c>
      <c r="O4991" s="1" t="s">
        <v>68</v>
      </c>
    </row>
    <row r="4992" spans="1:15" ht="28.8" x14ac:dyDescent="0.3">
      <c r="A4992" s="1" t="s">
        <v>7237</v>
      </c>
      <c r="B4992" s="1" t="str">
        <f>"Gibbyo Ltd"</f>
        <v>Gibbyo Ltd</v>
      </c>
      <c r="C4992" s="1" t="s">
        <v>7238</v>
      </c>
      <c r="F4992" s="1" t="s">
        <v>1175</v>
      </c>
      <c r="H4992" s="1" t="s">
        <v>7239</v>
      </c>
      <c r="I4992" s="1" t="s">
        <v>19</v>
      </c>
      <c r="J4992" s="1" t="s">
        <v>6</v>
      </c>
      <c r="K4992" s="1" t="s">
        <v>24</v>
      </c>
      <c r="L4992" s="1">
        <v>10313428</v>
      </c>
      <c r="M4992" s="2">
        <v>42762</v>
      </c>
      <c r="N4992" s="1" t="s">
        <v>8</v>
      </c>
      <c r="O4992" s="2">
        <v>43857</v>
      </c>
    </row>
    <row r="4993" spans="1:15" ht="43.2" x14ac:dyDescent="0.3">
      <c r="A4993" s="1" t="s">
        <v>7240</v>
      </c>
      <c r="B4993" s="1" t="str">
        <f>"Sara Bubela"</f>
        <v>Sara Bubela</v>
      </c>
      <c r="C4993" s="1" t="s">
        <v>7241</v>
      </c>
      <c r="D4993" s="1" t="s">
        <v>7242</v>
      </c>
      <c r="F4993" s="1" t="s">
        <v>381</v>
      </c>
      <c r="H4993" s="1" t="s">
        <v>7243</v>
      </c>
      <c r="I4993" s="1" t="s">
        <v>125</v>
      </c>
      <c r="J4993" s="1" t="s">
        <v>67</v>
      </c>
      <c r="K4993" s="1" t="s">
        <v>14</v>
      </c>
      <c r="M4993" s="2">
        <v>42762</v>
      </c>
      <c r="N4993" s="1" t="s">
        <v>8</v>
      </c>
      <c r="O4993" s="1" t="s">
        <v>68</v>
      </c>
    </row>
    <row r="4994" spans="1:15" ht="28.8" x14ac:dyDescent="0.3">
      <c r="A4994" s="1" t="s">
        <v>7244</v>
      </c>
      <c r="B4994" s="1" t="str">
        <f>"TAFF TYRES LIMITED"</f>
        <v>TAFF TYRES LIMITED</v>
      </c>
      <c r="C4994" s="1" t="s">
        <v>7245</v>
      </c>
      <c r="F4994" s="1" t="s">
        <v>457</v>
      </c>
      <c r="H4994" s="1" t="s">
        <v>7246</v>
      </c>
      <c r="I4994" s="1" t="s">
        <v>19</v>
      </c>
      <c r="J4994" s="1" t="s">
        <v>6</v>
      </c>
      <c r="K4994" s="1" t="s">
        <v>34</v>
      </c>
      <c r="L4994" s="1">
        <v>8006626</v>
      </c>
      <c r="M4994" s="2">
        <v>42762</v>
      </c>
      <c r="N4994" s="1" t="s">
        <v>8</v>
      </c>
      <c r="O4994" s="2">
        <v>43857</v>
      </c>
    </row>
    <row r="4995" spans="1:15" ht="28.8" x14ac:dyDescent="0.3">
      <c r="A4995" s="1" t="s">
        <v>8404</v>
      </c>
      <c r="B4995" s="1" t="str">
        <f>"Greengrass Services Ltd."</f>
        <v>Greengrass Services Ltd.</v>
      </c>
      <c r="C4995" s="1" t="s">
        <v>8405</v>
      </c>
      <c r="D4995" s="1" t="s">
        <v>8406</v>
      </c>
      <c r="E4995" s="1" t="s">
        <v>3595</v>
      </c>
      <c r="F4995" s="1" t="s">
        <v>83</v>
      </c>
      <c r="H4995" s="1" t="s">
        <v>8407</v>
      </c>
      <c r="I4995" s="1" t="s">
        <v>19</v>
      </c>
      <c r="J4995" s="1" t="s">
        <v>6</v>
      </c>
      <c r="K4995" s="1" t="s">
        <v>24</v>
      </c>
      <c r="L4995" s="1">
        <v>5405696</v>
      </c>
      <c r="M4995" s="2">
        <v>42762</v>
      </c>
      <c r="N4995" s="1" t="s">
        <v>8</v>
      </c>
      <c r="O4995" s="2">
        <v>43857</v>
      </c>
    </row>
    <row r="4996" spans="1:15" ht="28.8" x14ac:dyDescent="0.3">
      <c r="A4996" s="1" t="s">
        <v>8408</v>
      </c>
      <c r="B4996" s="1" t="str">
        <f>"Quinns Group"</f>
        <v>Quinns Group</v>
      </c>
      <c r="C4996" s="1" t="s">
        <v>8409</v>
      </c>
      <c r="F4996" s="1" t="s">
        <v>65</v>
      </c>
      <c r="H4996" s="1" t="s">
        <v>5838</v>
      </c>
      <c r="I4996" s="1" t="s">
        <v>125</v>
      </c>
      <c r="J4996" s="1" t="s">
        <v>6</v>
      </c>
      <c r="K4996" s="1" t="s">
        <v>24</v>
      </c>
      <c r="M4996" s="2">
        <v>42762</v>
      </c>
      <c r="N4996" s="1" t="s">
        <v>8</v>
      </c>
      <c r="O4996" s="2">
        <v>43857</v>
      </c>
    </row>
    <row r="4997" spans="1:15" ht="28.8" x14ac:dyDescent="0.3">
      <c r="A4997" s="1" t="s">
        <v>21404</v>
      </c>
      <c r="B4997" s="1" t="str">
        <f>"Ryan Beach Ashbee Light Haulage"</f>
        <v>Ryan Beach Ashbee Light Haulage</v>
      </c>
      <c r="C4997" s="1" t="s">
        <v>17378</v>
      </c>
      <c r="F4997" s="1" t="s">
        <v>27</v>
      </c>
      <c r="H4997" s="1" t="s">
        <v>17379</v>
      </c>
      <c r="I4997" s="1" t="s">
        <v>5</v>
      </c>
      <c r="J4997" s="1" t="s">
        <v>6</v>
      </c>
      <c r="K4997" s="1" t="s">
        <v>24</v>
      </c>
      <c r="M4997" s="2">
        <v>42762</v>
      </c>
      <c r="N4997" s="1" t="s">
        <v>8</v>
      </c>
      <c r="O4997" s="2">
        <v>43857</v>
      </c>
    </row>
    <row r="4998" spans="1:15" ht="43.2" x14ac:dyDescent="0.3">
      <c r="A4998" s="1" t="s">
        <v>21405</v>
      </c>
      <c r="B4998" s="1" t="str">
        <f>"Venn Mittapally"</f>
        <v>Venn Mittapally</v>
      </c>
      <c r="C4998" s="1" t="s">
        <v>21406</v>
      </c>
      <c r="F4998" s="1" t="s">
        <v>556</v>
      </c>
      <c r="H4998" s="1" t="s">
        <v>21407</v>
      </c>
      <c r="I4998" s="1" t="s">
        <v>5</v>
      </c>
      <c r="J4998" s="1" t="s">
        <v>67</v>
      </c>
      <c r="K4998" s="1" t="s">
        <v>14</v>
      </c>
      <c r="M4998" s="2">
        <v>42762</v>
      </c>
      <c r="N4998" s="1" t="s">
        <v>8</v>
      </c>
      <c r="O4998" s="1" t="s">
        <v>68</v>
      </c>
    </row>
    <row r="4999" spans="1:15" ht="43.2" x14ac:dyDescent="0.3">
      <c r="A4999" s="1" t="s">
        <v>21408</v>
      </c>
      <c r="B4999" s="1" t="str">
        <f>"Stephen Martin"</f>
        <v>Stephen Martin</v>
      </c>
      <c r="C4999" s="1" t="s">
        <v>21409</v>
      </c>
      <c r="D4999" s="1" t="s">
        <v>21410</v>
      </c>
      <c r="F4999" s="1" t="s">
        <v>6400</v>
      </c>
      <c r="H4999" s="1" t="s">
        <v>20622</v>
      </c>
      <c r="I4999" s="1" t="s">
        <v>5</v>
      </c>
      <c r="J4999" s="1" t="s">
        <v>67</v>
      </c>
      <c r="K4999" s="1" t="s">
        <v>14</v>
      </c>
      <c r="M4999" s="2">
        <v>42762</v>
      </c>
      <c r="N4999" s="1" t="s">
        <v>8</v>
      </c>
      <c r="O4999" s="1" t="s">
        <v>68</v>
      </c>
    </row>
    <row r="5000" spans="1:15" ht="43.2" x14ac:dyDescent="0.3">
      <c r="A5000" s="1" t="s">
        <v>21411</v>
      </c>
      <c r="B5000" s="1" t="str">
        <f>"Michael Bubela"</f>
        <v>Michael Bubela</v>
      </c>
      <c r="C5000" s="1" t="s">
        <v>21412</v>
      </c>
      <c r="D5000" s="1" t="s">
        <v>7242</v>
      </c>
      <c r="F5000" s="1" t="s">
        <v>91</v>
      </c>
      <c r="H5000" s="1" t="s">
        <v>7243</v>
      </c>
      <c r="I5000" s="1" t="s">
        <v>5</v>
      </c>
      <c r="J5000" s="1" t="s">
        <v>67</v>
      </c>
      <c r="K5000" s="1" t="s">
        <v>14</v>
      </c>
      <c r="M5000" s="2">
        <v>42762</v>
      </c>
      <c r="N5000" s="1" t="s">
        <v>8</v>
      </c>
      <c r="O5000" s="1" t="s">
        <v>68</v>
      </c>
    </row>
    <row r="5001" spans="1:15" ht="28.8" x14ac:dyDescent="0.3">
      <c r="A5001" s="1" t="s">
        <v>21413</v>
      </c>
      <c r="B5001" s="1" t="str">
        <f>"Nigel Sweet Nigel Sweet"</f>
        <v>Nigel Sweet Nigel Sweet</v>
      </c>
      <c r="C5001" s="1" t="s">
        <v>21414</v>
      </c>
      <c r="F5001" s="1" t="s">
        <v>65</v>
      </c>
      <c r="H5001" s="1" t="s">
        <v>21415</v>
      </c>
      <c r="I5001" s="1" t="s">
        <v>5</v>
      </c>
      <c r="J5001" s="1" t="s">
        <v>6</v>
      </c>
      <c r="K5001" s="1" t="s">
        <v>24</v>
      </c>
      <c r="M5001" s="2">
        <v>42762</v>
      </c>
      <c r="N5001" s="1" t="s">
        <v>8</v>
      </c>
      <c r="O5001" s="2">
        <v>43857</v>
      </c>
    </row>
    <row r="5002" spans="1:15" x14ac:dyDescent="0.3">
      <c r="A5002" s="1" t="s">
        <v>6109</v>
      </c>
      <c r="B5002" s="1" t="str">
        <f>"CDC Specialists Ltd"</f>
        <v>CDC Specialists Ltd</v>
      </c>
      <c r="C5002" s="1" t="s">
        <v>6110</v>
      </c>
      <c r="D5002" s="1" t="s">
        <v>6111</v>
      </c>
      <c r="F5002" s="1" t="s">
        <v>27</v>
      </c>
      <c r="H5002" s="1" t="s">
        <v>6112</v>
      </c>
      <c r="I5002" s="1" t="s">
        <v>19</v>
      </c>
      <c r="J5002" s="1" t="s">
        <v>6</v>
      </c>
      <c r="K5002" s="1" t="s">
        <v>24</v>
      </c>
      <c r="L5002" s="1">
        <v>7947606</v>
      </c>
      <c r="M5002" s="2">
        <v>42761</v>
      </c>
      <c r="N5002" s="1" t="s">
        <v>8</v>
      </c>
      <c r="O5002" s="2">
        <v>43856</v>
      </c>
    </row>
    <row r="5003" spans="1:15" ht="43.2" x14ac:dyDescent="0.3">
      <c r="A5003" s="1" t="s">
        <v>6113</v>
      </c>
      <c r="B5003" s="1" t="str">
        <f>"Phoenix Environmental Services Ltd."</f>
        <v>Phoenix Environmental Services Ltd.</v>
      </c>
      <c r="C5003" s="1" t="s">
        <v>6114</v>
      </c>
      <c r="D5003" s="1" t="s">
        <v>6115</v>
      </c>
      <c r="F5003" s="1" t="s">
        <v>6116</v>
      </c>
      <c r="H5003" s="1" t="s">
        <v>6117</v>
      </c>
      <c r="I5003" s="1" t="s">
        <v>19</v>
      </c>
      <c r="J5003" s="1" t="s">
        <v>6</v>
      </c>
      <c r="K5003" s="1" t="s">
        <v>34</v>
      </c>
      <c r="L5003" s="1">
        <v>2469571</v>
      </c>
      <c r="M5003" s="2">
        <v>42761</v>
      </c>
      <c r="N5003" s="1" t="s">
        <v>8</v>
      </c>
      <c r="O5003" s="2">
        <v>43856</v>
      </c>
    </row>
    <row r="5004" spans="1:15" ht="28.8" x14ac:dyDescent="0.3">
      <c r="A5004" s="1" t="s">
        <v>6118</v>
      </c>
      <c r="B5004" s="1" t="str">
        <f>"Dorma Construction Bridgend Ltd"</f>
        <v>Dorma Construction Bridgend Ltd</v>
      </c>
      <c r="C5004" s="1" t="s">
        <v>6119</v>
      </c>
      <c r="F5004" s="1" t="s">
        <v>865</v>
      </c>
      <c r="H5004" s="1" t="s">
        <v>6120</v>
      </c>
      <c r="I5004" s="1" t="s">
        <v>19</v>
      </c>
      <c r="J5004" s="1" t="s">
        <v>6</v>
      </c>
      <c r="K5004" s="1" t="s">
        <v>34</v>
      </c>
      <c r="L5004" s="1">
        <v>7896539</v>
      </c>
      <c r="M5004" s="2">
        <v>42761</v>
      </c>
      <c r="N5004" s="1" t="s">
        <v>8</v>
      </c>
      <c r="O5004" s="2">
        <v>43856</v>
      </c>
    </row>
    <row r="5005" spans="1:15" ht="28.8" x14ac:dyDescent="0.3">
      <c r="A5005" s="1" t="s">
        <v>6121</v>
      </c>
      <c r="B5005" s="1" t="str">
        <f>"THERMAL EARTH LIMITED"</f>
        <v>THERMAL EARTH LIMITED</v>
      </c>
      <c r="C5005" s="1" t="s">
        <v>6122</v>
      </c>
      <c r="F5005" s="1" t="s">
        <v>12</v>
      </c>
      <c r="H5005" s="1" t="s">
        <v>2163</v>
      </c>
      <c r="I5005" s="1" t="s">
        <v>19</v>
      </c>
      <c r="J5005" s="1" t="s">
        <v>6</v>
      </c>
      <c r="K5005" s="1" t="s">
        <v>34</v>
      </c>
      <c r="L5005" s="1">
        <v>6225060</v>
      </c>
      <c r="M5005" s="2">
        <v>42761</v>
      </c>
      <c r="N5005" s="1" t="s">
        <v>8</v>
      </c>
      <c r="O5005" s="2">
        <v>43856</v>
      </c>
    </row>
    <row r="5006" spans="1:15" ht="43.2" x14ac:dyDescent="0.3">
      <c r="A5006" s="1" t="s">
        <v>6123</v>
      </c>
      <c r="B5006" s="1" t="str">
        <f>"B &amp; B INDUSTRIAL DOORS (UK) LTD"</f>
        <v>B &amp; B INDUSTRIAL DOORS (UK) LTD</v>
      </c>
      <c r="C5006" s="1" t="s">
        <v>6124</v>
      </c>
      <c r="F5006" s="1" t="s">
        <v>1137</v>
      </c>
      <c r="H5006" s="1" t="s">
        <v>28</v>
      </c>
      <c r="I5006" s="1" t="s">
        <v>19</v>
      </c>
      <c r="J5006" s="1" t="s">
        <v>67</v>
      </c>
      <c r="K5006" s="1" t="s">
        <v>24</v>
      </c>
      <c r="L5006" s="1">
        <v>7241282</v>
      </c>
      <c r="M5006" s="2">
        <v>42761</v>
      </c>
      <c r="N5006" s="1" t="s">
        <v>8</v>
      </c>
      <c r="O5006" s="1" t="s">
        <v>68</v>
      </c>
    </row>
    <row r="5007" spans="1:15" ht="28.8" x14ac:dyDescent="0.3">
      <c r="A5007" s="1" t="s">
        <v>6125</v>
      </c>
      <c r="B5007" s="1" t="str">
        <f>"B &amp; W Builders &amp; Decorators Ltd."</f>
        <v>B &amp; W Builders &amp; Decorators Ltd.</v>
      </c>
      <c r="C5007" s="1" t="s">
        <v>6126</v>
      </c>
      <c r="D5007" s="1" t="s">
        <v>6127</v>
      </c>
      <c r="E5007" s="1" t="s">
        <v>5911</v>
      </c>
      <c r="F5007" s="1" t="s">
        <v>83</v>
      </c>
      <c r="H5007" s="1" t="s">
        <v>6128</v>
      </c>
      <c r="I5007" s="1" t="s">
        <v>19</v>
      </c>
      <c r="J5007" s="1" t="s">
        <v>6</v>
      </c>
      <c r="K5007" s="1" t="s">
        <v>34</v>
      </c>
      <c r="L5007" s="1">
        <v>4191935</v>
      </c>
      <c r="M5007" s="2">
        <v>42761</v>
      </c>
      <c r="N5007" s="1" t="s">
        <v>8</v>
      </c>
      <c r="O5007" s="2">
        <v>43856</v>
      </c>
    </row>
    <row r="5008" spans="1:15" ht="28.8" x14ac:dyDescent="0.3">
      <c r="A5008" s="1" t="s">
        <v>6129</v>
      </c>
      <c r="B5008" s="1" t="str">
        <f>"Len Hughes"</f>
        <v>Len Hughes</v>
      </c>
      <c r="C5008" s="1" t="s">
        <v>6130</v>
      </c>
      <c r="D5008" s="1" t="s">
        <v>6131</v>
      </c>
      <c r="F5008" s="1" t="s">
        <v>1278</v>
      </c>
      <c r="H5008" s="1" t="s">
        <v>6132</v>
      </c>
      <c r="I5008" s="1" t="s">
        <v>125</v>
      </c>
      <c r="J5008" s="1" t="s">
        <v>6</v>
      </c>
      <c r="K5008" s="1" t="s">
        <v>24</v>
      </c>
      <c r="M5008" s="2">
        <v>42761</v>
      </c>
      <c r="N5008" s="1" t="s">
        <v>8</v>
      </c>
      <c r="O5008" s="2">
        <v>43856</v>
      </c>
    </row>
    <row r="5009" spans="1:15" ht="43.2" x14ac:dyDescent="0.3">
      <c r="A5009" s="1" t="s">
        <v>6133</v>
      </c>
      <c r="B5009" s="1" t="str">
        <f>"Pentwynmawr Stores"</f>
        <v>Pentwynmawr Stores</v>
      </c>
      <c r="C5009" s="1" t="s">
        <v>6134</v>
      </c>
      <c r="F5009" s="1" t="s">
        <v>6135</v>
      </c>
      <c r="H5009" s="1" t="s">
        <v>6136</v>
      </c>
      <c r="I5009" s="1" t="s">
        <v>125</v>
      </c>
      <c r="J5009" s="1" t="s">
        <v>67</v>
      </c>
      <c r="K5009" s="1" t="s">
        <v>14</v>
      </c>
      <c r="M5009" s="2">
        <v>42761</v>
      </c>
      <c r="N5009" s="1" t="s">
        <v>8</v>
      </c>
      <c r="O5009" s="1" t="s">
        <v>68</v>
      </c>
    </row>
    <row r="5010" spans="1:15" ht="43.2" x14ac:dyDescent="0.3">
      <c r="A5010" s="1" t="s">
        <v>6137</v>
      </c>
      <c r="B5010" s="1" t="str">
        <f>"owen stores limited"</f>
        <v>owen stores limited</v>
      </c>
      <c r="C5010" s="1" t="s">
        <v>6138</v>
      </c>
      <c r="D5010" s="1" t="s">
        <v>6139</v>
      </c>
      <c r="F5010" s="1" t="s">
        <v>739</v>
      </c>
      <c r="H5010" s="1" t="s">
        <v>6140</v>
      </c>
      <c r="I5010" s="1" t="s">
        <v>19</v>
      </c>
      <c r="J5010" s="1" t="s">
        <v>67</v>
      </c>
      <c r="K5010" s="1" t="s">
        <v>14</v>
      </c>
      <c r="M5010" s="2">
        <v>42761</v>
      </c>
      <c r="N5010" s="1" t="s">
        <v>8</v>
      </c>
      <c r="O5010" s="1" t="s">
        <v>68</v>
      </c>
    </row>
    <row r="5011" spans="1:15" ht="43.2" x14ac:dyDescent="0.3">
      <c r="A5011" s="1" t="s">
        <v>7227</v>
      </c>
      <c r="B5011" s="1" t="str">
        <f>"E. Williams"</f>
        <v>E. Williams</v>
      </c>
      <c r="C5011" s="1" t="s">
        <v>7228</v>
      </c>
      <c r="F5011" s="1" t="s">
        <v>607</v>
      </c>
      <c r="H5011" s="1" t="s">
        <v>7229</v>
      </c>
      <c r="I5011" s="1" t="s">
        <v>125</v>
      </c>
      <c r="J5011" s="1" t="s">
        <v>67</v>
      </c>
      <c r="K5011" s="1" t="s">
        <v>24</v>
      </c>
      <c r="M5011" s="2">
        <v>42761</v>
      </c>
      <c r="N5011" s="1" t="s">
        <v>8</v>
      </c>
      <c r="O5011" s="1" t="s">
        <v>68</v>
      </c>
    </row>
    <row r="5012" spans="1:15" ht="28.8" x14ac:dyDescent="0.3">
      <c r="A5012" s="1" t="s">
        <v>20595</v>
      </c>
      <c r="B5012" s="1" t="str">
        <f>"Philip James Philip James Builder"</f>
        <v>Philip James Philip James Builder</v>
      </c>
      <c r="C5012" s="1" t="s">
        <v>20596</v>
      </c>
      <c r="D5012" s="1" t="s">
        <v>20597</v>
      </c>
      <c r="F5012" s="1" t="s">
        <v>345</v>
      </c>
      <c r="H5012" s="1" t="s">
        <v>20598</v>
      </c>
      <c r="I5012" s="1" t="s">
        <v>5</v>
      </c>
      <c r="J5012" s="1" t="s">
        <v>6</v>
      </c>
      <c r="K5012" s="1" t="s">
        <v>24</v>
      </c>
      <c r="M5012" s="2">
        <v>42761</v>
      </c>
      <c r="N5012" s="1" t="s">
        <v>8</v>
      </c>
      <c r="O5012" s="2">
        <v>43856</v>
      </c>
    </row>
    <row r="5013" spans="1:15" ht="28.8" x14ac:dyDescent="0.3">
      <c r="A5013" s="1" t="s">
        <v>20599</v>
      </c>
      <c r="B5013" s="1" t="str">
        <f>"Tommt Butters"</f>
        <v>Tommt Butters</v>
      </c>
      <c r="C5013" s="1" t="s">
        <v>20600</v>
      </c>
      <c r="F5013" s="1" t="s">
        <v>20601</v>
      </c>
      <c r="H5013" s="1" t="s">
        <v>20602</v>
      </c>
      <c r="I5013" s="1" t="s">
        <v>5</v>
      </c>
      <c r="J5013" s="1" t="s">
        <v>6</v>
      </c>
      <c r="K5013" s="1" t="s">
        <v>24</v>
      </c>
      <c r="M5013" s="2">
        <v>42761</v>
      </c>
      <c r="N5013" s="1" t="s">
        <v>8</v>
      </c>
      <c r="O5013" s="2">
        <v>43856</v>
      </c>
    </row>
    <row r="5014" spans="1:15" ht="43.2" x14ac:dyDescent="0.3">
      <c r="A5014" s="1" t="s">
        <v>20603</v>
      </c>
      <c r="B5014" s="1" t="str">
        <f>"robert roderick r roderick roofing and building"</f>
        <v>robert roderick r roderick roofing and building</v>
      </c>
      <c r="C5014" s="1" t="s">
        <v>20604</v>
      </c>
      <c r="F5014" s="1" t="s">
        <v>65</v>
      </c>
      <c r="H5014" s="1" t="s">
        <v>20605</v>
      </c>
      <c r="I5014" s="1" t="s">
        <v>5</v>
      </c>
      <c r="J5014" s="1" t="s">
        <v>6</v>
      </c>
      <c r="K5014" s="1" t="s">
        <v>34</v>
      </c>
      <c r="M5014" s="2">
        <v>42761</v>
      </c>
      <c r="N5014" s="1" t="s">
        <v>8</v>
      </c>
      <c r="O5014" s="2">
        <v>43856</v>
      </c>
    </row>
    <row r="5015" spans="1:15" ht="43.2" x14ac:dyDescent="0.3">
      <c r="A5015" s="1" t="s">
        <v>20606</v>
      </c>
      <c r="B5015" s="1" t="str">
        <f>"CLIVE WILLIAMS"</f>
        <v>CLIVE WILLIAMS</v>
      </c>
      <c r="C5015" s="1" t="s">
        <v>20607</v>
      </c>
      <c r="F5015" s="1" t="s">
        <v>37</v>
      </c>
      <c r="H5015" s="1" t="s">
        <v>20608</v>
      </c>
      <c r="I5015" s="1" t="s">
        <v>5</v>
      </c>
      <c r="J5015" s="1" t="s">
        <v>67</v>
      </c>
      <c r="K5015" s="1" t="s">
        <v>14</v>
      </c>
      <c r="M5015" s="2">
        <v>42761</v>
      </c>
      <c r="N5015" s="1" t="s">
        <v>8</v>
      </c>
      <c r="O5015" s="1" t="s">
        <v>68</v>
      </c>
    </row>
    <row r="5016" spans="1:15" ht="43.2" x14ac:dyDescent="0.3">
      <c r="A5016" s="1" t="s">
        <v>20609</v>
      </c>
      <c r="B5016" s="1" t="str">
        <f>"Jason Sheppard"</f>
        <v>Jason Sheppard</v>
      </c>
      <c r="C5016" s="1" t="s">
        <v>20610</v>
      </c>
      <c r="F5016" s="1" t="s">
        <v>91</v>
      </c>
      <c r="H5016" s="1" t="s">
        <v>20611</v>
      </c>
      <c r="I5016" s="1" t="s">
        <v>5</v>
      </c>
      <c r="J5016" s="1" t="s">
        <v>67</v>
      </c>
      <c r="K5016" s="1" t="s">
        <v>14</v>
      </c>
      <c r="M5016" s="2">
        <v>42761</v>
      </c>
      <c r="N5016" s="1" t="s">
        <v>8</v>
      </c>
      <c r="O5016" s="1" t="s">
        <v>68</v>
      </c>
    </row>
    <row r="5017" spans="1:15" ht="43.2" x14ac:dyDescent="0.3">
      <c r="A5017" s="1" t="s">
        <v>20612</v>
      </c>
      <c r="B5017" s="1" t="str">
        <f>"Terence Brumskill"</f>
        <v>Terence Brumskill</v>
      </c>
      <c r="C5017" s="1" t="s">
        <v>20613</v>
      </c>
      <c r="F5017" s="1" t="s">
        <v>10072</v>
      </c>
      <c r="H5017" s="1" t="s">
        <v>20614</v>
      </c>
      <c r="I5017" s="1" t="s">
        <v>5</v>
      </c>
      <c r="J5017" s="1" t="s">
        <v>67</v>
      </c>
      <c r="K5017" s="1" t="s">
        <v>14</v>
      </c>
      <c r="M5017" s="2">
        <v>42761</v>
      </c>
      <c r="N5017" s="1" t="s">
        <v>8</v>
      </c>
      <c r="O5017" s="1" t="s">
        <v>68</v>
      </c>
    </row>
    <row r="5018" spans="1:15" ht="43.2" x14ac:dyDescent="0.3">
      <c r="A5018" s="1" t="s">
        <v>21403</v>
      </c>
      <c r="B5018" s="1" t="str">
        <f>"Simon  Davies "</f>
        <v xml:space="preserve">Simon  Davies </v>
      </c>
      <c r="C5018" s="1" t="s">
        <v>20624</v>
      </c>
      <c r="D5018" s="1" t="s">
        <v>20625</v>
      </c>
      <c r="F5018" s="1" t="s">
        <v>103</v>
      </c>
      <c r="H5018" s="1" t="s">
        <v>20626</v>
      </c>
      <c r="I5018" s="1" t="s">
        <v>5</v>
      </c>
      <c r="J5018" s="1" t="s">
        <v>67</v>
      </c>
      <c r="K5018" s="1" t="s">
        <v>14</v>
      </c>
      <c r="M5018" s="2">
        <v>42761</v>
      </c>
      <c r="N5018" s="1" t="s">
        <v>8</v>
      </c>
      <c r="O5018" s="1" t="s">
        <v>68</v>
      </c>
    </row>
    <row r="5019" spans="1:15" ht="28.8" x14ac:dyDescent="0.3">
      <c r="A5019" s="1" t="s">
        <v>3769</v>
      </c>
      <c r="B5019" s="1" t="str">
        <f>"David Lewis Plant Hire Ltd"</f>
        <v>David Lewis Plant Hire Ltd</v>
      </c>
      <c r="C5019" s="1" t="s">
        <v>3770</v>
      </c>
      <c r="F5019" s="1" t="s">
        <v>385</v>
      </c>
      <c r="H5019" s="1" t="s">
        <v>3771</v>
      </c>
      <c r="I5019" s="1" t="s">
        <v>19</v>
      </c>
      <c r="J5019" s="1" t="s">
        <v>6</v>
      </c>
      <c r="K5019" s="1" t="s">
        <v>34</v>
      </c>
      <c r="L5019" s="1">
        <v>7824159</v>
      </c>
      <c r="M5019" s="2">
        <v>42760</v>
      </c>
      <c r="N5019" s="1" t="s">
        <v>8</v>
      </c>
      <c r="O5019" s="2">
        <v>43855</v>
      </c>
    </row>
    <row r="5020" spans="1:15" ht="28.8" x14ac:dyDescent="0.3">
      <c r="A5020" s="1" t="s">
        <v>4948</v>
      </c>
      <c r="B5020" s="1" t="str">
        <f>"Restruct Ltd."</f>
        <v>Restruct Ltd.</v>
      </c>
      <c r="C5020" s="1" t="s">
        <v>4949</v>
      </c>
      <c r="D5020" s="1" t="s">
        <v>4950</v>
      </c>
      <c r="F5020" s="1" t="s">
        <v>179</v>
      </c>
      <c r="H5020" s="1" t="s">
        <v>4951</v>
      </c>
      <c r="I5020" s="1" t="s">
        <v>19</v>
      </c>
      <c r="J5020" s="1" t="s">
        <v>6</v>
      </c>
      <c r="K5020" s="1" t="s">
        <v>34</v>
      </c>
      <c r="L5020" s="1">
        <v>1898715</v>
      </c>
      <c r="M5020" s="2">
        <v>42760</v>
      </c>
      <c r="N5020" s="1" t="s">
        <v>8</v>
      </c>
      <c r="O5020" s="2">
        <v>43855</v>
      </c>
    </row>
    <row r="5021" spans="1:15" ht="43.2" x14ac:dyDescent="0.3">
      <c r="A5021" s="1" t="s">
        <v>4952</v>
      </c>
      <c r="B5021" s="1" t="str">
        <f>"Garej Bowydd Garage Ltd"</f>
        <v>Garej Bowydd Garage Ltd</v>
      </c>
      <c r="C5021" s="1" t="s">
        <v>4953</v>
      </c>
      <c r="D5021" s="1" t="s">
        <v>4954</v>
      </c>
      <c r="F5021" s="1" t="s">
        <v>3</v>
      </c>
      <c r="H5021" s="1" t="s">
        <v>4955</v>
      </c>
      <c r="I5021" s="1" t="s">
        <v>19</v>
      </c>
      <c r="J5021" s="1" t="s">
        <v>67</v>
      </c>
      <c r="K5021" s="1" t="s">
        <v>24</v>
      </c>
      <c r="L5021" s="1">
        <v>8283553</v>
      </c>
      <c r="M5021" s="2">
        <v>42760</v>
      </c>
      <c r="N5021" s="1" t="s">
        <v>8</v>
      </c>
      <c r="O5021" s="1" t="s">
        <v>68</v>
      </c>
    </row>
    <row r="5022" spans="1:15" ht="43.2" x14ac:dyDescent="0.3">
      <c r="A5022" s="1" t="s">
        <v>4956</v>
      </c>
      <c r="B5022" s="1" t="str">
        <f>"WP &amp; O Evans"</f>
        <v>WP &amp; O Evans</v>
      </c>
      <c r="C5022" s="1" t="s">
        <v>4957</v>
      </c>
      <c r="F5022" s="1" t="s">
        <v>2589</v>
      </c>
      <c r="H5022" s="1" t="s">
        <v>4958</v>
      </c>
      <c r="I5022" s="1" t="s">
        <v>125</v>
      </c>
      <c r="J5022" s="1" t="s">
        <v>67</v>
      </c>
      <c r="K5022" s="1" t="s">
        <v>1859</v>
      </c>
      <c r="M5022" s="2">
        <v>42760</v>
      </c>
      <c r="N5022" s="1" t="s">
        <v>8</v>
      </c>
      <c r="O5022" s="1" t="s">
        <v>68</v>
      </c>
    </row>
    <row r="5023" spans="1:15" ht="28.8" x14ac:dyDescent="0.3">
      <c r="A5023" s="1" t="s">
        <v>4959</v>
      </c>
      <c r="B5023" s="1" t="str">
        <f>"HOGAN (ASPHALT) LTD."</f>
        <v>HOGAN (ASPHALT) LTD.</v>
      </c>
      <c r="C5023" s="1" t="s">
        <v>4960</v>
      </c>
      <c r="F5023" s="1" t="s">
        <v>1321</v>
      </c>
      <c r="H5023" s="1" t="s">
        <v>4961</v>
      </c>
      <c r="I5023" s="1" t="s">
        <v>19</v>
      </c>
      <c r="J5023" s="1" t="s">
        <v>6</v>
      </c>
      <c r="K5023" s="1" t="s">
        <v>34</v>
      </c>
      <c r="L5023" s="1">
        <v>1417801</v>
      </c>
      <c r="M5023" s="2">
        <v>42760</v>
      </c>
      <c r="N5023" s="1" t="s">
        <v>8</v>
      </c>
      <c r="O5023" s="2">
        <v>43855</v>
      </c>
    </row>
    <row r="5024" spans="1:15" ht="28.8" x14ac:dyDescent="0.3">
      <c r="A5024" s="1" t="s">
        <v>4962</v>
      </c>
      <c r="B5024" s="1" t="str">
        <f>"top drawer limited"</f>
        <v>top drawer limited</v>
      </c>
      <c r="C5024" s="1" t="s">
        <v>4963</v>
      </c>
      <c r="G5024" s="1" t="s">
        <v>4964</v>
      </c>
      <c r="I5024" s="1" t="s">
        <v>19</v>
      </c>
      <c r="J5024" s="1" t="s">
        <v>6</v>
      </c>
      <c r="K5024" s="1" t="s">
        <v>1859</v>
      </c>
      <c r="L5024" s="1">
        <v>5170483</v>
      </c>
      <c r="M5024" s="2">
        <v>42760</v>
      </c>
      <c r="N5024" s="1" t="s">
        <v>8</v>
      </c>
      <c r="O5024" s="2">
        <v>43855</v>
      </c>
    </row>
    <row r="5025" spans="1:15" ht="28.8" x14ac:dyDescent="0.3">
      <c r="A5025" s="1" t="s">
        <v>4965</v>
      </c>
      <c r="B5025" s="1" t="str">
        <f>"Steve Edwards Building Contractor L"</f>
        <v>Steve Edwards Building Contractor L</v>
      </c>
      <c r="C5025" s="1" t="s">
        <v>4966</v>
      </c>
      <c r="F5025" s="1" t="s">
        <v>114</v>
      </c>
      <c r="H5025" s="1" t="s">
        <v>4967</v>
      </c>
      <c r="I5025" s="1" t="s">
        <v>19</v>
      </c>
      <c r="J5025" s="1" t="s">
        <v>6</v>
      </c>
      <c r="K5025" s="1" t="s">
        <v>34</v>
      </c>
      <c r="L5025" s="1">
        <v>9566281</v>
      </c>
      <c r="M5025" s="2">
        <v>42760</v>
      </c>
      <c r="N5025" s="1" t="s">
        <v>8</v>
      </c>
      <c r="O5025" s="2">
        <v>43855</v>
      </c>
    </row>
    <row r="5026" spans="1:15" ht="43.2" x14ac:dyDescent="0.3">
      <c r="A5026" s="1" t="s">
        <v>19000</v>
      </c>
      <c r="B5026" s="1" t="str">
        <f>"Andrew Lewis"</f>
        <v>Andrew Lewis</v>
      </c>
      <c r="C5026" s="1" t="s">
        <v>19001</v>
      </c>
      <c r="D5026" s="1" t="s">
        <v>2006</v>
      </c>
      <c r="F5026" s="1" t="s">
        <v>27</v>
      </c>
      <c r="H5026" s="1" t="s">
        <v>19002</v>
      </c>
      <c r="I5026" s="1" t="s">
        <v>5</v>
      </c>
      <c r="J5026" s="1" t="s">
        <v>67</v>
      </c>
      <c r="K5026" s="1" t="s">
        <v>14</v>
      </c>
      <c r="M5026" s="2">
        <v>42760</v>
      </c>
      <c r="N5026" s="1" t="s">
        <v>8</v>
      </c>
      <c r="O5026" s="1" t="s">
        <v>68</v>
      </c>
    </row>
    <row r="5027" spans="1:15" ht="28.8" x14ac:dyDescent="0.3">
      <c r="A5027" s="1" t="s">
        <v>19003</v>
      </c>
      <c r="B5027" s="1" t="str">
        <f>"Lee Thomas ALK Skip Hire"</f>
        <v>Lee Thomas ALK Skip Hire</v>
      </c>
      <c r="C5027" s="1" t="s">
        <v>19004</v>
      </c>
      <c r="F5027" s="1" t="s">
        <v>825</v>
      </c>
      <c r="H5027" s="1" t="s">
        <v>19005</v>
      </c>
      <c r="I5027" s="1" t="s">
        <v>5</v>
      </c>
      <c r="J5027" s="1" t="s">
        <v>6</v>
      </c>
      <c r="K5027" s="1" t="s">
        <v>24</v>
      </c>
      <c r="M5027" s="2">
        <v>42760</v>
      </c>
      <c r="N5027" s="1" t="s">
        <v>8</v>
      </c>
      <c r="O5027" s="2">
        <v>43855</v>
      </c>
    </row>
    <row r="5028" spans="1:15" ht="43.2" x14ac:dyDescent="0.3">
      <c r="A5028" s="1" t="s">
        <v>19006</v>
      </c>
      <c r="B5028" s="1" t="str">
        <f>"Geraint  Thomas  Geraint Thomas Transport "</f>
        <v xml:space="preserve">Geraint  Thomas  Geraint Thomas Transport </v>
      </c>
      <c r="C5028" s="1" t="s">
        <v>19007</v>
      </c>
      <c r="F5028" s="1" t="s">
        <v>19008</v>
      </c>
      <c r="H5028" s="1" t="s">
        <v>19009</v>
      </c>
      <c r="I5028" s="1" t="s">
        <v>5</v>
      </c>
      <c r="J5028" s="1" t="s">
        <v>6</v>
      </c>
      <c r="K5028" s="1" t="s">
        <v>24</v>
      </c>
      <c r="M5028" s="2">
        <v>42760</v>
      </c>
      <c r="N5028" s="1" t="s">
        <v>8</v>
      </c>
      <c r="O5028" s="2">
        <v>43855</v>
      </c>
    </row>
    <row r="5029" spans="1:15" ht="43.2" x14ac:dyDescent="0.3">
      <c r="A5029" s="1" t="s">
        <v>19867</v>
      </c>
      <c r="B5029" s="1" t="str">
        <f>"Lee Hughes"</f>
        <v>Lee Hughes</v>
      </c>
      <c r="C5029" s="1" t="s">
        <v>19868</v>
      </c>
      <c r="F5029" s="1" t="s">
        <v>65</v>
      </c>
      <c r="H5029" s="1" t="s">
        <v>19869</v>
      </c>
      <c r="I5029" s="1" t="s">
        <v>5</v>
      </c>
      <c r="J5029" s="1" t="s">
        <v>67</v>
      </c>
      <c r="K5029" s="1" t="s">
        <v>14</v>
      </c>
      <c r="M5029" s="2">
        <v>42760</v>
      </c>
      <c r="N5029" s="1" t="s">
        <v>8</v>
      </c>
      <c r="O5029" s="1" t="s">
        <v>68</v>
      </c>
    </row>
    <row r="5030" spans="1:15" ht="43.2" x14ac:dyDescent="0.3">
      <c r="A5030" s="1" t="s">
        <v>19870</v>
      </c>
      <c r="B5030" s="1" t="str">
        <f>"Jeffrey Mcintyre"</f>
        <v>Jeffrey Mcintyre</v>
      </c>
      <c r="C5030" s="1" t="s">
        <v>19871</v>
      </c>
      <c r="F5030" s="1" t="s">
        <v>739</v>
      </c>
      <c r="H5030" s="1" t="s">
        <v>19872</v>
      </c>
      <c r="I5030" s="1" t="s">
        <v>5</v>
      </c>
      <c r="J5030" s="1" t="s">
        <v>67</v>
      </c>
      <c r="K5030" s="1" t="s">
        <v>14</v>
      </c>
      <c r="M5030" s="2">
        <v>42760</v>
      </c>
      <c r="N5030" s="1" t="s">
        <v>8</v>
      </c>
      <c r="O5030" s="1" t="s">
        <v>68</v>
      </c>
    </row>
    <row r="5031" spans="1:15" ht="28.8" x14ac:dyDescent="0.3">
      <c r="A5031" s="1" t="s">
        <v>19873</v>
      </c>
      <c r="B5031" s="1" t="str">
        <f>"Paul Owen Paul Owen Felt Roofing Specialist"</f>
        <v>Paul Owen Paul Owen Felt Roofing Specialist</v>
      </c>
      <c r="C5031" s="1" t="s">
        <v>19874</v>
      </c>
      <c r="F5031" s="1" t="s">
        <v>65</v>
      </c>
      <c r="H5031" s="1" t="s">
        <v>19875</v>
      </c>
      <c r="I5031" s="1" t="s">
        <v>5</v>
      </c>
      <c r="J5031" s="1" t="s">
        <v>6</v>
      </c>
      <c r="K5031" s="1" t="s">
        <v>24</v>
      </c>
      <c r="M5031" s="2">
        <v>42760</v>
      </c>
      <c r="N5031" s="1" t="s">
        <v>8</v>
      </c>
      <c r="O5031" s="2">
        <v>43855</v>
      </c>
    </row>
    <row r="5032" spans="1:15" ht="28.8" x14ac:dyDescent="0.3">
      <c r="A5032" s="1" t="s">
        <v>19876</v>
      </c>
      <c r="B5032" s="1" t="str">
        <f>"Dafydd Hughes Dafydd I Hughes"</f>
        <v>Dafydd Hughes Dafydd I Hughes</v>
      </c>
      <c r="C5032" s="1" t="s">
        <v>19877</v>
      </c>
      <c r="F5032" s="1" t="s">
        <v>1818</v>
      </c>
      <c r="H5032" s="1" t="s">
        <v>19878</v>
      </c>
      <c r="I5032" s="1" t="s">
        <v>5</v>
      </c>
      <c r="J5032" s="1" t="s">
        <v>6</v>
      </c>
      <c r="K5032" s="1" t="s">
        <v>34</v>
      </c>
      <c r="M5032" s="2">
        <v>42760</v>
      </c>
      <c r="N5032" s="1" t="s">
        <v>8</v>
      </c>
      <c r="O5032" s="2">
        <v>43855</v>
      </c>
    </row>
    <row r="5033" spans="1:15" ht="28.8" x14ac:dyDescent="0.3">
      <c r="A5033" s="1" t="s">
        <v>19879</v>
      </c>
      <c r="B5033" s="1" t="str">
        <f>"Rocky  Lee Lee Metals"</f>
        <v>Rocky  Lee Lee Metals</v>
      </c>
      <c r="C5033" s="1" t="s">
        <v>19880</v>
      </c>
      <c r="D5033" s="1" t="s">
        <v>19881</v>
      </c>
      <c r="E5033" s="1" t="s">
        <v>2041</v>
      </c>
      <c r="F5033" s="1" t="s">
        <v>65</v>
      </c>
      <c r="H5033" s="1" t="s">
        <v>4752</v>
      </c>
      <c r="I5033" s="1" t="s">
        <v>5</v>
      </c>
      <c r="J5033" s="1" t="s">
        <v>6</v>
      </c>
      <c r="K5033" s="1" t="s">
        <v>24</v>
      </c>
      <c r="M5033" s="2">
        <v>42760</v>
      </c>
      <c r="N5033" s="1" t="s">
        <v>8</v>
      </c>
      <c r="O5033" s="2">
        <v>43855</v>
      </c>
    </row>
    <row r="5034" spans="1:15" ht="28.8" x14ac:dyDescent="0.3">
      <c r="A5034" s="1" t="s">
        <v>20592</v>
      </c>
      <c r="B5034" s="1" t="str">
        <f>"Carl Livingstone Climatech Services"</f>
        <v>Carl Livingstone Climatech Services</v>
      </c>
      <c r="C5034" s="1" t="s">
        <v>20593</v>
      </c>
      <c r="F5034" s="1" t="s">
        <v>174</v>
      </c>
      <c r="H5034" s="1" t="s">
        <v>20594</v>
      </c>
      <c r="I5034" s="1" t="s">
        <v>5</v>
      </c>
      <c r="J5034" s="1" t="s">
        <v>6</v>
      </c>
      <c r="K5034" s="1" t="s">
        <v>24</v>
      </c>
      <c r="M5034" s="2">
        <v>42760</v>
      </c>
      <c r="N5034" s="1" t="s">
        <v>8</v>
      </c>
      <c r="O5034" s="2">
        <v>43856</v>
      </c>
    </row>
    <row r="5035" spans="1:15" ht="28.8" x14ac:dyDescent="0.3">
      <c r="A5035" s="1" t="s">
        <v>3759</v>
      </c>
      <c r="B5035" s="1" t="str">
        <f>"Reginald Moore Ltd."</f>
        <v>Reginald Moore Ltd.</v>
      </c>
      <c r="C5035" s="1" t="s">
        <v>3760</v>
      </c>
      <c r="D5035" s="1" t="s">
        <v>3761</v>
      </c>
      <c r="E5035" s="1" t="s">
        <v>1042</v>
      </c>
      <c r="F5035" s="1" t="s">
        <v>27</v>
      </c>
      <c r="H5035" s="1" t="s">
        <v>3762</v>
      </c>
      <c r="I5035" s="1" t="s">
        <v>19</v>
      </c>
      <c r="J5035" s="1" t="s">
        <v>6</v>
      </c>
      <c r="K5035" s="1" t="s">
        <v>34</v>
      </c>
      <c r="L5035" s="1">
        <v>424416</v>
      </c>
      <c r="M5035" s="2">
        <v>42759</v>
      </c>
      <c r="N5035" s="1" t="s">
        <v>8</v>
      </c>
      <c r="O5035" s="2">
        <v>43854</v>
      </c>
    </row>
    <row r="5036" spans="1:15" ht="28.8" x14ac:dyDescent="0.3">
      <c r="A5036" s="1" t="s">
        <v>3763</v>
      </c>
      <c r="B5036" s="1" t="str">
        <f>"CCF (UK) LTD"</f>
        <v>CCF (UK) LTD</v>
      </c>
      <c r="C5036" s="1" t="s">
        <v>3764</v>
      </c>
      <c r="F5036" s="1" t="s">
        <v>380</v>
      </c>
      <c r="H5036" s="1" t="s">
        <v>3765</v>
      </c>
      <c r="I5036" s="1" t="s">
        <v>19</v>
      </c>
      <c r="J5036" s="1" t="s">
        <v>6</v>
      </c>
      <c r="K5036" s="1" t="s">
        <v>34</v>
      </c>
      <c r="L5036" s="1">
        <v>7733362</v>
      </c>
      <c r="M5036" s="2">
        <v>42759</v>
      </c>
      <c r="N5036" s="1" t="s">
        <v>8</v>
      </c>
      <c r="O5036" s="2">
        <v>43854</v>
      </c>
    </row>
    <row r="5037" spans="1:15" ht="28.8" x14ac:dyDescent="0.3">
      <c r="A5037" s="1" t="s">
        <v>3766</v>
      </c>
      <c r="B5037" s="1" t="str">
        <f>"Stenor Environmental Services Ltd."</f>
        <v>Stenor Environmental Services Ltd.</v>
      </c>
      <c r="C5037" s="1" t="s">
        <v>3767</v>
      </c>
      <c r="F5037" s="1" t="s">
        <v>65</v>
      </c>
      <c r="H5037" s="1" t="s">
        <v>3768</v>
      </c>
      <c r="I5037" s="1" t="s">
        <v>19</v>
      </c>
      <c r="J5037" s="1" t="s">
        <v>6</v>
      </c>
      <c r="K5037" s="1" t="s">
        <v>24</v>
      </c>
      <c r="L5037" s="1">
        <v>4929117</v>
      </c>
      <c r="M5037" s="2">
        <v>42759</v>
      </c>
      <c r="N5037" s="1" t="s">
        <v>8</v>
      </c>
      <c r="O5037" s="2">
        <v>43854</v>
      </c>
    </row>
    <row r="5038" spans="1:15" ht="43.2" x14ac:dyDescent="0.3">
      <c r="A5038" s="1" t="s">
        <v>18509</v>
      </c>
      <c r="B5038" s="1" t="str">
        <f>"Phoenix Asbestos Recovery Ltd."</f>
        <v>Phoenix Asbestos Recovery Ltd.</v>
      </c>
      <c r="C5038" s="1" t="s">
        <v>18510</v>
      </c>
      <c r="D5038" s="1" t="s">
        <v>6115</v>
      </c>
      <c r="F5038" s="1" t="s">
        <v>6116</v>
      </c>
      <c r="H5038" s="1" t="s">
        <v>6117</v>
      </c>
      <c r="I5038" s="1" t="s">
        <v>19</v>
      </c>
      <c r="J5038" s="1" t="s">
        <v>6</v>
      </c>
      <c r="K5038" s="1" t="s">
        <v>34</v>
      </c>
      <c r="L5038" s="1">
        <v>4359758</v>
      </c>
      <c r="M5038" s="2">
        <v>42759</v>
      </c>
      <c r="N5038" s="1" t="s">
        <v>8</v>
      </c>
      <c r="O5038" s="2">
        <v>43854</v>
      </c>
    </row>
    <row r="5039" spans="1:15" ht="43.2" x14ac:dyDescent="0.3">
      <c r="A5039" s="1" t="s">
        <v>18511</v>
      </c>
      <c r="B5039" s="1" t="str">
        <f>"ECOLEC MAINTENANCE INSTALLATION SER"</f>
        <v>ECOLEC MAINTENANCE INSTALLATION SER</v>
      </c>
      <c r="C5039" s="1" t="s">
        <v>18512</v>
      </c>
      <c r="F5039" s="1" t="s">
        <v>825</v>
      </c>
      <c r="H5039" s="1" t="s">
        <v>12034</v>
      </c>
      <c r="I5039" s="1" t="s">
        <v>19</v>
      </c>
      <c r="J5039" s="1" t="s">
        <v>6</v>
      </c>
      <c r="K5039" s="1" t="s">
        <v>34</v>
      </c>
      <c r="L5039" s="1">
        <v>7876860</v>
      </c>
      <c r="M5039" s="2">
        <v>42759</v>
      </c>
      <c r="N5039" s="1" t="s">
        <v>8</v>
      </c>
      <c r="O5039" s="2">
        <v>43854</v>
      </c>
    </row>
    <row r="5040" spans="1:15" ht="28.8" x14ac:dyDescent="0.3">
      <c r="A5040" s="1" t="s">
        <v>18513</v>
      </c>
      <c r="B5040" s="1" t="str">
        <f>"W R  Peters Ltd."</f>
        <v>W R  Peters Ltd.</v>
      </c>
      <c r="C5040" s="1" t="s">
        <v>18514</v>
      </c>
      <c r="F5040" s="1" t="s">
        <v>151</v>
      </c>
      <c r="H5040" s="1" t="s">
        <v>11923</v>
      </c>
      <c r="I5040" s="1" t="s">
        <v>19</v>
      </c>
      <c r="J5040" s="1" t="s">
        <v>6</v>
      </c>
      <c r="K5040" s="1" t="s">
        <v>24</v>
      </c>
      <c r="L5040" s="1">
        <v>2128773</v>
      </c>
      <c r="M5040" s="2">
        <v>42759</v>
      </c>
      <c r="N5040" s="1" t="s">
        <v>8</v>
      </c>
      <c r="O5040" s="2">
        <v>43854</v>
      </c>
    </row>
    <row r="5041" spans="1:15" ht="28.8" x14ac:dyDescent="0.3">
      <c r="A5041" s="1" t="s">
        <v>18515</v>
      </c>
      <c r="B5041" s="1" t="str">
        <f>"Smk Building &amp; Maintenance Ltd."</f>
        <v>Smk Building &amp; Maintenance Ltd.</v>
      </c>
      <c r="C5041" s="1" t="s">
        <v>18516</v>
      </c>
      <c r="D5041" s="1" t="s">
        <v>1576</v>
      </c>
      <c r="F5041" s="1" t="s">
        <v>298</v>
      </c>
      <c r="H5041" s="1" t="s">
        <v>2220</v>
      </c>
      <c r="I5041" s="1" t="s">
        <v>19</v>
      </c>
      <c r="J5041" s="1" t="s">
        <v>6</v>
      </c>
      <c r="K5041" s="1" t="s">
        <v>24</v>
      </c>
      <c r="L5041" s="1">
        <v>4563754</v>
      </c>
      <c r="M5041" s="2">
        <v>42759</v>
      </c>
      <c r="N5041" s="1" t="s">
        <v>8</v>
      </c>
      <c r="O5041" s="2">
        <v>43854</v>
      </c>
    </row>
    <row r="5042" spans="1:15" ht="43.2" x14ac:dyDescent="0.3">
      <c r="A5042" s="1" t="s">
        <v>18517</v>
      </c>
      <c r="B5042" s="1" t="str">
        <f>"Action Air Conditioning LTD"</f>
        <v>Action Air Conditioning LTD</v>
      </c>
      <c r="C5042" s="1" t="s">
        <v>18518</v>
      </c>
      <c r="D5042" s="1" t="s">
        <v>8280</v>
      </c>
      <c r="E5042" s="1" t="s">
        <v>500</v>
      </c>
      <c r="F5042" s="1" t="s">
        <v>27</v>
      </c>
      <c r="H5042" s="1" t="s">
        <v>8281</v>
      </c>
      <c r="I5042" s="1" t="s">
        <v>19</v>
      </c>
      <c r="J5042" s="1" t="s">
        <v>67</v>
      </c>
      <c r="K5042" s="1" t="s">
        <v>14</v>
      </c>
      <c r="M5042" s="2">
        <v>42759</v>
      </c>
      <c r="N5042" s="1" t="s">
        <v>8</v>
      </c>
      <c r="O5042" s="1" t="s">
        <v>68</v>
      </c>
    </row>
    <row r="5043" spans="1:15" ht="43.2" x14ac:dyDescent="0.3">
      <c r="A5043" s="1" t="s">
        <v>18988</v>
      </c>
      <c r="B5043" s="1" t="str">
        <f>"Wayne Richards Ace Construction South Wales"</f>
        <v>Wayne Richards Ace Construction South Wales</v>
      </c>
      <c r="C5043" s="1" t="s">
        <v>18989</v>
      </c>
      <c r="F5043" s="1" t="s">
        <v>3371</v>
      </c>
      <c r="H5043" s="1" t="s">
        <v>18990</v>
      </c>
      <c r="I5043" s="1" t="s">
        <v>5</v>
      </c>
      <c r="J5043" s="1" t="s">
        <v>6</v>
      </c>
      <c r="K5043" s="1" t="s">
        <v>24</v>
      </c>
      <c r="M5043" s="2">
        <v>42759</v>
      </c>
      <c r="N5043" s="1" t="s">
        <v>8</v>
      </c>
      <c r="O5043" s="2">
        <v>43854</v>
      </c>
    </row>
    <row r="5044" spans="1:15" ht="28.8" x14ac:dyDescent="0.3">
      <c r="A5044" s="1" t="s">
        <v>18991</v>
      </c>
      <c r="B5044" s="1" t="str">
        <f>"Mark Blakely MB Turf &amp; Landscapes"</f>
        <v>Mark Blakely MB Turf &amp; Landscapes</v>
      </c>
      <c r="C5044" s="1" t="s">
        <v>18992</v>
      </c>
      <c r="F5044" s="1" t="s">
        <v>103</v>
      </c>
      <c r="H5044" s="1" t="s">
        <v>18993</v>
      </c>
      <c r="I5044" s="1" t="s">
        <v>5</v>
      </c>
      <c r="J5044" s="1" t="s">
        <v>6</v>
      </c>
      <c r="K5044" s="1" t="s">
        <v>34</v>
      </c>
      <c r="M5044" s="2">
        <v>42759</v>
      </c>
      <c r="N5044" s="1" t="s">
        <v>8</v>
      </c>
      <c r="O5044" s="2">
        <v>43854</v>
      </c>
    </row>
    <row r="5045" spans="1:15" ht="28.8" x14ac:dyDescent="0.3">
      <c r="A5045" s="1" t="s">
        <v>18994</v>
      </c>
      <c r="B5045" s="1" t="str">
        <f>"George Dimitrov Mr George Dimitrov"</f>
        <v>George Dimitrov Mr George Dimitrov</v>
      </c>
      <c r="C5045" s="1" t="s">
        <v>18995</v>
      </c>
      <c r="F5045" s="1" t="s">
        <v>170</v>
      </c>
      <c r="H5045" s="1" t="s">
        <v>18996</v>
      </c>
      <c r="I5045" s="1" t="s">
        <v>5</v>
      </c>
      <c r="J5045" s="1" t="s">
        <v>6</v>
      </c>
      <c r="K5045" s="1" t="s">
        <v>34</v>
      </c>
      <c r="M5045" s="2">
        <v>42759</v>
      </c>
      <c r="N5045" s="1" t="s">
        <v>8</v>
      </c>
      <c r="O5045" s="2">
        <v>43854</v>
      </c>
    </row>
    <row r="5046" spans="1:15" ht="28.8" x14ac:dyDescent="0.3">
      <c r="A5046" s="1" t="s">
        <v>18997</v>
      </c>
      <c r="B5046" s="1" t="str">
        <f>"Steve McDermott Steve McDermott"</f>
        <v>Steve McDermott Steve McDermott</v>
      </c>
      <c r="C5046" s="1" t="s">
        <v>18998</v>
      </c>
      <c r="F5046" s="1" t="s">
        <v>214</v>
      </c>
      <c r="H5046" s="1" t="s">
        <v>18999</v>
      </c>
      <c r="I5046" s="1" t="s">
        <v>5</v>
      </c>
      <c r="J5046" s="1" t="s">
        <v>6</v>
      </c>
      <c r="K5046" s="1" t="s">
        <v>24</v>
      </c>
      <c r="M5046" s="2">
        <v>42759</v>
      </c>
      <c r="N5046" s="1" t="s">
        <v>8</v>
      </c>
      <c r="O5046" s="2">
        <v>43854</v>
      </c>
    </row>
    <row r="5047" spans="1:15" ht="28.8" x14ac:dyDescent="0.3">
      <c r="A5047" s="1" t="s">
        <v>30064</v>
      </c>
      <c r="B5047" s="1" t="str">
        <f>"Mark Burgess Mark burgess"</f>
        <v>Mark Burgess Mark burgess</v>
      </c>
      <c r="C5047" s="1" t="s">
        <v>30065</v>
      </c>
      <c r="F5047" s="1" t="s">
        <v>30066</v>
      </c>
      <c r="H5047" s="1" t="s">
        <v>30067</v>
      </c>
      <c r="I5047" s="1" t="s">
        <v>5</v>
      </c>
      <c r="J5047" s="1" t="s">
        <v>6</v>
      </c>
      <c r="K5047" s="1" t="s">
        <v>24</v>
      </c>
      <c r="M5047" s="2">
        <v>42759</v>
      </c>
      <c r="N5047" s="1" t="s">
        <v>8</v>
      </c>
      <c r="O5047" s="2">
        <v>43854</v>
      </c>
    </row>
    <row r="5048" spans="1:15" ht="28.8" x14ac:dyDescent="0.3">
      <c r="A5048" s="1" t="s">
        <v>30068</v>
      </c>
      <c r="B5048" s="1" t="str">
        <f>"Kevin Turner K Turner"</f>
        <v>Kevin Turner K Turner</v>
      </c>
      <c r="C5048" s="1" t="s">
        <v>30069</v>
      </c>
      <c r="F5048" s="1" t="s">
        <v>119</v>
      </c>
      <c r="H5048" s="1" t="s">
        <v>30070</v>
      </c>
      <c r="I5048" s="1" t="s">
        <v>5</v>
      </c>
      <c r="J5048" s="1" t="s">
        <v>6</v>
      </c>
      <c r="K5048" s="1" t="s">
        <v>34</v>
      </c>
      <c r="M5048" s="2">
        <v>42759</v>
      </c>
      <c r="N5048" s="1" t="s">
        <v>8</v>
      </c>
      <c r="O5048" s="2">
        <v>43854</v>
      </c>
    </row>
    <row r="5049" spans="1:15" ht="43.2" x14ac:dyDescent="0.3">
      <c r="A5049" s="1" t="s">
        <v>30071</v>
      </c>
      <c r="B5049" s="1" t="str">
        <f>"Anthony White"</f>
        <v>Anthony White</v>
      </c>
      <c r="C5049" s="1" t="s">
        <v>30072</v>
      </c>
      <c r="F5049" s="1" t="s">
        <v>1556</v>
      </c>
      <c r="H5049" s="1" t="s">
        <v>30073</v>
      </c>
      <c r="I5049" s="1" t="s">
        <v>5</v>
      </c>
      <c r="J5049" s="1" t="s">
        <v>67</v>
      </c>
      <c r="K5049" s="1" t="s">
        <v>14</v>
      </c>
      <c r="M5049" s="2">
        <v>42759</v>
      </c>
      <c r="N5049" s="1" t="s">
        <v>8</v>
      </c>
      <c r="O5049" s="1" t="s">
        <v>68</v>
      </c>
    </row>
    <row r="5050" spans="1:15" ht="43.2" x14ac:dyDescent="0.3">
      <c r="A5050" s="1" t="s">
        <v>30074</v>
      </c>
      <c r="B5050" s="1" t="str">
        <f>"Chtender Singh"</f>
        <v>Chtender Singh</v>
      </c>
      <c r="C5050" s="1" t="s">
        <v>30075</v>
      </c>
      <c r="F5050" s="1" t="s">
        <v>8319</v>
      </c>
      <c r="H5050" s="1" t="s">
        <v>30076</v>
      </c>
      <c r="I5050" s="1" t="s">
        <v>5</v>
      </c>
      <c r="J5050" s="1" t="s">
        <v>67</v>
      </c>
      <c r="K5050" s="1" t="s">
        <v>14</v>
      </c>
      <c r="M5050" s="2">
        <v>42759</v>
      </c>
      <c r="N5050" s="1" t="s">
        <v>8</v>
      </c>
      <c r="O5050" s="1" t="s">
        <v>68</v>
      </c>
    </row>
    <row r="5051" spans="1:15" ht="43.2" x14ac:dyDescent="0.3">
      <c r="A5051" s="1" t="s">
        <v>30077</v>
      </c>
      <c r="B5051" s="1" t="str">
        <f>"Ionel Lemnariu"</f>
        <v>Ionel Lemnariu</v>
      </c>
      <c r="C5051" s="1" t="s">
        <v>30078</v>
      </c>
      <c r="F5051" s="1" t="s">
        <v>170</v>
      </c>
      <c r="H5051" s="1" t="s">
        <v>30079</v>
      </c>
      <c r="I5051" s="1" t="s">
        <v>5</v>
      </c>
      <c r="J5051" s="1" t="s">
        <v>67</v>
      </c>
      <c r="K5051" s="1" t="s">
        <v>14</v>
      </c>
      <c r="M5051" s="2">
        <v>42759</v>
      </c>
      <c r="N5051" s="1" t="s">
        <v>8</v>
      </c>
      <c r="O5051" s="1" t="s">
        <v>68</v>
      </c>
    </row>
    <row r="5052" spans="1:15" x14ac:dyDescent="0.3">
      <c r="A5052" s="1" t="s">
        <v>17568</v>
      </c>
      <c r="B5052" s="1" t="str">
        <f>"AE &amp; AT LEWIS LTD"</f>
        <v>AE &amp; AT LEWIS LTD</v>
      </c>
      <c r="C5052" s="1" t="s">
        <v>17569</v>
      </c>
      <c r="F5052" s="1" t="s">
        <v>678</v>
      </c>
      <c r="H5052" s="1" t="s">
        <v>17570</v>
      </c>
      <c r="I5052" s="1" t="s">
        <v>19</v>
      </c>
      <c r="J5052" s="1" t="s">
        <v>6</v>
      </c>
      <c r="K5052" s="1" t="s">
        <v>24</v>
      </c>
      <c r="L5052" s="1">
        <v>5212100</v>
      </c>
      <c r="M5052" s="2">
        <v>42758</v>
      </c>
      <c r="N5052" s="1" t="s">
        <v>8</v>
      </c>
      <c r="O5052" s="2">
        <v>43853</v>
      </c>
    </row>
    <row r="5053" spans="1:15" ht="28.8" x14ac:dyDescent="0.3">
      <c r="A5053" s="1" t="s">
        <v>17571</v>
      </c>
      <c r="B5053" s="1" t="str">
        <f>"Williams Medical Supplies Ltd."</f>
        <v>Williams Medical Supplies Ltd.</v>
      </c>
      <c r="C5053" s="1" t="s">
        <v>17572</v>
      </c>
      <c r="D5053" s="1" t="s">
        <v>101</v>
      </c>
      <c r="F5053" s="1" t="s">
        <v>102</v>
      </c>
      <c r="H5053" s="1" t="s">
        <v>17573</v>
      </c>
      <c r="I5053" s="1" t="s">
        <v>19</v>
      </c>
      <c r="J5053" s="1" t="s">
        <v>6</v>
      </c>
      <c r="K5053" s="1" t="s">
        <v>24</v>
      </c>
      <c r="L5053" s="1">
        <v>4240054</v>
      </c>
      <c r="M5053" s="2">
        <v>42758</v>
      </c>
      <c r="N5053" s="1" t="s">
        <v>8</v>
      </c>
      <c r="O5053" s="2">
        <v>43853</v>
      </c>
    </row>
    <row r="5054" spans="1:15" ht="43.2" x14ac:dyDescent="0.3">
      <c r="A5054" s="1" t="s">
        <v>17574</v>
      </c>
      <c r="B5054" s="1" t="str">
        <f>"RED DRAGON AIR CONDITIONING LTD"</f>
        <v>RED DRAGON AIR CONDITIONING LTD</v>
      </c>
      <c r="C5054" s="1" t="s">
        <v>17575</v>
      </c>
      <c r="D5054" s="1" t="s">
        <v>1389</v>
      </c>
      <c r="F5054" s="1" t="s">
        <v>865</v>
      </c>
      <c r="H5054" s="1" t="s">
        <v>6579</v>
      </c>
      <c r="I5054" s="1" t="s">
        <v>19</v>
      </c>
      <c r="J5054" s="1" t="s">
        <v>67</v>
      </c>
      <c r="K5054" s="1" t="s">
        <v>24</v>
      </c>
      <c r="L5054" s="1">
        <v>6360133</v>
      </c>
      <c r="M5054" s="2">
        <v>42758</v>
      </c>
      <c r="N5054" s="1" t="s">
        <v>8</v>
      </c>
      <c r="O5054" s="1" t="s">
        <v>68</v>
      </c>
    </row>
    <row r="5055" spans="1:15" ht="28.8" x14ac:dyDescent="0.3">
      <c r="A5055" s="1" t="s">
        <v>17576</v>
      </c>
      <c r="B5055" s="1" t="str">
        <f>"EDWARDS BUILDING MAINTENANCE LTD"</f>
        <v>EDWARDS BUILDING MAINTENANCE LTD</v>
      </c>
      <c r="C5055" s="1" t="s">
        <v>17577</v>
      </c>
      <c r="D5055" s="1" t="s">
        <v>17578</v>
      </c>
      <c r="E5055" s="1" t="s">
        <v>17579</v>
      </c>
      <c r="F5055" s="1" t="s">
        <v>65</v>
      </c>
      <c r="H5055" s="1" t="s">
        <v>17580</v>
      </c>
      <c r="I5055" s="1" t="s">
        <v>19</v>
      </c>
      <c r="J5055" s="1" t="s">
        <v>6</v>
      </c>
      <c r="K5055" s="1" t="s">
        <v>24</v>
      </c>
      <c r="L5055" s="1">
        <v>6817860</v>
      </c>
      <c r="M5055" s="2">
        <v>42758</v>
      </c>
      <c r="N5055" s="1" t="s">
        <v>8</v>
      </c>
      <c r="O5055" s="2">
        <v>43853</v>
      </c>
    </row>
    <row r="5056" spans="1:15" x14ac:dyDescent="0.3">
      <c r="A5056" s="1" t="s">
        <v>17581</v>
      </c>
      <c r="B5056" s="1" t="str">
        <f>"Pontypool Glazing Ltd."</f>
        <v>Pontypool Glazing Ltd.</v>
      </c>
      <c r="C5056" s="1" t="s">
        <v>17582</v>
      </c>
      <c r="F5056" s="1" t="s">
        <v>1175</v>
      </c>
      <c r="H5056" s="1" t="s">
        <v>17583</v>
      </c>
      <c r="I5056" s="1" t="s">
        <v>19</v>
      </c>
      <c r="J5056" s="1" t="s">
        <v>6</v>
      </c>
      <c r="K5056" s="1" t="s">
        <v>24</v>
      </c>
      <c r="L5056" s="1">
        <v>4914899</v>
      </c>
      <c r="M5056" s="2">
        <v>42758</v>
      </c>
      <c r="N5056" s="1" t="s">
        <v>8</v>
      </c>
      <c r="O5056" s="2">
        <v>43853</v>
      </c>
    </row>
    <row r="5057" spans="1:15" ht="28.8" x14ac:dyDescent="0.3">
      <c r="A5057" s="1" t="s">
        <v>17584</v>
      </c>
      <c r="B5057" s="1" t="str">
        <f>"Red Dragon Airconditioning Ltd."</f>
        <v>Red Dragon Airconditioning Ltd.</v>
      </c>
      <c r="C5057" s="1" t="s">
        <v>17575</v>
      </c>
      <c r="D5057" s="1" t="s">
        <v>1389</v>
      </c>
      <c r="F5057" s="1" t="s">
        <v>865</v>
      </c>
      <c r="H5057" s="1" t="s">
        <v>6579</v>
      </c>
      <c r="I5057" s="1" t="s">
        <v>19</v>
      </c>
      <c r="J5057" s="1" t="s">
        <v>6</v>
      </c>
      <c r="K5057" s="1" t="s">
        <v>34</v>
      </c>
      <c r="L5057" s="1">
        <v>6360133</v>
      </c>
      <c r="M5057" s="2">
        <v>42758</v>
      </c>
      <c r="N5057" s="1" t="s">
        <v>8</v>
      </c>
      <c r="O5057" s="2">
        <v>43853</v>
      </c>
    </row>
    <row r="5058" spans="1:15" ht="28.8" x14ac:dyDescent="0.3">
      <c r="A5058" s="1" t="s">
        <v>18485</v>
      </c>
      <c r="B5058" s="1" t="str">
        <f>"Shani Lawrence Garden Designs"</f>
        <v>Shani Lawrence Garden Designs</v>
      </c>
      <c r="C5058" s="1" t="s">
        <v>18486</v>
      </c>
      <c r="D5058" s="1" t="s">
        <v>18487</v>
      </c>
      <c r="F5058" s="1" t="s">
        <v>3519</v>
      </c>
      <c r="H5058" s="1" t="s">
        <v>18488</v>
      </c>
      <c r="I5058" s="1" t="s">
        <v>125</v>
      </c>
      <c r="J5058" s="1" t="s">
        <v>6</v>
      </c>
      <c r="K5058" s="1" t="s">
        <v>34</v>
      </c>
      <c r="M5058" s="2">
        <v>42758</v>
      </c>
      <c r="N5058" s="1" t="s">
        <v>8</v>
      </c>
      <c r="O5058" s="2">
        <v>43853</v>
      </c>
    </row>
    <row r="5059" spans="1:15" ht="28.8" x14ac:dyDescent="0.3">
      <c r="A5059" s="1" t="s">
        <v>18489</v>
      </c>
      <c r="B5059" s="1" t="str">
        <f>"CPM (SOUTH) LTD"</f>
        <v>CPM (SOUTH) LTD</v>
      </c>
      <c r="C5059" s="1" t="s">
        <v>18490</v>
      </c>
      <c r="F5059" s="1" t="s">
        <v>103</v>
      </c>
      <c r="H5059" s="1" t="s">
        <v>18491</v>
      </c>
      <c r="I5059" s="1" t="s">
        <v>19</v>
      </c>
      <c r="J5059" s="1" t="s">
        <v>6</v>
      </c>
      <c r="K5059" s="1" t="s">
        <v>34</v>
      </c>
      <c r="L5059" s="1">
        <v>5712834</v>
      </c>
      <c r="M5059" s="2">
        <v>42758</v>
      </c>
      <c r="N5059" s="1" t="s">
        <v>8</v>
      </c>
      <c r="O5059" s="2">
        <v>43853</v>
      </c>
    </row>
    <row r="5060" spans="1:15" ht="28.8" x14ac:dyDescent="0.3">
      <c r="A5060" s="1" t="s">
        <v>18492</v>
      </c>
      <c r="B5060" s="1" t="str">
        <f>"SPA Davies &amp; Sons"</f>
        <v>SPA Davies &amp; Sons</v>
      </c>
      <c r="C5060" s="1" t="s">
        <v>18493</v>
      </c>
      <c r="F5060" s="1" t="s">
        <v>607</v>
      </c>
      <c r="H5060" s="1" t="s">
        <v>17627</v>
      </c>
      <c r="I5060" s="1" t="s">
        <v>125</v>
      </c>
      <c r="J5060" s="1" t="s">
        <v>6</v>
      </c>
      <c r="K5060" s="1" t="s">
        <v>1859</v>
      </c>
      <c r="M5060" s="2">
        <v>42758</v>
      </c>
      <c r="N5060" s="1" t="s">
        <v>8</v>
      </c>
      <c r="O5060" s="2">
        <v>43853</v>
      </c>
    </row>
    <row r="5061" spans="1:15" ht="28.8" x14ac:dyDescent="0.3">
      <c r="A5061" s="1" t="s">
        <v>18494</v>
      </c>
      <c r="B5061" s="1" t="str">
        <f>"Robert Williams &amp; Christopher Shenton"</f>
        <v>Robert Williams &amp; Christopher Shenton</v>
      </c>
      <c r="C5061" s="1" t="s">
        <v>18495</v>
      </c>
      <c r="F5061" s="1" t="s">
        <v>3884</v>
      </c>
      <c r="H5061" s="1" t="s">
        <v>18496</v>
      </c>
      <c r="I5061" s="1" t="s">
        <v>125</v>
      </c>
      <c r="J5061" s="1" t="s">
        <v>6</v>
      </c>
      <c r="K5061" s="1" t="s">
        <v>24</v>
      </c>
      <c r="M5061" s="2">
        <v>42758</v>
      </c>
      <c r="N5061" s="1" t="s">
        <v>8</v>
      </c>
      <c r="O5061" s="2">
        <v>43853</v>
      </c>
    </row>
    <row r="5062" spans="1:15" ht="28.8" x14ac:dyDescent="0.3">
      <c r="A5062" s="1" t="s">
        <v>18497</v>
      </c>
      <c r="B5062" s="1" t="str">
        <f>"R P O WILLIAMS CIVIL ENGINEERS LTD"</f>
        <v>R P O WILLIAMS CIVIL ENGINEERS LTD</v>
      </c>
      <c r="C5062" s="1" t="s">
        <v>18498</v>
      </c>
      <c r="F5062" s="1" t="s">
        <v>1696</v>
      </c>
      <c r="H5062" s="1" t="s">
        <v>18499</v>
      </c>
      <c r="I5062" s="1" t="s">
        <v>19</v>
      </c>
      <c r="J5062" s="1" t="s">
        <v>6</v>
      </c>
      <c r="K5062" s="1" t="s">
        <v>24</v>
      </c>
      <c r="L5062" s="1">
        <v>5475851</v>
      </c>
      <c r="M5062" s="2">
        <v>42758</v>
      </c>
      <c r="N5062" s="1" t="s">
        <v>8</v>
      </c>
      <c r="O5062" s="2">
        <v>43853</v>
      </c>
    </row>
    <row r="5063" spans="1:15" ht="28.8" x14ac:dyDescent="0.3">
      <c r="A5063" s="1" t="s">
        <v>18500</v>
      </c>
      <c r="B5063" s="1" t="str">
        <f>"Ammanford Recycling Limited"</f>
        <v>Ammanford Recycling Limited</v>
      </c>
      <c r="C5063" s="1" t="s">
        <v>18501</v>
      </c>
      <c r="F5063" s="1" t="s">
        <v>665</v>
      </c>
      <c r="H5063" s="1" t="s">
        <v>2338</v>
      </c>
      <c r="I5063" s="1" t="s">
        <v>19</v>
      </c>
      <c r="J5063" s="1" t="s">
        <v>6</v>
      </c>
      <c r="K5063" s="1" t="s">
        <v>24</v>
      </c>
      <c r="L5063" s="1">
        <v>10303550</v>
      </c>
      <c r="M5063" s="2">
        <v>42758</v>
      </c>
      <c r="N5063" s="1" t="s">
        <v>8</v>
      </c>
      <c r="O5063" s="2">
        <v>43853</v>
      </c>
    </row>
    <row r="5064" spans="1:15" ht="28.8" x14ac:dyDescent="0.3">
      <c r="A5064" s="1" t="s">
        <v>18502</v>
      </c>
      <c r="B5064" s="1" t="str">
        <f>"R &amp; R Heating Partners Limited"</f>
        <v>R &amp; R Heating Partners Limited</v>
      </c>
      <c r="C5064" s="1" t="s">
        <v>18503</v>
      </c>
      <c r="F5064" s="1" t="s">
        <v>1093</v>
      </c>
      <c r="H5064" s="1" t="s">
        <v>18504</v>
      </c>
      <c r="I5064" s="1" t="s">
        <v>19</v>
      </c>
      <c r="J5064" s="1" t="s">
        <v>6</v>
      </c>
      <c r="K5064" s="1" t="s">
        <v>24</v>
      </c>
      <c r="L5064" s="1">
        <v>9493934</v>
      </c>
      <c r="M5064" s="2">
        <v>42758</v>
      </c>
      <c r="N5064" s="1" t="s">
        <v>8</v>
      </c>
      <c r="O5064" s="2">
        <v>43853</v>
      </c>
    </row>
    <row r="5065" spans="1:15" ht="28.8" x14ac:dyDescent="0.3">
      <c r="A5065" s="1" t="s">
        <v>18505</v>
      </c>
      <c r="B5065" s="1" t="str">
        <f>"Jones Bros Ruthin Co. Ltd."</f>
        <v>Jones Bros Ruthin Co. Ltd.</v>
      </c>
      <c r="C5065" s="1" t="s">
        <v>9439</v>
      </c>
      <c r="F5065" s="1" t="s">
        <v>1700</v>
      </c>
      <c r="H5065" s="1" t="s">
        <v>9440</v>
      </c>
      <c r="I5065" s="1" t="s">
        <v>19</v>
      </c>
      <c r="J5065" s="1" t="s">
        <v>6</v>
      </c>
      <c r="K5065" s="1" t="s">
        <v>34</v>
      </c>
      <c r="L5065" s="1">
        <v>983339</v>
      </c>
      <c r="M5065" s="2">
        <v>42758</v>
      </c>
      <c r="N5065" s="1" t="s">
        <v>8</v>
      </c>
      <c r="O5065" s="2">
        <v>43853</v>
      </c>
    </row>
    <row r="5066" spans="1:15" ht="28.8" x14ac:dyDescent="0.3">
      <c r="A5066" s="1" t="s">
        <v>18506</v>
      </c>
      <c r="B5066" s="1" t="str">
        <f>"EDWALT CONTRACTORS LTD"</f>
        <v>EDWALT CONTRACTORS LTD</v>
      </c>
      <c r="C5066" s="1" t="s">
        <v>18507</v>
      </c>
      <c r="F5066" s="1" t="s">
        <v>3726</v>
      </c>
      <c r="H5066" s="1" t="s">
        <v>18508</v>
      </c>
      <c r="I5066" s="1" t="s">
        <v>19</v>
      </c>
      <c r="J5066" s="1" t="s">
        <v>6</v>
      </c>
      <c r="K5066" s="1" t="s">
        <v>34</v>
      </c>
      <c r="L5066" s="1">
        <v>4106421</v>
      </c>
      <c r="M5066" s="2">
        <v>42758</v>
      </c>
      <c r="N5066" s="1" t="s">
        <v>8</v>
      </c>
      <c r="O5066" s="2">
        <v>43853</v>
      </c>
    </row>
    <row r="5067" spans="1:15" ht="28.8" x14ac:dyDescent="0.3">
      <c r="A5067" s="1" t="s">
        <v>29312</v>
      </c>
      <c r="B5067" s="1" t="str">
        <f>"Thomas Jones Penyrheol barn"</f>
        <v>Thomas Jones Penyrheol barn</v>
      </c>
      <c r="C5067" s="1" t="s">
        <v>28287</v>
      </c>
      <c r="F5067" s="1" t="s">
        <v>3415</v>
      </c>
      <c r="H5067" s="1" t="s">
        <v>28288</v>
      </c>
      <c r="I5067" s="1" t="s">
        <v>5</v>
      </c>
      <c r="J5067" s="1" t="s">
        <v>6</v>
      </c>
      <c r="K5067" s="1" t="s">
        <v>24</v>
      </c>
      <c r="M5067" s="2">
        <v>42758</v>
      </c>
      <c r="N5067" s="1" t="s">
        <v>8</v>
      </c>
      <c r="O5067" s="2">
        <v>43853</v>
      </c>
    </row>
    <row r="5068" spans="1:15" ht="28.8" x14ac:dyDescent="0.3">
      <c r="A5068" s="1" t="s">
        <v>29313</v>
      </c>
      <c r="B5068" s="1" t="str">
        <f>"Mark Henderson Llewellyn"</f>
        <v>Mark Henderson Llewellyn</v>
      </c>
      <c r="C5068" s="1" t="s">
        <v>29314</v>
      </c>
      <c r="F5068" s="1" t="s">
        <v>174</v>
      </c>
      <c r="H5068" s="1" t="s">
        <v>29315</v>
      </c>
      <c r="I5068" s="1" t="s">
        <v>5</v>
      </c>
      <c r="J5068" s="1" t="s">
        <v>6</v>
      </c>
      <c r="K5068" s="1" t="s">
        <v>24</v>
      </c>
      <c r="M5068" s="2">
        <v>42758</v>
      </c>
      <c r="N5068" s="1" t="s">
        <v>8</v>
      </c>
      <c r="O5068" s="2">
        <v>43853</v>
      </c>
    </row>
    <row r="5069" spans="1:15" ht="28.8" x14ac:dyDescent="0.3">
      <c r="A5069" s="1" t="s">
        <v>29316</v>
      </c>
      <c r="B5069" s="1" t="str">
        <f>"Phillip Davies Phil Davies Haulage"</f>
        <v>Phillip Davies Phil Davies Haulage</v>
      </c>
      <c r="C5069" s="1" t="s">
        <v>29317</v>
      </c>
      <c r="F5069" s="1" t="s">
        <v>3415</v>
      </c>
      <c r="H5069" s="1" t="s">
        <v>29318</v>
      </c>
      <c r="I5069" s="1" t="s">
        <v>5</v>
      </c>
      <c r="J5069" s="1" t="s">
        <v>6</v>
      </c>
      <c r="K5069" s="1" t="s">
        <v>34</v>
      </c>
      <c r="M5069" s="2">
        <v>42758</v>
      </c>
      <c r="N5069" s="1" t="s">
        <v>8</v>
      </c>
      <c r="O5069" s="2">
        <v>43853</v>
      </c>
    </row>
    <row r="5070" spans="1:15" ht="43.2" x14ac:dyDescent="0.3">
      <c r="A5070" s="1" t="s">
        <v>30061</v>
      </c>
      <c r="B5070" s="1" t="str">
        <f>"Mark Shaw Markshawhomedevelopments"</f>
        <v>Mark Shaw Markshawhomedevelopments</v>
      </c>
      <c r="C5070" s="1" t="s">
        <v>30062</v>
      </c>
      <c r="F5070" s="1" t="s">
        <v>27</v>
      </c>
      <c r="H5070" s="1" t="s">
        <v>30063</v>
      </c>
      <c r="I5070" s="1" t="s">
        <v>5</v>
      </c>
      <c r="J5070" s="1" t="s">
        <v>6</v>
      </c>
      <c r="K5070" s="1" t="s">
        <v>24</v>
      </c>
      <c r="M5070" s="2">
        <v>42758</v>
      </c>
      <c r="N5070" s="1" t="s">
        <v>8</v>
      </c>
      <c r="O5070" s="2">
        <v>43853</v>
      </c>
    </row>
    <row r="5071" spans="1:15" ht="28.8" x14ac:dyDescent="0.3">
      <c r="A5071" s="1" t="s">
        <v>17563</v>
      </c>
      <c r="B5071" s="1" t="str">
        <f>"A &amp; M PLANT HIRE LTD"</f>
        <v>A &amp; M PLANT HIRE LTD</v>
      </c>
      <c r="C5071" s="1" t="s">
        <v>17564</v>
      </c>
      <c r="F5071" s="1" t="s">
        <v>96</v>
      </c>
      <c r="H5071" s="1" t="s">
        <v>16768</v>
      </c>
      <c r="I5071" s="1" t="s">
        <v>19</v>
      </c>
      <c r="J5071" s="1" t="s">
        <v>6</v>
      </c>
      <c r="K5071" s="1" t="s">
        <v>34</v>
      </c>
      <c r="L5071" s="1">
        <v>4874877</v>
      </c>
      <c r="M5071" s="2">
        <v>42757</v>
      </c>
      <c r="N5071" s="1" t="s">
        <v>8</v>
      </c>
      <c r="O5071" s="2">
        <v>43852</v>
      </c>
    </row>
    <row r="5072" spans="1:15" ht="28.8" x14ac:dyDescent="0.3">
      <c r="A5072" s="1" t="s">
        <v>17565</v>
      </c>
      <c r="B5072" s="1" t="str">
        <f>"Wilsden Construction Ltd."</f>
        <v>Wilsden Construction Ltd.</v>
      </c>
      <c r="C5072" s="1" t="s">
        <v>17566</v>
      </c>
      <c r="D5072" s="1" t="s">
        <v>14862</v>
      </c>
      <c r="F5072" s="1" t="s">
        <v>198</v>
      </c>
      <c r="H5072" s="1" t="s">
        <v>17567</v>
      </c>
      <c r="I5072" s="1" t="s">
        <v>19</v>
      </c>
      <c r="J5072" s="1" t="s">
        <v>6</v>
      </c>
      <c r="K5072" s="1" t="s">
        <v>34</v>
      </c>
      <c r="L5072" s="1">
        <v>6295980</v>
      </c>
      <c r="M5072" s="2">
        <v>42757</v>
      </c>
      <c r="N5072" s="1" t="s">
        <v>8</v>
      </c>
      <c r="O5072" s="2">
        <v>43852</v>
      </c>
    </row>
    <row r="5073" spans="1:15" ht="43.2" x14ac:dyDescent="0.3">
      <c r="A5073" s="1" t="s">
        <v>17560</v>
      </c>
      <c r="B5073" s="1" t="str">
        <f>"SparkyChick"</f>
        <v>SparkyChick</v>
      </c>
      <c r="C5073" s="1" t="s">
        <v>17561</v>
      </c>
      <c r="F5073" s="1" t="s">
        <v>27</v>
      </c>
      <c r="H5073" s="1" t="s">
        <v>17562</v>
      </c>
      <c r="I5073" s="1" t="s">
        <v>19</v>
      </c>
      <c r="J5073" s="1" t="s">
        <v>67</v>
      </c>
      <c r="K5073" s="1" t="s">
        <v>24</v>
      </c>
      <c r="L5073" s="1">
        <v>10308930</v>
      </c>
      <c r="M5073" s="2">
        <v>42756</v>
      </c>
      <c r="N5073" s="1" t="s">
        <v>8</v>
      </c>
      <c r="O5073" s="1" t="s">
        <v>68</v>
      </c>
    </row>
    <row r="5074" spans="1:15" ht="43.2" x14ac:dyDescent="0.3">
      <c r="A5074" s="1" t="s">
        <v>29299</v>
      </c>
      <c r="B5074" s="1" t="str">
        <f>"Simon  Ryan"</f>
        <v>Simon  Ryan</v>
      </c>
      <c r="C5074" s="1" t="s">
        <v>29300</v>
      </c>
      <c r="D5074" s="1" t="s">
        <v>29301</v>
      </c>
      <c r="F5074" s="1" t="s">
        <v>29302</v>
      </c>
      <c r="H5074" s="1" t="s">
        <v>29303</v>
      </c>
      <c r="I5074" s="1" t="s">
        <v>5</v>
      </c>
      <c r="J5074" s="1" t="s">
        <v>67</v>
      </c>
      <c r="K5074" s="1" t="s">
        <v>14</v>
      </c>
      <c r="M5074" s="2">
        <v>42756</v>
      </c>
      <c r="N5074" s="1" t="s">
        <v>8</v>
      </c>
      <c r="O5074" s="1" t="s">
        <v>68</v>
      </c>
    </row>
    <row r="5075" spans="1:15" ht="28.8" x14ac:dyDescent="0.3">
      <c r="A5075" s="1" t="s">
        <v>29304</v>
      </c>
      <c r="B5075" s="1" t="str">
        <f>"Wayne  Evans Evansgardening"</f>
        <v>Wayne  Evans Evansgardening</v>
      </c>
      <c r="C5075" s="1" t="s">
        <v>29305</v>
      </c>
      <c r="F5075" s="1" t="s">
        <v>42</v>
      </c>
      <c r="H5075" s="1" t="s">
        <v>29306</v>
      </c>
      <c r="I5075" s="1" t="s">
        <v>5</v>
      </c>
      <c r="J5075" s="1" t="s">
        <v>6</v>
      </c>
      <c r="K5075" s="1" t="s">
        <v>34</v>
      </c>
      <c r="M5075" s="2">
        <v>42756</v>
      </c>
      <c r="N5075" s="1" t="s">
        <v>8</v>
      </c>
      <c r="O5075" s="2">
        <v>43851</v>
      </c>
    </row>
    <row r="5076" spans="1:15" ht="43.2" x14ac:dyDescent="0.3">
      <c r="A5076" s="1" t="s">
        <v>29307</v>
      </c>
      <c r="B5076" s="1" t="str">
        <f>"Paul Beach"</f>
        <v>Paul Beach</v>
      </c>
      <c r="C5076" s="1" t="s">
        <v>29308</v>
      </c>
      <c r="F5076" s="1" t="s">
        <v>873</v>
      </c>
      <c r="H5076" s="1" t="s">
        <v>21214</v>
      </c>
      <c r="I5076" s="1" t="s">
        <v>5</v>
      </c>
      <c r="J5076" s="1" t="s">
        <v>67</v>
      </c>
      <c r="K5076" s="1" t="s">
        <v>14</v>
      </c>
      <c r="M5076" s="2">
        <v>42756</v>
      </c>
      <c r="N5076" s="1" t="s">
        <v>8</v>
      </c>
      <c r="O5076" s="1" t="s">
        <v>68</v>
      </c>
    </row>
    <row r="5077" spans="1:15" ht="43.2" x14ac:dyDescent="0.3">
      <c r="A5077" s="1" t="s">
        <v>29309</v>
      </c>
      <c r="B5077" s="1" t="str">
        <f>"Colm O'Connor"</f>
        <v>Colm O'Connor</v>
      </c>
      <c r="C5077" s="1" t="s">
        <v>29310</v>
      </c>
      <c r="F5077" s="1" t="s">
        <v>1051</v>
      </c>
      <c r="H5077" s="1" t="s">
        <v>29311</v>
      </c>
      <c r="I5077" s="1" t="s">
        <v>5</v>
      </c>
      <c r="J5077" s="1" t="s">
        <v>67</v>
      </c>
      <c r="K5077" s="1" t="s">
        <v>14</v>
      </c>
      <c r="M5077" s="2">
        <v>42756</v>
      </c>
      <c r="N5077" s="1" t="s">
        <v>8</v>
      </c>
      <c r="O5077" s="1" t="s">
        <v>68</v>
      </c>
    </row>
    <row r="5078" spans="1:15" ht="28.8" x14ac:dyDescent="0.3">
      <c r="A5078" s="1" t="s">
        <v>9569</v>
      </c>
      <c r="B5078" s="1" t="str">
        <f>"Lms Wales Ltd "</f>
        <v xml:space="preserve">Lms Wales Ltd </v>
      </c>
      <c r="C5078" s="1" t="s">
        <v>9570</v>
      </c>
      <c r="F5078" s="1" t="s">
        <v>65</v>
      </c>
      <c r="H5078" s="1" t="s">
        <v>9571</v>
      </c>
      <c r="I5078" s="1" t="s">
        <v>19</v>
      </c>
      <c r="J5078" s="1" t="s">
        <v>6</v>
      </c>
      <c r="K5078" s="1" t="s">
        <v>24</v>
      </c>
      <c r="L5078" s="1">
        <v>8941983</v>
      </c>
      <c r="M5078" s="2">
        <v>42755</v>
      </c>
      <c r="N5078" s="1" t="s">
        <v>8</v>
      </c>
      <c r="O5078" s="2">
        <v>43850</v>
      </c>
    </row>
    <row r="5079" spans="1:15" ht="28.8" x14ac:dyDescent="0.3">
      <c r="A5079" s="1" t="s">
        <v>9572</v>
      </c>
      <c r="B5079" s="1" t="str">
        <f>"K and M Transport"</f>
        <v>K and M Transport</v>
      </c>
      <c r="C5079" s="1" t="s">
        <v>9573</v>
      </c>
      <c r="F5079" s="1" t="s">
        <v>65</v>
      </c>
      <c r="H5079" s="1" t="s">
        <v>9574</v>
      </c>
      <c r="I5079" s="1" t="s">
        <v>125</v>
      </c>
      <c r="J5079" s="1" t="s">
        <v>6</v>
      </c>
      <c r="K5079" s="1" t="s">
        <v>24</v>
      </c>
      <c r="M5079" s="2">
        <v>42755</v>
      </c>
      <c r="N5079" s="1" t="s">
        <v>8</v>
      </c>
      <c r="O5079" s="2">
        <v>43850</v>
      </c>
    </row>
    <row r="5080" spans="1:15" ht="28.8" x14ac:dyDescent="0.3">
      <c r="A5080" s="1" t="s">
        <v>9575</v>
      </c>
      <c r="B5080" s="1" t="str">
        <f>"The Colour House Limited"</f>
        <v>The Colour House Limited</v>
      </c>
      <c r="C5080" s="1" t="s">
        <v>9576</v>
      </c>
      <c r="F5080" s="1" t="s">
        <v>739</v>
      </c>
      <c r="H5080" s="1" t="s">
        <v>9577</v>
      </c>
      <c r="I5080" s="1" t="s">
        <v>19</v>
      </c>
      <c r="J5080" s="1" t="s">
        <v>6</v>
      </c>
      <c r="K5080" s="1" t="s">
        <v>34</v>
      </c>
      <c r="L5080" s="1">
        <v>9513514</v>
      </c>
      <c r="M5080" s="2">
        <v>42755</v>
      </c>
      <c r="N5080" s="1" t="s">
        <v>8</v>
      </c>
      <c r="O5080" s="2">
        <v>43850</v>
      </c>
    </row>
    <row r="5081" spans="1:15" ht="28.8" x14ac:dyDescent="0.3">
      <c r="A5081" s="1" t="s">
        <v>9578</v>
      </c>
      <c r="B5081" s="1" t="str">
        <f>"D Barnes &amp; Sons"</f>
        <v>D Barnes &amp; Sons</v>
      </c>
      <c r="C5081" s="1" t="s">
        <v>9579</v>
      </c>
      <c r="F5081" s="1" t="s">
        <v>12</v>
      </c>
      <c r="H5081" s="1" t="s">
        <v>9580</v>
      </c>
      <c r="I5081" s="1" t="s">
        <v>125</v>
      </c>
      <c r="J5081" s="1" t="s">
        <v>6</v>
      </c>
      <c r="K5081" s="1" t="s">
        <v>34</v>
      </c>
      <c r="M5081" s="2">
        <v>42755</v>
      </c>
      <c r="N5081" s="1" t="s">
        <v>8</v>
      </c>
      <c r="O5081" s="2">
        <v>43850</v>
      </c>
    </row>
    <row r="5082" spans="1:15" ht="43.2" x14ac:dyDescent="0.3">
      <c r="A5082" s="1" t="s">
        <v>9581</v>
      </c>
      <c r="B5082" s="1" t="str">
        <f>"EVERGREEN SUPPLIES LTD"</f>
        <v>EVERGREEN SUPPLIES LTD</v>
      </c>
      <c r="C5082" s="1" t="s">
        <v>3506</v>
      </c>
      <c r="F5082" s="1" t="s">
        <v>1175</v>
      </c>
      <c r="H5082" s="1" t="s">
        <v>3341</v>
      </c>
      <c r="I5082" s="1" t="s">
        <v>19</v>
      </c>
      <c r="J5082" s="1" t="s">
        <v>67</v>
      </c>
      <c r="K5082" s="1" t="s">
        <v>14</v>
      </c>
      <c r="M5082" s="2">
        <v>42755</v>
      </c>
      <c r="N5082" s="1" t="s">
        <v>8</v>
      </c>
      <c r="O5082" s="1" t="s">
        <v>68</v>
      </c>
    </row>
    <row r="5083" spans="1:15" ht="43.2" x14ac:dyDescent="0.3">
      <c r="A5083" s="1" t="s">
        <v>9582</v>
      </c>
      <c r="B5083" s="1" t="str">
        <f>"Gold Lion"</f>
        <v>Gold Lion</v>
      </c>
      <c r="C5083" s="1" t="s">
        <v>9583</v>
      </c>
      <c r="F5083" s="1" t="s">
        <v>5645</v>
      </c>
      <c r="H5083" s="1" t="s">
        <v>9584</v>
      </c>
      <c r="I5083" s="1" t="s">
        <v>19</v>
      </c>
      <c r="J5083" s="1" t="s">
        <v>67</v>
      </c>
      <c r="K5083" s="1" t="s">
        <v>14</v>
      </c>
      <c r="M5083" s="2">
        <v>42755</v>
      </c>
      <c r="N5083" s="1" t="s">
        <v>8</v>
      </c>
      <c r="O5083" s="1" t="s">
        <v>68</v>
      </c>
    </row>
    <row r="5084" spans="1:15" ht="43.2" x14ac:dyDescent="0.3">
      <c r="A5084" s="1" t="s">
        <v>9585</v>
      </c>
      <c r="B5084" s="1" t="str">
        <f>"Ludlow Street Healthcare"</f>
        <v>Ludlow Street Healthcare</v>
      </c>
      <c r="C5084" s="1" t="s">
        <v>9586</v>
      </c>
      <c r="F5084" s="1" t="s">
        <v>27</v>
      </c>
      <c r="H5084" s="1" t="s">
        <v>9587</v>
      </c>
      <c r="I5084" s="1" t="s">
        <v>19</v>
      </c>
      <c r="J5084" s="1" t="s">
        <v>67</v>
      </c>
      <c r="K5084" s="1" t="s">
        <v>14</v>
      </c>
      <c r="M5084" s="2">
        <v>42755</v>
      </c>
      <c r="N5084" s="1" t="s">
        <v>8</v>
      </c>
      <c r="O5084" s="1" t="s">
        <v>68</v>
      </c>
    </row>
    <row r="5085" spans="1:15" ht="43.2" x14ac:dyDescent="0.3">
      <c r="A5085" s="1" t="s">
        <v>9588</v>
      </c>
      <c r="B5085" s="1" t="str">
        <f>"Aberbargoed stores "</f>
        <v xml:space="preserve">Aberbargoed stores </v>
      </c>
      <c r="C5085" s="1" t="s">
        <v>9589</v>
      </c>
      <c r="F5085" s="1" t="s">
        <v>5645</v>
      </c>
      <c r="H5085" s="1" t="s">
        <v>9590</v>
      </c>
      <c r="I5085" s="1" t="s">
        <v>19</v>
      </c>
      <c r="J5085" s="1" t="s">
        <v>67</v>
      </c>
      <c r="K5085" s="1" t="s">
        <v>14</v>
      </c>
      <c r="M5085" s="2">
        <v>42755</v>
      </c>
      <c r="N5085" s="1" t="s">
        <v>8</v>
      </c>
      <c r="O5085" s="1" t="s">
        <v>68</v>
      </c>
    </row>
    <row r="5086" spans="1:15" ht="43.2" x14ac:dyDescent="0.3">
      <c r="A5086" s="1" t="s">
        <v>22972</v>
      </c>
      <c r="B5086" s="1" t="str">
        <f>"Surit Dillon"</f>
        <v>Surit Dillon</v>
      </c>
      <c r="C5086" s="1" t="s">
        <v>22973</v>
      </c>
      <c r="F5086" s="1" t="s">
        <v>16099</v>
      </c>
      <c r="H5086" s="1" t="s">
        <v>20907</v>
      </c>
      <c r="I5086" s="1" t="s">
        <v>5</v>
      </c>
      <c r="J5086" s="1" t="s">
        <v>67</v>
      </c>
      <c r="K5086" s="1" t="s">
        <v>14</v>
      </c>
      <c r="M5086" s="2">
        <v>42755</v>
      </c>
      <c r="N5086" s="1" t="s">
        <v>8</v>
      </c>
      <c r="O5086" s="1" t="s">
        <v>68</v>
      </c>
    </row>
    <row r="5087" spans="1:15" ht="43.2" x14ac:dyDescent="0.3">
      <c r="A5087" s="1" t="s">
        <v>22974</v>
      </c>
      <c r="B5087" s="1" t="str">
        <f>"John Brown John Brown Property Maintenance"</f>
        <v>John Brown John Brown Property Maintenance</v>
      </c>
      <c r="C5087" s="1" t="s">
        <v>22975</v>
      </c>
      <c r="F5087" s="1" t="s">
        <v>134</v>
      </c>
      <c r="H5087" s="1" t="s">
        <v>22976</v>
      </c>
      <c r="I5087" s="1" t="s">
        <v>5</v>
      </c>
      <c r="J5087" s="1" t="s">
        <v>6</v>
      </c>
      <c r="K5087" s="1" t="s">
        <v>24</v>
      </c>
      <c r="M5087" s="2">
        <v>42755</v>
      </c>
      <c r="N5087" s="1" t="s">
        <v>8</v>
      </c>
      <c r="O5087" s="2">
        <v>43850</v>
      </c>
    </row>
    <row r="5088" spans="1:15" ht="28.8" x14ac:dyDescent="0.3">
      <c r="A5088" s="1" t="s">
        <v>22977</v>
      </c>
      <c r="B5088" s="1" t="str">
        <f>"Arthur Roberts Arch Motors"</f>
        <v>Arthur Roberts Arch Motors</v>
      </c>
      <c r="C5088" s="1" t="s">
        <v>22978</v>
      </c>
      <c r="F5088" s="1" t="s">
        <v>3242</v>
      </c>
      <c r="H5088" s="1" t="s">
        <v>22979</v>
      </c>
      <c r="I5088" s="1" t="s">
        <v>5</v>
      </c>
      <c r="J5088" s="1" t="s">
        <v>6</v>
      </c>
      <c r="K5088" s="1" t="s">
        <v>24</v>
      </c>
      <c r="M5088" s="2">
        <v>42755</v>
      </c>
      <c r="N5088" s="1" t="s">
        <v>8</v>
      </c>
      <c r="O5088" s="2">
        <v>43850</v>
      </c>
    </row>
    <row r="5089" spans="1:15" ht="43.2" x14ac:dyDescent="0.3">
      <c r="A5089" s="1" t="s">
        <v>22980</v>
      </c>
      <c r="B5089" s="1" t="str">
        <f>"jasdeep singh"</f>
        <v>jasdeep singh</v>
      </c>
      <c r="C5089" s="1" t="s">
        <v>22981</v>
      </c>
      <c r="F5089" s="1" t="s">
        <v>4656</v>
      </c>
      <c r="H5089" s="1" t="s">
        <v>22982</v>
      </c>
      <c r="I5089" s="1" t="s">
        <v>5</v>
      </c>
      <c r="J5089" s="1" t="s">
        <v>67</v>
      </c>
      <c r="K5089" s="1" t="s">
        <v>14</v>
      </c>
      <c r="M5089" s="2">
        <v>42755</v>
      </c>
      <c r="N5089" s="1" t="s">
        <v>8</v>
      </c>
      <c r="O5089" s="1" t="s">
        <v>68</v>
      </c>
    </row>
    <row r="5090" spans="1:15" ht="43.2" x14ac:dyDescent="0.3">
      <c r="A5090" s="1" t="s">
        <v>23741</v>
      </c>
      <c r="B5090" s="1" t="str">
        <f>"jasdeep  singh"</f>
        <v>jasdeep  singh</v>
      </c>
      <c r="C5090" s="1" t="s">
        <v>23742</v>
      </c>
      <c r="D5090" s="1" t="s">
        <v>23743</v>
      </c>
      <c r="F5090" s="1" t="s">
        <v>3754</v>
      </c>
      <c r="H5090" s="1" t="s">
        <v>23744</v>
      </c>
      <c r="I5090" s="1" t="s">
        <v>5</v>
      </c>
      <c r="J5090" s="1" t="s">
        <v>67</v>
      </c>
      <c r="K5090" s="1" t="s">
        <v>14</v>
      </c>
      <c r="M5090" s="2">
        <v>42755</v>
      </c>
      <c r="N5090" s="1" t="s">
        <v>8</v>
      </c>
      <c r="O5090" s="1" t="s">
        <v>68</v>
      </c>
    </row>
    <row r="5091" spans="1:15" ht="43.2" x14ac:dyDescent="0.3">
      <c r="A5091" s="1" t="s">
        <v>23745</v>
      </c>
      <c r="B5091" s="1" t="str">
        <f>"Jagiro Kaur Singh"</f>
        <v>Jagiro Kaur Singh</v>
      </c>
      <c r="C5091" s="1" t="s">
        <v>23746</v>
      </c>
      <c r="D5091" s="1" t="s">
        <v>23747</v>
      </c>
      <c r="F5091" s="1" t="s">
        <v>556</v>
      </c>
      <c r="H5091" s="1" t="s">
        <v>23748</v>
      </c>
      <c r="I5091" s="1" t="s">
        <v>5</v>
      </c>
      <c r="J5091" s="1" t="s">
        <v>67</v>
      </c>
      <c r="K5091" s="1" t="s">
        <v>14</v>
      </c>
      <c r="M5091" s="2">
        <v>42755</v>
      </c>
      <c r="N5091" s="1" t="s">
        <v>8</v>
      </c>
      <c r="O5091" s="1" t="s">
        <v>68</v>
      </c>
    </row>
    <row r="5092" spans="1:15" ht="28.8" x14ac:dyDescent="0.3">
      <c r="A5092" s="1" t="s">
        <v>23749</v>
      </c>
      <c r="B5092" s="1" t="str">
        <f>"nigel campfield Super-fix.com"</f>
        <v>nigel campfield Super-fix.com</v>
      </c>
      <c r="C5092" s="1" t="s">
        <v>23750</v>
      </c>
      <c r="F5092" s="1" t="s">
        <v>65</v>
      </c>
      <c r="H5092" s="1" t="s">
        <v>23751</v>
      </c>
      <c r="I5092" s="1" t="s">
        <v>5</v>
      </c>
      <c r="J5092" s="1" t="s">
        <v>6</v>
      </c>
      <c r="K5092" s="1" t="s">
        <v>24</v>
      </c>
      <c r="M5092" s="2">
        <v>42755</v>
      </c>
      <c r="N5092" s="1" t="s">
        <v>8</v>
      </c>
      <c r="O5092" s="2">
        <v>43850</v>
      </c>
    </row>
    <row r="5093" spans="1:15" ht="43.2" x14ac:dyDescent="0.3">
      <c r="A5093" s="1" t="s">
        <v>23752</v>
      </c>
      <c r="B5093" s="1" t="str">
        <f>"karl burgess"</f>
        <v>karl burgess</v>
      </c>
      <c r="C5093" s="1" t="s">
        <v>23753</v>
      </c>
      <c r="F5093" s="1" t="s">
        <v>91</v>
      </c>
      <c r="H5093" s="1" t="s">
        <v>23754</v>
      </c>
      <c r="I5093" s="1" t="s">
        <v>5</v>
      </c>
      <c r="J5093" s="1" t="s">
        <v>67</v>
      </c>
      <c r="K5093" s="1" t="s">
        <v>14</v>
      </c>
      <c r="M5093" s="2">
        <v>42755</v>
      </c>
      <c r="N5093" s="1" t="s">
        <v>8</v>
      </c>
      <c r="O5093" s="1" t="s">
        <v>68</v>
      </c>
    </row>
    <row r="5094" spans="1:15" ht="43.2" x14ac:dyDescent="0.3">
      <c r="A5094" s="1" t="s">
        <v>23755</v>
      </c>
      <c r="B5094" s="1" t="str">
        <f>"Marythayani  Thiyagalingam "</f>
        <v xml:space="preserve">Marythayani  Thiyagalingam </v>
      </c>
      <c r="C5094" s="1" t="s">
        <v>23756</v>
      </c>
      <c r="F5094" s="1" t="s">
        <v>16590</v>
      </c>
      <c r="H5094" s="1" t="s">
        <v>23757</v>
      </c>
      <c r="I5094" s="1" t="s">
        <v>5</v>
      </c>
      <c r="J5094" s="1" t="s">
        <v>67</v>
      </c>
      <c r="K5094" s="1" t="s">
        <v>14</v>
      </c>
      <c r="M5094" s="2">
        <v>42755</v>
      </c>
      <c r="N5094" s="1" t="s">
        <v>8</v>
      </c>
      <c r="O5094" s="1" t="s">
        <v>68</v>
      </c>
    </row>
    <row r="5095" spans="1:15" ht="43.2" x14ac:dyDescent="0.3">
      <c r="A5095" s="1" t="s">
        <v>23758</v>
      </c>
      <c r="B5095" s="1" t="str">
        <f>"ARUNDATHI CHANDAPURAM"</f>
        <v>ARUNDATHI CHANDAPURAM</v>
      </c>
      <c r="C5095" s="1" t="s">
        <v>23759</v>
      </c>
      <c r="F5095" s="1" t="s">
        <v>16099</v>
      </c>
      <c r="H5095" s="1" t="s">
        <v>23760</v>
      </c>
      <c r="I5095" s="1" t="s">
        <v>5</v>
      </c>
      <c r="J5095" s="1" t="s">
        <v>67</v>
      </c>
      <c r="K5095" s="1" t="s">
        <v>14</v>
      </c>
      <c r="M5095" s="2">
        <v>42755</v>
      </c>
      <c r="N5095" s="1" t="s">
        <v>8</v>
      </c>
      <c r="O5095" s="1" t="s">
        <v>68</v>
      </c>
    </row>
    <row r="5096" spans="1:15" ht="28.8" x14ac:dyDescent="0.3">
      <c r="A5096" s="1" t="s">
        <v>23761</v>
      </c>
      <c r="B5096" s="1" t="str">
        <f>"Wyndham Probert W Probert"</f>
        <v>Wyndham Probert W Probert</v>
      </c>
      <c r="C5096" s="1" t="s">
        <v>23762</v>
      </c>
      <c r="F5096" s="1" t="s">
        <v>9838</v>
      </c>
      <c r="H5096" s="1" t="s">
        <v>23763</v>
      </c>
      <c r="I5096" s="1" t="s">
        <v>5</v>
      </c>
      <c r="J5096" s="1" t="s">
        <v>6</v>
      </c>
      <c r="K5096" s="1" t="s">
        <v>24</v>
      </c>
      <c r="M5096" s="2">
        <v>42755</v>
      </c>
      <c r="N5096" s="1" t="s">
        <v>8</v>
      </c>
      <c r="O5096" s="2">
        <v>43850</v>
      </c>
    </row>
    <row r="5097" spans="1:15" ht="28.8" x14ac:dyDescent="0.3">
      <c r="A5097" s="1" t="s">
        <v>7213</v>
      </c>
      <c r="B5097" s="1" t="str">
        <f>"CELTIC PROCESS CONTROL LTD"</f>
        <v>CELTIC PROCESS CONTROL LTD</v>
      </c>
      <c r="C5097" s="1" t="s">
        <v>7214</v>
      </c>
      <c r="D5097" s="1" t="s">
        <v>7215</v>
      </c>
      <c r="F5097" s="1" t="s">
        <v>156</v>
      </c>
      <c r="H5097" s="1" t="s">
        <v>926</v>
      </c>
      <c r="I5097" s="1" t="s">
        <v>19</v>
      </c>
      <c r="J5097" s="1" t="s">
        <v>6</v>
      </c>
      <c r="K5097" s="1" t="s">
        <v>34</v>
      </c>
      <c r="L5097" s="1">
        <v>1592309</v>
      </c>
      <c r="M5097" s="2">
        <v>42754</v>
      </c>
      <c r="N5097" s="1" t="s">
        <v>8</v>
      </c>
      <c r="O5097" s="2">
        <v>43849</v>
      </c>
    </row>
    <row r="5098" spans="1:15" ht="28.8" x14ac:dyDescent="0.3">
      <c r="A5098" s="1" t="s">
        <v>7216</v>
      </c>
      <c r="B5098" s="1" t="str">
        <f>"Guardian Preservation Services LLP"</f>
        <v>Guardian Preservation Services LLP</v>
      </c>
      <c r="C5098" s="1" t="s">
        <v>7217</v>
      </c>
      <c r="F5098" s="1" t="s">
        <v>7218</v>
      </c>
      <c r="H5098" s="1" t="s">
        <v>7219</v>
      </c>
      <c r="I5098" s="1" t="s">
        <v>125</v>
      </c>
      <c r="J5098" s="1" t="s">
        <v>6</v>
      </c>
      <c r="K5098" s="1" t="s">
        <v>34</v>
      </c>
      <c r="M5098" s="2">
        <v>42754</v>
      </c>
      <c r="N5098" s="1" t="s">
        <v>8</v>
      </c>
      <c r="O5098" s="2">
        <v>43849</v>
      </c>
    </row>
    <row r="5099" spans="1:15" ht="28.8" x14ac:dyDescent="0.3">
      <c r="A5099" s="1" t="s">
        <v>7220</v>
      </c>
      <c r="B5099" s="1" t="str">
        <f>"CAD Recycling Limited"</f>
        <v>CAD Recycling Limited</v>
      </c>
      <c r="C5099" s="1" t="s">
        <v>7221</v>
      </c>
      <c r="D5099" s="1" t="s">
        <v>7222</v>
      </c>
      <c r="F5099" s="1" t="s">
        <v>1260</v>
      </c>
      <c r="H5099" s="1" t="s">
        <v>7223</v>
      </c>
      <c r="I5099" s="1" t="s">
        <v>19</v>
      </c>
      <c r="J5099" s="1" t="s">
        <v>6</v>
      </c>
      <c r="K5099" s="1" t="s">
        <v>34</v>
      </c>
      <c r="L5099" s="1">
        <v>6792400</v>
      </c>
      <c r="M5099" s="2">
        <v>42754</v>
      </c>
      <c r="N5099" s="1" t="s">
        <v>8</v>
      </c>
      <c r="O5099" s="2">
        <v>43849</v>
      </c>
    </row>
    <row r="5100" spans="1:15" ht="28.8" x14ac:dyDescent="0.3">
      <c r="A5100" s="1" t="s">
        <v>7224</v>
      </c>
      <c r="B5100" s="1" t="str">
        <f>"COMPUTER RECYCLERS (UK) LTD"</f>
        <v>COMPUTER RECYCLERS (UK) LTD</v>
      </c>
      <c r="C5100" s="1" t="s">
        <v>7225</v>
      </c>
      <c r="F5100" s="1" t="s">
        <v>457</v>
      </c>
      <c r="H5100" s="1" t="s">
        <v>7226</v>
      </c>
      <c r="I5100" s="1" t="s">
        <v>19</v>
      </c>
      <c r="J5100" s="1" t="s">
        <v>6</v>
      </c>
      <c r="K5100" s="1" t="s">
        <v>24</v>
      </c>
      <c r="L5100" s="1">
        <v>7464026</v>
      </c>
      <c r="M5100" s="2">
        <v>42754</v>
      </c>
      <c r="N5100" s="1" t="s">
        <v>8</v>
      </c>
      <c r="O5100" s="2">
        <v>43849</v>
      </c>
    </row>
    <row r="5101" spans="1:15" ht="43.2" x14ac:dyDescent="0.3">
      <c r="A5101" s="1" t="s">
        <v>8388</v>
      </c>
      <c r="B5101" s="1" t="str">
        <f>"Capri foods london ltd"</f>
        <v>Capri foods london ltd</v>
      </c>
      <c r="C5101" s="1" t="s">
        <v>8389</v>
      </c>
      <c r="F5101" s="1" t="s">
        <v>170</v>
      </c>
      <c r="H5101" s="1" t="s">
        <v>8390</v>
      </c>
      <c r="I5101" s="1" t="s">
        <v>19</v>
      </c>
      <c r="J5101" s="1" t="s">
        <v>67</v>
      </c>
      <c r="K5101" s="1" t="s">
        <v>14</v>
      </c>
      <c r="M5101" s="2">
        <v>42754</v>
      </c>
      <c r="N5101" s="1" t="s">
        <v>8</v>
      </c>
      <c r="O5101" s="1" t="s">
        <v>68</v>
      </c>
    </row>
    <row r="5102" spans="1:15" ht="28.8" x14ac:dyDescent="0.3">
      <c r="A5102" s="1" t="s">
        <v>8391</v>
      </c>
      <c r="B5102" s="1" t="str">
        <f>"Gheorghe's"</f>
        <v>Gheorghe's</v>
      </c>
      <c r="C5102" s="1" t="s">
        <v>8392</v>
      </c>
      <c r="F5102" s="1" t="s">
        <v>27</v>
      </c>
      <c r="H5102" s="1" t="s">
        <v>8393</v>
      </c>
      <c r="I5102" s="1" t="s">
        <v>125</v>
      </c>
      <c r="J5102" s="1" t="s">
        <v>6</v>
      </c>
      <c r="K5102" s="1" t="s">
        <v>34</v>
      </c>
      <c r="M5102" s="2">
        <v>42754</v>
      </c>
      <c r="N5102" s="1" t="s">
        <v>8</v>
      </c>
      <c r="O5102" s="2">
        <v>43849</v>
      </c>
    </row>
    <row r="5103" spans="1:15" ht="28.8" x14ac:dyDescent="0.3">
      <c r="A5103" s="1" t="s">
        <v>8394</v>
      </c>
      <c r="B5103" s="1" t="str">
        <f>"Autocare Centre Chepstow"</f>
        <v>Autocare Centre Chepstow</v>
      </c>
      <c r="C5103" s="1" t="s">
        <v>8395</v>
      </c>
      <c r="D5103" s="1" t="s">
        <v>8396</v>
      </c>
      <c r="F5103" s="1" t="s">
        <v>2906</v>
      </c>
      <c r="H5103" s="1" t="s">
        <v>8397</v>
      </c>
      <c r="I5103" s="1" t="s">
        <v>125</v>
      </c>
      <c r="J5103" s="1" t="s">
        <v>6</v>
      </c>
      <c r="K5103" s="1" t="s">
        <v>24</v>
      </c>
      <c r="M5103" s="2">
        <v>42754</v>
      </c>
      <c r="N5103" s="1" t="s">
        <v>8</v>
      </c>
      <c r="O5103" s="2">
        <v>43849</v>
      </c>
    </row>
    <row r="5104" spans="1:15" ht="28.8" x14ac:dyDescent="0.3">
      <c r="A5104" s="1" t="s">
        <v>8398</v>
      </c>
      <c r="B5104" s="1" t="str">
        <f>"GLJ Environmental Limited"</f>
        <v>GLJ Environmental Limited</v>
      </c>
      <c r="C5104" s="1" t="s">
        <v>8399</v>
      </c>
      <c r="D5104" s="1" t="s">
        <v>4055</v>
      </c>
      <c r="F5104" s="1" t="s">
        <v>91</v>
      </c>
      <c r="H5104" s="1" t="s">
        <v>390</v>
      </c>
      <c r="I5104" s="1" t="s">
        <v>19</v>
      </c>
      <c r="J5104" s="1" t="s">
        <v>6</v>
      </c>
      <c r="K5104" s="1" t="s">
        <v>1859</v>
      </c>
      <c r="L5104" s="1">
        <v>8620315</v>
      </c>
      <c r="M5104" s="2">
        <v>42754</v>
      </c>
      <c r="N5104" s="1" t="s">
        <v>8</v>
      </c>
      <c r="O5104" s="2">
        <v>43849</v>
      </c>
    </row>
    <row r="5105" spans="1:15" ht="28.8" x14ac:dyDescent="0.3">
      <c r="A5105" s="1" t="s">
        <v>8400</v>
      </c>
      <c r="B5105" s="1" t="str">
        <f>"M. R. HORN TRANSPORT LTD"</f>
        <v>M. R. HORN TRANSPORT LTD</v>
      </c>
      <c r="C5105" s="1" t="s">
        <v>8401</v>
      </c>
      <c r="F5105" s="1" t="s">
        <v>8402</v>
      </c>
      <c r="H5105" s="1" t="s">
        <v>8403</v>
      </c>
      <c r="I5105" s="1" t="s">
        <v>19</v>
      </c>
      <c r="J5105" s="1" t="s">
        <v>6</v>
      </c>
      <c r="K5105" s="1" t="s">
        <v>24</v>
      </c>
      <c r="L5105" s="1">
        <v>2245354</v>
      </c>
      <c r="M5105" s="2">
        <v>42754</v>
      </c>
      <c r="N5105" s="1" t="s">
        <v>8</v>
      </c>
      <c r="O5105" s="2">
        <v>43849</v>
      </c>
    </row>
    <row r="5106" spans="1:15" ht="43.2" x14ac:dyDescent="0.3">
      <c r="A5106" s="1" t="s">
        <v>21399</v>
      </c>
      <c r="B5106" s="1" t="str">
        <f>"Christopher Wood"</f>
        <v>Christopher Wood</v>
      </c>
      <c r="C5106" s="1" t="s">
        <v>21400</v>
      </c>
      <c r="F5106" s="1" t="s">
        <v>21401</v>
      </c>
      <c r="H5106" s="1" t="s">
        <v>21402</v>
      </c>
      <c r="I5106" s="1" t="s">
        <v>5</v>
      </c>
      <c r="J5106" s="1" t="s">
        <v>67</v>
      </c>
      <c r="K5106" s="1" t="s">
        <v>14</v>
      </c>
      <c r="M5106" s="2">
        <v>42754</v>
      </c>
      <c r="N5106" s="1" t="s">
        <v>8</v>
      </c>
      <c r="O5106" s="1" t="s">
        <v>68</v>
      </c>
    </row>
    <row r="5107" spans="1:15" ht="43.2" x14ac:dyDescent="0.3">
      <c r="A5107" s="1" t="s">
        <v>22220</v>
      </c>
      <c r="B5107" s="1" t="str">
        <f>"steve  jones"</f>
        <v>steve  jones</v>
      </c>
      <c r="C5107" s="1" t="s">
        <v>22221</v>
      </c>
      <c r="F5107" s="1" t="s">
        <v>739</v>
      </c>
      <c r="H5107" s="1" t="s">
        <v>10474</v>
      </c>
      <c r="I5107" s="1" t="s">
        <v>5</v>
      </c>
      <c r="J5107" s="1" t="s">
        <v>67</v>
      </c>
      <c r="K5107" s="1" t="s">
        <v>14</v>
      </c>
      <c r="M5107" s="2">
        <v>42754</v>
      </c>
      <c r="N5107" s="1" t="s">
        <v>8</v>
      </c>
      <c r="O5107" s="1" t="s">
        <v>68</v>
      </c>
    </row>
    <row r="5108" spans="1:15" ht="28.8" x14ac:dyDescent="0.3">
      <c r="A5108" s="1" t="s">
        <v>22222</v>
      </c>
      <c r="B5108" s="1" t="str">
        <f>"John Jones J Gwyn Jones"</f>
        <v>John Jones J Gwyn Jones</v>
      </c>
      <c r="C5108" s="1" t="s">
        <v>22223</v>
      </c>
      <c r="F5108" s="1" t="s">
        <v>21800</v>
      </c>
      <c r="H5108" s="1" t="s">
        <v>22224</v>
      </c>
      <c r="I5108" s="1" t="s">
        <v>5</v>
      </c>
      <c r="J5108" s="1" t="s">
        <v>6</v>
      </c>
      <c r="K5108" s="1" t="s">
        <v>24</v>
      </c>
      <c r="M5108" s="2">
        <v>42754</v>
      </c>
      <c r="N5108" s="1" t="s">
        <v>8</v>
      </c>
      <c r="O5108" s="2">
        <v>43849</v>
      </c>
    </row>
    <row r="5109" spans="1:15" ht="43.2" x14ac:dyDescent="0.3">
      <c r="A5109" s="1" t="s">
        <v>22225</v>
      </c>
      <c r="B5109" s="1" t="str">
        <f>"Tom Tom Henry Tony janes"</f>
        <v>Tom Tom Henry Tony janes</v>
      </c>
      <c r="C5109" s="1" t="s">
        <v>22226</v>
      </c>
      <c r="F5109" s="1" t="s">
        <v>27</v>
      </c>
      <c r="H5109" s="1" t="s">
        <v>2924</v>
      </c>
      <c r="I5109" s="1" t="s">
        <v>5</v>
      </c>
      <c r="J5109" s="1" t="s">
        <v>6</v>
      </c>
      <c r="K5109" s="1" t="s">
        <v>34</v>
      </c>
      <c r="M5109" s="2">
        <v>42754</v>
      </c>
      <c r="N5109" s="1" t="s">
        <v>8</v>
      </c>
      <c r="O5109" s="2">
        <v>43849</v>
      </c>
    </row>
    <row r="5110" spans="1:15" ht="43.2" x14ac:dyDescent="0.3">
      <c r="A5110" s="1" t="s">
        <v>22227</v>
      </c>
      <c r="B5110" s="1" t="str">
        <f>"Christopher Rowles"</f>
        <v>Christopher Rowles</v>
      </c>
      <c r="C5110" s="1" t="s">
        <v>4069</v>
      </c>
      <c r="D5110" s="1" t="s">
        <v>4070</v>
      </c>
      <c r="F5110" s="1" t="s">
        <v>1184</v>
      </c>
      <c r="H5110" s="1" t="s">
        <v>4071</v>
      </c>
      <c r="I5110" s="1" t="s">
        <v>5</v>
      </c>
      <c r="J5110" s="1" t="s">
        <v>67</v>
      </c>
      <c r="K5110" s="1" t="s">
        <v>14</v>
      </c>
      <c r="M5110" s="2">
        <v>42754</v>
      </c>
      <c r="N5110" s="1" t="s">
        <v>8</v>
      </c>
      <c r="O5110" s="1" t="s">
        <v>68</v>
      </c>
    </row>
    <row r="5111" spans="1:15" ht="43.2" x14ac:dyDescent="0.3">
      <c r="A5111" s="1" t="s">
        <v>22228</v>
      </c>
      <c r="B5111" s="1" t="str">
        <f>"EUROS HUGHES EUROS HUGHES ELECTRICAL CONTRACTOR"</f>
        <v>EUROS HUGHES EUROS HUGHES ELECTRICAL CONTRACTOR</v>
      </c>
      <c r="C5111" s="1" t="s">
        <v>22229</v>
      </c>
      <c r="F5111" s="1" t="s">
        <v>710</v>
      </c>
      <c r="H5111" s="1" t="s">
        <v>22230</v>
      </c>
      <c r="I5111" s="1" t="s">
        <v>5</v>
      </c>
      <c r="J5111" s="1" t="s">
        <v>67</v>
      </c>
      <c r="K5111" s="1" t="s">
        <v>24</v>
      </c>
      <c r="M5111" s="2">
        <v>42754</v>
      </c>
      <c r="N5111" s="1" t="s">
        <v>8</v>
      </c>
      <c r="O5111" s="1" t="s">
        <v>68</v>
      </c>
    </row>
    <row r="5112" spans="1:15" ht="43.2" x14ac:dyDescent="0.3">
      <c r="A5112" s="1" t="s">
        <v>22231</v>
      </c>
      <c r="B5112" s="1" t="str">
        <f>"Steven Garwell"</f>
        <v>Steven Garwell</v>
      </c>
      <c r="C5112" s="1" t="s">
        <v>22232</v>
      </c>
      <c r="F5112" s="1" t="s">
        <v>18178</v>
      </c>
      <c r="H5112" s="1" t="s">
        <v>22233</v>
      </c>
      <c r="I5112" s="1" t="s">
        <v>5</v>
      </c>
      <c r="J5112" s="1" t="s">
        <v>67</v>
      </c>
      <c r="K5112" s="1" t="s">
        <v>14</v>
      </c>
      <c r="M5112" s="2">
        <v>42754</v>
      </c>
      <c r="N5112" s="1" t="s">
        <v>8</v>
      </c>
      <c r="O5112" s="1" t="s">
        <v>68</v>
      </c>
    </row>
    <row r="5113" spans="1:15" ht="28.8" x14ac:dyDescent="0.3">
      <c r="A5113" s="1" t="s">
        <v>22966</v>
      </c>
      <c r="B5113" s="1" t="str">
        <f>"Gwilym Williams G.L.Williams JCB Hire"</f>
        <v>Gwilym Williams G.L.Williams JCB Hire</v>
      </c>
      <c r="C5113" s="1" t="s">
        <v>22967</v>
      </c>
      <c r="F5113" s="1" t="s">
        <v>710</v>
      </c>
      <c r="H5113" s="1" t="s">
        <v>22968</v>
      </c>
      <c r="I5113" s="1" t="s">
        <v>5</v>
      </c>
      <c r="J5113" s="1" t="s">
        <v>6</v>
      </c>
      <c r="K5113" s="1" t="s">
        <v>34</v>
      </c>
      <c r="M5113" s="2">
        <v>42754</v>
      </c>
      <c r="N5113" s="1" t="s">
        <v>8</v>
      </c>
      <c r="O5113" s="2">
        <v>43849</v>
      </c>
    </row>
    <row r="5114" spans="1:15" ht="43.2" x14ac:dyDescent="0.3">
      <c r="A5114" s="1" t="s">
        <v>22969</v>
      </c>
      <c r="B5114" s="1" t="str">
        <f>"julian hinam"</f>
        <v>julian hinam</v>
      </c>
      <c r="C5114" s="1" t="s">
        <v>22970</v>
      </c>
      <c r="F5114" s="1" t="s">
        <v>298</v>
      </c>
      <c r="H5114" s="1" t="s">
        <v>22971</v>
      </c>
      <c r="I5114" s="1" t="s">
        <v>5</v>
      </c>
      <c r="J5114" s="1" t="s">
        <v>67</v>
      </c>
      <c r="K5114" s="1" t="s">
        <v>24</v>
      </c>
      <c r="M5114" s="2">
        <v>42754</v>
      </c>
      <c r="N5114" s="1" t="s">
        <v>8</v>
      </c>
      <c r="O5114" s="1" t="s">
        <v>68</v>
      </c>
    </row>
    <row r="5115" spans="1:15" ht="28.8" x14ac:dyDescent="0.3">
      <c r="A5115" s="1" t="s">
        <v>6082</v>
      </c>
      <c r="B5115" s="1" t="str">
        <f>"Anglesey Heating &amp; Plumbing Services Ltd."</f>
        <v>Anglesey Heating &amp; Plumbing Services Ltd.</v>
      </c>
      <c r="C5115" s="1" t="s">
        <v>6083</v>
      </c>
      <c r="D5115" s="1" t="s">
        <v>119</v>
      </c>
      <c r="F5115" s="1" t="s">
        <v>6084</v>
      </c>
      <c r="H5115" s="1" t="s">
        <v>3059</v>
      </c>
      <c r="I5115" s="1" t="s">
        <v>19</v>
      </c>
      <c r="J5115" s="1" t="s">
        <v>6</v>
      </c>
      <c r="K5115" s="1" t="s">
        <v>24</v>
      </c>
      <c r="L5115" s="1">
        <v>3386462</v>
      </c>
      <c r="M5115" s="2">
        <v>42753</v>
      </c>
      <c r="N5115" s="1" t="s">
        <v>8</v>
      </c>
      <c r="O5115" s="2">
        <v>43848</v>
      </c>
    </row>
    <row r="5116" spans="1:15" ht="28.8" x14ac:dyDescent="0.3">
      <c r="A5116" s="1" t="s">
        <v>6085</v>
      </c>
      <c r="B5116" s="1" t="str">
        <f>"CJS ELECTRICAL (WALES) LTD"</f>
        <v>CJS ELECTRICAL (WALES) LTD</v>
      </c>
      <c r="C5116" s="1" t="s">
        <v>6086</v>
      </c>
      <c r="D5116" s="1" t="s">
        <v>6087</v>
      </c>
      <c r="F5116" s="1" t="s">
        <v>27</v>
      </c>
      <c r="H5116" s="1" t="s">
        <v>6088</v>
      </c>
      <c r="I5116" s="1" t="s">
        <v>19</v>
      </c>
      <c r="J5116" s="1" t="s">
        <v>6</v>
      </c>
      <c r="K5116" s="1" t="s">
        <v>24</v>
      </c>
      <c r="L5116" s="1">
        <v>5535281</v>
      </c>
      <c r="M5116" s="2">
        <v>42753</v>
      </c>
      <c r="N5116" s="1" t="s">
        <v>8</v>
      </c>
      <c r="O5116" s="2">
        <v>43848</v>
      </c>
    </row>
    <row r="5117" spans="1:15" ht="43.2" x14ac:dyDescent="0.3">
      <c r="A5117" s="1" t="s">
        <v>6089</v>
      </c>
      <c r="B5117" s="1" t="str">
        <f>"kaler food and wine "</f>
        <v xml:space="preserve">kaler food and wine </v>
      </c>
      <c r="C5117" s="1" t="s">
        <v>6090</v>
      </c>
      <c r="D5117" s="1" t="s">
        <v>6091</v>
      </c>
      <c r="F5117" s="1" t="s">
        <v>4656</v>
      </c>
      <c r="H5117" s="1" t="s">
        <v>6092</v>
      </c>
      <c r="I5117" s="1" t="s">
        <v>19</v>
      </c>
      <c r="J5117" s="1" t="s">
        <v>67</v>
      </c>
      <c r="K5117" s="1" t="s">
        <v>14</v>
      </c>
      <c r="M5117" s="2">
        <v>42753</v>
      </c>
      <c r="N5117" s="1" t="s">
        <v>8</v>
      </c>
      <c r="O5117" s="1" t="s">
        <v>68</v>
      </c>
    </row>
    <row r="5118" spans="1:15" ht="28.8" x14ac:dyDescent="0.3">
      <c r="A5118" s="1" t="s">
        <v>6093</v>
      </c>
      <c r="B5118" s="1" t="str">
        <f>"Robeda Developments Ltd"</f>
        <v>Robeda Developments Ltd</v>
      </c>
      <c r="C5118" s="1" t="s">
        <v>6094</v>
      </c>
      <c r="F5118" s="1" t="s">
        <v>6095</v>
      </c>
      <c r="H5118" s="1" t="s">
        <v>6096</v>
      </c>
      <c r="I5118" s="1" t="s">
        <v>19</v>
      </c>
      <c r="J5118" s="1" t="s">
        <v>6</v>
      </c>
      <c r="K5118" s="1" t="s">
        <v>24</v>
      </c>
      <c r="L5118" s="1">
        <v>7542812</v>
      </c>
      <c r="M5118" s="2">
        <v>42753</v>
      </c>
      <c r="N5118" s="1" t="s">
        <v>8</v>
      </c>
      <c r="O5118" s="2">
        <v>43848</v>
      </c>
    </row>
    <row r="5119" spans="1:15" ht="28.8" x14ac:dyDescent="0.3">
      <c r="A5119" s="1" t="s">
        <v>6097</v>
      </c>
      <c r="B5119" s="1" t="str">
        <f>"Tensile Installations Ltd"</f>
        <v>Tensile Installations Ltd</v>
      </c>
      <c r="C5119" s="1" t="s">
        <v>6098</v>
      </c>
      <c r="D5119" s="1" t="s">
        <v>400</v>
      </c>
      <c r="F5119" s="1" t="s">
        <v>401</v>
      </c>
      <c r="H5119" s="1" t="s">
        <v>6099</v>
      </c>
      <c r="I5119" s="1" t="s">
        <v>19</v>
      </c>
      <c r="J5119" s="1" t="s">
        <v>6</v>
      </c>
      <c r="K5119" s="1" t="s">
        <v>34</v>
      </c>
      <c r="L5119" s="1">
        <v>9403325</v>
      </c>
      <c r="M5119" s="2">
        <v>42753</v>
      </c>
      <c r="N5119" s="1" t="s">
        <v>8</v>
      </c>
      <c r="O5119" s="2">
        <v>43848</v>
      </c>
    </row>
    <row r="5120" spans="1:15" ht="43.2" x14ac:dyDescent="0.3">
      <c r="A5120" s="1" t="s">
        <v>6100</v>
      </c>
      <c r="B5120" s="1" t="str">
        <f>"Hollybeach Ltd "</f>
        <v xml:space="preserve">Hollybeach Ltd </v>
      </c>
      <c r="C5120" s="1" t="s">
        <v>6101</v>
      </c>
      <c r="F5120" s="1" t="s">
        <v>714</v>
      </c>
      <c r="H5120" s="1" t="s">
        <v>6102</v>
      </c>
      <c r="I5120" s="1" t="s">
        <v>19</v>
      </c>
      <c r="J5120" s="1" t="s">
        <v>67</v>
      </c>
      <c r="K5120" s="1" t="s">
        <v>14</v>
      </c>
      <c r="M5120" s="2">
        <v>42753</v>
      </c>
      <c r="N5120" s="1" t="s">
        <v>8</v>
      </c>
      <c r="O5120" s="1" t="s">
        <v>68</v>
      </c>
    </row>
    <row r="5121" spans="1:15" ht="28.8" x14ac:dyDescent="0.3">
      <c r="A5121" s="1" t="s">
        <v>6103</v>
      </c>
      <c r="B5121" s="1" t="str">
        <f>"AGUACHEM LTD"</f>
        <v>AGUACHEM LTD</v>
      </c>
      <c r="C5121" s="1" t="s">
        <v>6104</v>
      </c>
      <c r="D5121" s="1" t="s">
        <v>6105</v>
      </c>
      <c r="F5121" s="1" t="s">
        <v>532</v>
      </c>
      <c r="H5121" s="1" t="s">
        <v>6106</v>
      </c>
      <c r="I5121" s="1" t="s">
        <v>19</v>
      </c>
      <c r="J5121" s="1" t="s">
        <v>6</v>
      </c>
      <c r="K5121" s="1" t="s">
        <v>1859</v>
      </c>
      <c r="L5121" s="1">
        <v>5316282</v>
      </c>
      <c r="M5121" s="2">
        <v>42753</v>
      </c>
      <c r="N5121" s="1" t="s">
        <v>8</v>
      </c>
      <c r="O5121" s="2">
        <v>43848</v>
      </c>
    </row>
    <row r="5122" spans="1:15" ht="43.2" x14ac:dyDescent="0.3">
      <c r="A5122" s="1" t="s">
        <v>6107</v>
      </c>
      <c r="B5122" s="1" t="str">
        <f>"canton news"</f>
        <v>canton news</v>
      </c>
      <c r="C5122" s="1" t="s">
        <v>6108</v>
      </c>
      <c r="F5122" s="1" t="s">
        <v>739</v>
      </c>
      <c r="H5122" s="1" t="s">
        <v>5373</v>
      </c>
      <c r="I5122" s="1" t="s">
        <v>19</v>
      </c>
      <c r="J5122" s="1" t="s">
        <v>67</v>
      </c>
      <c r="K5122" s="1" t="s">
        <v>14</v>
      </c>
      <c r="M5122" s="2">
        <v>42753</v>
      </c>
      <c r="N5122" s="1" t="s">
        <v>8</v>
      </c>
      <c r="O5122" s="1" t="s">
        <v>68</v>
      </c>
    </row>
    <row r="5123" spans="1:15" ht="28.8" x14ac:dyDescent="0.3">
      <c r="A5123" s="1" t="s">
        <v>7206</v>
      </c>
      <c r="B5123" s="1" t="str">
        <f>"GWP Electrical Ltd"</f>
        <v>GWP Electrical Ltd</v>
      </c>
      <c r="C5123" s="1" t="s">
        <v>7207</v>
      </c>
      <c r="D5123" s="1" t="s">
        <v>3595</v>
      </c>
      <c r="F5123" s="1" t="s">
        <v>83</v>
      </c>
      <c r="H5123" s="1" t="s">
        <v>7208</v>
      </c>
      <c r="I5123" s="1" t="s">
        <v>19</v>
      </c>
      <c r="J5123" s="1" t="s">
        <v>6</v>
      </c>
      <c r="K5123" s="1" t="s">
        <v>34</v>
      </c>
      <c r="L5123" s="1">
        <v>9221251</v>
      </c>
      <c r="M5123" s="2">
        <v>42753</v>
      </c>
      <c r="N5123" s="1" t="s">
        <v>8</v>
      </c>
      <c r="O5123" s="2">
        <v>43848</v>
      </c>
    </row>
    <row r="5124" spans="1:15" ht="43.2" x14ac:dyDescent="0.3">
      <c r="A5124" s="1" t="s">
        <v>7209</v>
      </c>
      <c r="B5124" s="1" t="str">
        <f>"Bharti Devina ltd"</f>
        <v>Bharti Devina ltd</v>
      </c>
      <c r="C5124" s="1" t="s">
        <v>7210</v>
      </c>
      <c r="F5124" s="1" t="s">
        <v>7211</v>
      </c>
      <c r="H5124" s="1" t="s">
        <v>7212</v>
      </c>
      <c r="I5124" s="1" t="s">
        <v>19</v>
      </c>
      <c r="J5124" s="1" t="s">
        <v>67</v>
      </c>
      <c r="K5124" s="1" t="s">
        <v>14</v>
      </c>
      <c r="M5124" s="2">
        <v>42753</v>
      </c>
      <c r="N5124" s="1" t="s">
        <v>8</v>
      </c>
      <c r="O5124" s="1" t="s">
        <v>68</v>
      </c>
    </row>
    <row r="5125" spans="1:15" ht="43.2" x14ac:dyDescent="0.3">
      <c r="A5125" s="1" t="s">
        <v>20581</v>
      </c>
      <c r="B5125" s="1" t="str">
        <f>"Lovely kumari dhutti"</f>
        <v>Lovely kumari dhutti</v>
      </c>
      <c r="C5125" s="1" t="s">
        <v>20582</v>
      </c>
      <c r="F5125" s="1" t="s">
        <v>739</v>
      </c>
      <c r="H5125" s="1" t="s">
        <v>20583</v>
      </c>
      <c r="I5125" s="1" t="s">
        <v>5</v>
      </c>
      <c r="J5125" s="1" t="s">
        <v>67</v>
      </c>
      <c r="K5125" s="1" t="s">
        <v>14</v>
      </c>
      <c r="M5125" s="2">
        <v>42753</v>
      </c>
      <c r="N5125" s="1" t="s">
        <v>8</v>
      </c>
      <c r="O5125" s="1" t="s">
        <v>68</v>
      </c>
    </row>
    <row r="5126" spans="1:15" ht="43.2" x14ac:dyDescent="0.3">
      <c r="A5126" s="1" t="s">
        <v>20584</v>
      </c>
      <c r="B5126" s="1" t="str">
        <f>"Shion Williams"</f>
        <v>Shion Williams</v>
      </c>
      <c r="C5126" s="1" t="s">
        <v>20585</v>
      </c>
      <c r="F5126" s="1" t="s">
        <v>865</v>
      </c>
      <c r="H5126" s="1" t="s">
        <v>11955</v>
      </c>
      <c r="I5126" s="1" t="s">
        <v>5</v>
      </c>
      <c r="J5126" s="1" t="s">
        <v>67</v>
      </c>
      <c r="K5126" s="1" t="s">
        <v>14</v>
      </c>
      <c r="M5126" s="2">
        <v>42753</v>
      </c>
      <c r="N5126" s="1" t="s">
        <v>8</v>
      </c>
      <c r="O5126" s="1" t="s">
        <v>68</v>
      </c>
    </row>
    <row r="5127" spans="1:15" ht="43.2" x14ac:dyDescent="0.3">
      <c r="A5127" s="1" t="s">
        <v>20586</v>
      </c>
      <c r="B5127" s="1" t="str">
        <f>"Gillian  Sanderson"</f>
        <v>Gillian  Sanderson</v>
      </c>
      <c r="C5127" s="1" t="s">
        <v>20587</v>
      </c>
      <c r="F5127" s="1" t="s">
        <v>14569</v>
      </c>
      <c r="H5127" s="1" t="s">
        <v>20588</v>
      </c>
      <c r="I5127" s="1" t="s">
        <v>5</v>
      </c>
      <c r="J5127" s="1" t="s">
        <v>6</v>
      </c>
      <c r="K5127" s="1" t="s">
        <v>24</v>
      </c>
      <c r="M5127" s="2">
        <v>42753</v>
      </c>
      <c r="N5127" s="1" t="s">
        <v>8</v>
      </c>
      <c r="O5127" s="2">
        <v>43848</v>
      </c>
    </row>
    <row r="5128" spans="1:15" ht="43.2" x14ac:dyDescent="0.3">
      <c r="A5128" s="1" t="s">
        <v>20589</v>
      </c>
      <c r="B5128" s="1" t="str">
        <f>"Dennis Conroy"</f>
        <v>Dennis Conroy</v>
      </c>
      <c r="C5128" s="1" t="s">
        <v>20590</v>
      </c>
      <c r="F5128" s="1" t="s">
        <v>374</v>
      </c>
      <c r="H5128" s="1" t="s">
        <v>20591</v>
      </c>
      <c r="I5128" s="1" t="s">
        <v>5</v>
      </c>
      <c r="J5128" s="1" t="s">
        <v>67</v>
      </c>
      <c r="K5128" s="1" t="s">
        <v>14</v>
      </c>
      <c r="M5128" s="2">
        <v>42753</v>
      </c>
      <c r="N5128" s="1" t="s">
        <v>8</v>
      </c>
      <c r="O5128" s="1" t="s">
        <v>68</v>
      </c>
    </row>
    <row r="5129" spans="1:15" ht="43.2" x14ac:dyDescent="0.3">
      <c r="A5129" s="1" t="s">
        <v>21395</v>
      </c>
      <c r="B5129" s="1" t="str">
        <f>"Naheem Ifthikar"</f>
        <v>Naheem Ifthikar</v>
      </c>
      <c r="C5129" s="1" t="s">
        <v>21396</v>
      </c>
      <c r="F5129" s="1" t="s">
        <v>21397</v>
      </c>
      <c r="H5129" s="1" t="s">
        <v>21398</v>
      </c>
      <c r="I5129" s="1" t="s">
        <v>5</v>
      </c>
      <c r="J5129" s="1" t="s">
        <v>67</v>
      </c>
      <c r="K5129" s="1" t="s">
        <v>14</v>
      </c>
      <c r="M5129" s="2">
        <v>42753</v>
      </c>
      <c r="N5129" s="1" t="s">
        <v>8</v>
      </c>
      <c r="O5129" s="1" t="s">
        <v>68</v>
      </c>
    </row>
    <row r="5130" spans="1:15" ht="28.8" x14ac:dyDescent="0.3">
      <c r="A5130" s="1" t="s">
        <v>4925</v>
      </c>
      <c r="B5130" s="1" t="str">
        <f>"Ibex Technical Access Ltd"</f>
        <v>Ibex Technical Access Ltd</v>
      </c>
      <c r="C5130" s="1" t="s">
        <v>4926</v>
      </c>
      <c r="F5130" s="1" t="s">
        <v>4630</v>
      </c>
      <c r="H5130" s="1" t="s">
        <v>2067</v>
      </c>
      <c r="I5130" s="1" t="s">
        <v>19</v>
      </c>
      <c r="J5130" s="1" t="s">
        <v>6</v>
      </c>
      <c r="K5130" s="1" t="s">
        <v>1859</v>
      </c>
      <c r="L5130" s="1">
        <v>8243986</v>
      </c>
      <c r="M5130" s="2">
        <v>42752</v>
      </c>
      <c r="N5130" s="1" t="s">
        <v>8</v>
      </c>
      <c r="O5130" s="2">
        <v>43847</v>
      </c>
    </row>
    <row r="5131" spans="1:15" ht="43.2" x14ac:dyDescent="0.3">
      <c r="A5131" s="1" t="s">
        <v>4927</v>
      </c>
      <c r="B5131" s="1" t="str">
        <f>"PAUL WHITEHEAD (CONTRACTORS) LIMITE"</f>
        <v>PAUL WHITEHEAD (CONTRACTORS) LIMITE</v>
      </c>
      <c r="C5131" s="1" t="s">
        <v>4928</v>
      </c>
      <c r="F5131" s="1" t="s">
        <v>65</v>
      </c>
      <c r="H5131" s="1" t="s">
        <v>4929</v>
      </c>
      <c r="I5131" s="1" t="s">
        <v>19</v>
      </c>
      <c r="J5131" s="1" t="s">
        <v>6</v>
      </c>
      <c r="K5131" s="1" t="s">
        <v>34</v>
      </c>
      <c r="L5131" s="1">
        <v>4158117</v>
      </c>
      <c r="M5131" s="2">
        <v>42752</v>
      </c>
      <c r="N5131" s="1" t="s">
        <v>8</v>
      </c>
      <c r="O5131" s="2">
        <v>43847</v>
      </c>
    </row>
    <row r="5132" spans="1:15" ht="28.8" x14ac:dyDescent="0.3">
      <c r="A5132" s="1" t="s">
        <v>4930</v>
      </c>
      <c r="B5132" s="1" t="str">
        <f>"Town and Country (Wales) LTD"</f>
        <v>Town and Country (Wales) LTD</v>
      </c>
      <c r="C5132" s="1" t="s">
        <v>4931</v>
      </c>
      <c r="F5132" s="1" t="s">
        <v>865</v>
      </c>
      <c r="H5132" s="1" t="s">
        <v>4932</v>
      </c>
      <c r="I5132" s="1" t="s">
        <v>19</v>
      </c>
      <c r="J5132" s="1" t="s">
        <v>6</v>
      </c>
      <c r="K5132" s="1" t="s">
        <v>24</v>
      </c>
      <c r="L5132" s="1">
        <v>6374692</v>
      </c>
      <c r="M5132" s="2">
        <v>42752</v>
      </c>
      <c r="N5132" s="1" t="s">
        <v>8</v>
      </c>
      <c r="O5132" s="2">
        <v>43847</v>
      </c>
    </row>
    <row r="5133" spans="1:15" ht="28.8" x14ac:dyDescent="0.3">
      <c r="A5133" s="1" t="s">
        <v>4933</v>
      </c>
      <c r="B5133" s="1" t="str">
        <f>"Riverside Interiors Limited"</f>
        <v>Riverside Interiors Limited</v>
      </c>
      <c r="C5133" s="1" t="s">
        <v>4934</v>
      </c>
      <c r="F5133" s="1" t="s">
        <v>243</v>
      </c>
      <c r="H5133" s="1" t="s">
        <v>4935</v>
      </c>
      <c r="I5133" s="1" t="s">
        <v>19</v>
      </c>
      <c r="J5133" s="1" t="s">
        <v>6</v>
      </c>
      <c r="K5133" s="1" t="s">
        <v>34</v>
      </c>
      <c r="L5133" s="1">
        <v>6731949</v>
      </c>
      <c r="M5133" s="2">
        <v>42752</v>
      </c>
      <c r="N5133" s="1" t="s">
        <v>8</v>
      </c>
      <c r="O5133" s="2">
        <v>43847</v>
      </c>
    </row>
    <row r="5134" spans="1:15" ht="28.8" x14ac:dyDescent="0.3">
      <c r="A5134" s="1" t="s">
        <v>4936</v>
      </c>
      <c r="B5134" s="1" t="str">
        <f>"G H J Civil Engineering Ltd."</f>
        <v>G H J Civil Engineering Ltd.</v>
      </c>
      <c r="C5134" s="1" t="s">
        <v>4937</v>
      </c>
      <c r="F5134" s="1" t="s">
        <v>790</v>
      </c>
      <c r="H5134" s="1" t="s">
        <v>4938</v>
      </c>
      <c r="I5134" s="1" t="s">
        <v>19</v>
      </c>
      <c r="J5134" s="1" t="s">
        <v>6</v>
      </c>
      <c r="K5134" s="1" t="s">
        <v>34</v>
      </c>
      <c r="L5134" s="1">
        <v>5330612</v>
      </c>
      <c r="M5134" s="2">
        <v>42752</v>
      </c>
      <c r="N5134" s="1" t="s">
        <v>8</v>
      </c>
      <c r="O5134" s="2">
        <v>43847</v>
      </c>
    </row>
    <row r="5135" spans="1:15" ht="28.8" x14ac:dyDescent="0.3">
      <c r="A5135" s="1" t="s">
        <v>4939</v>
      </c>
      <c r="B5135" s="1" t="str">
        <f>"Precision Construction LTD"</f>
        <v>Precision Construction LTD</v>
      </c>
      <c r="C5135" s="1" t="s">
        <v>4940</v>
      </c>
      <c r="D5135" s="1" t="s">
        <v>706</v>
      </c>
      <c r="F5135" s="1" t="s">
        <v>211</v>
      </c>
      <c r="H5135" s="1" t="s">
        <v>4941</v>
      </c>
      <c r="I5135" s="1" t="s">
        <v>19</v>
      </c>
      <c r="J5135" s="1" t="s">
        <v>6</v>
      </c>
      <c r="K5135" s="1" t="s">
        <v>34</v>
      </c>
      <c r="L5135" s="1">
        <v>9701836</v>
      </c>
      <c r="M5135" s="2">
        <v>42752</v>
      </c>
      <c r="N5135" s="1" t="s">
        <v>8</v>
      </c>
      <c r="O5135" s="2">
        <v>43847</v>
      </c>
    </row>
    <row r="5136" spans="1:15" ht="43.2" x14ac:dyDescent="0.3">
      <c r="A5136" s="1" t="s">
        <v>4942</v>
      </c>
      <c r="B5136" s="1" t="str">
        <f>"WELLPECS LTD"</f>
        <v>WELLPECS LTD</v>
      </c>
      <c r="C5136" s="1" t="s">
        <v>4943</v>
      </c>
      <c r="F5136" s="1" t="s">
        <v>4944</v>
      </c>
      <c r="H5136" s="1" t="s">
        <v>199</v>
      </c>
      <c r="I5136" s="1" t="s">
        <v>19</v>
      </c>
      <c r="J5136" s="1" t="s">
        <v>6</v>
      </c>
      <c r="K5136" s="1" t="s">
        <v>34</v>
      </c>
      <c r="L5136" s="1">
        <v>8701640</v>
      </c>
      <c r="M5136" s="2">
        <v>42752</v>
      </c>
      <c r="N5136" s="1" t="s">
        <v>8</v>
      </c>
      <c r="O5136" s="2">
        <v>43847</v>
      </c>
    </row>
    <row r="5137" spans="1:15" ht="43.2" x14ac:dyDescent="0.3">
      <c r="A5137" s="1" t="s">
        <v>4945</v>
      </c>
      <c r="B5137" s="1" t="str">
        <f>"The Burger Bunker Ltd"</f>
        <v>The Burger Bunker Ltd</v>
      </c>
      <c r="C5137" s="1" t="s">
        <v>4946</v>
      </c>
      <c r="F5137" s="1" t="s">
        <v>91</v>
      </c>
      <c r="H5137" s="1" t="s">
        <v>4947</v>
      </c>
      <c r="I5137" s="1" t="s">
        <v>19</v>
      </c>
      <c r="J5137" s="1" t="s">
        <v>67</v>
      </c>
      <c r="K5137" s="1" t="s">
        <v>14</v>
      </c>
      <c r="M5137" s="2">
        <v>42752</v>
      </c>
      <c r="N5137" s="1" t="s">
        <v>8</v>
      </c>
      <c r="O5137" s="1" t="s">
        <v>68</v>
      </c>
    </row>
    <row r="5138" spans="1:15" ht="28.8" x14ac:dyDescent="0.3">
      <c r="A5138" s="1" t="s">
        <v>18984</v>
      </c>
      <c r="B5138" s="1" t="str">
        <f>"John Thomas John Thomas"</f>
        <v>John Thomas John Thomas</v>
      </c>
      <c r="C5138" s="1" t="s">
        <v>4891</v>
      </c>
      <c r="F5138" s="1" t="s">
        <v>65</v>
      </c>
      <c r="H5138" s="1" t="s">
        <v>4892</v>
      </c>
      <c r="I5138" s="1" t="s">
        <v>5</v>
      </c>
      <c r="J5138" s="1" t="s">
        <v>6</v>
      </c>
      <c r="K5138" s="1" t="s">
        <v>24</v>
      </c>
      <c r="M5138" s="2">
        <v>42752</v>
      </c>
      <c r="N5138" s="1" t="s">
        <v>8</v>
      </c>
      <c r="O5138" s="2">
        <v>43847</v>
      </c>
    </row>
    <row r="5139" spans="1:15" ht="28.8" x14ac:dyDescent="0.3">
      <c r="A5139" s="1" t="s">
        <v>18985</v>
      </c>
      <c r="B5139" s="1" t="str">
        <f>"John Andrew Ratcliffe"</f>
        <v>John Andrew Ratcliffe</v>
      </c>
      <c r="C5139" s="1" t="s">
        <v>18986</v>
      </c>
      <c r="F5139" s="1" t="s">
        <v>1346</v>
      </c>
      <c r="H5139" s="1" t="s">
        <v>18987</v>
      </c>
      <c r="I5139" s="1" t="s">
        <v>5</v>
      </c>
      <c r="J5139" s="1" t="s">
        <v>6</v>
      </c>
      <c r="K5139" s="1" t="s">
        <v>34</v>
      </c>
      <c r="M5139" s="2">
        <v>42752</v>
      </c>
      <c r="N5139" s="1" t="s">
        <v>8</v>
      </c>
      <c r="O5139" s="2">
        <v>43847</v>
      </c>
    </row>
    <row r="5140" spans="1:15" ht="43.2" x14ac:dyDescent="0.3">
      <c r="A5140" s="1" t="s">
        <v>19843</v>
      </c>
      <c r="B5140" s="1" t="str">
        <f>"Mark Reynolds"</f>
        <v>Mark Reynolds</v>
      </c>
      <c r="C5140" s="1" t="s">
        <v>19844</v>
      </c>
      <c r="F5140" s="1" t="s">
        <v>556</v>
      </c>
      <c r="H5140" s="1" t="s">
        <v>19845</v>
      </c>
      <c r="I5140" s="1" t="s">
        <v>5</v>
      </c>
      <c r="J5140" s="1" t="s">
        <v>67</v>
      </c>
      <c r="K5140" s="1" t="s">
        <v>14</v>
      </c>
      <c r="M5140" s="2">
        <v>42752</v>
      </c>
      <c r="N5140" s="1" t="s">
        <v>8</v>
      </c>
      <c r="O5140" s="1" t="s">
        <v>68</v>
      </c>
    </row>
    <row r="5141" spans="1:15" ht="43.2" x14ac:dyDescent="0.3">
      <c r="A5141" s="1" t="s">
        <v>19846</v>
      </c>
      <c r="B5141" s="1" t="str">
        <f>"Daljit Singh Arora"</f>
        <v>Daljit Singh Arora</v>
      </c>
      <c r="C5141" s="1" t="s">
        <v>19847</v>
      </c>
      <c r="F5141" s="1" t="s">
        <v>91</v>
      </c>
      <c r="H5141" s="1" t="s">
        <v>19848</v>
      </c>
      <c r="I5141" s="1" t="s">
        <v>5</v>
      </c>
      <c r="J5141" s="1" t="s">
        <v>67</v>
      </c>
      <c r="K5141" s="1" t="s">
        <v>14</v>
      </c>
      <c r="M5141" s="2">
        <v>42752</v>
      </c>
      <c r="N5141" s="1" t="s">
        <v>8</v>
      </c>
      <c r="O5141" s="1" t="s">
        <v>68</v>
      </c>
    </row>
    <row r="5142" spans="1:15" ht="28.8" x14ac:dyDescent="0.3">
      <c r="A5142" s="1" t="s">
        <v>19849</v>
      </c>
      <c r="B5142" s="1" t="str">
        <f>"John Jones John Jones"</f>
        <v>John Jones John Jones</v>
      </c>
      <c r="C5142" s="1" t="s">
        <v>19850</v>
      </c>
      <c r="F5142" s="1" t="s">
        <v>710</v>
      </c>
      <c r="H5142" s="1" t="s">
        <v>19851</v>
      </c>
      <c r="I5142" s="1" t="s">
        <v>5</v>
      </c>
      <c r="J5142" s="1" t="s">
        <v>6</v>
      </c>
      <c r="K5142" s="1" t="s">
        <v>24</v>
      </c>
      <c r="M5142" s="2">
        <v>42752</v>
      </c>
      <c r="N5142" s="1" t="s">
        <v>8</v>
      </c>
      <c r="O5142" s="2">
        <v>43847</v>
      </c>
    </row>
    <row r="5143" spans="1:15" ht="43.2" x14ac:dyDescent="0.3">
      <c r="A5143" s="1" t="s">
        <v>19852</v>
      </c>
      <c r="B5143" s="1" t="str">
        <f>"Jordan Gethin"</f>
        <v>Jordan Gethin</v>
      </c>
      <c r="C5143" s="1" t="s">
        <v>19853</v>
      </c>
      <c r="F5143" s="1" t="s">
        <v>16099</v>
      </c>
      <c r="H5143" s="1" t="s">
        <v>19854</v>
      </c>
      <c r="I5143" s="1" t="s">
        <v>5</v>
      </c>
      <c r="J5143" s="1" t="s">
        <v>67</v>
      </c>
      <c r="K5143" s="1" t="s">
        <v>14</v>
      </c>
      <c r="M5143" s="2">
        <v>42752</v>
      </c>
      <c r="N5143" s="1" t="s">
        <v>8</v>
      </c>
      <c r="O5143" s="1" t="s">
        <v>68</v>
      </c>
    </row>
    <row r="5144" spans="1:15" ht="28.8" x14ac:dyDescent="0.3">
      <c r="A5144" s="1" t="s">
        <v>19855</v>
      </c>
      <c r="B5144" s="1" t="str">
        <f>"Steven  Bagley SB RUBBISH REMOVALS"</f>
        <v>Steven  Bagley SB RUBBISH REMOVALS</v>
      </c>
      <c r="C5144" s="1" t="s">
        <v>19856</v>
      </c>
      <c r="F5144" s="1" t="s">
        <v>65</v>
      </c>
      <c r="H5144" s="1" t="s">
        <v>19857</v>
      </c>
      <c r="I5144" s="1" t="s">
        <v>5</v>
      </c>
      <c r="J5144" s="1" t="s">
        <v>6</v>
      </c>
      <c r="K5144" s="1" t="s">
        <v>24</v>
      </c>
      <c r="M5144" s="2">
        <v>42752</v>
      </c>
      <c r="N5144" s="1" t="s">
        <v>8</v>
      </c>
      <c r="O5144" s="2">
        <v>43847</v>
      </c>
    </row>
    <row r="5145" spans="1:15" ht="28.8" x14ac:dyDescent="0.3">
      <c r="A5145" s="1" t="s">
        <v>19858</v>
      </c>
      <c r="B5145" s="1" t="str">
        <f>"darren hobbs D E HOBBS"</f>
        <v>darren hobbs D E HOBBS</v>
      </c>
      <c r="C5145" s="1" t="s">
        <v>19859</v>
      </c>
      <c r="F5145" s="1" t="s">
        <v>865</v>
      </c>
      <c r="H5145" s="1" t="s">
        <v>19860</v>
      </c>
      <c r="I5145" s="1" t="s">
        <v>5</v>
      </c>
      <c r="J5145" s="1" t="s">
        <v>6</v>
      </c>
      <c r="K5145" s="1" t="s">
        <v>24</v>
      </c>
      <c r="M5145" s="2">
        <v>42752</v>
      </c>
      <c r="N5145" s="1" t="s">
        <v>8</v>
      </c>
      <c r="O5145" s="2">
        <v>43847</v>
      </c>
    </row>
    <row r="5146" spans="1:15" ht="43.2" x14ac:dyDescent="0.3">
      <c r="A5146" s="1" t="s">
        <v>19861</v>
      </c>
      <c r="B5146" s="1" t="str">
        <f>"gareth mickeli gm building&amp;roofing&amp;rubbish removal"</f>
        <v>gareth mickeli gm building&amp;roofing&amp;rubbish removal</v>
      </c>
      <c r="C5146" s="1" t="s">
        <v>19862</v>
      </c>
      <c r="F5146" s="1" t="s">
        <v>4656</v>
      </c>
      <c r="H5146" s="1" t="s">
        <v>19863</v>
      </c>
      <c r="I5146" s="1" t="s">
        <v>5</v>
      </c>
      <c r="J5146" s="1" t="s">
        <v>6</v>
      </c>
      <c r="K5146" s="1" t="s">
        <v>24</v>
      </c>
      <c r="M5146" s="2">
        <v>42752</v>
      </c>
      <c r="N5146" s="1" t="s">
        <v>8</v>
      </c>
      <c r="O5146" s="2">
        <v>43847</v>
      </c>
    </row>
    <row r="5147" spans="1:15" ht="43.2" x14ac:dyDescent="0.3">
      <c r="A5147" s="1" t="s">
        <v>19864</v>
      </c>
      <c r="B5147" s="1" t="str">
        <f>"mskhan sidhu"</f>
        <v>mskhan sidhu</v>
      </c>
      <c r="C5147" s="1" t="s">
        <v>19865</v>
      </c>
      <c r="F5147" s="1" t="s">
        <v>739</v>
      </c>
      <c r="H5147" s="1" t="s">
        <v>19866</v>
      </c>
      <c r="I5147" s="1" t="s">
        <v>5</v>
      </c>
      <c r="J5147" s="1" t="s">
        <v>67</v>
      </c>
      <c r="K5147" s="1" t="s">
        <v>14</v>
      </c>
      <c r="M5147" s="2">
        <v>42752</v>
      </c>
      <c r="N5147" s="1" t="s">
        <v>8</v>
      </c>
      <c r="O5147" s="1" t="s">
        <v>68</v>
      </c>
    </row>
    <row r="5148" spans="1:15" ht="43.2" x14ac:dyDescent="0.3">
      <c r="A5148" s="1" t="s">
        <v>20577</v>
      </c>
      <c r="B5148" s="1" t="str">
        <f>"Ming-Wah Aw"</f>
        <v>Ming-Wah Aw</v>
      </c>
      <c r="C5148" s="1" t="s">
        <v>20578</v>
      </c>
      <c r="D5148" s="1" t="s">
        <v>20579</v>
      </c>
      <c r="F5148" s="1" t="s">
        <v>380</v>
      </c>
      <c r="H5148" s="1" t="s">
        <v>20580</v>
      </c>
      <c r="I5148" s="1" t="s">
        <v>5</v>
      </c>
      <c r="J5148" s="1" t="s">
        <v>67</v>
      </c>
      <c r="K5148" s="1" t="s">
        <v>14</v>
      </c>
      <c r="M5148" s="2">
        <v>42752</v>
      </c>
      <c r="N5148" s="1" t="s">
        <v>8</v>
      </c>
      <c r="O5148" s="1" t="s">
        <v>68</v>
      </c>
    </row>
    <row r="5149" spans="1:15" ht="28.8" x14ac:dyDescent="0.3">
      <c r="A5149" s="1" t="s">
        <v>3746</v>
      </c>
      <c r="B5149" s="1" t="str">
        <f>"Custom Precision Joinery Ltd."</f>
        <v>Custom Precision Joinery Ltd.</v>
      </c>
      <c r="C5149" s="1" t="s">
        <v>3747</v>
      </c>
      <c r="F5149" s="1" t="s">
        <v>2277</v>
      </c>
      <c r="H5149" s="1" t="s">
        <v>3748</v>
      </c>
      <c r="I5149" s="1" t="s">
        <v>19</v>
      </c>
      <c r="J5149" s="1" t="s">
        <v>6</v>
      </c>
      <c r="K5149" s="1" t="s">
        <v>24</v>
      </c>
      <c r="L5149" s="1">
        <v>1921953</v>
      </c>
      <c r="M5149" s="2">
        <v>42751</v>
      </c>
      <c r="N5149" s="1" t="s">
        <v>8</v>
      </c>
      <c r="O5149" s="2">
        <v>43846</v>
      </c>
    </row>
    <row r="5150" spans="1:15" x14ac:dyDescent="0.3">
      <c r="A5150" s="1" t="s">
        <v>3749</v>
      </c>
      <c r="B5150" s="1" t="str">
        <f>"Technocover Ltd."</f>
        <v>Technocover Ltd.</v>
      </c>
      <c r="C5150" s="1" t="s">
        <v>3750</v>
      </c>
      <c r="F5150" s="1" t="s">
        <v>416</v>
      </c>
      <c r="H5150" s="1" t="s">
        <v>2880</v>
      </c>
      <c r="I5150" s="1" t="s">
        <v>19</v>
      </c>
      <c r="J5150" s="1" t="s">
        <v>6</v>
      </c>
      <c r="K5150" s="1" t="s">
        <v>24</v>
      </c>
      <c r="L5150" s="1">
        <v>2845757</v>
      </c>
      <c r="M5150" s="2">
        <v>42751</v>
      </c>
      <c r="N5150" s="1" t="s">
        <v>8</v>
      </c>
      <c r="O5150" s="2">
        <v>43846</v>
      </c>
    </row>
    <row r="5151" spans="1:15" ht="43.2" x14ac:dyDescent="0.3">
      <c r="A5151" s="1" t="s">
        <v>3751</v>
      </c>
      <c r="B5151" s="1" t="str">
        <f>"r &amp; l store ltd"</f>
        <v>r &amp; l store ltd</v>
      </c>
      <c r="C5151" s="1" t="s">
        <v>3752</v>
      </c>
      <c r="D5151" s="1" t="s">
        <v>3753</v>
      </c>
      <c r="F5151" s="1" t="s">
        <v>3754</v>
      </c>
      <c r="H5151" s="1" t="s">
        <v>3755</v>
      </c>
      <c r="I5151" s="1" t="s">
        <v>19</v>
      </c>
      <c r="J5151" s="1" t="s">
        <v>67</v>
      </c>
      <c r="K5151" s="1" t="s">
        <v>14</v>
      </c>
      <c r="M5151" s="2">
        <v>42751</v>
      </c>
      <c r="N5151" s="1" t="s">
        <v>8</v>
      </c>
      <c r="O5151" s="1" t="s">
        <v>68</v>
      </c>
    </row>
    <row r="5152" spans="1:15" ht="43.2" x14ac:dyDescent="0.3">
      <c r="A5152" s="1" t="s">
        <v>3756</v>
      </c>
      <c r="B5152" s="1" t="str">
        <f>"sycamore way stores "</f>
        <v xml:space="preserve">sycamore way stores </v>
      </c>
      <c r="C5152" s="1" t="s">
        <v>3757</v>
      </c>
      <c r="F5152" s="1" t="s">
        <v>96</v>
      </c>
      <c r="H5152" s="1" t="s">
        <v>3758</v>
      </c>
      <c r="I5152" s="1" t="s">
        <v>19</v>
      </c>
      <c r="J5152" s="1" t="s">
        <v>67</v>
      </c>
      <c r="K5152" s="1" t="s">
        <v>14</v>
      </c>
      <c r="M5152" s="2">
        <v>42751</v>
      </c>
      <c r="N5152" s="1" t="s">
        <v>8</v>
      </c>
      <c r="O5152" s="1" t="s">
        <v>68</v>
      </c>
    </row>
    <row r="5153" spans="1:15" ht="28.8" x14ac:dyDescent="0.3">
      <c r="A5153" s="1" t="s">
        <v>18449</v>
      </c>
      <c r="B5153" s="1" t="str">
        <f>"CSJ Commodities Ltd "</f>
        <v xml:space="preserve">CSJ Commodities Ltd </v>
      </c>
      <c r="C5153" s="1" t="s">
        <v>18450</v>
      </c>
      <c r="D5153" s="1" t="s">
        <v>18451</v>
      </c>
      <c r="F5153" s="1" t="s">
        <v>401</v>
      </c>
      <c r="H5153" s="1" t="s">
        <v>18452</v>
      </c>
      <c r="I5153" s="1" t="s">
        <v>19</v>
      </c>
      <c r="J5153" s="1" t="s">
        <v>6</v>
      </c>
      <c r="K5153" s="1" t="s">
        <v>34</v>
      </c>
      <c r="L5153" s="1">
        <v>6015438</v>
      </c>
      <c r="M5153" s="2">
        <v>42751</v>
      </c>
      <c r="N5153" s="1" t="s">
        <v>8</v>
      </c>
      <c r="O5153" s="2">
        <v>43846</v>
      </c>
    </row>
    <row r="5154" spans="1:15" ht="43.2" x14ac:dyDescent="0.3">
      <c r="A5154" s="1" t="s">
        <v>18453</v>
      </c>
      <c r="B5154" s="1" t="str">
        <f>"Systems Group UK Ltd"</f>
        <v>Systems Group UK Ltd</v>
      </c>
      <c r="C5154" s="1" t="s">
        <v>18454</v>
      </c>
      <c r="F5154" s="1" t="s">
        <v>825</v>
      </c>
      <c r="H5154" s="1" t="s">
        <v>18455</v>
      </c>
      <c r="I5154" s="1" t="s">
        <v>19</v>
      </c>
      <c r="J5154" s="1" t="s">
        <v>67</v>
      </c>
      <c r="K5154" s="1" t="s">
        <v>14</v>
      </c>
      <c r="M5154" s="2">
        <v>42751</v>
      </c>
      <c r="N5154" s="1" t="s">
        <v>8</v>
      </c>
      <c r="O5154" s="1" t="s">
        <v>68</v>
      </c>
    </row>
    <row r="5155" spans="1:15" ht="28.8" x14ac:dyDescent="0.3">
      <c r="A5155" s="1" t="s">
        <v>18970</v>
      </c>
      <c r="B5155" s="1" t="str">
        <f>"Timothy Lippiatt T Lippiatt"</f>
        <v>Timothy Lippiatt T Lippiatt</v>
      </c>
      <c r="C5155" s="1" t="s">
        <v>18971</v>
      </c>
      <c r="F5155" s="1" t="s">
        <v>5291</v>
      </c>
      <c r="H5155" s="1" t="s">
        <v>18972</v>
      </c>
      <c r="I5155" s="1" t="s">
        <v>5</v>
      </c>
      <c r="J5155" s="1" t="s">
        <v>6</v>
      </c>
      <c r="K5155" s="1" t="s">
        <v>34</v>
      </c>
      <c r="M5155" s="2">
        <v>42751</v>
      </c>
      <c r="N5155" s="1" t="s">
        <v>8</v>
      </c>
      <c r="O5155" s="2">
        <v>43846</v>
      </c>
    </row>
    <row r="5156" spans="1:15" ht="43.2" x14ac:dyDescent="0.3">
      <c r="A5156" s="1" t="s">
        <v>18973</v>
      </c>
      <c r="B5156" s="1" t="str">
        <f>"Joe Chapman  1 durrant green High Halden "</f>
        <v xml:space="preserve">Joe Chapman  1 durrant green High Halden </v>
      </c>
      <c r="C5156" s="1" t="s">
        <v>18974</v>
      </c>
      <c r="F5156" s="1" t="s">
        <v>18975</v>
      </c>
      <c r="H5156" s="1" t="s">
        <v>18976</v>
      </c>
      <c r="I5156" s="1" t="s">
        <v>5</v>
      </c>
      <c r="J5156" s="1" t="s">
        <v>6</v>
      </c>
      <c r="K5156" s="1" t="s">
        <v>34</v>
      </c>
      <c r="M5156" s="2">
        <v>42751</v>
      </c>
      <c r="N5156" s="1" t="s">
        <v>8</v>
      </c>
      <c r="O5156" s="2">
        <v>43846</v>
      </c>
    </row>
    <row r="5157" spans="1:15" ht="43.2" x14ac:dyDescent="0.3">
      <c r="A5157" s="1" t="s">
        <v>18977</v>
      </c>
      <c r="B5157" s="1" t="str">
        <f>"Mark Convery"</f>
        <v>Mark Convery</v>
      </c>
      <c r="C5157" s="1" t="s">
        <v>18978</v>
      </c>
      <c r="F5157" s="1" t="s">
        <v>873</v>
      </c>
      <c r="H5157" s="1" t="s">
        <v>18979</v>
      </c>
      <c r="I5157" s="1" t="s">
        <v>5</v>
      </c>
      <c r="J5157" s="1" t="s">
        <v>67</v>
      </c>
      <c r="K5157" s="1" t="s">
        <v>14</v>
      </c>
      <c r="M5157" s="2">
        <v>42751</v>
      </c>
      <c r="N5157" s="1" t="s">
        <v>8</v>
      </c>
      <c r="O5157" s="1" t="s">
        <v>68</v>
      </c>
    </row>
    <row r="5158" spans="1:15" ht="43.2" x14ac:dyDescent="0.3">
      <c r="A5158" s="1" t="s">
        <v>18980</v>
      </c>
      <c r="B5158" s="1" t="str">
        <f>"Andrew Chamberlain"</f>
        <v>Andrew Chamberlain</v>
      </c>
      <c r="C5158" s="1" t="s">
        <v>18981</v>
      </c>
      <c r="F5158" s="1" t="s">
        <v>5645</v>
      </c>
      <c r="H5158" s="1" t="s">
        <v>18982</v>
      </c>
      <c r="I5158" s="1" t="s">
        <v>5</v>
      </c>
      <c r="J5158" s="1" t="s">
        <v>67</v>
      </c>
      <c r="K5158" s="1" t="s">
        <v>14</v>
      </c>
      <c r="M5158" s="2">
        <v>42751</v>
      </c>
      <c r="N5158" s="1" t="s">
        <v>8</v>
      </c>
      <c r="O5158" s="1" t="s">
        <v>68</v>
      </c>
    </row>
    <row r="5159" spans="1:15" ht="43.2" x14ac:dyDescent="0.3">
      <c r="A5159" s="1" t="s">
        <v>18983</v>
      </c>
      <c r="B5159" s="1" t="str">
        <f>"Patrick Hamilton Hamilton Contracting Services"</f>
        <v>Patrick Hamilton Hamilton Contracting Services</v>
      </c>
      <c r="C5159" s="1" t="s">
        <v>14893</v>
      </c>
      <c r="D5159" s="1" t="s">
        <v>1370</v>
      </c>
      <c r="F5159" s="1" t="s">
        <v>65</v>
      </c>
      <c r="H5159" s="1" t="s">
        <v>14895</v>
      </c>
      <c r="I5159" s="1" t="s">
        <v>5</v>
      </c>
      <c r="J5159" s="1" t="s">
        <v>6</v>
      </c>
      <c r="K5159" s="1" t="s">
        <v>34</v>
      </c>
      <c r="M5159" s="2">
        <v>42751</v>
      </c>
      <c r="N5159" s="1" t="s">
        <v>8</v>
      </c>
      <c r="O5159" s="2">
        <v>43846</v>
      </c>
    </row>
    <row r="5160" spans="1:15" ht="43.2" x14ac:dyDescent="0.3">
      <c r="A5160" s="1" t="s">
        <v>30040</v>
      </c>
      <c r="B5160" s="1" t="str">
        <f>"mohammad ifshan"</f>
        <v>mohammad ifshan</v>
      </c>
      <c r="C5160" s="1" t="s">
        <v>30041</v>
      </c>
      <c r="F5160" s="1" t="s">
        <v>10091</v>
      </c>
      <c r="H5160" s="1" t="s">
        <v>30042</v>
      </c>
      <c r="I5160" s="1" t="s">
        <v>5</v>
      </c>
      <c r="J5160" s="1" t="s">
        <v>67</v>
      </c>
      <c r="K5160" s="1" t="s">
        <v>14</v>
      </c>
      <c r="M5160" s="2">
        <v>42750</v>
      </c>
      <c r="N5160" s="1" t="s">
        <v>8</v>
      </c>
      <c r="O5160" s="1" t="s">
        <v>68</v>
      </c>
    </row>
    <row r="5161" spans="1:15" ht="43.2" x14ac:dyDescent="0.3">
      <c r="A5161" s="1" t="s">
        <v>30043</v>
      </c>
      <c r="B5161" s="1" t="str">
        <f>"grant smith"</f>
        <v>grant smith</v>
      </c>
      <c r="C5161" s="1" t="s">
        <v>30044</v>
      </c>
      <c r="F5161" s="1" t="s">
        <v>4200</v>
      </c>
      <c r="H5161" s="1" t="s">
        <v>30045</v>
      </c>
      <c r="I5161" s="1" t="s">
        <v>5</v>
      </c>
      <c r="J5161" s="1" t="s">
        <v>67</v>
      </c>
      <c r="K5161" s="1" t="s">
        <v>14</v>
      </c>
      <c r="M5161" s="2">
        <v>42750</v>
      </c>
      <c r="N5161" s="1" t="s">
        <v>8</v>
      </c>
      <c r="O5161" s="1" t="s">
        <v>68</v>
      </c>
    </row>
    <row r="5162" spans="1:15" ht="43.2" x14ac:dyDescent="0.3">
      <c r="A5162" s="1" t="s">
        <v>30046</v>
      </c>
      <c r="B5162" s="1" t="str">
        <f>"Stuart  Wilson "</f>
        <v xml:space="preserve">Stuart  Wilson </v>
      </c>
      <c r="C5162" s="1" t="s">
        <v>30047</v>
      </c>
      <c r="F5162" s="1" t="s">
        <v>18901</v>
      </c>
      <c r="H5162" s="1" t="s">
        <v>30048</v>
      </c>
      <c r="I5162" s="1" t="s">
        <v>5</v>
      </c>
      <c r="J5162" s="1" t="s">
        <v>67</v>
      </c>
      <c r="K5162" s="1" t="s">
        <v>14</v>
      </c>
      <c r="M5162" s="2">
        <v>42750</v>
      </c>
      <c r="N5162" s="1" t="s">
        <v>8</v>
      </c>
      <c r="O5162" s="1" t="s">
        <v>68</v>
      </c>
    </row>
    <row r="5163" spans="1:15" ht="43.2" x14ac:dyDescent="0.3">
      <c r="A5163" s="1" t="s">
        <v>30033</v>
      </c>
      <c r="B5163" s="1" t="str">
        <f>"Paul Haggerty"</f>
        <v>Paul Haggerty</v>
      </c>
      <c r="C5163" s="1" t="s">
        <v>15823</v>
      </c>
      <c r="F5163" s="1" t="s">
        <v>1175</v>
      </c>
      <c r="H5163" s="1" t="s">
        <v>30034</v>
      </c>
      <c r="I5163" s="1" t="s">
        <v>5</v>
      </c>
      <c r="J5163" s="1" t="s">
        <v>67</v>
      </c>
      <c r="K5163" s="1" t="s">
        <v>14</v>
      </c>
      <c r="M5163" s="2">
        <v>42749</v>
      </c>
      <c r="N5163" s="1" t="s">
        <v>8</v>
      </c>
      <c r="O5163" s="1" t="s">
        <v>68</v>
      </c>
    </row>
    <row r="5164" spans="1:15" ht="43.2" x14ac:dyDescent="0.3">
      <c r="A5164" s="1" t="s">
        <v>30035</v>
      </c>
      <c r="B5164" s="1" t="str">
        <f>"Andrew Lowther"</f>
        <v>Andrew Lowther</v>
      </c>
      <c r="C5164" s="1" t="s">
        <v>30036</v>
      </c>
      <c r="F5164" s="1" t="s">
        <v>65</v>
      </c>
      <c r="H5164" s="1" t="s">
        <v>25343</v>
      </c>
      <c r="I5164" s="1" t="s">
        <v>5</v>
      </c>
      <c r="J5164" s="1" t="s">
        <v>67</v>
      </c>
      <c r="K5164" s="1" t="s">
        <v>14</v>
      </c>
      <c r="M5164" s="2">
        <v>42749</v>
      </c>
      <c r="N5164" s="1" t="s">
        <v>8</v>
      </c>
      <c r="O5164" s="1" t="s">
        <v>68</v>
      </c>
    </row>
    <row r="5165" spans="1:15" ht="43.2" x14ac:dyDescent="0.3">
      <c r="A5165" s="1" t="s">
        <v>30037</v>
      </c>
      <c r="B5165" s="1" t="str">
        <f>"andrew shelford"</f>
        <v>andrew shelford</v>
      </c>
      <c r="C5165" s="1" t="s">
        <v>30038</v>
      </c>
      <c r="F5165" s="1" t="s">
        <v>65</v>
      </c>
      <c r="H5165" s="1" t="s">
        <v>30039</v>
      </c>
      <c r="I5165" s="1" t="s">
        <v>5</v>
      </c>
      <c r="J5165" s="1" t="s">
        <v>67</v>
      </c>
      <c r="K5165" s="1" t="s">
        <v>14</v>
      </c>
      <c r="M5165" s="2">
        <v>42749</v>
      </c>
      <c r="N5165" s="1" t="s">
        <v>8</v>
      </c>
      <c r="O5165" s="1" t="s">
        <v>68</v>
      </c>
    </row>
    <row r="5166" spans="1:15" ht="43.2" x14ac:dyDescent="0.3">
      <c r="A5166" s="1" t="s">
        <v>17502</v>
      </c>
      <c r="B5166" s="1" t="str">
        <f>"Valley news"</f>
        <v>Valley news</v>
      </c>
      <c r="C5166" s="1" t="s">
        <v>17503</v>
      </c>
      <c r="F5166" s="1" t="s">
        <v>5645</v>
      </c>
      <c r="H5166" s="1" t="s">
        <v>17504</v>
      </c>
      <c r="I5166" s="1" t="s">
        <v>19</v>
      </c>
      <c r="J5166" s="1" t="s">
        <v>67</v>
      </c>
      <c r="K5166" s="1" t="s">
        <v>14</v>
      </c>
      <c r="M5166" s="2">
        <v>42748</v>
      </c>
      <c r="N5166" s="1" t="s">
        <v>8</v>
      </c>
      <c r="O5166" s="1" t="s">
        <v>68</v>
      </c>
    </row>
    <row r="5167" spans="1:15" ht="43.2" x14ac:dyDescent="0.3">
      <c r="A5167" s="1" t="s">
        <v>17505</v>
      </c>
      <c r="B5167" s="1" t="str">
        <f>"Family Shopper"</f>
        <v>Family Shopper</v>
      </c>
      <c r="C5167" s="1" t="s">
        <v>17506</v>
      </c>
      <c r="D5167" s="1" t="s">
        <v>17507</v>
      </c>
      <c r="E5167" s="1" t="s">
        <v>17508</v>
      </c>
      <c r="F5167" s="1" t="s">
        <v>739</v>
      </c>
      <c r="H5167" s="1" t="s">
        <v>17509</v>
      </c>
      <c r="I5167" s="1" t="s">
        <v>125</v>
      </c>
      <c r="J5167" s="1" t="s">
        <v>67</v>
      </c>
      <c r="K5167" s="1" t="s">
        <v>14</v>
      </c>
      <c r="M5167" s="2">
        <v>42748</v>
      </c>
      <c r="N5167" s="1" t="s">
        <v>8</v>
      </c>
      <c r="O5167" s="1" t="s">
        <v>68</v>
      </c>
    </row>
    <row r="5168" spans="1:15" ht="43.2" x14ac:dyDescent="0.3">
      <c r="A5168" s="1" t="s">
        <v>17510</v>
      </c>
      <c r="B5168" s="1" t="str">
        <f>"I for design ltd"</f>
        <v>I for design ltd</v>
      </c>
      <c r="C5168" s="1" t="s">
        <v>17511</v>
      </c>
      <c r="F5168" s="1" t="s">
        <v>17512</v>
      </c>
      <c r="H5168" s="1" t="s">
        <v>17513</v>
      </c>
      <c r="I5168" s="1" t="s">
        <v>19</v>
      </c>
      <c r="J5168" s="1" t="s">
        <v>67</v>
      </c>
      <c r="K5168" s="1" t="s">
        <v>14</v>
      </c>
      <c r="M5168" s="2">
        <v>42748</v>
      </c>
      <c r="N5168" s="1" t="s">
        <v>8</v>
      </c>
      <c r="O5168" s="1" t="s">
        <v>68</v>
      </c>
    </row>
    <row r="5169" spans="1:15" ht="43.2" x14ac:dyDescent="0.3">
      <c r="A5169" s="1" t="s">
        <v>17514</v>
      </c>
      <c r="B5169" s="1" t="str">
        <f>"EVERGREEN SUPPLIES LTD"</f>
        <v>EVERGREEN SUPPLIES LTD</v>
      </c>
      <c r="C5169" s="1" t="s">
        <v>3506</v>
      </c>
      <c r="F5169" s="1" t="s">
        <v>1175</v>
      </c>
      <c r="H5169" s="1" t="s">
        <v>3341</v>
      </c>
      <c r="I5169" s="1" t="s">
        <v>19</v>
      </c>
      <c r="J5169" s="1" t="s">
        <v>67</v>
      </c>
      <c r="K5169" s="1" t="s">
        <v>14</v>
      </c>
      <c r="M5169" s="2">
        <v>42748</v>
      </c>
      <c r="N5169" s="1" t="s">
        <v>8</v>
      </c>
      <c r="O5169" s="1" t="s">
        <v>68</v>
      </c>
    </row>
    <row r="5170" spans="1:15" ht="43.2" x14ac:dyDescent="0.3">
      <c r="A5170" s="1" t="s">
        <v>17515</v>
      </c>
      <c r="B5170" s="1" t="str">
        <f>"BEACHES DINER"</f>
        <v>BEACHES DINER</v>
      </c>
      <c r="C5170" s="1" t="s">
        <v>17516</v>
      </c>
      <c r="F5170" s="1" t="s">
        <v>5227</v>
      </c>
      <c r="H5170" s="1" t="s">
        <v>17517</v>
      </c>
      <c r="I5170" s="1" t="s">
        <v>125</v>
      </c>
      <c r="J5170" s="1" t="s">
        <v>67</v>
      </c>
      <c r="K5170" s="1" t="s">
        <v>14</v>
      </c>
      <c r="M5170" s="2">
        <v>42748</v>
      </c>
      <c r="N5170" s="1" t="s">
        <v>8</v>
      </c>
      <c r="O5170" s="1" t="s">
        <v>68</v>
      </c>
    </row>
    <row r="5171" spans="1:15" ht="28.8" x14ac:dyDescent="0.3">
      <c r="A5171" s="1" t="s">
        <v>17518</v>
      </c>
      <c r="B5171" s="1" t="str">
        <f>"P.C. SPENCER CONTRACTORS"</f>
        <v>P.C. SPENCER CONTRACTORS</v>
      </c>
      <c r="C5171" s="1" t="s">
        <v>17519</v>
      </c>
      <c r="F5171" s="1" t="s">
        <v>65</v>
      </c>
      <c r="H5171" s="1" t="s">
        <v>17520</v>
      </c>
      <c r="I5171" s="1" t="s">
        <v>125</v>
      </c>
      <c r="J5171" s="1" t="s">
        <v>6</v>
      </c>
      <c r="K5171" s="1" t="s">
        <v>24</v>
      </c>
      <c r="M5171" s="2">
        <v>42748</v>
      </c>
      <c r="N5171" s="1" t="s">
        <v>8</v>
      </c>
      <c r="O5171" s="2">
        <v>43843</v>
      </c>
    </row>
    <row r="5172" spans="1:15" ht="43.2" x14ac:dyDescent="0.3">
      <c r="A5172" s="1" t="s">
        <v>29268</v>
      </c>
      <c r="B5172" s="1" t="str">
        <f>"Ozgur  Palo"</f>
        <v>Ozgur  Palo</v>
      </c>
      <c r="C5172" s="1" t="s">
        <v>16860</v>
      </c>
      <c r="F5172" s="1" t="s">
        <v>739</v>
      </c>
      <c r="H5172" s="1" t="s">
        <v>16861</v>
      </c>
      <c r="I5172" s="1" t="s">
        <v>5</v>
      </c>
      <c r="J5172" s="1" t="s">
        <v>67</v>
      </c>
      <c r="K5172" s="1" t="s">
        <v>14</v>
      </c>
      <c r="M5172" s="2">
        <v>42748</v>
      </c>
      <c r="N5172" s="1" t="s">
        <v>8</v>
      </c>
      <c r="O5172" s="1" t="s">
        <v>68</v>
      </c>
    </row>
    <row r="5173" spans="1:15" ht="43.2" x14ac:dyDescent="0.3">
      <c r="A5173" s="1" t="s">
        <v>29269</v>
      </c>
      <c r="B5173" s="1" t="str">
        <f>"TONY KING"</f>
        <v>TONY KING</v>
      </c>
      <c r="C5173" s="1" t="s">
        <v>29270</v>
      </c>
      <c r="F5173" s="1" t="s">
        <v>16099</v>
      </c>
      <c r="H5173" s="1" t="s">
        <v>29271</v>
      </c>
      <c r="I5173" s="1" t="s">
        <v>5</v>
      </c>
      <c r="J5173" s="1" t="s">
        <v>67</v>
      </c>
      <c r="K5173" s="1" t="s">
        <v>14</v>
      </c>
      <c r="M5173" s="2">
        <v>42748</v>
      </c>
      <c r="N5173" s="1" t="s">
        <v>8</v>
      </c>
      <c r="O5173" s="1" t="s">
        <v>68</v>
      </c>
    </row>
    <row r="5174" spans="1:15" ht="28.8" x14ac:dyDescent="0.3">
      <c r="A5174" s="1" t="s">
        <v>29272</v>
      </c>
      <c r="B5174" s="1" t="str">
        <f>"Neil Davies Re-Build"</f>
        <v>Neil Davies Re-Build</v>
      </c>
      <c r="C5174" s="1" t="s">
        <v>29273</v>
      </c>
      <c r="F5174" s="1" t="s">
        <v>42</v>
      </c>
      <c r="H5174" s="1" t="s">
        <v>29274</v>
      </c>
      <c r="I5174" s="1" t="s">
        <v>5</v>
      </c>
      <c r="J5174" s="1" t="s">
        <v>6</v>
      </c>
      <c r="K5174" s="1" t="s">
        <v>34</v>
      </c>
      <c r="M5174" s="2">
        <v>42748</v>
      </c>
      <c r="N5174" s="1" t="s">
        <v>8</v>
      </c>
      <c r="O5174" s="2">
        <v>43843</v>
      </c>
    </row>
    <row r="5175" spans="1:15" ht="28.8" x14ac:dyDescent="0.3">
      <c r="A5175" s="1" t="s">
        <v>29275</v>
      </c>
      <c r="B5175" s="1" t="str">
        <f>"Roy Manship Roy Manship"</f>
        <v>Roy Manship Roy Manship</v>
      </c>
      <c r="C5175" s="1" t="s">
        <v>29276</v>
      </c>
      <c r="F5175" s="1" t="s">
        <v>103</v>
      </c>
      <c r="H5175" s="1" t="s">
        <v>29277</v>
      </c>
      <c r="I5175" s="1" t="s">
        <v>5</v>
      </c>
      <c r="J5175" s="1" t="s">
        <v>6</v>
      </c>
      <c r="K5175" s="1" t="s">
        <v>24</v>
      </c>
      <c r="M5175" s="2">
        <v>42748</v>
      </c>
      <c r="N5175" s="1" t="s">
        <v>8</v>
      </c>
      <c r="O5175" s="2">
        <v>43843</v>
      </c>
    </row>
    <row r="5176" spans="1:15" ht="28.8" x14ac:dyDescent="0.3">
      <c r="A5176" s="1" t="s">
        <v>30024</v>
      </c>
      <c r="B5176" s="1" t="str">
        <f>"Benjamin roberts Benjamin Roberts "</f>
        <v xml:space="preserve">Benjamin roberts Benjamin Roberts </v>
      </c>
      <c r="C5176" s="1" t="s">
        <v>30025</v>
      </c>
      <c r="F5176" s="1" t="s">
        <v>3142</v>
      </c>
      <c r="H5176" s="1" t="s">
        <v>30026</v>
      </c>
      <c r="I5176" s="1" t="s">
        <v>5</v>
      </c>
      <c r="J5176" s="1" t="s">
        <v>6</v>
      </c>
      <c r="K5176" s="1" t="s">
        <v>24</v>
      </c>
      <c r="M5176" s="2">
        <v>42748</v>
      </c>
      <c r="N5176" s="1" t="s">
        <v>8</v>
      </c>
      <c r="O5176" s="2">
        <v>43843</v>
      </c>
    </row>
    <row r="5177" spans="1:15" ht="43.2" x14ac:dyDescent="0.3">
      <c r="A5177" s="1" t="s">
        <v>30027</v>
      </c>
      <c r="B5177" s="1" t="str">
        <f>"Mohammed  Khalid"</f>
        <v>Mohammed  Khalid</v>
      </c>
      <c r="C5177" s="1" t="s">
        <v>30028</v>
      </c>
      <c r="D5177" s="1" t="s">
        <v>22490</v>
      </c>
      <c r="F5177" s="1" t="s">
        <v>30029</v>
      </c>
      <c r="H5177" s="1" t="s">
        <v>30030</v>
      </c>
      <c r="I5177" s="1" t="s">
        <v>5</v>
      </c>
      <c r="J5177" s="1" t="s">
        <v>67</v>
      </c>
      <c r="K5177" s="1" t="s">
        <v>14</v>
      </c>
      <c r="M5177" s="2">
        <v>42748</v>
      </c>
      <c r="N5177" s="1" t="s">
        <v>8</v>
      </c>
      <c r="O5177" s="1" t="s">
        <v>68</v>
      </c>
    </row>
    <row r="5178" spans="1:15" ht="43.2" x14ac:dyDescent="0.3">
      <c r="A5178" s="1" t="s">
        <v>30031</v>
      </c>
      <c r="B5178" s="1" t="str">
        <f>"Andrew Burgess"</f>
        <v>Andrew Burgess</v>
      </c>
      <c r="C5178" s="1" t="s">
        <v>30032</v>
      </c>
      <c r="F5178" s="1" t="s">
        <v>714</v>
      </c>
      <c r="H5178" s="1" t="s">
        <v>23252</v>
      </c>
      <c r="I5178" s="1" t="s">
        <v>5</v>
      </c>
      <c r="J5178" s="1" t="s">
        <v>67</v>
      </c>
      <c r="K5178" s="1" t="s">
        <v>14</v>
      </c>
      <c r="M5178" s="2">
        <v>42748</v>
      </c>
      <c r="N5178" s="1" t="s">
        <v>8</v>
      </c>
      <c r="O5178" s="1" t="s">
        <v>68</v>
      </c>
    </row>
    <row r="5179" spans="1:15" x14ac:dyDescent="0.3">
      <c r="A5179" s="1" t="s">
        <v>15439</v>
      </c>
      <c r="B5179" s="1" t="str">
        <f>"Dylan Thomas"</f>
        <v>Dylan Thomas</v>
      </c>
      <c r="C5179" s="1" t="s">
        <v>15440</v>
      </c>
      <c r="F5179" s="1" t="s">
        <v>15441</v>
      </c>
      <c r="H5179" s="1" t="s">
        <v>15442</v>
      </c>
      <c r="I5179" s="1" t="s">
        <v>125</v>
      </c>
      <c r="J5179" s="1" t="s">
        <v>6</v>
      </c>
      <c r="K5179" s="1" t="s">
        <v>24</v>
      </c>
      <c r="M5179" s="2">
        <v>42747</v>
      </c>
      <c r="N5179" s="1" t="s">
        <v>8</v>
      </c>
      <c r="O5179" s="2">
        <v>43842</v>
      </c>
    </row>
    <row r="5180" spans="1:15" ht="43.2" x14ac:dyDescent="0.3">
      <c r="A5180" s="1" t="s">
        <v>15443</v>
      </c>
      <c r="B5180" s="1" t="str">
        <f>"THE FENCING PARTNERSHIP LTD"</f>
        <v>THE FENCING PARTNERSHIP LTD</v>
      </c>
      <c r="C5180" s="1" t="s">
        <v>15444</v>
      </c>
      <c r="F5180" s="1" t="s">
        <v>2711</v>
      </c>
      <c r="H5180" s="1" t="s">
        <v>15445</v>
      </c>
      <c r="I5180" s="1" t="s">
        <v>19</v>
      </c>
      <c r="J5180" s="1" t="s">
        <v>6</v>
      </c>
      <c r="K5180" s="1" t="s">
        <v>24</v>
      </c>
      <c r="L5180" s="1">
        <v>4448673</v>
      </c>
      <c r="M5180" s="2">
        <v>42747</v>
      </c>
      <c r="N5180" s="1" t="s">
        <v>8</v>
      </c>
      <c r="O5180" s="2">
        <v>43842</v>
      </c>
    </row>
    <row r="5181" spans="1:15" ht="43.2" x14ac:dyDescent="0.3">
      <c r="A5181" s="1" t="s">
        <v>15446</v>
      </c>
      <c r="B5181" s="1" t="str">
        <f>"R&amp;R Retail Ltd"</f>
        <v>R&amp;R Retail Ltd</v>
      </c>
      <c r="C5181" s="1" t="s">
        <v>15447</v>
      </c>
      <c r="F5181" s="1" t="s">
        <v>1175</v>
      </c>
      <c r="H5181" s="1" t="s">
        <v>15448</v>
      </c>
      <c r="I5181" s="1" t="s">
        <v>19</v>
      </c>
      <c r="J5181" s="1" t="s">
        <v>67</v>
      </c>
      <c r="K5181" s="1" t="s">
        <v>14</v>
      </c>
      <c r="M5181" s="2">
        <v>42747</v>
      </c>
      <c r="N5181" s="1" t="s">
        <v>8</v>
      </c>
      <c r="O5181" s="1" t="s">
        <v>68</v>
      </c>
    </row>
    <row r="5182" spans="1:15" ht="28.8" x14ac:dyDescent="0.3">
      <c r="A5182" s="1" t="s">
        <v>15449</v>
      </c>
      <c r="B5182" s="1" t="str">
        <f>"Hefin Williams Ltd"</f>
        <v>Hefin Williams Ltd</v>
      </c>
      <c r="C5182" s="1" t="s">
        <v>15450</v>
      </c>
      <c r="D5182" s="1" t="s">
        <v>15451</v>
      </c>
      <c r="F5182" s="1" t="s">
        <v>710</v>
      </c>
      <c r="H5182" s="1" t="s">
        <v>15452</v>
      </c>
      <c r="I5182" s="1" t="s">
        <v>19</v>
      </c>
      <c r="J5182" s="1" t="s">
        <v>6</v>
      </c>
      <c r="K5182" s="1" t="s">
        <v>34</v>
      </c>
      <c r="L5182" s="1">
        <v>4923106</v>
      </c>
      <c r="M5182" s="2">
        <v>42747</v>
      </c>
      <c r="N5182" s="1" t="s">
        <v>8</v>
      </c>
      <c r="O5182" s="2">
        <v>43842</v>
      </c>
    </row>
    <row r="5183" spans="1:15" ht="43.2" x14ac:dyDescent="0.3">
      <c r="A5183" s="1" t="s">
        <v>16490</v>
      </c>
      <c r="B5183" s="1" t="str">
        <f>"ESI Technology Limited"</f>
        <v>ESI Technology Limited</v>
      </c>
      <c r="C5183" s="1" t="s">
        <v>16491</v>
      </c>
      <c r="F5183" s="1" t="s">
        <v>198</v>
      </c>
      <c r="H5183" s="1" t="s">
        <v>16492</v>
      </c>
      <c r="I5183" s="1" t="s">
        <v>19</v>
      </c>
      <c r="J5183" s="1" t="s">
        <v>67</v>
      </c>
      <c r="K5183" s="1" t="s">
        <v>14</v>
      </c>
      <c r="M5183" s="2">
        <v>42747</v>
      </c>
      <c r="N5183" s="1" t="s">
        <v>8</v>
      </c>
      <c r="O5183" s="1" t="s">
        <v>68</v>
      </c>
    </row>
    <row r="5184" spans="1:15" ht="43.2" x14ac:dyDescent="0.3">
      <c r="A5184" s="1" t="s">
        <v>16493</v>
      </c>
      <c r="B5184" s="1" t="str">
        <f>"Aberfan Post Office"</f>
        <v>Aberfan Post Office</v>
      </c>
      <c r="C5184" s="1" t="s">
        <v>16494</v>
      </c>
      <c r="F5184" s="1" t="s">
        <v>739</v>
      </c>
      <c r="H5184" s="1" t="s">
        <v>16495</v>
      </c>
      <c r="I5184" s="1" t="s">
        <v>125</v>
      </c>
      <c r="J5184" s="1" t="s">
        <v>67</v>
      </c>
      <c r="K5184" s="1" t="s">
        <v>14</v>
      </c>
      <c r="M5184" s="2">
        <v>42747</v>
      </c>
      <c r="N5184" s="1" t="s">
        <v>8</v>
      </c>
      <c r="O5184" s="1" t="s">
        <v>68</v>
      </c>
    </row>
    <row r="5185" spans="1:15" ht="43.2" x14ac:dyDescent="0.3">
      <c r="A5185" s="1" t="s">
        <v>16496</v>
      </c>
      <c r="B5185" s="1" t="str">
        <f>"Aman stores"</f>
        <v>Aman stores</v>
      </c>
      <c r="C5185" s="1" t="s">
        <v>16497</v>
      </c>
      <c r="F5185" s="1" t="s">
        <v>739</v>
      </c>
      <c r="H5185" s="1" t="s">
        <v>16498</v>
      </c>
      <c r="I5185" s="1" t="s">
        <v>19</v>
      </c>
      <c r="J5185" s="1" t="s">
        <v>67</v>
      </c>
      <c r="K5185" s="1" t="s">
        <v>14</v>
      </c>
      <c r="M5185" s="2">
        <v>42747</v>
      </c>
      <c r="N5185" s="1" t="s">
        <v>8</v>
      </c>
      <c r="O5185" s="1" t="s">
        <v>68</v>
      </c>
    </row>
    <row r="5186" spans="1:15" ht="28.8" x14ac:dyDescent="0.3">
      <c r="A5186" s="1" t="s">
        <v>27749</v>
      </c>
      <c r="B5186" s="1" t="str">
        <f>"Dafydd Gwynfor Jones GJ Refrigeration"</f>
        <v>Dafydd Gwynfor Jones GJ Refrigeration</v>
      </c>
      <c r="C5186" s="1" t="s">
        <v>27750</v>
      </c>
      <c r="F5186" s="1" t="s">
        <v>1184</v>
      </c>
      <c r="H5186" s="1" t="s">
        <v>27751</v>
      </c>
      <c r="I5186" s="1" t="s">
        <v>5</v>
      </c>
      <c r="J5186" s="1" t="s">
        <v>6</v>
      </c>
      <c r="K5186" s="1" t="s">
        <v>34</v>
      </c>
      <c r="M5186" s="2">
        <v>42747</v>
      </c>
      <c r="N5186" s="1" t="s">
        <v>8</v>
      </c>
      <c r="O5186" s="2">
        <v>43842</v>
      </c>
    </row>
    <row r="5187" spans="1:15" ht="28.8" x14ac:dyDescent="0.3">
      <c r="A5187" s="1" t="s">
        <v>28543</v>
      </c>
      <c r="B5187" s="1" t="str">
        <f>"STEVEN GIBSON ROAD RUNNERS"</f>
        <v>STEVEN GIBSON ROAD RUNNERS</v>
      </c>
      <c r="C5187" s="1" t="s">
        <v>12777</v>
      </c>
      <c r="F5187" s="1" t="s">
        <v>2950</v>
      </c>
      <c r="H5187" s="1" t="s">
        <v>12778</v>
      </c>
      <c r="I5187" s="1" t="s">
        <v>5</v>
      </c>
      <c r="J5187" s="1" t="s">
        <v>6</v>
      </c>
      <c r="K5187" s="1" t="s">
        <v>34</v>
      </c>
      <c r="M5187" s="2">
        <v>42747</v>
      </c>
      <c r="N5187" s="1" t="s">
        <v>8</v>
      </c>
      <c r="O5187" s="2">
        <v>43842</v>
      </c>
    </row>
    <row r="5188" spans="1:15" ht="28.8" x14ac:dyDescent="0.3">
      <c r="A5188" s="1" t="s">
        <v>28544</v>
      </c>
      <c r="B5188" s="1" t="str">
        <f>"Joby Thomas Mr Joby Thomas"</f>
        <v>Joby Thomas Mr Joby Thomas</v>
      </c>
      <c r="C5188" s="1" t="s">
        <v>28545</v>
      </c>
      <c r="F5188" s="1" t="s">
        <v>8319</v>
      </c>
      <c r="H5188" s="1" t="s">
        <v>28546</v>
      </c>
      <c r="I5188" s="1" t="s">
        <v>5</v>
      </c>
      <c r="J5188" s="1" t="s">
        <v>6</v>
      </c>
      <c r="K5188" s="1" t="s">
        <v>24</v>
      </c>
      <c r="M5188" s="2">
        <v>42747</v>
      </c>
      <c r="N5188" s="1" t="s">
        <v>8</v>
      </c>
      <c r="O5188" s="2">
        <v>43842</v>
      </c>
    </row>
    <row r="5189" spans="1:15" ht="43.2" x14ac:dyDescent="0.3">
      <c r="A5189" s="1" t="s">
        <v>28547</v>
      </c>
      <c r="B5189" s="1" t="str">
        <f>"James Harrison 1st Choice vehicle dismantlers"</f>
        <v>James Harrison 1st Choice vehicle dismantlers</v>
      </c>
      <c r="C5189" s="1" t="s">
        <v>28548</v>
      </c>
      <c r="D5189" s="1" t="s">
        <v>9447</v>
      </c>
      <c r="E5189" s="1" t="s">
        <v>9448</v>
      </c>
      <c r="F5189" s="1" t="s">
        <v>27</v>
      </c>
      <c r="H5189" s="1" t="s">
        <v>9449</v>
      </c>
      <c r="I5189" s="1" t="s">
        <v>5</v>
      </c>
      <c r="J5189" s="1" t="s">
        <v>6</v>
      </c>
      <c r="K5189" s="1" t="s">
        <v>34</v>
      </c>
      <c r="M5189" s="2">
        <v>42747</v>
      </c>
      <c r="N5189" s="1" t="s">
        <v>8</v>
      </c>
      <c r="O5189" s="2">
        <v>43842</v>
      </c>
    </row>
    <row r="5190" spans="1:15" ht="43.2" x14ac:dyDescent="0.3">
      <c r="A5190" s="1" t="s">
        <v>28549</v>
      </c>
      <c r="B5190" s="1" t="str">
        <f>"Veru Singh"</f>
        <v>Veru Singh</v>
      </c>
      <c r="C5190" s="1" t="s">
        <v>28550</v>
      </c>
      <c r="F5190" s="1" t="s">
        <v>739</v>
      </c>
      <c r="H5190" s="1" t="s">
        <v>22556</v>
      </c>
      <c r="I5190" s="1" t="s">
        <v>5</v>
      </c>
      <c r="J5190" s="1" t="s">
        <v>67</v>
      </c>
      <c r="K5190" s="1" t="s">
        <v>14</v>
      </c>
      <c r="M5190" s="2">
        <v>42747</v>
      </c>
      <c r="N5190" s="1" t="s">
        <v>8</v>
      </c>
      <c r="O5190" s="1" t="s">
        <v>68</v>
      </c>
    </row>
    <row r="5191" spans="1:15" ht="43.2" x14ac:dyDescent="0.3">
      <c r="A5191" s="1" t="s">
        <v>28551</v>
      </c>
      <c r="B5191" s="1" t="str">
        <f>"Michael Stewart"</f>
        <v>Michael Stewart</v>
      </c>
      <c r="C5191" s="1" t="s">
        <v>28552</v>
      </c>
      <c r="F5191" s="1" t="s">
        <v>380</v>
      </c>
      <c r="H5191" s="1" t="s">
        <v>28553</v>
      </c>
      <c r="I5191" s="1" t="s">
        <v>5</v>
      </c>
      <c r="J5191" s="1" t="s">
        <v>67</v>
      </c>
      <c r="K5191" s="1" t="s">
        <v>14</v>
      </c>
      <c r="M5191" s="2">
        <v>42747</v>
      </c>
      <c r="N5191" s="1" t="s">
        <v>8</v>
      </c>
      <c r="O5191" s="1" t="s">
        <v>68</v>
      </c>
    </row>
    <row r="5192" spans="1:15" ht="28.8" x14ac:dyDescent="0.3">
      <c r="A5192" s="1" t="s">
        <v>28554</v>
      </c>
      <c r="B5192" s="1" t="str">
        <f>"D Mullane Mullane Contractors"</f>
        <v>D Mullane Mullane Contractors</v>
      </c>
      <c r="C5192" s="1" t="s">
        <v>28555</v>
      </c>
      <c r="F5192" s="1" t="s">
        <v>710</v>
      </c>
      <c r="H5192" s="1" t="s">
        <v>28556</v>
      </c>
      <c r="I5192" s="1" t="s">
        <v>5</v>
      </c>
      <c r="J5192" s="1" t="s">
        <v>6</v>
      </c>
      <c r="K5192" s="1" t="s">
        <v>24</v>
      </c>
      <c r="M5192" s="2">
        <v>42747</v>
      </c>
      <c r="N5192" s="1" t="s">
        <v>8</v>
      </c>
      <c r="O5192" s="2">
        <v>43842</v>
      </c>
    </row>
    <row r="5193" spans="1:15" ht="28.8" x14ac:dyDescent="0.3">
      <c r="A5193" s="1" t="s">
        <v>14553</v>
      </c>
      <c r="B5193" s="1" t="str">
        <f>"Rpj Builders Ltd."</f>
        <v>Rpj Builders Ltd.</v>
      </c>
      <c r="C5193" s="1" t="s">
        <v>14554</v>
      </c>
      <c r="D5193" s="1" t="s">
        <v>3028</v>
      </c>
      <c r="E5193" s="1" t="s">
        <v>3029</v>
      </c>
      <c r="F5193" s="1" t="s">
        <v>277</v>
      </c>
      <c r="H5193" s="1" t="s">
        <v>3030</v>
      </c>
      <c r="I5193" s="1" t="s">
        <v>19</v>
      </c>
      <c r="J5193" s="1" t="s">
        <v>6</v>
      </c>
      <c r="K5193" s="1" t="s">
        <v>24</v>
      </c>
      <c r="L5193" s="1">
        <v>6573671</v>
      </c>
      <c r="M5193" s="2">
        <v>42746</v>
      </c>
      <c r="N5193" s="1" t="s">
        <v>8</v>
      </c>
      <c r="O5193" s="2">
        <v>43841</v>
      </c>
    </row>
    <row r="5194" spans="1:15" ht="43.2" x14ac:dyDescent="0.3">
      <c r="A5194" s="1" t="s">
        <v>15428</v>
      </c>
      <c r="B5194" s="1" t="str">
        <f>"Dragon &amp; Shamrock MOT &amp; Repair Centre"</f>
        <v>Dragon &amp; Shamrock MOT &amp; Repair Centre</v>
      </c>
      <c r="C5194" s="1" t="s">
        <v>15429</v>
      </c>
      <c r="D5194" s="1" t="s">
        <v>9609</v>
      </c>
      <c r="E5194" s="1" t="s">
        <v>8812</v>
      </c>
      <c r="F5194" s="1" t="s">
        <v>65</v>
      </c>
      <c r="H5194" s="1" t="s">
        <v>9610</v>
      </c>
      <c r="I5194" s="1" t="s">
        <v>125</v>
      </c>
      <c r="J5194" s="1" t="s">
        <v>67</v>
      </c>
      <c r="K5194" s="1" t="s">
        <v>24</v>
      </c>
      <c r="M5194" s="2">
        <v>42746</v>
      </c>
      <c r="N5194" s="1" t="s">
        <v>8</v>
      </c>
      <c r="O5194" s="1" t="s">
        <v>68</v>
      </c>
    </row>
    <row r="5195" spans="1:15" ht="43.2" x14ac:dyDescent="0.3">
      <c r="A5195" s="1" t="s">
        <v>15430</v>
      </c>
      <c r="B5195" s="1" t="str">
        <f>"BODOWEN SURGERY"</f>
        <v>BODOWEN SURGERY</v>
      </c>
      <c r="C5195" s="1" t="s">
        <v>15431</v>
      </c>
      <c r="F5195" s="1" t="s">
        <v>1278</v>
      </c>
      <c r="H5195" s="1" t="s">
        <v>15432</v>
      </c>
      <c r="I5195" s="1" t="s">
        <v>125</v>
      </c>
      <c r="J5195" s="1" t="s">
        <v>67</v>
      </c>
      <c r="K5195" s="1" t="s">
        <v>14</v>
      </c>
      <c r="M5195" s="2">
        <v>42746</v>
      </c>
      <c r="N5195" s="1" t="s">
        <v>8</v>
      </c>
      <c r="O5195" s="1" t="s">
        <v>68</v>
      </c>
    </row>
    <row r="5196" spans="1:15" ht="43.2" x14ac:dyDescent="0.3">
      <c r="A5196" s="1" t="s">
        <v>15433</v>
      </c>
      <c r="B5196" s="1" t="str">
        <f>"BODOWEN SURGERY"</f>
        <v>BODOWEN SURGERY</v>
      </c>
      <c r="C5196" s="1" t="s">
        <v>15431</v>
      </c>
      <c r="F5196" s="1" t="s">
        <v>1278</v>
      </c>
      <c r="H5196" s="1" t="s">
        <v>15432</v>
      </c>
      <c r="I5196" s="1" t="s">
        <v>125</v>
      </c>
      <c r="J5196" s="1" t="s">
        <v>67</v>
      </c>
      <c r="K5196" s="1" t="s">
        <v>14</v>
      </c>
      <c r="M5196" s="2">
        <v>42746</v>
      </c>
      <c r="N5196" s="1" t="s">
        <v>8</v>
      </c>
      <c r="O5196" s="1" t="s">
        <v>68</v>
      </c>
    </row>
    <row r="5197" spans="1:15" ht="28.8" x14ac:dyDescent="0.3">
      <c r="A5197" s="1" t="s">
        <v>15434</v>
      </c>
      <c r="B5197" s="1" t="str">
        <f>"MD Parry Developers Ltd"</f>
        <v>MD Parry Developers Ltd</v>
      </c>
      <c r="C5197" s="1" t="s">
        <v>15435</v>
      </c>
      <c r="F5197" s="1" t="s">
        <v>1610</v>
      </c>
      <c r="H5197" s="1" t="s">
        <v>15436</v>
      </c>
      <c r="I5197" s="1" t="s">
        <v>19</v>
      </c>
      <c r="J5197" s="1" t="s">
        <v>6</v>
      </c>
      <c r="K5197" s="1" t="s">
        <v>24</v>
      </c>
      <c r="L5197" s="1">
        <v>8889965</v>
      </c>
      <c r="M5197" s="2">
        <v>42746</v>
      </c>
      <c r="N5197" s="1" t="s">
        <v>8</v>
      </c>
      <c r="O5197" s="2">
        <v>43841</v>
      </c>
    </row>
    <row r="5198" spans="1:15" ht="28.8" x14ac:dyDescent="0.3">
      <c r="A5198" s="1" t="s">
        <v>15437</v>
      </c>
      <c r="B5198" s="1" t="str">
        <f>"Grand Prix Express Ltd"</f>
        <v>Grand Prix Express Ltd</v>
      </c>
      <c r="C5198" s="1" t="s">
        <v>15438</v>
      </c>
      <c r="D5198" s="1" t="s">
        <v>955</v>
      </c>
      <c r="F5198" s="1" t="s">
        <v>1184</v>
      </c>
      <c r="H5198" s="1" t="s">
        <v>956</v>
      </c>
      <c r="I5198" s="1" t="s">
        <v>19</v>
      </c>
      <c r="J5198" s="1" t="s">
        <v>6</v>
      </c>
      <c r="K5198" s="1" t="s">
        <v>34</v>
      </c>
      <c r="L5198" s="1">
        <v>3204151</v>
      </c>
      <c r="M5198" s="2">
        <v>42746</v>
      </c>
      <c r="N5198" s="1" t="s">
        <v>8</v>
      </c>
      <c r="O5198" s="2">
        <v>43841</v>
      </c>
    </row>
    <row r="5199" spans="1:15" ht="28.8" x14ac:dyDescent="0.3">
      <c r="A5199" s="1" t="s">
        <v>26887</v>
      </c>
      <c r="B5199" s="1" t="str">
        <f>"Ieuan Paul James"</f>
        <v>Ieuan Paul James</v>
      </c>
      <c r="C5199" s="1" t="s">
        <v>26888</v>
      </c>
      <c r="D5199" s="1" t="s">
        <v>26889</v>
      </c>
      <c r="F5199" s="1" t="s">
        <v>438</v>
      </c>
      <c r="H5199" s="1" t="s">
        <v>26890</v>
      </c>
      <c r="I5199" s="1" t="s">
        <v>5</v>
      </c>
      <c r="J5199" s="1" t="s">
        <v>6</v>
      </c>
      <c r="K5199" s="1" t="s">
        <v>34</v>
      </c>
      <c r="M5199" s="2">
        <v>42746</v>
      </c>
      <c r="N5199" s="1" t="s">
        <v>8</v>
      </c>
      <c r="O5199" s="2">
        <v>43841</v>
      </c>
    </row>
    <row r="5200" spans="1:15" ht="28.8" x14ac:dyDescent="0.3">
      <c r="A5200" s="1" t="s">
        <v>26891</v>
      </c>
      <c r="B5200" s="1" t="str">
        <f>"Wayne Spear Drain-Rite"</f>
        <v>Wayne Spear Drain-Rite</v>
      </c>
      <c r="C5200" s="1" t="s">
        <v>26892</v>
      </c>
      <c r="F5200" s="1" t="s">
        <v>930</v>
      </c>
      <c r="H5200" s="1" t="s">
        <v>26893</v>
      </c>
      <c r="I5200" s="1" t="s">
        <v>5</v>
      </c>
      <c r="J5200" s="1" t="s">
        <v>6</v>
      </c>
      <c r="K5200" s="1" t="s">
        <v>24</v>
      </c>
      <c r="M5200" s="2">
        <v>42746</v>
      </c>
      <c r="N5200" s="1" t="s">
        <v>8</v>
      </c>
      <c r="O5200" s="2">
        <v>43841</v>
      </c>
    </row>
    <row r="5201" spans="1:15" ht="43.2" x14ac:dyDescent="0.3">
      <c r="A5201" s="1" t="s">
        <v>27746</v>
      </c>
      <c r="B5201" s="1" t="str">
        <f>"Matthew  Phillips"</f>
        <v>Matthew  Phillips</v>
      </c>
      <c r="C5201" s="1" t="s">
        <v>27747</v>
      </c>
      <c r="F5201" s="1" t="s">
        <v>277</v>
      </c>
      <c r="H5201" s="1" t="s">
        <v>27748</v>
      </c>
      <c r="I5201" s="1" t="s">
        <v>5</v>
      </c>
      <c r="J5201" s="1" t="s">
        <v>67</v>
      </c>
      <c r="K5201" s="1" t="s">
        <v>14</v>
      </c>
      <c r="M5201" s="2">
        <v>42746</v>
      </c>
      <c r="N5201" s="1" t="s">
        <v>8</v>
      </c>
      <c r="O5201" s="1" t="s">
        <v>68</v>
      </c>
    </row>
    <row r="5202" spans="1:15" ht="28.8" x14ac:dyDescent="0.3">
      <c r="A5202" s="1" t="s">
        <v>13717</v>
      </c>
      <c r="B5202" s="1" t="str">
        <f>"R &amp; M DYKE CIVIL ENGINEERING LTD"</f>
        <v>R &amp; M DYKE CIVIL ENGINEERING LTD</v>
      </c>
      <c r="C5202" s="1" t="s">
        <v>13718</v>
      </c>
      <c r="F5202" s="1" t="s">
        <v>865</v>
      </c>
      <c r="H5202" s="1" t="s">
        <v>13719</v>
      </c>
      <c r="I5202" s="1" t="s">
        <v>19</v>
      </c>
      <c r="J5202" s="1" t="s">
        <v>6</v>
      </c>
      <c r="K5202" s="1" t="s">
        <v>24</v>
      </c>
      <c r="L5202" s="1">
        <v>1385990</v>
      </c>
      <c r="M5202" s="2">
        <v>42745</v>
      </c>
      <c r="N5202" s="1" t="s">
        <v>8</v>
      </c>
      <c r="O5202" s="2">
        <v>43840</v>
      </c>
    </row>
    <row r="5203" spans="1:15" ht="43.2" x14ac:dyDescent="0.3">
      <c r="A5203" s="1" t="s">
        <v>14530</v>
      </c>
      <c r="B5203" s="1" t="str">
        <f>"Morgan Marine Ltd"</f>
        <v>Morgan Marine Ltd</v>
      </c>
      <c r="C5203" s="1" t="s">
        <v>14531</v>
      </c>
      <c r="F5203" s="1" t="s">
        <v>12</v>
      </c>
      <c r="H5203" s="1" t="s">
        <v>2802</v>
      </c>
      <c r="I5203" s="1" t="s">
        <v>19</v>
      </c>
      <c r="J5203" s="1" t="s">
        <v>67</v>
      </c>
      <c r="K5203" s="1" t="s">
        <v>14</v>
      </c>
      <c r="M5203" s="2">
        <v>42745</v>
      </c>
      <c r="N5203" s="1" t="s">
        <v>8</v>
      </c>
      <c r="O5203" s="1" t="s">
        <v>68</v>
      </c>
    </row>
    <row r="5204" spans="1:15" ht="43.2" x14ac:dyDescent="0.3">
      <c r="A5204" s="1" t="s">
        <v>14532</v>
      </c>
      <c r="B5204" s="1" t="str">
        <f>"Machynlleth Library"</f>
        <v>Machynlleth Library</v>
      </c>
      <c r="C5204" s="1" t="s">
        <v>14533</v>
      </c>
      <c r="F5204" s="1" t="s">
        <v>1818</v>
      </c>
      <c r="H5204" s="1" t="s">
        <v>14534</v>
      </c>
      <c r="I5204" s="1" t="s">
        <v>188</v>
      </c>
      <c r="J5204" s="1" t="s">
        <v>67</v>
      </c>
      <c r="K5204" s="1" t="s">
        <v>14</v>
      </c>
      <c r="M5204" s="2">
        <v>42745</v>
      </c>
      <c r="N5204" s="1" t="s">
        <v>8</v>
      </c>
      <c r="O5204" s="1" t="s">
        <v>68</v>
      </c>
    </row>
    <row r="5205" spans="1:15" ht="28.8" x14ac:dyDescent="0.3">
      <c r="A5205" s="1" t="s">
        <v>14535</v>
      </c>
      <c r="B5205" s="1" t="str">
        <f>"Stanley and West Limited"</f>
        <v>Stanley and West Limited</v>
      </c>
      <c r="C5205" s="1" t="s">
        <v>14536</v>
      </c>
      <c r="D5205" s="1" t="s">
        <v>14537</v>
      </c>
      <c r="F5205" s="1" t="s">
        <v>1175</v>
      </c>
      <c r="H5205" s="1" t="s">
        <v>14538</v>
      </c>
      <c r="I5205" s="1" t="s">
        <v>19</v>
      </c>
      <c r="J5205" s="1" t="s">
        <v>6</v>
      </c>
      <c r="K5205" s="1" t="s">
        <v>24</v>
      </c>
      <c r="L5205" s="1">
        <v>8929711</v>
      </c>
      <c r="M5205" s="2">
        <v>42745</v>
      </c>
      <c r="N5205" s="1" t="s">
        <v>8</v>
      </c>
      <c r="O5205" s="2">
        <v>43840</v>
      </c>
    </row>
    <row r="5206" spans="1:15" ht="28.8" x14ac:dyDescent="0.3">
      <c r="A5206" s="1" t="s">
        <v>14539</v>
      </c>
      <c r="B5206" s="1" t="str">
        <f>"Martin Taffetsauffer Building Contractor"</f>
        <v>Martin Taffetsauffer Building Contractor</v>
      </c>
      <c r="C5206" s="1" t="s">
        <v>14540</v>
      </c>
      <c r="F5206" s="1" t="s">
        <v>42</v>
      </c>
      <c r="H5206" s="1" t="s">
        <v>857</v>
      </c>
      <c r="I5206" s="1" t="s">
        <v>19</v>
      </c>
      <c r="J5206" s="1" t="s">
        <v>6</v>
      </c>
      <c r="K5206" s="1" t="s">
        <v>1859</v>
      </c>
      <c r="L5206" s="1">
        <v>5941457</v>
      </c>
      <c r="M5206" s="2">
        <v>42745</v>
      </c>
      <c r="N5206" s="1" t="s">
        <v>8</v>
      </c>
      <c r="O5206" s="2">
        <v>43840</v>
      </c>
    </row>
    <row r="5207" spans="1:15" ht="43.2" x14ac:dyDescent="0.3">
      <c r="A5207" s="1" t="s">
        <v>14541</v>
      </c>
      <c r="B5207" s="1" t="str">
        <f>"ECO METERING SOLUTIONS LTD"</f>
        <v>ECO METERING SOLUTIONS LTD</v>
      </c>
      <c r="C5207" s="1" t="s">
        <v>14542</v>
      </c>
      <c r="D5207" s="1" t="s">
        <v>14543</v>
      </c>
      <c r="E5207" s="1" t="s">
        <v>8708</v>
      </c>
      <c r="F5207" s="1" t="s">
        <v>8709</v>
      </c>
      <c r="H5207" s="1" t="s">
        <v>14544</v>
      </c>
      <c r="I5207" s="1" t="s">
        <v>19</v>
      </c>
      <c r="J5207" s="1" t="s">
        <v>67</v>
      </c>
      <c r="K5207" s="1" t="s">
        <v>14</v>
      </c>
      <c r="M5207" s="2">
        <v>42745</v>
      </c>
      <c r="N5207" s="1" t="s">
        <v>8</v>
      </c>
      <c r="O5207" s="1" t="s">
        <v>68</v>
      </c>
    </row>
    <row r="5208" spans="1:15" ht="28.8" x14ac:dyDescent="0.3">
      <c r="A5208" s="1" t="s">
        <v>14545</v>
      </c>
      <c r="B5208" s="1" t="str">
        <f>"GM and S Scrap Metal Marchants"</f>
        <v>GM and S Scrap Metal Marchants</v>
      </c>
      <c r="C5208" s="1" t="s">
        <v>14546</v>
      </c>
      <c r="F5208" s="1" t="s">
        <v>564</v>
      </c>
      <c r="H5208" s="1" t="s">
        <v>565</v>
      </c>
      <c r="I5208" s="1" t="s">
        <v>125</v>
      </c>
      <c r="J5208" s="1" t="s">
        <v>6</v>
      </c>
      <c r="K5208" s="1" t="s">
        <v>24</v>
      </c>
      <c r="M5208" s="2">
        <v>42745</v>
      </c>
      <c r="N5208" s="1" t="s">
        <v>8</v>
      </c>
      <c r="O5208" s="2">
        <v>43840</v>
      </c>
    </row>
    <row r="5209" spans="1:15" ht="28.8" x14ac:dyDescent="0.3">
      <c r="A5209" s="1" t="s">
        <v>14547</v>
      </c>
      <c r="B5209" s="1" t="str">
        <f>"Emma Ogden limited"</f>
        <v>Emma Ogden limited</v>
      </c>
      <c r="C5209" s="1" t="s">
        <v>14548</v>
      </c>
      <c r="F5209" s="1" t="s">
        <v>3611</v>
      </c>
      <c r="H5209" s="1" t="s">
        <v>14549</v>
      </c>
      <c r="I5209" s="1" t="s">
        <v>19</v>
      </c>
      <c r="J5209" s="1" t="s">
        <v>6</v>
      </c>
      <c r="K5209" s="1" t="s">
        <v>34</v>
      </c>
      <c r="L5209" s="1">
        <v>5828216</v>
      </c>
      <c r="M5209" s="2">
        <v>42745</v>
      </c>
      <c r="N5209" s="1" t="s">
        <v>8</v>
      </c>
      <c r="O5209" s="2">
        <v>43840</v>
      </c>
    </row>
    <row r="5210" spans="1:15" ht="43.2" x14ac:dyDescent="0.3">
      <c r="A5210" s="1" t="s">
        <v>14550</v>
      </c>
      <c r="B5210" s="1" t="str">
        <f>"Precision Gardens Limited"</f>
        <v>Precision Gardens Limited</v>
      </c>
      <c r="C5210" s="1" t="s">
        <v>14551</v>
      </c>
      <c r="F5210" s="1" t="s">
        <v>6265</v>
      </c>
      <c r="H5210" s="1" t="s">
        <v>14552</v>
      </c>
      <c r="I5210" s="1" t="s">
        <v>19</v>
      </c>
      <c r="J5210" s="1" t="s">
        <v>67</v>
      </c>
      <c r="K5210" s="1" t="s">
        <v>14</v>
      </c>
      <c r="M5210" s="2">
        <v>42745</v>
      </c>
      <c r="N5210" s="1" t="s">
        <v>8</v>
      </c>
      <c r="O5210" s="1" t="s">
        <v>68</v>
      </c>
    </row>
    <row r="5211" spans="1:15" ht="43.2" x14ac:dyDescent="0.3">
      <c r="A5211" s="1" t="s">
        <v>26869</v>
      </c>
      <c r="B5211" s="1" t="str">
        <f>"Steven Ouseley"</f>
        <v>Steven Ouseley</v>
      </c>
      <c r="C5211" s="1" t="s">
        <v>26870</v>
      </c>
      <c r="F5211" s="1" t="s">
        <v>8142</v>
      </c>
      <c r="H5211" s="1" t="s">
        <v>26871</v>
      </c>
      <c r="I5211" s="1" t="s">
        <v>5</v>
      </c>
      <c r="J5211" s="1" t="s">
        <v>67</v>
      </c>
      <c r="K5211" s="1" t="s">
        <v>14</v>
      </c>
      <c r="M5211" s="2">
        <v>42745</v>
      </c>
      <c r="N5211" s="1" t="s">
        <v>8</v>
      </c>
      <c r="O5211" s="1" t="s">
        <v>68</v>
      </c>
    </row>
    <row r="5212" spans="1:15" ht="28.8" x14ac:dyDescent="0.3">
      <c r="A5212" s="1" t="s">
        <v>26872</v>
      </c>
      <c r="B5212" s="1" t="str">
        <f>"Leonard Christopher Bowles"</f>
        <v>Leonard Christopher Bowles</v>
      </c>
      <c r="C5212" s="1" t="s">
        <v>26873</v>
      </c>
      <c r="F5212" s="1" t="s">
        <v>27</v>
      </c>
      <c r="H5212" s="1" t="s">
        <v>26874</v>
      </c>
      <c r="I5212" s="1" t="s">
        <v>5</v>
      </c>
      <c r="J5212" s="1" t="s">
        <v>6</v>
      </c>
      <c r="K5212" s="1" t="s">
        <v>24</v>
      </c>
      <c r="M5212" s="2">
        <v>42745</v>
      </c>
      <c r="N5212" s="1" t="s">
        <v>8</v>
      </c>
      <c r="O5212" s="2">
        <v>43840</v>
      </c>
    </row>
    <row r="5213" spans="1:15" ht="43.2" x14ac:dyDescent="0.3">
      <c r="A5213" s="1" t="s">
        <v>26875</v>
      </c>
      <c r="B5213" s="1" t="str">
        <f>"Gurmeet Purewal"</f>
        <v>Gurmeet Purewal</v>
      </c>
      <c r="C5213" s="1" t="s">
        <v>26876</v>
      </c>
      <c r="F5213" s="1" t="s">
        <v>1175</v>
      </c>
      <c r="H5213" s="1" t="s">
        <v>26877</v>
      </c>
      <c r="I5213" s="1" t="s">
        <v>5</v>
      </c>
      <c r="J5213" s="1" t="s">
        <v>67</v>
      </c>
      <c r="K5213" s="1" t="s">
        <v>14</v>
      </c>
      <c r="M5213" s="2">
        <v>42745</v>
      </c>
      <c r="N5213" s="1" t="s">
        <v>8</v>
      </c>
      <c r="O5213" s="1" t="s">
        <v>68</v>
      </c>
    </row>
    <row r="5214" spans="1:15" x14ac:dyDescent="0.3">
      <c r="A5214" s="1" t="s">
        <v>26878</v>
      </c>
      <c r="B5214" s="1" t="str">
        <f>"Craig Miller C.MILLER"</f>
        <v>Craig Miller C.MILLER</v>
      </c>
      <c r="C5214" s="1" t="s">
        <v>26879</v>
      </c>
      <c r="F5214" s="1" t="s">
        <v>65</v>
      </c>
      <c r="H5214" s="1" t="s">
        <v>26880</v>
      </c>
      <c r="I5214" s="1" t="s">
        <v>5</v>
      </c>
      <c r="J5214" s="1" t="s">
        <v>6</v>
      </c>
      <c r="K5214" s="1" t="s">
        <v>24</v>
      </c>
      <c r="M5214" s="2">
        <v>42745</v>
      </c>
      <c r="N5214" s="1" t="s">
        <v>8</v>
      </c>
      <c r="O5214" s="2">
        <v>43840</v>
      </c>
    </row>
    <row r="5215" spans="1:15" ht="43.2" x14ac:dyDescent="0.3">
      <c r="A5215" s="1" t="s">
        <v>26881</v>
      </c>
      <c r="B5215" s="1" t="str">
        <f>"Derek  Edwards"</f>
        <v>Derek  Edwards</v>
      </c>
      <c r="C5215" s="1" t="s">
        <v>26882</v>
      </c>
      <c r="F5215" s="1" t="s">
        <v>1346</v>
      </c>
      <c r="H5215" s="1" t="s">
        <v>26883</v>
      </c>
      <c r="I5215" s="1" t="s">
        <v>5</v>
      </c>
      <c r="J5215" s="1" t="s">
        <v>67</v>
      </c>
      <c r="K5215" s="1" t="s">
        <v>14</v>
      </c>
      <c r="M5215" s="2">
        <v>42745</v>
      </c>
      <c r="N5215" s="1" t="s">
        <v>8</v>
      </c>
      <c r="O5215" s="1" t="s">
        <v>68</v>
      </c>
    </row>
    <row r="5216" spans="1:15" ht="43.2" x14ac:dyDescent="0.3">
      <c r="A5216" s="1" t="s">
        <v>26884</v>
      </c>
      <c r="B5216" s="1" t="str">
        <f>"Tariq Sultan"</f>
        <v>Tariq Sultan</v>
      </c>
      <c r="C5216" s="1" t="s">
        <v>26885</v>
      </c>
      <c r="F5216" s="1" t="s">
        <v>25614</v>
      </c>
      <c r="H5216" s="1" t="s">
        <v>26886</v>
      </c>
      <c r="I5216" s="1" t="s">
        <v>5</v>
      </c>
      <c r="J5216" s="1" t="s">
        <v>67</v>
      </c>
      <c r="K5216" s="1" t="s">
        <v>14</v>
      </c>
      <c r="M5216" s="2">
        <v>42745</v>
      </c>
      <c r="N5216" s="1" t="s">
        <v>8</v>
      </c>
      <c r="O5216" s="1" t="s">
        <v>68</v>
      </c>
    </row>
    <row r="5217" spans="1:15" ht="43.2" x14ac:dyDescent="0.3">
      <c r="A5217" s="1" t="s">
        <v>12615</v>
      </c>
      <c r="B5217" s="1" t="str">
        <f>"WELCOME FURNITURE "</f>
        <v xml:space="preserve">WELCOME FURNITURE </v>
      </c>
      <c r="C5217" s="1" t="s">
        <v>12616</v>
      </c>
      <c r="F5217" s="1" t="s">
        <v>12617</v>
      </c>
      <c r="H5217" s="1" t="s">
        <v>12618</v>
      </c>
      <c r="I5217" s="1" t="s">
        <v>19</v>
      </c>
      <c r="J5217" s="1" t="s">
        <v>67</v>
      </c>
      <c r="K5217" s="1" t="s">
        <v>14</v>
      </c>
      <c r="M5217" s="2">
        <v>42744</v>
      </c>
      <c r="N5217" s="1" t="s">
        <v>8</v>
      </c>
      <c r="O5217" s="1" t="s">
        <v>68</v>
      </c>
    </row>
    <row r="5218" spans="1:15" ht="28.8" x14ac:dyDescent="0.3">
      <c r="A5218" s="1" t="s">
        <v>13714</v>
      </c>
      <c r="B5218" s="1" t="str">
        <f>"G J Sutton"</f>
        <v>G J Sutton</v>
      </c>
      <c r="C5218" s="1" t="s">
        <v>13715</v>
      </c>
      <c r="F5218" s="1" t="s">
        <v>438</v>
      </c>
      <c r="H5218" s="1" t="s">
        <v>13716</v>
      </c>
      <c r="I5218" s="1" t="s">
        <v>125</v>
      </c>
      <c r="J5218" s="1" t="s">
        <v>6</v>
      </c>
      <c r="K5218" s="1" t="s">
        <v>34</v>
      </c>
      <c r="M5218" s="2">
        <v>42744</v>
      </c>
      <c r="N5218" s="1" t="s">
        <v>8</v>
      </c>
      <c r="O5218" s="2">
        <v>43839</v>
      </c>
    </row>
    <row r="5219" spans="1:15" x14ac:dyDescent="0.3">
      <c r="A5219" s="1" t="s">
        <v>26160</v>
      </c>
      <c r="B5219" s="1" t="str">
        <f>"Steven Wyn Davies"</f>
        <v>Steven Wyn Davies</v>
      </c>
      <c r="C5219" s="1" t="s">
        <v>25692</v>
      </c>
      <c r="F5219" s="1" t="s">
        <v>161</v>
      </c>
      <c r="H5219" s="1" t="s">
        <v>25693</v>
      </c>
      <c r="I5219" s="1" t="s">
        <v>5</v>
      </c>
      <c r="J5219" s="1" t="s">
        <v>6</v>
      </c>
      <c r="K5219" s="1" t="s">
        <v>24</v>
      </c>
      <c r="M5219" s="2">
        <v>42744</v>
      </c>
      <c r="N5219" s="1" t="s">
        <v>8</v>
      </c>
      <c r="O5219" s="2">
        <v>43839</v>
      </c>
    </row>
    <row r="5220" spans="1:15" ht="28.8" x14ac:dyDescent="0.3">
      <c r="A5220" s="1" t="s">
        <v>26161</v>
      </c>
      <c r="B5220" s="1" t="str">
        <f>"Rowan Hobbs Rowan Garden Designs"</f>
        <v>Rowan Hobbs Rowan Garden Designs</v>
      </c>
      <c r="C5220" s="1" t="s">
        <v>26162</v>
      </c>
      <c r="F5220" s="1" t="s">
        <v>865</v>
      </c>
      <c r="H5220" s="1" t="s">
        <v>26163</v>
      </c>
      <c r="I5220" s="1" t="s">
        <v>5</v>
      </c>
      <c r="J5220" s="1" t="s">
        <v>6</v>
      </c>
      <c r="K5220" s="1" t="s">
        <v>24</v>
      </c>
      <c r="M5220" s="2">
        <v>42744</v>
      </c>
      <c r="N5220" s="1" t="s">
        <v>8</v>
      </c>
      <c r="O5220" s="2">
        <v>43839</v>
      </c>
    </row>
    <row r="5221" spans="1:15" ht="43.2" x14ac:dyDescent="0.3">
      <c r="A5221" s="1" t="s">
        <v>26164</v>
      </c>
      <c r="B5221" s="1" t="str">
        <f>"Ross Perkins Ross Perkins Removal Services"</f>
        <v>Ross Perkins Ross Perkins Removal Services</v>
      </c>
      <c r="C5221" s="1" t="s">
        <v>26165</v>
      </c>
      <c r="F5221" s="1" t="s">
        <v>103</v>
      </c>
      <c r="H5221" s="1" t="s">
        <v>26166</v>
      </c>
      <c r="I5221" s="1" t="s">
        <v>5</v>
      </c>
      <c r="J5221" s="1" t="s">
        <v>6</v>
      </c>
      <c r="K5221" s="1" t="s">
        <v>34</v>
      </c>
      <c r="M5221" s="2">
        <v>42744</v>
      </c>
      <c r="N5221" s="1" t="s">
        <v>8</v>
      </c>
      <c r="O5221" s="2">
        <v>43839</v>
      </c>
    </row>
    <row r="5222" spans="1:15" x14ac:dyDescent="0.3">
      <c r="A5222" s="1" t="s">
        <v>26167</v>
      </c>
      <c r="B5222" s="1" t="str">
        <f>"Bryn Hale Bryn Hale"</f>
        <v>Bryn Hale Bryn Hale</v>
      </c>
      <c r="C5222" s="1" t="s">
        <v>26168</v>
      </c>
      <c r="F5222" s="1" t="s">
        <v>12</v>
      </c>
      <c r="H5222" s="1" t="s">
        <v>24113</v>
      </c>
      <c r="I5222" s="1" t="s">
        <v>5</v>
      </c>
      <c r="J5222" s="1" t="s">
        <v>6</v>
      </c>
      <c r="K5222" s="1" t="s">
        <v>24</v>
      </c>
      <c r="M5222" s="2">
        <v>42744</v>
      </c>
      <c r="N5222" s="1" t="s">
        <v>8</v>
      </c>
      <c r="O5222" s="2">
        <v>43839</v>
      </c>
    </row>
    <row r="5223" spans="1:15" ht="28.8" x14ac:dyDescent="0.3">
      <c r="A5223" s="1" t="s">
        <v>26169</v>
      </c>
      <c r="B5223" s="1" t="str">
        <f>"Robert Thomas R W Thomas "</f>
        <v xml:space="preserve">Robert Thomas R W Thomas </v>
      </c>
      <c r="C5223" s="1" t="s">
        <v>26170</v>
      </c>
      <c r="F5223" s="1" t="s">
        <v>1400</v>
      </c>
      <c r="H5223" s="1" t="s">
        <v>26171</v>
      </c>
      <c r="I5223" s="1" t="s">
        <v>5</v>
      </c>
      <c r="J5223" s="1" t="s">
        <v>6</v>
      </c>
      <c r="K5223" s="1" t="s">
        <v>24</v>
      </c>
      <c r="M5223" s="2">
        <v>42744</v>
      </c>
      <c r="N5223" s="1" t="s">
        <v>8</v>
      </c>
      <c r="O5223" s="2">
        <v>43839</v>
      </c>
    </row>
    <row r="5224" spans="1:15" ht="28.8" x14ac:dyDescent="0.3">
      <c r="A5224" s="1" t="s">
        <v>12599</v>
      </c>
      <c r="B5224" s="1" t="str">
        <f>"Housemartin Building Services"</f>
        <v>Housemartin Building Services</v>
      </c>
      <c r="C5224" s="1" t="s">
        <v>12600</v>
      </c>
      <c r="F5224" s="1" t="s">
        <v>865</v>
      </c>
      <c r="H5224" s="1" t="s">
        <v>12601</v>
      </c>
      <c r="I5224" s="1" t="s">
        <v>19</v>
      </c>
      <c r="J5224" s="1" t="s">
        <v>6</v>
      </c>
      <c r="K5224" s="1" t="s">
        <v>34</v>
      </c>
      <c r="L5224" s="1">
        <v>7554997</v>
      </c>
      <c r="M5224" s="2">
        <v>42743</v>
      </c>
      <c r="N5224" s="1" t="s">
        <v>8</v>
      </c>
      <c r="O5224" s="2">
        <v>43838</v>
      </c>
    </row>
    <row r="5225" spans="1:15" ht="43.2" x14ac:dyDescent="0.3">
      <c r="A5225" s="1" t="s">
        <v>12602</v>
      </c>
      <c r="B5225" s="1" t="str">
        <f>"J R Phillips farms"</f>
        <v>J R Phillips farms</v>
      </c>
      <c r="C5225" s="1" t="s">
        <v>12603</v>
      </c>
      <c r="D5225" s="1" t="s">
        <v>12604</v>
      </c>
      <c r="F5225" s="1" t="s">
        <v>1975</v>
      </c>
      <c r="H5225" s="1" t="s">
        <v>12605</v>
      </c>
      <c r="I5225" s="1" t="s">
        <v>125</v>
      </c>
      <c r="J5225" s="1" t="s">
        <v>67</v>
      </c>
      <c r="K5225" s="1" t="s">
        <v>14</v>
      </c>
      <c r="M5225" s="2">
        <v>42743</v>
      </c>
      <c r="N5225" s="1" t="s">
        <v>8</v>
      </c>
      <c r="O5225" s="1" t="s">
        <v>68</v>
      </c>
    </row>
    <row r="5226" spans="1:15" ht="28.8" x14ac:dyDescent="0.3">
      <c r="A5226" s="1" t="s">
        <v>12606</v>
      </c>
      <c r="B5226" s="1" t="str">
        <f>"A W T Buildings"</f>
        <v>A W T Buildings</v>
      </c>
      <c r="C5226" s="1" t="s">
        <v>12607</v>
      </c>
      <c r="F5226" s="1" t="s">
        <v>2757</v>
      </c>
      <c r="H5226" s="1" t="s">
        <v>12608</v>
      </c>
      <c r="I5226" s="1" t="s">
        <v>125</v>
      </c>
      <c r="J5226" s="1" t="s">
        <v>6</v>
      </c>
      <c r="K5226" s="1" t="s">
        <v>24</v>
      </c>
      <c r="M5226" s="2">
        <v>42743</v>
      </c>
      <c r="N5226" s="1" t="s">
        <v>8</v>
      </c>
      <c r="O5226" s="2">
        <v>43838</v>
      </c>
    </row>
    <row r="5227" spans="1:15" ht="28.8" x14ac:dyDescent="0.3">
      <c r="A5227" s="1" t="s">
        <v>12609</v>
      </c>
      <c r="B5227" s="1" t="str">
        <f>"GWENDRAETH VALLEY RECYCLING LTD"</f>
        <v>GWENDRAETH VALLEY RECYCLING LTD</v>
      </c>
      <c r="C5227" s="1" t="s">
        <v>12610</v>
      </c>
      <c r="D5227" s="1" t="s">
        <v>1534</v>
      </c>
      <c r="F5227" s="1" t="s">
        <v>42</v>
      </c>
      <c r="H5227" s="1" t="s">
        <v>12611</v>
      </c>
      <c r="I5227" s="1" t="s">
        <v>19</v>
      </c>
      <c r="J5227" s="1" t="s">
        <v>6</v>
      </c>
      <c r="K5227" s="1" t="s">
        <v>34</v>
      </c>
      <c r="L5227" s="1">
        <v>6932182</v>
      </c>
      <c r="M5227" s="2">
        <v>42743</v>
      </c>
      <c r="N5227" s="1" t="s">
        <v>8</v>
      </c>
      <c r="O5227" s="2">
        <v>43838</v>
      </c>
    </row>
    <row r="5228" spans="1:15" ht="28.8" x14ac:dyDescent="0.3">
      <c r="A5228" s="1" t="s">
        <v>12612</v>
      </c>
      <c r="B5228" s="1" t="str">
        <f>"M &amp; M Greene Services Ltd"</f>
        <v>M &amp; M Greene Services Ltd</v>
      </c>
      <c r="C5228" s="1" t="s">
        <v>12613</v>
      </c>
      <c r="F5228" s="1" t="s">
        <v>42</v>
      </c>
      <c r="H5228" s="1" t="s">
        <v>12614</v>
      </c>
      <c r="I5228" s="1" t="s">
        <v>19</v>
      </c>
      <c r="J5228" s="1" t="s">
        <v>6</v>
      </c>
      <c r="K5228" s="1" t="s">
        <v>24</v>
      </c>
      <c r="L5228" s="1">
        <v>1813340</v>
      </c>
      <c r="M5228" s="2">
        <v>42743</v>
      </c>
      <c r="N5228" s="1" t="s">
        <v>8</v>
      </c>
      <c r="O5228" s="2">
        <v>43838</v>
      </c>
    </row>
    <row r="5229" spans="1:15" ht="28.8" x14ac:dyDescent="0.3">
      <c r="A5229" s="1" t="s">
        <v>25435</v>
      </c>
      <c r="B5229" s="1" t="str">
        <f>"Dylan Parry D.P Window Cleaning"</f>
        <v>Dylan Parry D.P Window Cleaning</v>
      </c>
      <c r="C5229" s="1" t="s">
        <v>25436</v>
      </c>
      <c r="D5229" s="1" t="s">
        <v>1336</v>
      </c>
      <c r="F5229" s="1" t="s">
        <v>1321</v>
      </c>
      <c r="H5229" s="1" t="s">
        <v>25437</v>
      </c>
      <c r="I5229" s="1" t="s">
        <v>5</v>
      </c>
      <c r="J5229" s="1" t="s">
        <v>6</v>
      </c>
      <c r="K5229" s="1" t="s">
        <v>24</v>
      </c>
      <c r="M5229" s="2">
        <v>42743</v>
      </c>
      <c r="N5229" s="1" t="s">
        <v>8</v>
      </c>
      <c r="O5229" s="2">
        <v>43838</v>
      </c>
    </row>
    <row r="5230" spans="1:15" ht="43.2" x14ac:dyDescent="0.3">
      <c r="A5230" s="1" t="s">
        <v>25438</v>
      </c>
      <c r="B5230" s="1" t="str">
        <f>"Dorian  Harries "</f>
        <v xml:space="preserve">Dorian  Harries </v>
      </c>
      <c r="C5230" s="1" t="s">
        <v>25439</v>
      </c>
      <c r="F5230" s="1" t="s">
        <v>3992</v>
      </c>
      <c r="H5230" s="1" t="s">
        <v>25440</v>
      </c>
      <c r="I5230" s="1" t="s">
        <v>5</v>
      </c>
      <c r="J5230" s="1" t="s">
        <v>67</v>
      </c>
      <c r="K5230" s="1" t="s">
        <v>14</v>
      </c>
      <c r="M5230" s="2">
        <v>42743</v>
      </c>
      <c r="N5230" s="1" t="s">
        <v>8</v>
      </c>
      <c r="O5230" s="1" t="s">
        <v>68</v>
      </c>
    </row>
    <row r="5231" spans="1:15" ht="43.2" x14ac:dyDescent="0.3">
      <c r="A5231" s="1" t="s">
        <v>12596</v>
      </c>
      <c r="B5231" s="1" t="str">
        <f>"Lizzys Cafe Ltd"</f>
        <v>Lizzys Cafe Ltd</v>
      </c>
      <c r="C5231" s="1" t="s">
        <v>12597</v>
      </c>
      <c r="F5231" s="1" t="s">
        <v>380</v>
      </c>
      <c r="H5231" s="1" t="s">
        <v>12598</v>
      </c>
      <c r="I5231" s="1" t="s">
        <v>19</v>
      </c>
      <c r="J5231" s="1" t="s">
        <v>67</v>
      </c>
      <c r="K5231" s="1" t="s">
        <v>14</v>
      </c>
      <c r="M5231" s="2">
        <v>42742</v>
      </c>
      <c r="N5231" s="1" t="s">
        <v>8</v>
      </c>
      <c r="O5231" s="1" t="s">
        <v>68</v>
      </c>
    </row>
    <row r="5232" spans="1:15" ht="43.2" x14ac:dyDescent="0.3">
      <c r="A5232" s="1" t="s">
        <v>25432</v>
      </c>
      <c r="B5232" s="1" t="str">
        <f>"Paulo de Sousa Costa"</f>
        <v>Paulo de Sousa Costa</v>
      </c>
      <c r="C5232" s="1" t="s">
        <v>25433</v>
      </c>
      <c r="F5232" s="1" t="s">
        <v>1175</v>
      </c>
      <c r="H5232" s="1" t="s">
        <v>25434</v>
      </c>
      <c r="I5232" s="1" t="s">
        <v>5</v>
      </c>
      <c r="J5232" s="1" t="s">
        <v>67</v>
      </c>
      <c r="K5232" s="1" t="s">
        <v>14</v>
      </c>
      <c r="M5232" s="2">
        <v>42742</v>
      </c>
      <c r="N5232" s="1" t="s">
        <v>8</v>
      </c>
      <c r="O5232" s="1" t="s">
        <v>68</v>
      </c>
    </row>
    <row r="5233" spans="1:15" ht="28.8" x14ac:dyDescent="0.3">
      <c r="A5233" s="1" t="s">
        <v>11677</v>
      </c>
      <c r="B5233" s="1" t="str">
        <f>"G R &amp; R G Finishers Limited"</f>
        <v>G R &amp; R G Finishers Limited</v>
      </c>
      <c r="C5233" s="1" t="s">
        <v>11678</v>
      </c>
      <c r="D5233" s="1" t="s">
        <v>4050</v>
      </c>
      <c r="F5233" s="1" t="s">
        <v>1175</v>
      </c>
      <c r="H5233" s="1" t="s">
        <v>11679</v>
      </c>
      <c r="I5233" s="1" t="s">
        <v>19</v>
      </c>
      <c r="J5233" s="1" t="s">
        <v>6</v>
      </c>
      <c r="K5233" s="1" t="s">
        <v>34</v>
      </c>
      <c r="L5233" s="1">
        <v>2981161</v>
      </c>
      <c r="M5233" s="2">
        <v>42741</v>
      </c>
      <c r="N5233" s="1" t="s">
        <v>8</v>
      </c>
      <c r="O5233" s="2">
        <v>43836</v>
      </c>
    </row>
    <row r="5234" spans="1:15" ht="28.8" x14ac:dyDescent="0.3">
      <c r="A5234" s="1" t="s">
        <v>11680</v>
      </c>
      <c r="B5234" s="1" t="str">
        <f>"challis groundworks ltd."</f>
        <v>challis groundworks ltd.</v>
      </c>
      <c r="C5234" s="1" t="s">
        <v>11681</v>
      </c>
      <c r="F5234" s="1" t="s">
        <v>65</v>
      </c>
      <c r="H5234" s="1" t="s">
        <v>11682</v>
      </c>
      <c r="I5234" s="1" t="s">
        <v>19</v>
      </c>
      <c r="J5234" s="1" t="s">
        <v>6</v>
      </c>
      <c r="K5234" s="1" t="s">
        <v>34</v>
      </c>
      <c r="L5234" s="1">
        <v>10401944</v>
      </c>
      <c r="M5234" s="2">
        <v>42741</v>
      </c>
      <c r="N5234" s="1" t="s">
        <v>8</v>
      </c>
      <c r="O5234" s="2">
        <v>43836</v>
      </c>
    </row>
    <row r="5235" spans="1:15" ht="28.8" x14ac:dyDescent="0.3">
      <c r="A5235" s="1" t="s">
        <v>12579</v>
      </c>
      <c r="B5235" s="1" t="str">
        <f>"Springvale Weatherproofing Ltd."</f>
        <v>Springvale Weatherproofing Ltd.</v>
      </c>
      <c r="C5235" s="1" t="s">
        <v>12580</v>
      </c>
      <c r="F5235" s="1" t="s">
        <v>91</v>
      </c>
      <c r="H5235" s="1" t="s">
        <v>9774</v>
      </c>
      <c r="I5235" s="1" t="s">
        <v>19</v>
      </c>
      <c r="J5235" s="1" t="s">
        <v>6</v>
      </c>
      <c r="K5235" s="1" t="s">
        <v>1859</v>
      </c>
      <c r="L5235" s="1">
        <v>1370544</v>
      </c>
      <c r="M5235" s="2">
        <v>42741</v>
      </c>
      <c r="N5235" s="1" t="s">
        <v>8</v>
      </c>
      <c r="O5235" s="2">
        <v>43836</v>
      </c>
    </row>
    <row r="5236" spans="1:15" ht="28.8" x14ac:dyDescent="0.3">
      <c r="A5236" s="1" t="s">
        <v>12581</v>
      </c>
      <c r="B5236" s="1" t="str">
        <f>"Cuddy Plant and Transport Limited"</f>
        <v>Cuddy Plant and Transport Limited</v>
      </c>
      <c r="C5236" s="1" t="s">
        <v>10539</v>
      </c>
      <c r="D5236" s="1" t="s">
        <v>10331</v>
      </c>
      <c r="F5236" s="1" t="s">
        <v>12582</v>
      </c>
      <c r="H5236" s="1" t="s">
        <v>10540</v>
      </c>
      <c r="I5236" s="1" t="s">
        <v>19</v>
      </c>
      <c r="J5236" s="1" t="s">
        <v>6</v>
      </c>
      <c r="K5236" s="1" t="s">
        <v>24</v>
      </c>
      <c r="L5236" s="1">
        <v>9056304</v>
      </c>
      <c r="M5236" s="2">
        <v>42741</v>
      </c>
      <c r="N5236" s="1" t="s">
        <v>8</v>
      </c>
      <c r="O5236" s="2">
        <v>43836</v>
      </c>
    </row>
    <row r="5237" spans="1:15" ht="28.8" x14ac:dyDescent="0.3">
      <c r="A5237" s="1" t="s">
        <v>12583</v>
      </c>
      <c r="B5237" s="1" t="str">
        <f>"Premier Grounds Maintenance LTD"</f>
        <v>Premier Grounds Maintenance LTD</v>
      </c>
      <c r="C5237" s="1" t="s">
        <v>12584</v>
      </c>
      <c r="F5237" s="1" t="s">
        <v>103</v>
      </c>
      <c r="H5237" s="1" t="s">
        <v>12585</v>
      </c>
      <c r="I5237" s="1" t="s">
        <v>19</v>
      </c>
      <c r="J5237" s="1" t="s">
        <v>6</v>
      </c>
      <c r="K5237" s="1" t="s">
        <v>34</v>
      </c>
      <c r="L5237" s="1">
        <v>9865295</v>
      </c>
      <c r="M5237" s="2">
        <v>42741</v>
      </c>
      <c r="N5237" s="1" t="s">
        <v>8</v>
      </c>
      <c r="O5237" s="2">
        <v>43836</v>
      </c>
    </row>
    <row r="5238" spans="1:15" x14ac:dyDescent="0.3">
      <c r="A5238" s="1" t="s">
        <v>12586</v>
      </c>
      <c r="B5238" s="1" t="str">
        <f>"J P VELARDO LTD"</f>
        <v>J P VELARDO LTD</v>
      </c>
      <c r="C5238" s="1" t="s">
        <v>12587</v>
      </c>
      <c r="F5238" s="1" t="s">
        <v>65</v>
      </c>
      <c r="H5238" s="1" t="s">
        <v>12588</v>
      </c>
      <c r="I5238" s="1" t="s">
        <v>19</v>
      </c>
      <c r="J5238" s="1" t="s">
        <v>6</v>
      </c>
      <c r="K5238" s="1" t="s">
        <v>24</v>
      </c>
      <c r="L5238" s="1">
        <v>5119568</v>
      </c>
      <c r="M5238" s="2">
        <v>42741</v>
      </c>
      <c r="N5238" s="1" t="s">
        <v>8</v>
      </c>
      <c r="O5238" s="2">
        <v>43836</v>
      </c>
    </row>
    <row r="5239" spans="1:15" ht="43.2" x14ac:dyDescent="0.3">
      <c r="A5239" s="1" t="s">
        <v>12589</v>
      </c>
      <c r="B5239" s="1" t="str">
        <f>"The Queen Inn"</f>
        <v>The Queen Inn</v>
      </c>
      <c r="C5239" s="1" t="s">
        <v>12590</v>
      </c>
      <c r="F5239" s="1" t="s">
        <v>380</v>
      </c>
      <c r="H5239" s="1" t="s">
        <v>12591</v>
      </c>
      <c r="I5239" s="1" t="s">
        <v>125</v>
      </c>
      <c r="J5239" s="1" t="s">
        <v>67</v>
      </c>
      <c r="K5239" s="1" t="s">
        <v>14</v>
      </c>
      <c r="M5239" s="2">
        <v>42741</v>
      </c>
      <c r="N5239" s="1" t="s">
        <v>8</v>
      </c>
      <c r="O5239" s="1" t="s">
        <v>68</v>
      </c>
    </row>
    <row r="5240" spans="1:15" ht="28.8" x14ac:dyDescent="0.3">
      <c r="A5240" s="1" t="s">
        <v>12592</v>
      </c>
      <c r="B5240" s="1" t="str">
        <f>"CROESO WASTE SOLUTION LTD"</f>
        <v>CROESO WASTE SOLUTION LTD</v>
      </c>
      <c r="C5240" s="1" t="s">
        <v>12593</v>
      </c>
      <c r="D5240" s="1" t="s">
        <v>12594</v>
      </c>
      <c r="F5240" s="1" t="s">
        <v>1137</v>
      </c>
      <c r="H5240" s="1" t="s">
        <v>12595</v>
      </c>
      <c r="I5240" s="1" t="s">
        <v>19</v>
      </c>
      <c r="J5240" s="1" t="s">
        <v>6</v>
      </c>
      <c r="K5240" s="1" t="s">
        <v>34</v>
      </c>
      <c r="L5240" s="1">
        <v>10549181</v>
      </c>
      <c r="M5240" s="2">
        <v>42741</v>
      </c>
      <c r="N5240" s="1" t="s">
        <v>8</v>
      </c>
      <c r="O5240" s="2">
        <v>43836</v>
      </c>
    </row>
    <row r="5241" spans="1:15" ht="28.8" x14ac:dyDescent="0.3">
      <c r="A5241" s="1" t="s">
        <v>24608</v>
      </c>
      <c r="B5241" s="1" t="str">
        <f>"Brian Davies Wells Recycling"</f>
        <v>Brian Davies Wells Recycling</v>
      </c>
      <c r="C5241" s="1" t="s">
        <v>24609</v>
      </c>
      <c r="D5241" s="1" t="s">
        <v>24610</v>
      </c>
      <c r="E5241" s="1" t="s">
        <v>2965</v>
      </c>
      <c r="F5241" s="1" t="s">
        <v>641</v>
      </c>
      <c r="G5241" s="1" t="s">
        <v>642</v>
      </c>
      <c r="H5241" s="1" t="s">
        <v>24611</v>
      </c>
      <c r="I5241" s="1" t="s">
        <v>5</v>
      </c>
      <c r="J5241" s="1" t="s">
        <v>6</v>
      </c>
      <c r="K5241" s="1" t="s">
        <v>24</v>
      </c>
      <c r="M5241" s="2">
        <v>42741</v>
      </c>
      <c r="N5241" s="1" t="s">
        <v>8</v>
      </c>
      <c r="O5241" s="2">
        <v>43835</v>
      </c>
    </row>
    <row r="5242" spans="1:15" ht="43.2" x14ac:dyDescent="0.3">
      <c r="A5242" s="1" t="s">
        <v>24612</v>
      </c>
      <c r="B5242" s="1" t="str">
        <f>"Andrew  Downing"</f>
        <v>Andrew  Downing</v>
      </c>
      <c r="C5242" s="1" t="s">
        <v>24613</v>
      </c>
      <c r="F5242" s="1" t="s">
        <v>24614</v>
      </c>
      <c r="H5242" s="1" t="s">
        <v>24615</v>
      </c>
      <c r="I5242" s="1" t="s">
        <v>5</v>
      </c>
      <c r="J5242" s="1" t="s">
        <v>67</v>
      </c>
      <c r="K5242" s="1" t="s">
        <v>14</v>
      </c>
      <c r="M5242" s="2">
        <v>42741</v>
      </c>
      <c r="N5242" s="1" t="s">
        <v>8</v>
      </c>
      <c r="O5242" s="1" t="s">
        <v>68</v>
      </c>
    </row>
    <row r="5243" spans="1:15" ht="28.8" x14ac:dyDescent="0.3">
      <c r="A5243" s="1" t="s">
        <v>24616</v>
      </c>
      <c r="B5243" s="1" t="str">
        <f>"Harold  Davies  Mr Harold Thomas Davies "</f>
        <v xml:space="preserve">Harold  Davies  Mr Harold Thomas Davies </v>
      </c>
      <c r="C5243" s="1" t="s">
        <v>24617</v>
      </c>
      <c r="F5243" s="1" t="s">
        <v>24618</v>
      </c>
      <c r="H5243" s="1" t="s">
        <v>24619</v>
      </c>
      <c r="I5243" s="1" t="s">
        <v>5</v>
      </c>
      <c r="J5243" s="1" t="s">
        <v>6</v>
      </c>
      <c r="K5243" s="1" t="s">
        <v>24</v>
      </c>
      <c r="M5243" s="2">
        <v>42741</v>
      </c>
      <c r="N5243" s="1" t="s">
        <v>8</v>
      </c>
      <c r="O5243" s="2">
        <v>43836</v>
      </c>
    </row>
    <row r="5244" spans="1:15" ht="28.8" x14ac:dyDescent="0.3">
      <c r="A5244" s="1" t="s">
        <v>25426</v>
      </c>
      <c r="B5244" s="1" t="str">
        <f>"Darren O'Neill O'Neill Roofing"</f>
        <v>Darren O'Neill O'Neill Roofing</v>
      </c>
      <c r="C5244" s="1" t="s">
        <v>25427</v>
      </c>
      <c r="F5244" s="1" t="s">
        <v>42</v>
      </c>
      <c r="H5244" s="1" t="s">
        <v>25428</v>
      </c>
      <c r="I5244" s="1" t="s">
        <v>5</v>
      </c>
      <c r="J5244" s="1" t="s">
        <v>6</v>
      </c>
      <c r="K5244" s="1" t="s">
        <v>34</v>
      </c>
      <c r="M5244" s="2">
        <v>42741</v>
      </c>
      <c r="N5244" s="1" t="s">
        <v>8</v>
      </c>
      <c r="O5244" s="2">
        <v>43836</v>
      </c>
    </row>
    <row r="5245" spans="1:15" ht="43.2" x14ac:dyDescent="0.3">
      <c r="A5245" s="1" t="s">
        <v>25429</v>
      </c>
      <c r="B5245" s="1" t="str">
        <f>"Jonathan Hill"</f>
        <v>Jonathan Hill</v>
      </c>
      <c r="C5245" s="1" t="s">
        <v>25430</v>
      </c>
      <c r="D5245" s="1" t="s">
        <v>2644</v>
      </c>
      <c r="F5245" s="1" t="s">
        <v>2580</v>
      </c>
      <c r="H5245" s="1" t="s">
        <v>25431</v>
      </c>
      <c r="I5245" s="1" t="s">
        <v>5</v>
      </c>
      <c r="J5245" s="1" t="s">
        <v>67</v>
      </c>
      <c r="K5245" s="1" t="s">
        <v>14</v>
      </c>
      <c r="M5245" s="2">
        <v>42741</v>
      </c>
      <c r="N5245" s="1" t="s">
        <v>8</v>
      </c>
      <c r="O5245" s="1" t="s">
        <v>68</v>
      </c>
    </row>
    <row r="5246" spans="1:15" ht="28.8" x14ac:dyDescent="0.3">
      <c r="A5246" s="1" t="s">
        <v>11671</v>
      </c>
      <c r="B5246" s="1" t="str">
        <f>"David Nigel Owen &amp; Mark Anthony Owen"</f>
        <v>David Nigel Owen &amp; Mark Anthony Owen</v>
      </c>
      <c r="C5246" s="1" t="s">
        <v>11672</v>
      </c>
      <c r="D5246" s="1" t="s">
        <v>1503</v>
      </c>
      <c r="F5246" s="1" t="s">
        <v>996</v>
      </c>
      <c r="H5246" s="1" t="s">
        <v>11673</v>
      </c>
      <c r="I5246" s="1" t="s">
        <v>125</v>
      </c>
      <c r="J5246" s="1" t="s">
        <v>6</v>
      </c>
      <c r="K5246" s="1" t="s">
        <v>24</v>
      </c>
      <c r="M5246" s="2">
        <v>42740</v>
      </c>
      <c r="N5246" s="1" t="s">
        <v>8</v>
      </c>
      <c r="O5246" s="2">
        <v>43835</v>
      </c>
    </row>
    <row r="5247" spans="1:15" ht="28.8" x14ac:dyDescent="0.3">
      <c r="A5247" s="1" t="s">
        <v>11674</v>
      </c>
      <c r="B5247" s="1" t="str">
        <f>"Andrew Lawford and Sons"</f>
        <v>Andrew Lawford and Sons</v>
      </c>
      <c r="C5247" s="1" t="s">
        <v>11675</v>
      </c>
      <c r="D5247" s="1" t="s">
        <v>1676</v>
      </c>
      <c r="F5247" s="1" t="s">
        <v>621</v>
      </c>
      <c r="H5247" s="1" t="s">
        <v>11676</v>
      </c>
      <c r="I5247" s="1" t="s">
        <v>125</v>
      </c>
      <c r="J5247" s="1" t="s">
        <v>6</v>
      </c>
      <c r="K5247" s="1" t="s">
        <v>24</v>
      </c>
      <c r="M5247" s="2">
        <v>42740</v>
      </c>
      <c r="N5247" s="1" t="s">
        <v>8</v>
      </c>
      <c r="O5247" s="2">
        <v>43835</v>
      </c>
    </row>
    <row r="5248" spans="1:15" ht="28.8" x14ac:dyDescent="0.3">
      <c r="A5248" s="1" t="s">
        <v>23738</v>
      </c>
      <c r="B5248" s="1" t="str">
        <f>"CHRITIAN  EVANS"</f>
        <v>CHRITIAN  EVANS</v>
      </c>
      <c r="C5248" s="1" t="s">
        <v>23739</v>
      </c>
      <c r="F5248" s="1" t="s">
        <v>621</v>
      </c>
      <c r="H5248" s="1" t="s">
        <v>23740</v>
      </c>
      <c r="I5248" s="1" t="s">
        <v>5</v>
      </c>
      <c r="J5248" s="1" t="s">
        <v>6</v>
      </c>
      <c r="K5248" s="1" t="s">
        <v>24</v>
      </c>
      <c r="M5248" s="2">
        <v>42740</v>
      </c>
      <c r="N5248" s="1" t="s">
        <v>8</v>
      </c>
      <c r="O5248" s="2">
        <v>43835</v>
      </c>
    </row>
    <row r="5249" spans="1:15" ht="28.8" x14ac:dyDescent="0.3">
      <c r="A5249" s="1" t="s">
        <v>24602</v>
      </c>
      <c r="B5249" s="1" t="str">
        <f>"David Lang Lang Construction"</f>
        <v>David Lang Lang Construction</v>
      </c>
      <c r="C5249" s="1" t="s">
        <v>24603</v>
      </c>
      <c r="F5249" s="1" t="s">
        <v>65</v>
      </c>
      <c r="H5249" s="1" t="s">
        <v>24604</v>
      </c>
      <c r="I5249" s="1" t="s">
        <v>5</v>
      </c>
      <c r="J5249" s="1" t="s">
        <v>6</v>
      </c>
      <c r="K5249" s="1" t="s">
        <v>34</v>
      </c>
      <c r="M5249" s="2">
        <v>42740</v>
      </c>
      <c r="N5249" s="1" t="s">
        <v>8</v>
      </c>
      <c r="O5249" s="2">
        <v>43835</v>
      </c>
    </row>
    <row r="5250" spans="1:15" ht="28.8" x14ac:dyDescent="0.3">
      <c r="A5250" s="1" t="s">
        <v>24605</v>
      </c>
      <c r="B5250" s="1" t="str">
        <f>"colin Barr Colin A Barr &amp; Sons"</f>
        <v>colin Barr Colin A Barr &amp; Sons</v>
      </c>
      <c r="C5250" s="1" t="s">
        <v>24606</v>
      </c>
      <c r="F5250" s="1" t="s">
        <v>146</v>
      </c>
      <c r="H5250" s="1" t="s">
        <v>24607</v>
      </c>
      <c r="I5250" s="1" t="s">
        <v>5</v>
      </c>
      <c r="J5250" s="1" t="s">
        <v>6</v>
      </c>
      <c r="K5250" s="1" t="s">
        <v>24</v>
      </c>
      <c r="M5250" s="2">
        <v>42740</v>
      </c>
      <c r="N5250" s="1" t="s">
        <v>8</v>
      </c>
      <c r="O5250" s="2">
        <v>43840</v>
      </c>
    </row>
    <row r="5251" spans="1:15" ht="43.2" x14ac:dyDescent="0.3">
      <c r="A5251" s="1" t="s">
        <v>10621</v>
      </c>
      <c r="B5251" s="1" t="str">
        <f>"Partridge Opticians"</f>
        <v>Partridge Opticians</v>
      </c>
      <c r="C5251" s="1" t="s">
        <v>10622</v>
      </c>
      <c r="F5251" s="1" t="s">
        <v>1400</v>
      </c>
      <c r="H5251" s="1" t="s">
        <v>10623</v>
      </c>
      <c r="I5251" s="1" t="s">
        <v>19</v>
      </c>
      <c r="J5251" s="1" t="s">
        <v>67</v>
      </c>
      <c r="K5251" s="1" t="s">
        <v>14</v>
      </c>
      <c r="M5251" s="2">
        <v>42739</v>
      </c>
      <c r="N5251" s="1" t="s">
        <v>8</v>
      </c>
      <c r="O5251" s="1" t="s">
        <v>68</v>
      </c>
    </row>
    <row r="5252" spans="1:15" ht="43.2" x14ac:dyDescent="0.3">
      <c r="A5252" s="1" t="s">
        <v>10624</v>
      </c>
      <c r="B5252" s="1" t="str">
        <f>"Skinners Electrical Services"</f>
        <v>Skinners Electrical Services</v>
      </c>
      <c r="C5252" s="1" t="s">
        <v>10625</v>
      </c>
      <c r="D5252" s="1" t="s">
        <v>10626</v>
      </c>
      <c r="F5252" s="1" t="s">
        <v>10627</v>
      </c>
      <c r="H5252" s="1" t="s">
        <v>10628</v>
      </c>
      <c r="I5252" s="1" t="s">
        <v>125</v>
      </c>
      <c r="J5252" s="1" t="s">
        <v>67</v>
      </c>
      <c r="K5252" s="1" t="s">
        <v>14</v>
      </c>
      <c r="M5252" s="2">
        <v>42739</v>
      </c>
      <c r="N5252" s="1" t="s">
        <v>8</v>
      </c>
      <c r="O5252" s="1" t="s">
        <v>68</v>
      </c>
    </row>
    <row r="5253" spans="1:15" ht="28.8" x14ac:dyDescent="0.3">
      <c r="A5253" s="1" t="s">
        <v>10629</v>
      </c>
      <c r="B5253" s="1" t="str">
        <f>"james murphy contractors ltd"</f>
        <v>james murphy contractors ltd</v>
      </c>
      <c r="C5253" s="1" t="s">
        <v>10630</v>
      </c>
      <c r="F5253" s="1" t="s">
        <v>27</v>
      </c>
      <c r="H5253" s="1" t="s">
        <v>10631</v>
      </c>
      <c r="I5253" s="1" t="s">
        <v>19</v>
      </c>
      <c r="J5253" s="1" t="s">
        <v>6</v>
      </c>
      <c r="K5253" s="1" t="s">
        <v>34</v>
      </c>
      <c r="L5253" s="1">
        <v>9734495</v>
      </c>
      <c r="M5253" s="2">
        <v>42739</v>
      </c>
      <c r="N5253" s="1" t="s">
        <v>8</v>
      </c>
      <c r="O5253" s="2">
        <v>43834</v>
      </c>
    </row>
    <row r="5254" spans="1:15" ht="43.2" x14ac:dyDescent="0.3">
      <c r="A5254" s="1" t="s">
        <v>23718</v>
      </c>
      <c r="B5254" s="1" t="str">
        <f>"Paul Bush"</f>
        <v>Paul Bush</v>
      </c>
      <c r="C5254" s="1" t="s">
        <v>23719</v>
      </c>
      <c r="D5254" s="1" t="s">
        <v>23720</v>
      </c>
      <c r="F5254" s="1" t="s">
        <v>23721</v>
      </c>
      <c r="H5254" s="1" t="s">
        <v>23722</v>
      </c>
      <c r="I5254" s="1" t="s">
        <v>5</v>
      </c>
      <c r="J5254" s="1" t="s">
        <v>67</v>
      </c>
      <c r="K5254" s="1" t="s">
        <v>14</v>
      </c>
      <c r="M5254" s="2">
        <v>42739</v>
      </c>
      <c r="N5254" s="1" t="s">
        <v>8</v>
      </c>
      <c r="O5254" s="1" t="s">
        <v>68</v>
      </c>
    </row>
    <row r="5255" spans="1:15" ht="43.2" x14ac:dyDescent="0.3">
      <c r="A5255" s="1" t="s">
        <v>23723</v>
      </c>
      <c r="B5255" s="1" t="str">
        <f>"stephen wilson OASTVIEW GENERAL BUILDERS"</f>
        <v>stephen wilson OASTVIEW GENERAL BUILDERS</v>
      </c>
      <c r="C5255" s="1" t="s">
        <v>23724</v>
      </c>
      <c r="F5255" s="1" t="s">
        <v>20076</v>
      </c>
      <c r="H5255" s="1" t="s">
        <v>23725</v>
      </c>
      <c r="I5255" s="1" t="s">
        <v>5</v>
      </c>
      <c r="J5255" s="1" t="s">
        <v>6</v>
      </c>
      <c r="K5255" s="1" t="s">
        <v>34</v>
      </c>
      <c r="M5255" s="2">
        <v>42739</v>
      </c>
      <c r="N5255" s="1" t="s">
        <v>8</v>
      </c>
      <c r="O5255" s="2">
        <v>43834</v>
      </c>
    </row>
    <row r="5256" spans="1:15" ht="43.2" x14ac:dyDescent="0.3">
      <c r="A5256" s="1" t="s">
        <v>23726</v>
      </c>
      <c r="B5256" s="1" t="str">
        <f>"Jonathan Rollinson"</f>
        <v>Jonathan Rollinson</v>
      </c>
      <c r="C5256" s="1" t="s">
        <v>23727</v>
      </c>
      <c r="F5256" s="1" t="s">
        <v>5640</v>
      </c>
      <c r="H5256" s="1" t="s">
        <v>23728</v>
      </c>
      <c r="I5256" s="1" t="s">
        <v>5</v>
      </c>
      <c r="J5256" s="1" t="s">
        <v>67</v>
      </c>
      <c r="K5256" s="1" t="s">
        <v>14</v>
      </c>
      <c r="M5256" s="2">
        <v>42739</v>
      </c>
      <c r="N5256" s="1" t="s">
        <v>8</v>
      </c>
      <c r="O5256" s="1" t="s">
        <v>68</v>
      </c>
    </row>
    <row r="5257" spans="1:15" ht="43.2" x14ac:dyDescent="0.3">
      <c r="A5257" s="1" t="s">
        <v>23729</v>
      </c>
      <c r="B5257" s="1" t="str">
        <f>"Haydn Russell"</f>
        <v>Haydn Russell</v>
      </c>
      <c r="C5257" s="1" t="s">
        <v>23730</v>
      </c>
      <c r="F5257" s="1" t="s">
        <v>2277</v>
      </c>
      <c r="H5257" s="1" t="s">
        <v>23731</v>
      </c>
      <c r="I5257" s="1" t="s">
        <v>5</v>
      </c>
      <c r="J5257" s="1" t="s">
        <v>67</v>
      </c>
      <c r="K5257" s="1" t="s">
        <v>14</v>
      </c>
      <c r="M5257" s="2">
        <v>42739</v>
      </c>
      <c r="N5257" s="1" t="s">
        <v>8</v>
      </c>
      <c r="O5257" s="1" t="s">
        <v>68</v>
      </c>
    </row>
    <row r="5258" spans="1:15" ht="28.8" x14ac:dyDescent="0.3">
      <c r="A5258" s="1" t="s">
        <v>23732</v>
      </c>
      <c r="B5258" s="1" t="str">
        <f>"David  Phillips Phillips Roofing &amp; Son"</f>
        <v>David  Phillips Phillips Roofing &amp; Son</v>
      </c>
      <c r="C5258" s="1" t="s">
        <v>23733</v>
      </c>
      <c r="F5258" s="1" t="s">
        <v>174</v>
      </c>
      <c r="H5258" s="1" t="s">
        <v>23734</v>
      </c>
      <c r="I5258" s="1" t="s">
        <v>5</v>
      </c>
      <c r="J5258" s="1" t="s">
        <v>6</v>
      </c>
      <c r="K5258" s="1" t="s">
        <v>24</v>
      </c>
      <c r="M5258" s="2">
        <v>42739</v>
      </c>
      <c r="N5258" s="1" t="s">
        <v>8</v>
      </c>
      <c r="O5258" s="2">
        <v>43834</v>
      </c>
    </row>
    <row r="5259" spans="1:15" ht="43.2" x14ac:dyDescent="0.3">
      <c r="A5259" s="1" t="s">
        <v>23735</v>
      </c>
      <c r="B5259" s="1" t="str">
        <f>"Timothy  Curtice  Kingsbridge property maintenance "</f>
        <v xml:space="preserve">Timothy  Curtice  Kingsbridge property maintenance </v>
      </c>
      <c r="C5259" s="1" t="s">
        <v>23736</v>
      </c>
      <c r="F5259" s="1" t="s">
        <v>65</v>
      </c>
      <c r="H5259" s="1" t="s">
        <v>23737</v>
      </c>
      <c r="I5259" s="1" t="s">
        <v>5</v>
      </c>
      <c r="J5259" s="1" t="s">
        <v>6</v>
      </c>
      <c r="K5259" s="1" t="s">
        <v>24</v>
      </c>
      <c r="M5259" s="2">
        <v>42739</v>
      </c>
      <c r="N5259" s="1" t="s">
        <v>8</v>
      </c>
      <c r="O5259" s="2">
        <v>43834</v>
      </c>
    </row>
    <row r="5260" spans="1:15" ht="28.8" x14ac:dyDescent="0.3">
      <c r="A5260" s="1" t="s">
        <v>9543</v>
      </c>
      <c r="B5260" s="1" t="str">
        <f>"BOMAC BUILDING SERVICES LTD"</f>
        <v>BOMAC BUILDING SERVICES LTD</v>
      </c>
      <c r="C5260" s="1" t="s">
        <v>9544</v>
      </c>
      <c r="F5260" s="1" t="s">
        <v>27</v>
      </c>
      <c r="H5260" s="1" t="s">
        <v>9545</v>
      </c>
      <c r="I5260" s="1" t="s">
        <v>19</v>
      </c>
      <c r="J5260" s="1" t="s">
        <v>6</v>
      </c>
      <c r="K5260" s="1" t="s">
        <v>24</v>
      </c>
      <c r="L5260" s="1">
        <v>5196012</v>
      </c>
      <c r="M5260" s="2">
        <v>42738</v>
      </c>
      <c r="N5260" s="1" t="s">
        <v>8</v>
      </c>
      <c r="O5260" s="2">
        <v>43833</v>
      </c>
    </row>
    <row r="5261" spans="1:15" ht="28.8" x14ac:dyDescent="0.3">
      <c r="A5261" s="1" t="s">
        <v>9546</v>
      </c>
      <c r="B5261" s="1" t="str">
        <f>"Gallagher Construction (Northern) Ltd."</f>
        <v>Gallagher Construction (Northern) Ltd.</v>
      </c>
      <c r="C5261" s="1" t="s">
        <v>9547</v>
      </c>
      <c r="D5261" s="1" t="s">
        <v>5911</v>
      </c>
      <c r="F5261" s="1" t="s">
        <v>83</v>
      </c>
      <c r="H5261" s="1" t="s">
        <v>9548</v>
      </c>
      <c r="I5261" s="1" t="s">
        <v>19</v>
      </c>
      <c r="J5261" s="1" t="s">
        <v>6</v>
      </c>
      <c r="K5261" s="1" t="s">
        <v>24</v>
      </c>
      <c r="L5261" s="1">
        <v>2869445</v>
      </c>
      <c r="M5261" s="2">
        <v>42738</v>
      </c>
      <c r="N5261" s="1" t="s">
        <v>8</v>
      </c>
      <c r="O5261" s="2">
        <v>43833</v>
      </c>
    </row>
    <row r="5262" spans="1:15" x14ac:dyDescent="0.3">
      <c r="A5262" s="1" t="s">
        <v>9549</v>
      </c>
      <c r="B5262" s="1" t="str">
        <f>"Gwyndaf Hughes Ltd."</f>
        <v>Gwyndaf Hughes Ltd.</v>
      </c>
      <c r="C5262" s="1" t="s">
        <v>9550</v>
      </c>
      <c r="D5262" s="1" t="s">
        <v>1336</v>
      </c>
      <c r="F5262" s="1" t="s">
        <v>1321</v>
      </c>
      <c r="H5262" s="1" t="s">
        <v>9551</v>
      </c>
      <c r="I5262" s="1" t="s">
        <v>19</v>
      </c>
      <c r="J5262" s="1" t="s">
        <v>6</v>
      </c>
      <c r="K5262" s="1" t="s">
        <v>24</v>
      </c>
      <c r="L5262" s="1">
        <v>6488589</v>
      </c>
      <c r="M5262" s="2">
        <v>42738</v>
      </c>
      <c r="N5262" s="1" t="s">
        <v>8</v>
      </c>
      <c r="O5262" s="2">
        <v>43833</v>
      </c>
    </row>
    <row r="5263" spans="1:15" ht="28.8" x14ac:dyDescent="0.3">
      <c r="A5263" s="1" t="s">
        <v>9552</v>
      </c>
      <c r="B5263" s="1" t="str">
        <f>"T T  Drainage &amp; Plumbing Services Ltd."</f>
        <v>T T  Drainage &amp; Plumbing Services Ltd.</v>
      </c>
      <c r="C5263" s="1" t="s">
        <v>9553</v>
      </c>
      <c r="D5263" s="1" t="s">
        <v>9554</v>
      </c>
      <c r="E5263" s="1" t="s">
        <v>5911</v>
      </c>
      <c r="F5263" s="1" t="s">
        <v>83</v>
      </c>
      <c r="H5263" s="1" t="s">
        <v>8574</v>
      </c>
      <c r="I5263" s="1" t="s">
        <v>19</v>
      </c>
      <c r="J5263" s="1" t="s">
        <v>6</v>
      </c>
      <c r="K5263" s="1" t="s">
        <v>24</v>
      </c>
      <c r="L5263" s="1">
        <v>4836251</v>
      </c>
      <c r="M5263" s="2">
        <v>42738</v>
      </c>
      <c r="N5263" s="1" t="s">
        <v>8</v>
      </c>
      <c r="O5263" s="2">
        <v>43833</v>
      </c>
    </row>
    <row r="5264" spans="1:15" ht="28.8" x14ac:dyDescent="0.3">
      <c r="A5264" s="1" t="s">
        <v>9555</v>
      </c>
      <c r="B5264" s="1" t="str">
        <f>"Gasco Wales Ltd."</f>
        <v>Gasco Wales Ltd.</v>
      </c>
      <c r="C5264" s="1" t="s">
        <v>9556</v>
      </c>
      <c r="D5264" s="1" t="s">
        <v>9557</v>
      </c>
      <c r="F5264" s="1" t="s">
        <v>64</v>
      </c>
      <c r="H5264" s="1" t="s">
        <v>9558</v>
      </c>
      <c r="I5264" s="1" t="s">
        <v>19</v>
      </c>
      <c r="J5264" s="1" t="s">
        <v>6</v>
      </c>
      <c r="K5264" s="1" t="s">
        <v>24</v>
      </c>
      <c r="L5264" s="1">
        <v>6243247</v>
      </c>
      <c r="M5264" s="2">
        <v>42738</v>
      </c>
      <c r="N5264" s="1" t="s">
        <v>8</v>
      </c>
      <c r="O5264" s="2">
        <v>43833</v>
      </c>
    </row>
    <row r="5265" spans="1:15" ht="28.8" x14ac:dyDescent="0.3">
      <c r="A5265" s="1" t="s">
        <v>9559</v>
      </c>
      <c r="B5265" s="1" t="str">
        <f>"R.W. HOUGH &amp; SONS LTD"</f>
        <v>R.W. HOUGH &amp; SONS LTD</v>
      </c>
      <c r="C5265" s="1" t="s">
        <v>9560</v>
      </c>
      <c r="F5265" s="1" t="s">
        <v>198</v>
      </c>
      <c r="H5265" s="1" t="s">
        <v>9561</v>
      </c>
      <c r="I5265" s="1" t="s">
        <v>19</v>
      </c>
      <c r="J5265" s="1" t="s">
        <v>6</v>
      </c>
      <c r="K5265" s="1" t="s">
        <v>34</v>
      </c>
      <c r="L5265" s="1">
        <v>7058922</v>
      </c>
      <c r="M5265" s="2">
        <v>42738</v>
      </c>
      <c r="N5265" s="1" t="s">
        <v>8</v>
      </c>
      <c r="O5265" s="2">
        <v>43833</v>
      </c>
    </row>
    <row r="5266" spans="1:15" ht="43.2" x14ac:dyDescent="0.3">
      <c r="A5266" s="1" t="s">
        <v>9562</v>
      </c>
      <c r="B5266" s="1" t="str">
        <f>"CROWNHAWK PROPERTIES LTD"</f>
        <v>CROWNHAWK PROPERTIES LTD</v>
      </c>
      <c r="C5266" s="1" t="s">
        <v>9563</v>
      </c>
      <c r="F5266" s="1" t="s">
        <v>65</v>
      </c>
      <c r="H5266" s="1" t="s">
        <v>9564</v>
      </c>
      <c r="I5266" s="1" t="s">
        <v>19</v>
      </c>
      <c r="J5266" s="1" t="s">
        <v>67</v>
      </c>
      <c r="K5266" s="1" t="s">
        <v>24</v>
      </c>
      <c r="L5266" s="1">
        <v>3830322</v>
      </c>
      <c r="M5266" s="2">
        <v>42738</v>
      </c>
      <c r="N5266" s="1" t="s">
        <v>8</v>
      </c>
      <c r="O5266" s="1" t="s">
        <v>68</v>
      </c>
    </row>
    <row r="5267" spans="1:15" ht="28.8" x14ac:dyDescent="0.3">
      <c r="A5267" s="1" t="s">
        <v>9565</v>
      </c>
      <c r="B5267" s="1" t="str">
        <f>"Crownhawk Properties Ltd"</f>
        <v>Crownhawk Properties Ltd</v>
      </c>
      <c r="C5267" s="1" t="s">
        <v>9566</v>
      </c>
      <c r="D5267" s="1" t="s">
        <v>9567</v>
      </c>
      <c r="F5267" s="1" t="s">
        <v>32</v>
      </c>
      <c r="G5267" s="1" t="s">
        <v>109</v>
      </c>
      <c r="H5267" s="1" t="s">
        <v>9568</v>
      </c>
      <c r="I5267" s="1" t="s">
        <v>19</v>
      </c>
      <c r="J5267" s="1" t="s">
        <v>6</v>
      </c>
      <c r="K5267" s="1" t="s">
        <v>34</v>
      </c>
      <c r="L5267" s="1">
        <v>3830322</v>
      </c>
      <c r="M5267" s="2">
        <v>42738</v>
      </c>
      <c r="N5267" s="1" t="s">
        <v>8</v>
      </c>
      <c r="O5267" s="2">
        <v>43832</v>
      </c>
    </row>
    <row r="5268" spans="1:15" ht="28.8" x14ac:dyDescent="0.3">
      <c r="A5268" s="1" t="s">
        <v>22957</v>
      </c>
      <c r="B5268" s="1" t="str">
        <f>"Jason  Anderson Jason Anderson"</f>
        <v>Jason  Anderson Jason Anderson</v>
      </c>
      <c r="C5268" s="1" t="s">
        <v>22958</v>
      </c>
      <c r="F5268" s="1" t="s">
        <v>32</v>
      </c>
      <c r="H5268" s="1" t="s">
        <v>22959</v>
      </c>
      <c r="I5268" s="1" t="s">
        <v>5</v>
      </c>
      <c r="J5268" s="1" t="s">
        <v>6</v>
      </c>
      <c r="K5268" s="1" t="s">
        <v>34</v>
      </c>
      <c r="M5268" s="2">
        <v>42738</v>
      </c>
      <c r="N5268" s="1" t="s">
        <v>8</v>
      </c>
      <c r="O5268" s="2">
        <v>43833</v>
      </c>
    </row>
    <row r="5269" spans="1:15" ht="43.2" x14ac:dyDescent="0.3">
      <c r="A5269" s="1" t="s">
        <v>22960</v>
      </c>
      <c r="B5269" s="1" t="str">
        <f>"John Marriott"</f>
        <v>John Marriott</v>
      </c>
      <c r="C5269" s="1" t="s">
        <v>22961</v>
      </c>
      <c r="F5269" s="1" t="s">
        <v>5422</v>
      </c>
      <c r="H5269" s="1" t="s">
        <v>22962</v>
      </c>
      <c r="I5269" s="1" t="s">
        <v>5</v>
      </c>
      <c r="J5269" s="1" t="s">
        <v>67</v>
      </c>
      <c r="K5269" s="1" t="s">
        <v>14</v>
      </c>
      <c r="M5269" s="2">
        <v>42738</v>
      </c>
      <c r="N5269" s="1" t="s">
        <v>8</v>
      </c>
      <c r="O5269" s="1" t="s">
        <v>68</v>
      </c>
    </row>
    <row r="5270" spans="1:15" ht="43.2" x14ac:dyDescent="0.3">
      <c r="A5270" s="1" t="s">
        <v>22963</v>
      </c>
      <c r="B5270" s="1" t="str">
        <f>"Richard Lloyd"</f>
        <v>Richard Lloyd</v>
      </c>
      <c r="C5270" s="1" t="s">
        <v>22964</v>
      </c>
      <c r="D5270" s="1" t="s">
        <v>6087</v>
      </c>
      <c r="F5270" s="1" t="s">
        <v>27</v>
      </c>
      <c r="H5270" s="1" t="s">
        <v>22965</v>
      </c>
      <c r="I5270" s="1" t="s">
        <v>5</v>
      </c>
      <c r="J5270" s="1" t="s">
        <v>67</v>
      </c>
      <c r="K5270" s="1" t="s">
        <v>14</v>
      </c>
      <c r="M5270" s="2">
        <v>42738</v>
      </c>
      <c r="N5270" s="1" t="s">
        <v>8</v>
      </c>
      <c r="O5270" s="1" t="s">
        <v>68</v>
      </c>
    </row>
    <row r="5271" spans="1:15" x14ac:dyDescent="0.3">
      <c r="A5271" s="1" t="s">
        <v>23715</v>
      </c>
      <c r="B5271" s="1" t="str">
        <f>"john pegg jpegg"</f>
        <v>john pegg jpegg</v>
      </c>
      <c r="C5271" s="1" t="s">
        <v>23716</v>
      </c>
      <c r="D5271" s="1" t="s">
        <v>10627</v>
      </c>
      <c r="F5271" s="1" t="s">
        <v>11706</v>
      </c>
      <c r="H5271" s="1" t="s">
        <v>23717</v>
      </c>
      <c r="I5271" s="1" t="s">
        <v>5</v>
      </c>
      <c r="J5271" s="1" t="s">
        <v>6</v>
      </c>
      <c r="K5271" s="1" t="s">
        <v>1859</v>
      </c>
      <c r="M5271" s="2">
        <v>42738</v>
      </c>
      <c r="N5271" s="1" t="s">
        <v>8</v>
      </c>
      <c r="O5271" s="2">
        <v>43833</v>
      </c>
    </row>
    <row r="5272" spans="1:15" ht="28.8" x14ac:dyDescent="0.3">
      <c r="A5272" s="1" t="s">
        <v>9536</v>
      </c>
      <c r="B5272" s="1" t="str">
        <f>"Ican Transport Ltd"</f>
        <v>Ican Transport Ltd</v>
      </c>
      <c r="C5272" s="1" t="s">
        <v>9537</v>
      </c>
      <c r="F5272" s="1" t="s">
        <v>27</v>
      </c>
      <c r="H5272" s="1" t="s">
        <v>9538</v>
      </c>
      <c r="I5272" s="1" t="s">
        <v>19</v>
      </c>
      <c r="J5272" s="1" t="s">
        <v>6</v>
      </c>
      <c r="K5272" s="1" t="s">
        <v>24</v>
      </c>
      <c r="L5272" s="1">
        <v>9637840</v>
      </c>
      <c r="M5272" s="2">
        <v>42737</v>
      </c>
      <c r="N5272" s="1" t="s">
        <v>8</v>
      </c>
      <c r="O5272" s="2">
        <v>43832</v>
      </c>
    </row>
    <row r="5273" spans="1:15" ht="43.2" x14ac:dyDescent="0.3">
      <c r="A5273" s="1" t="s">
        <v>9539</v>
      </c>
      <c r="B5273" s="1" t="str">
        <f>"Theocus Arboriculture Ltd"</f>
        <v>Theocus Arboriculture Ltd</v>
      </c>
      <c r="C5273" s="1" t="s">
        <v>9540</v>
      </c>
      <c r="F5273" s="1" t="s">
        <v>9541</v>
      </c>
      <c r="H5273" s="1" t="s">
        <v>9542</v>
      </c>
      <c r="I5273" s="1" t="s">
        <v>19</v>
      </c>
      <c r="J5273" s="1" t="s">
        <v>67</v>
      </c>
      <c r="K5273" s="1" t="s">
        <v>14</v>
      </c>
      <c r="M5273" s="2">
        <v>42737</v>
      </c>
      <c r="N5273" s="1" t="s">
        <v>8</v>
      </c>
      <c r="O5273" s="1" t="s">
        <v>68</v>
      </c>
    </row>
    <row r="5274" spans="1:15" ht="43.2" x14ac:dyDescent="0.3">
      <c r="A5274" s="1" t="s">
        <v>9533</v>
      </c>
      <c r="B5274" s="1" t="str">
        <f>"ALUN JONES HAULAGE LTD"</f>
        <v>ALUN JONES HAULAGE LTD</v>
      </c>
      <c r="C5274" s="1" t="s">
        <v>9534</v>
      </c>
      <c r="F5274" s="1" t="s">
        <v>328</v>
      </c>
      <c r="H5274" s="1" t="s">
        <v>9535</v>
      </c>
      <c r="I5274" s="1" t="s">
        <v>19</v>
      </c>
      <c r="J5274" s="1" t="s">
        <v>67</v>
      </c>
      <c r="K5274" s="1" t="s">
        <v>24</v>
      </c>
      <c r="L5274" s="1">
        <v>7204117</v>
      </c>
      <c r="M5274" s="2">
        <v>42736</v>
      </c>
      <c r="N5274" s="1" t="s">
        <v>8</v>
      </c>
      <c r="O5274" s="1" t="s">
        <v>68</v>
      </c>
    </row>
    <row r="5275" spans="1:15" ht="43.2" x14ac:dyDescent="0.3">
      <c r="A5275" s="1" t="s">
        <v>22217</v>
      </c>
      <c r="B5275" s="1" t="str">
        <f>"Neil Harris"</f>
        <v>Neil Harris</v>
      </c>
      <c r="C5275" s="1" t="s">
        <v>22218</v>
      </c>
      <c r="F5275" s="1" t="s">
        <v>96</v>
      </c>
      <c r="H5275" s="1" t="s">
        <v>22219</v>
      </c>
      <c r="I5275" s="1" t="s">
        <v>5</v>
      </c>
      <c r="J5275" s="1" t="s">
        <v>67</v>
      </c>
      <c r="K5275" s="1" t="s">
        <v>24</v>
      </c>
      <c r="M5275" s="2">
        <v>42736</v>
      </c>
      <c r="N5275" s="1" t="s">
        <v>8</v>
      </c>
      <c r="O5275" s="1" t="s">
        <v>68</v>
      </c>
    </row>
    <row r="5276" spans="1:15" x14ac:dyDescent="0.3">
      <c r="A5276" s="1" t="s">
        <v>8383</v>
      </c>
      <c r="B5276" s="1" t="str">
        <f>"Ceri's Light Haulage"</f>
        <v>Ceri's Light Haulage</v>
      </c>
      <c r="C5276" s="1" t="s">
        <v>8384</v>
      </c>
      <c r="F5276" s="1" t="s">
        <v>42</v>
      </c>
      <c r="H5276" s="1" t="s">
        <v>8385</v>
      </c>
      <c r="I5276" s="1" t="s">
        <v>125</v>
      </c>
      <c r="J5276" s="1" t="s">
        <v>6</v>
      </c>
      <c r="K5276" s="1" t="s">
        <v>24</v>
      </c>
      <c r="M5276" s="2">
        <v>42735</v>
      </c>
      <c r="N5276" s="1" t="s">
        <v>8</v>
      </c>
      <c r="O5276" s="2">
        <v>43830</v>
      </c>
    </row>
    <row r="5277" spans="1:15" ht="43.2" x14ac:dyDescent="0.3">
      <c r="A5277" s="1" t="s">
        <v>8386</v>
      </c>
      <c r="B5277" s="1" t="str">
        <f>"Montgomeryshire Homes Ltd"</f>
        <v>Montgomeryshire Homes Ltd</v>
      </c>
      <c r="C5277" s="1" t="s">
        <v>8387</v>
      </c>
      <c r="F5277" s="1" t="s">
        <v>2459</v>
      </c>
      <c r="H5277" s="1" t="s">
        <v>4472</v>
      </c>
      <c r="I5277" s="1" t="s">
        <v>19</v>
      </c>
      <c r="J5277" s="1" t="s">
        <v>6</v>
      </c>
      <c r="K5277" s="1" t="s">
        <v>24</v>
      </c>
      <c r="L5277" s="1">
        <v>8989494</v>
      </c>
      <c r="M5277" s="2">
        <v>42735</v>
      </c>
      <c r="N5277" s="1" t="s">
        <v>8</v>
      </c>
      <c r="O5277" s="2">
        <v>43830</v>
      </c>
    </row>
    <row r="5278" spans="1:15" ht="28.8" x14ac:dyDescent="0.3">
      <c r="A5278" s="1" t="s">
        <v>8379</v>
      </c>
      <c r="B5278" s="1" t="str">
        <f>"Greenwaste Company (Abergavenny) Lt"</f>
        <v>Greenwaste Company (Abergavenny) Lt</v>
      </c>
      <c r="C5278" s="1" t="s">
        <v>8380</v>
      </c>
      <c r="D5278" s="1" t="s">
        <v>8381</v>
      </c>
      <c r="F5278" s="1" t="s">
        <v>205</v>
      </c>
      <c r="H5278" s="1" t="s">
        <v>8382</v>
      </c>
      <c r="I5278" s="1" t="s">
        <v>19</v>
      </c>
      <c r="J5278" s="1" t="s">
        <v>6</v>
      </c>
      <c r="K5278" s="1" t="s">
        <v>34</v>
      </c>
      <c r="L5278" s="1">
        <v>8232217</v>
      </c>
      <c r="M5278" s="2">
        <v>42734</v>
      </c>
      <c r="N5278" s="1" t="s">
        <v>8</v>
      </c>
      <c r="O5278" s="2">
        <v>43829</v>
      </c>
    </row>
    <row r="5279" spans="1:15" ht="43.2" x14ac:dyDescent="0.3">
      <c r="A5279" s="1" t="s">
        <v>22204</v>
      </c>
      <c r="B5279" s="1" t="str">
        <f>"Bryan Shayle Craftsman Home Improvements"</f>
        <v>Bryan Shayle Craftsman Home Improvements</v>
      </c>
      <c r="C5279" s="1" t="s">
        <v>22205</v>
      </c>
      <c r="F5279" s="1" t="s">
        <v>42</v>
      </c>
      <c r="H5279" s="1" t="s">
        <v>22206</v>
      </c>
      <c r="I5279" s="1" t="s">
        <v>5</v>
      </c>
      <c r="J5279" s="1" t="s">
        <v>6</v>
      </c>
      <c r="K5279" s="1" t="s">
        <v>24</v>
      </c>
      <c r="M5279" s="2">
        <v>42734</v>
      </c>
      <c r="N5279" s="1" t="s">
        <v>8</v>
      </c>
      <c r="O5279" s="2">
        <v>43829</v>
      </c>
    </row>
    <row r="5280" spans="1:15" ht="28.8" x14ac:dyDescent="0.3">
      <c r="A5280" s="1" t="s">
        <v>22207</v>
      </c>
      <c r="B5280" s="1" t="str">
        <f>"DAVID HADWIN dave.hadwin"</f>
        <v>DAVID HADWIN dave.hadwin</v>
      </c>
      <c r="C5280" s="1" t="s">
        <v>22208</v>
      </c>
      <c r="D5280" s="1" t="s">
        <v>22209</v>
      </c>
      <c r="F5280" s="1" t="s">
        <v>22210</v>
      </c>
      <c r="H5280" s="1" t="s">
        <v>22211</v>
      </c>
      <c r="I5280" s="1" t="s">
        <v>5</v>
      </c>
      <c r="J5280" s="1" t="s">
        <v>6</v>
      </c>
      <c r="K5280" s="1" t="s">
        <v>24</v>
      </c>
      <c r="M5280" s="2">
        <v>42734</v>
      </c>
      <c r="N5280" s="1" t="s">
        <v>8</v>
      </c>
      <c r="O5280" s="2">
        <v>43829</v>
      </c>
    </row>
    <row r="5281" spans="1:15" ht="28.8" x14ac:dyDescent="0.3">
      <c r="A5281" s="1" t="s">
        <v>22212</v>
      </c>
      <c r="B5281" s="1" t="str">
        <f>"John Griffiths J N Griffiths"</f>
        <v>John Griffiths J N Griffiths</v>
      </c>
      <c r="C5281" s="1" t="s">
        <v>22213</v>
      </c>
      <c r="F5281" s="1" t="s">
        <v>438</v>
      </c>
      <c r="H5281" s="1" t="s">
        <v>5940</v>
      </c>
      <c r="I5281" s="1" t="s">
        <v>5</v>
      </c>
      <c r="J5281" s="1" t="s">
        <v>6</v>
      </c>
      <c r="K5281" s="1" t="s">
        <v>34</v>
      </c>
      <c r="M5281" s="2">
        <v>42734</v>
      </c>
      <c r="N5281" s="1" t="s">
        <v>8</v>
      </c>
      <c r="O5281" s="2">
        <v>43829</v>
      </c>
    </row>
    <row r="5282" spans="1:15" ht="28.8" x14ac:dyDescent="0.3">
      <c r="A5282" s="1" t="s">
        <v>22214</v>
      </c>
      <c r="B5282" s="1" t="str">
        <f>"Craig Smith Craig's value"</f>
        <v>Craig Smith Craig's value</v>
      </c>
      <c r="C5282" s="1" t="s">
        <v>22215</v>
      </c>
      <c r="F5282" s="1" t="s">
        <v>65</v>
      </c>
      <c r="H5282" s="1" t="s">
        <v>22216</v>
      </c>
      <c r="I5282" s="1" t="s">
        <v>5</v>
      </c>
      <c r="J5282" s="1" t="s">
        <v>6</v>
      </c>
      <c r="K5282" s="1" t="s">
        <v>24</v>
      </c>
      <c r="M5282" s="2">
        <v>42734</v>
      </c>
      <c r="N5282" s="1" t="s">
        <v>8</v>
      </c>
      <c r="O5282" s="2">
        <v>43829</v>
      </c>
    </row>
    <row r="5283" spans="1:15" ht="28.8" x14ac:dyDescent="0.3">
      <c r="A5283" s="1" t="s">
        <v>8370</v>
      </c>
      <c r="B5283" s="1" t="str">
        <f>"Maerdy Plant Ltd."</f>
        <v>Maerdy Plant Ltd.</v>
      </c>
      <c r="C5283" s="1" t="s">
        <v>8371</v>
      </c>
      <c r="F5283" s="1" t="s">
        <v>65</v>
      </c>
      <c r="H5283" s="1" t="s">
        <v>8372</v>
      </c>
      <c r="I5283" s="1" t="s">
        <v>19</v>
      </c>
      <c r="J5283" s="1" t="s">
        <v>6</v>
      </c>
      <c r="K5283" s="1" t="s">
        <v>24</v>
      </c>
      <c r="L5283" s="1">
        <v>5331946</v>
      </c>
      <c r="M5283" s="2">
        <v>42733</v>
      </c>
      <c r="N5283" s="1" t="s">
        <v>8</v>
      </c>
      <c r="O5283" s="2">
        <v>43828</v>
      </c>
    </row>
    <row r="5284" spans="1:15" x14ac:dyDescent="0.3">
      <c r="A5284" s="1" t="s">
        <v>8373</v>
      </c>
      <c r="B5284" s="1" t="str">
        <f>"Fitments &amp; Frames"</f>
        <v>Fitments &amp; Frames</v>
      </c>
      <c r="C5284" s="1" t="s">
        <v>8374</v>
      </c>
      <c r="F5284" s="1" t="s">
        <v>91</v>
      </c>
      <c r="H5284" s="1" t="s">
        <v>8375</v>
      </c>
      <c r="I5284" s="1" t="s">
        <v>125</v>
      </c>
      <c r="J5284" s="1" t="s">
        <v>6</v>
      </c>
      <c r="K5284" s="1" t="s">
        <v>24</v>
      </c>
      <c r="M5284" s="2">
        <v>42733</v>
      </c>
      <c r="N5284" s="1" t="s">
        <v>8</v>
      </c>
      <c r="O5284" s="2">
        <v>43888</v>
      </c>
    </row>
    <row r="5285" spans="1:15" ht="28.8" x14ac:dyDescent="0.3">
      <c r="A5285" s="1" t="s">
        <v>8376</v>
      </c>
      <c r="B5285" s="1" t="str">
        <f>"TOTAL UTILITY CONNECTIONS LTD"</f>
        <v>TOTAL UTILITY CONNECTIONS LTD</v>
      </c>
      <c r="C5285" s="1" t="s">
        <v>8377</v>
      </c>
      <c r="F5285" s="1" t="s">
        <v>27</v>
      </c>
      <c r="H5285" s="1" t="s">
        <v>8378</v>
      </c>
      <c r="I5285" s="1" t="s">
        <v>19</v>
      </c>
      <c r="J5285" s="1" t="s">
        <v>6</v>
      </c>
      <c r="K5285" s="1" t="s">
        <v>34</v>
      </c>
      <c r="L5285" s="1">
        <v>7655073</v>
      </c>
      <c r="M5285" s="2">
        <v>42733</v>
      </c>
      <c r="N5285" s="1" t="s">
        <v>8</v>
      </c>
      <c r="O5285" s="2">
        <v>43828</v>
      </c>
    </row>
    <row r="5286" spans="1:15" ht="28.8" x14ac:dyDescent="0.3">
      <c r="A5286" s="1" t="s">
        <v>21392</v>
      </c>
      <c r="B5286" s="1" t="str">
        <f>"Frederick James Harvey"</f>
        <v>Frederick James Harvey</v>
      </c>
      <c r="C5286" s="1" t="s">
        <v>21393</v>
      </c>
      <c r="F5286" s="1" t="s">
        <v>27</v>
      </c>
      <c r="H5286" s="1" t="s">
        <v>21394</v>
      </c>
      <c r="I5286" s="1" t="s">
        <v>5</v>
      </c>
      <c r="J5286" s="1" t="s">
        <v>6</v>
      </c>
      <c r="K5286" s="1" t="s">
        <v>24</v>
      </c>
      <c r="M5286" s="2">
        <v>42733</v>
      </c>
      <c r="N5286" s="1" t="s">
        <v>8</v>
      </c>
      <c r="O5286" s="2">
        <v>43828</v>
      </c>
    </row>
    <row r="5287" spans="1:15" ht="28.8" x14ac:dyDescent="0.3">
      <c r="A5287" s="1" t="s">
        <v>22199</v>
      </c>
      <c r="B5287" s="1" t="str">
        <f>"Adam Green Adam Green"</f>
        <v>Adam Green Adam Green</v>
      </c>
      <c r="C5287" s="1" t="s">
        <v>22200</v>
      </c>
      <c r="F5287" s="1" t="s">
        <v>42</v>
      </c>
      <c r="H5287" s="1" t="s">
        <v>22201</v>
      </c>
      <c r="I5287" s="1" t="s">
        <v>5</v>
      </c>
      <c r="J5287" s="1" t="s">
        <v>6</v>
      </c>
      <c r="K5287" s="1" t="s">
        <v>24</v>
      </c>
      <c r="M5287" s="2">
        <v>42733</v>
      </c>
      <c r="N5287" s="1" t="s">
        <v>8</v>
      </c>
      <c r="O5287" s="2">
        <v>43828</v>
      </c>
    </row>
    <row r="5288" spans="1:15" ht="28.8" x14ac:dyDescent="0.3">
      <c r="A5288" s="1" t="s">
        <v>22202</v>
      </c>
      <c r="B5288" s="1" t="str">
        <f>"Michael Morgan Midmor Installations"</f>
        <v>Michael Morgan Midmor Installations</v>
      </c>
      <c r="C5288" s="1" t="s">
        <v>22203</v>
      </c>
      <c r="F5288" s="1" t="s">
        <v>873</v>
      </c>
      <c r="H5288" s="1" t="s">
        <v>8492</v>
      </c>
      <c r="I5288" s="1" t="s">
        <v>5</v>
      </c>
      <c r="J5288" s="1" t="s">
        <v>6</v>
      </c>
      <c r="K5288" s="1" t="s">
        <v>24</v>
      </c>
      <c r="M5288" s="2">
        <v>42733</v>
      </c>
      <c r="N5288" s="1" t="s">
        <v>8</v>
      </c>
      <c r="O5288" s="2">
        <v>43828</v>
      </c>
    </row>
    <row r="5289" spans="1:15" ht="28.8" x14ac:dyDescent="0.3">
      <c r="A5289" s="1" t="s">
        <v>7202</v>
      </c>
      <c r="B5289" s="1" t="str">
        <f>"Aja maintenance and services ltd "</f>
        <v xml:space="preserve">Aja maintenance and services ltd </v>
      </c>
      <c r="C5289" s="1" t="s">
        <v>7203</v>
      </c>
      <c r="F5289" s="1" t="s">
        <v>4831</v>
      </c>
      <c r="H5289" s="1" t="s">
        <v>7204</v>
      </c>
      <c r="I5289" s="1" t="s">
        <v>19</v>
      </c>
      <c r="J5289" s="1" t="s">
        <v>6</v>
      </c>
      <c r="K5289" s="1" t="s">
        <v>34</v>
      </c>
      <c r="L5289" s="1" t="s">
        <v>7205</v>
      </c>
      <c r="M5289" s="2">
        <v>42732</v>
      </c>
      <c r="N5289" s="1" t="s">
        <v>8</v>
      </c>
      <c r="O5289" s="2">
        <v>43827</v>
      </c>
    </row>
    <row r="5290" spans="1:15" ht="28.8" x14ac:dyDescent="0.3">
      <c r="A5290" s="1" t="s">
        <v>21385</v>
      </c>
      <c r="B5290" s="1" t="str">
        <f>"Stephen Cherry Stephen Cherry"</f>
        <v>Stephen Cherry Stephen Cherry</v>
      </c>
      <c r="C5290" s="1" t="s">
        <v>21386</v>
      </c>
      <c r="F5290" s="1" t="s">
        <v>21387</v>
      </c>
      <c r="H5290" s="1" t="s">
        <v>21388</v>
      </c>
      <c r="I5290" s="1" t="s">
        <v>5</v>
      </c>
      <c r="J5290" s="1" t="s">
        <v>6</v>
      </c>
      <c r="K5290" s="1" t="s">
        <v>24</v>
      </c>
      <c r="M5290" s="2">
        <v>42732</v>
      </c>
      <c r="N5290" s="1" t="s">
        <v>8</v>
      </c>
      <c r="O5290" s="2">
        <v>43827</v>
      </c>
    </row>
    <row r="5291" spans="1:15" ht="43.2" x14ac:dyDescent="0.3">
      <c r="A5291" s="1" t="s">
        <v>21389</v>
      </c>
      <c r="B5291" s="1" t="str">
        <f>"Richard Turton"</f>
        <v>Richard Turton</v>
      </c>
      <c r="C5291" s="1" t="s">
        <v>21390</v>
      </c>
      <c r="D5291" s="1" t="s">
        <v>8016</v>
      </c>
      <c r="F5291" s="1" t="s">
        <v>607</v>
      </c>
      <c r="H5291" s="1" t="s">
        <v>21391</v>
      </c>
      <c r="I5291" s="1" t="s">
        <v>5</v>
      </c>
      <c r="J5291" s="1" t="s">
        <v>67</v>
      </c>
      <c r="K5291" s="1" t="s">
        <v>24</v>
      </c>
      <c r="M5291" s="2">
        <v>42732</v>
      </c>
      <c r="N5291" s="1" t="s">
        <v>8</v>
      </c>
      <c r="O5291" s="1" t="s">
        <v>68</v>
      </c>
    </row>
    <row r="5292" spans="1:15" ht="43.2" x14ac:dyDescent="0.3">
      <c r="A5292" s="1" t="s">
        <v>7198</v>
      </c>
      <c r="B5292" s="1" t="str">
        <f>"Clayton"</f>
        <v>Clayton</v>
      </c>
      <c r="C5292" s="1" t="s">
        <v>7199</v>
      </c>
      <c r="F5292" s="1" t="s">
        <v>7200</v>
      </c>
      <c r="H5292" s="1" t="s">
        <v>7201</v>
      </c>
      <c r="I5292" s="1" t="s">
        <v>19</v>
      </c>
      <c r="J5292" s="1" t="s">
        <v>67</v>
      </c>
      <c r="K5292" s="1" t="s">
        <v>14</v>
      </c>
      <c r="M5292" s="2">
        <v>42730</v>
      </c>
      <c r="N5292" s="1" t="s">
        <v>8</v>
      </c>
      <c r="O5292" s="1" t="s">
        <v>68</v>
      </c>
    </row>
    <row r="5293" spans="1:15" ht="28.8" x14ac:dyDescent="0.3">
      <c r="A5293" s="1" t="s">
        <v>21379</v>
      </c>
      <c r="B5293" s="1" t="str">
        <f>"Lester Clarke Oil Boiler Maintenance"</f>
        <v>Lester Clarke Oil Boiler Maintenance</v>
      </c>
      <c r="C5293" s="1" t="s">
        <v>21380</v>
      </c>
      <c r="F5293" s="1" t="s">
        <v>416</v>
      </c>
      <c r="H5293" s="1" t="s">
        <v>21381</v>
      </c>
      <c r="I5293" s="1" t="s">
        <v>5</v>
      </c>
      <c r="J5293" s="1" t="s">
        <v>6</v>
      </c>
      <c r="K5293" s="1" t="s">
        <v>24</v>
      </c>
      <c r="M5293" s="2">
        <v>42730</v>
      </c>
      <c r="N5293" s="1" t="s">
        <v>8</v>
      </c>
      <c r="O5293" s="2">
        <v>43825</v>
      </c>
    </row>
    <row r="5294" spans="1:15" ht="28.8" x14ac:dyDescent="0.3">
      <c r="A5294" s="1" t="s">
        <v>21382</v>
      </c>
      <c r="B5294" s="1" t="str">
        <f>"stewart gallacher bectom transport"</f>
        <v>stewart gallacher bectom transport</v>
      </c>
      <c r="C5294" s="1" t="s">
        <v>21383</v>
      </c>
      <c r="F5294" s="1" t="s">
        <v>65</v>
      </c>
      <c r="H5294" s="1" t="s">
        <v>21384</v>
      </c>
      <c r="I5294" s="1" t="s">
        <v>5</v>
      </c>
      <c r="J5294" s="1" t="s">
        <v>6</v>
      </c>
      <c r="K5294" s="1" t="s">
        <v>24</v>
      </c>
      <c r="M5294" s="2">
        <v>42730</v>
      </c>
      <c r="N5294" s="1" t="s">
        <v>8</v>
      </c>
      <c r="O5294" s="2">
        <v>43825</v>
      </c>
    </row>
    <row r="5295" spans="1:15" ht="43.2" x14ac:dyDescent="0.3">
      <c r="A5295" s="1" t="s">
        <v>21376</v>
      </c>
      <c r="B5295" s="1" t="str">
        <f>"Martin Warrilow Martin Warrilow Carpentry"</f>
        <v>Martin Warrilow Martin Warrilow Carpentry</v>
      </c>
      <c r="C5295" s="1" t="s">
        <v>21377</v>
      </c>
      <c r="F5295" s="1" t="s">
        <v>1556</v>
      </c>
      <c r="H5295" s="1" t="s">
        <v>21378</v>
      </c>
      <c r="I5295" s="1" t="s">
        <v>5</v>
      </c>
      <c r="J5295" s="1" t="s">
        <v>6</v>
      </c>
      <c r="K5295" s="1" t="s">
        <v>24</v>
      </c>
      <c r="M5295" s="2">
        <v>42728</v>
      </c>
      <c r="N5295" s="1" t="s">
        <v>8</v>
      </c>
      <c r="O5295" s="2">
        <v>43823</v>
      </c>
    </row>
    <row r="5296" spans="1:15" ht="28.8" x14ac:dyDescent="0.3">
      <c r="A5296" s="1" t="s">
        <v>6074</v>
      </c>
      <c r="B5296" s="1" t="str">
        <f>"TACSI GWYNEDD LTD"</f>
        <v>TACSI GWYNEDD LTD</v>
      </c>
      <c r="C5296" s="1" t="s">
        <v>6075</v>
      </c>
      <c r="D5296" s="1" t="s">
        <v>6076</v>
      </c>
      <c r="F5296" s="1" t="s">
        <v>710</v>
      </c>
      <c r="H5296" s="1" t="s">
        <v>6077</v>
      </c>
      <c r="I5296" s="1" t="s">
        <v>19</v>
      </c>
      <c r="J5296" s="1" t="s">
        <v>6</v>
      </c>
      <c r="K5296" s="1" t="s">
        <v>34</v>
      </c>
      <c r="L5296" s="1">
        <v>7544179</v>
      </c>
      <c r="M5296" s="2">
        <v>42727</v>
      </c>
      <c r="N5296" s="1" t="s">
        <v>8</v>
      </c>
      <c r="O5296" s="2">
        <v>43822</v>
      </c>
    </row>
    <row r="5297" spans="1:15" ht="28.8" x14ac:dyDescent="0.3">
      <c r="A5297" s="1" t="s">
        <v>6078</v>
      </c>
      <c r="B5297" s="1" t="str">
        <f>"J G &amp; Son Ltd."</f>
        <v>J G &amp; Son Ltd.</v>
      </c>
      <c r="C5297" s="1" t="s">
        <v>6079</v>
      </c>
      <c r="F5297" s="1" t="s">
        <v>6080</v>
      </c>
      <c r="H5297" s="1" t="s">
        <v>6081</v>
      </c>
      <c r="I5297" s="1" t="s">
        <v>19</v>
      </c>
      <c r="J5297" s="1" t="s">
        <v>6</v>
      </c>
      <c r="K5297" s="1" t="s">
        <v>34</v>
      </c>
      <c r="L5297" s="1">
        <v>5546787</v>
      </c>
      <c r="M5297" s="2">
        <v>42727</v>
      </c>
      <c r="N5297" s="1" t="s">
        <v>8</v>
      </c>
      <c r="O5297" s="2">
        <v>43907</v>
      </c>
    </row>
    <row r="5298" spans="1:15" ht="28.8" x14ac:dyDescent="0.3">
      <c r="A5298" s="1" t="s">
        <v>7195</v>
      </c>
      <c r="B5298" s="1" t="str">
        <f>"Leslie H Trainer &amp; Son Ltd"</f>
        <v>Leslie H Trainer &amp; Son Ltd</v>
      </c>
      <c r="C5298" s="1" t="s">
        <v>7196</v>
      </c>
      <c r="F5298" s="1" t="s">
        <v>65</v>
      </c>
      <c r="H5298" s="1" t="s">
        <v>7197</v>
      </c>
      <c r="I5298" s="1" t="s">
        <v>19</v>
      </c>
      <c r="J5298" s="1" t="s">
        <v>6</v>
      </c>
      <c r="K5298" s="1" t="s">
        <v>34</v>
      </c>
      <c r="L5298" s="1">
        <v>1140490</v>
      </c>
      <c r="M5298" s="2">
        <v>42727</v>
      </c>
      <c r="N5298" s="1" t="s">
        <v>8</v>
      </c>
      <c r="O5298" s="2">
        <v>43822</v>
      </c>
    </row>
    <row r="5299" spans="1:15" ht="28.8" x14ac:dyDescent="0.3">
      <c r="A5299" s="1" t="s">
        <v>20575</v>
      </c>
      <c r="B5299" s="1" t="str">
        <f>"James Doran James Doran"</f>
        <v>James Doran James Doran</v>
      </c>
      <c r="C5299" s="1" t="s">
        <v>20576</v>
      </c>
      <c r="D5299" s="1" t="s">
        <v>869</v>
      </c>
      <c r="F5299" s="1" t="s">
        <v>532</v>
      </c>
      <c r="H5299" s="1" t="s">
        <v>4624</v>
      </c>
      <c r="I5299" s="1" t="s">
        <v>5</v>
      </c>
      <c r="J5299" s="1" t="s">
        <v>6</v>
      </c>
      <c r="K5299" s="1" t="s">
        <v>24</v>
      </c>
      <c r="M5299" s="2">
        <v>42727</v>
      </c>
      <c r="N5299" s="1" t="s">
        <v>8</v>
      </c>
      <c r="O5299" s="2">
        <v>43822</v>
      </c>
    </row>
    <row r="5300" spans="1:15" ht="43.2" x14ac:dyDescent="0.3">
      <c r="A5300" s="1" t="s">
        <v>6051</v>
      </c>
      <c r="B5300" s="1" t="str">
        <f>"BEN HUGHES ENG LTD"</f>
        <v>BEN HUGHES ENG LTD</v>
      </c>
      <c r="C5300" s="1" t="s">
        <v>6052</v>
      </c>
      <c r="D5300" s="1" t="s">
        <v>6053</v>
      </c>
      <c r="F5300" s="1" t="s">
        <v>65</v>
      </c>
      <c r="H5300" s="1" t="s">
        <v>6054</v>
      </c>
      <c r="I5300" s="1" t="s">
        <v>19</v>
      </c>
      <c r="J5300" s="1" t="s">
        <v>67</v>
      </c>
      <c r="K5300" s="1" t="s">
        <v>14</v>
      </c>
      <c r="M5300" s="2">
        <v>42726</v>
      </c>
      <c r="N5300" s="1" t="s">
        <v>8</v>
      </c>
      <c r="O5300" s="1" t="s">
        <v>68</v>
      </c>
    </row>
    <row r="5301" spans="1:15" ht="43.2" x14ac:dyDescent="0.3">
      <c r="A5301" s="1" t="s">
        <v>6055</v>
      </c>
      <c r="B5301" s="1" t="str">
        <f>"BEN HUGHES ENG LTD"</f>
        <v>BEN HUGHES ENG LTD</v>
      </c>
      <c r="C5301" s="1" t="s">
        <v>6056</v>
      </c>
      <c r="D5301" s="1" t="s">
        <v>3045</v>
      </c>
      <c r="E5301" s="1" t="s">
        <v>596</v>
      </c>
      <c r="F5301" s="1" t="s">
        <v>65</v>
      </c>
      <c r="H5301" s="1" t="s">
        <v>6057</v>
      </c>
      <c r="I5301" s="1" t="s">
        <v>19</v>
      </c>
      <c r="J5301" s="1" t="s">
        <v>67</v>
      </c>
      <c r="K5301" s="1" t="s">
        <v>14</v>
      </c>
      <c r="M5301" s="2">
        <v>42726</v>
      </c>
      <c r="N5301" s="1" t="s">
        <v>8</v>
      </c>
      <c r="O5301" s="1" t="s">
        <v>68</v>
      </c>
    </row>
    <row r="5302" spans="1:15" ht="43.2" x14ac:dyDescent="0.3">
      <c r="A5302" s="1" t="s">
        <v>6058</v>
      </c>
      <c r="B5302" s="1" t="str">
        <f>"GlJ Recycling Ltd."</f>
        <v>GlJ Recycling Ltd.</v>
      </c>
      <c r="C5302" s="1" t="s">
        <v>6059</v>
      </c>
      <c r="D5302" s="1" t="s">
        <v>1937</v>
      </c>
      <c r="E5302" s="1" t="s">
        <v>3128</v>
      </c>
      <c r="F5302" s="1" t="s">
        <v>91</v>
      </c>
      <c r="H5302" s="1" t="s">
        <v>6060</v>
      </c>
      <c r="I5302" s="1" t="s">
        <v>19</v>
      </c>
      <c r="J5302" s="1" t="s">
        <v>6</v>
      </c>
      <c r="K5302" s="1" t="s">
        <v>24</v>
      </c>
      <c r="L5302" s="1">
        <v>6345633</v>
      </c>
      <c r="M5302" s="2">
        <v>42726</v>
      </c>
      <c r="N5302" s="1" t="s">
        <v>8</v>
      </c>
      <c r="O5302" s="2">
        <v>43821</v>
      </c>
    </row>
    <row r="5303" spans="1:15" ht="43.2" x14ac:dyDescent="0.3">
      <c r="A5303" s="1" t="s">
        <v>6061</v>
      </c>
      <c r="B5303" s="1" t="str">
        <f>"Computerised &amp; Digital Security Systems Ltd."</f>
        <v>Computerised &amp; Digital Security Systems Ltd.</v>
      </c>
      <c r="C5303" s="1" t="s">
        <v>6062</v>
      </c>
      <c r="D5303" s="1" t="s">
        <v>6063</v>
      </c>
      <c r="F5303" s="1" t="s">
        <v>277</v>
      </c>
      <c r="H5303" s="1" t="s">
        <v>6064</v>
      </c>
      <c r="I5303" s="1" t="s">
        <v>19</v>
      </c>
      <c r="J5303" s="1" t="s">
        <v>67</v>
      </c>
      <c r="K5303" s="1" t="s">
        <v>24</v>
      </c>
      <c r="L5303" s="1">
        <v>2332983</v>
      </c>
      <c r="M5303" s="2">
        <v>42726</v>
      </c>
      <c r="N5303" s="1" t="s">
        <v>8</v>
      </c>
      <c r="O5303" s="1" t="s">
        <v>68</v>
      </c>
    </row>
    <row r="5304" spans="1:15" ht="28.8" x14ac:dyDescent="0.3">
      <c r="A5304" s="1" t="s">
        <v>6065</v>
      </c>
      <c r="B5304" s="1" t="str">
        <f>"D J Services Wales Ltd"</f>
        <v>D J Services Wales Ltd</v>
      </c>
      <c r="C5304" s="1" t="s">
        <v>6066</v>
      </c>
      <c r="D5304" s="1" t="s">
        <v>6067</v>
      </c>
      <c r="F5304" s="1" t="s">
        <v>720</v>
      </c>
      <c r="H5304" s="1" t="s">
        <v>6068</v>
      </c>
      <c r="I5304" s="1" t="s">
        <v>19</v>
      </c>
      <c r="J5304" s="1" t="s">
        <v>6</v>
      </c>
      <c r="K5304" s="1" t="s">
        <v>24</v>
      </c>
      <c r="L5304" s="1">
        <v>4487175</v>
      </c>
      <c r="M5304" s="2">
        <v>42726</v>
      </c>
      <c r="N5304" s="1" t="s">
        <v>8</v>
      </c>
      <c r="O5304" s="2">
        <v>43821</v>
      </c>
    </row>
    <row r="5305" spans="1:15" ht="43.2" x14ac:dyDescent="0.3">
      <c r="A5305" s="1" t="s">
        <v>6069</v>
      </c>
      <c r="B5305" s="1" t="str">
        <f>"Poplar Properties (Wrexham) Ltd."</f>
        <v>Poplar Properties (Wrexham) Ltd.</v>
      </c>
      <c r="C5305" s="1" t="s">
        <v>6070</v>
      </c>
      <c r="D5305" s="1" t="s">
        <v>6071</v>
      </c>
      <c r="E5305" s="1" t="s">
        <v>6072</v>
      </c>
      <c r="F5305" s="1" t="s">
        <v>198</v>
      </c>
      <c r="H5305" s="1" t="s">
        <v>6073</v>
      </c>
      <c r="I5305" s="1" t="s">
        <v>19</v>
      </c>
      <c r="J5305" s="1" t="s">
        <v>6</v>
      </c>
      <c r="K5305" s="1" t="s">
        <v>24</v>
      </c>
      <c r="L5305" s="1">
        <v>1240746</v>
      </c>
      <c r="M5305" s="2">
        <v>42726</v>
      </c>
      <c r="N5305" s="1" t="s">
        <v>8</v>
      </c>
      <c r="O5305" s="2">
        <v>43821</v>
      </c>
    </row>
    <row r="5306" spans="1:15" ht="28.8" x14ac:dyDescent="0.3">
      <c r="A5306" s="1" t="s">
        <v>20572</v>
      </c>
      <c r="B5306" s="1" t="str">
        <f>"Robert Bishop RT Bishop"</f>
        <v>Robert Bishop RT Bishop</v>
      </c>
      <c r="C5306" s="1" t="s">
        <v>20573</v>
      </c>
      <c r="F5306" s="1" t="s">
        <v>17321</v>
      </c>
      <c r="H5306" s="1" t="s">
        <v>20574</v>
      </c>
      <c r="I5306" s="1" t="s">
        <v>5</v>
      </c>
      <c r="J5306" s="1" t="s">
        <v>6</v>
      </c>
      <c r="K5306" s="1" t="s">
        <v>34</v>
      </c>
      <c r="M5306" s="2">
        <v>42726</v>
      </c>
      <c r="N5306" s="1" t="s">
        <v>8</v>
      </c>
      <c r="O5306" s="2">
        <v>43821</v>
      </c>
    </row>
    <row r="5307" spans="1:15" ht="28.8" x14ac:dyDescent="0.3">
      <c r="A5307" s="1" t="s">
        <v>4921</v>
      </c>
      <c r="B5307" s="1" t="str">
        <f>"Winchester Removals"</f>
        <v>Winchester Removals</v>
      </c>
      <c r="C5307" s="1" t="s">
        <v>4922</v>
      </c>
      <c r="F5307" s="1" t="s">
        <v>4923</v>
      </c>
      <c r="H5307" s="1" t="s">
        <v>4924</v>
      </c>
      <c r="I5307" s="1" t="s">
        <v>19</v>
      </c>
      <c r="J5307" s="1" t="s">
        <v>6</v>
      </c>
      <c r="K5307" s="1" t="s">
        <v>34</v>
      </c>
      <c r="L5307" s="1">
        <v>5200726</v>
      </c>
      <c r="M5307" s="2">
        <v>42725</v>
      </c>
      <c r="N5307" s="1" t="s">
        <v>8</v>
      </c>
      <c r="O5307" s="2">
        <v>43820</v>
      </c>
    </row>
    <row r="5308" spans="1:15" ht="28.8" x14ac:dyDescent="0.3">
      <c r="A5308" s="1" t="s">
        <v>6035</v>
      </c>
      <c r="B5308" s="1" t="str">
        <f>"Castlekemp Ltd"</f>
        <v>Castlekemp Ltd</v>
      </c>
      <c r="C5308" s="1" t="s">
        <v>6036</v>
      </c>
      <c r="F5308" s="1" t="s">
        <v>6037</v>
      </c>
      <c r="H5308" s="1" t="s">
        <v>6038</v>
      </c>
      <c r="I5308" s="1" t="s">
        <v>19</v>
      </c>
      <c r="J5308" s="1" t="s">
        <v>6</v>
      </c>
      <c r="K5308" s="1" t="s">
        <v>34</v>
      </c>
      <c r="L5308" s="1">
        <v>7738305</v>
      </c>
      <c r="M5308" s="2">
        <v>42725</v>
      </c>
      <c r="N5308" s="1" t="s">
        <v>8</v>
      </c>
      <c r="O5308" s="2">
        <v>43820</v>
      </c>
    </row>
    <row r="5309" spans="1:15" ht="43.2" x14ac:dyDescent="0.3">
      <c r="A5309" s="1" t="s">
        <v>6039</v>
      </c>
      <c r="B5309" s="1" t="str">
        <f>"The Village Bakery (Coedpoeth) Ltd "</f>
        <v xml:space="preserve">The Village Bakery (Coedpoeth) Ltd </v>
      </c>
      <c r="C5309" s="1" t="s">
        <v>6040</v>
      </c>
      <c r="F5309" s="1" t="s">
        <v>198</v>
      </c>
      <c r="H5309" s="1" t="s">
        <v>6041</v>
      </c>
      <c r="I5309" s="1" t="s">
        <v>19</v>
      </c>
      <c r="J5309" s="1" t="s">
        <v>67</v>
      </c>
      <c r="K5309" s="1" t="s">
        <v>14</v>
      </c>
      <c r="M5309" s="2">
        <v>42725</v>
      </c>
      <c r="N5309" s="1" t="s">
        <v>8</v>
      </c>
      <c r="O5309" s="1" t="s">
        <v>68</v>
      </c>
    </row>
    <row r="5310" spans="1:15" ht="28.8" x14ac:dyDescent="0.3">
      <c r="A5310" s="1" t="s">
        <v>6042</v>
      </c>
      <c r="B5310" s="1" t="str">
        <f>"J Jenkins Builders Ltd."</f>
        <v>J Jenkins Builders Ltd.</v>
      </c>
      <c r="C5310" s="1" t="s">
        <v>6043</v>
      </c>
      <c r="F5310" s="1" t="s">
        <v>22</v>
      </c>
      <c r="H5310" s="1" t="s">
        <v>6044</v>
      </c>
      <c r="I5310" s="1" t="s">
        <v>19</v>
      </c>
      <c r="J5310" s="1" t="s">
        <v>6</v>
      </c>
      <c r="K5310" s="1" t="s">
        <v>24</v>
      </c>
      <c r="L5310" s="1">
        <v>5535884</v>
      </c>
      <c r="M5310" s="2">
        <v>42725</v>
      </c>
      <c r="N5310" s="1" t="s">
        <v>8</v>
      </c>
      <c r="O5310" s="2">
        <v>43820</v>
      </c>
    </row>
    <row r="5311" spans="1:15" ht="43.2" x14ac:dyDescent="0.3">
      <c r="A5311" s="1" t="s">
        <v>6045</v>
      </c>
      <c r="B5311" s="1" t="str">
        <f>"GLYN HOLMES CONSTRUCTION LIMITED"</f>
        <v>GLYN HOLMES CONSTRUCTION LIMITED</v>
      </c>
      <c r="C5311" s="1" t="s">
        <v>6046</v>
      </c>
      <c r="F5311" s="1" t="s">
        <v>532</v>
      </c>
      <c r="H5311" s="1" t="s">
        <v>6047</v>
      </c>
      <c r="I5311" s="1" t="s">
        <v>19</v>
      </c>
      <c r="J5311" s="1" t="s">
        <v>6</v>
      </c>
      <c r="K5311" s="1" t="s">
        <v>24</v>
      </c>
      <c r="L5311" s="1">
        <v>7391468</v>
      </c>
      <c r="M5311" s="2">
        <v>42725</v>
      </c>
      <c r="N5311" s="1" t="s">
        <v>8</v>
      </c>
      <c r="O5311" s="2">
        <v>43820</v>
      </c>
    </row>
    <row r="5312" spans="1:15" ht="28.8" x14ac:dyDescent="0.3">
      <c r="A5312" s="1" t="s">
        <v>6048</v>
      </c>
      <c r="B5312" s="1" t="str">
        <f>"ace landscapers ltd"</f>
        <v>ace landscapers ltd</v>
      </c>
      <c r="C5312" s="1" t="s">
        <v>6049</v>
      </c>
      <c r="F5312" s="1" t="s">
        <v>5405</v>
      </c>
      <c r="H5312" s="1" t="s">
        <v>6050</v>
      </c>
      <c r="I5312" s="1" t="s">
        <v>19</v>
      </c>
      <c r="J5312" s="1" t="s">
        <v>6</v>
      </c>
      <c r="K5312" s="1" t="s">
        <v>24</v>
      </c>
      <c r="L5312" s="1">
        <v>4667423</v>
      </c>
      <c r="M5312" s="2">
        <v>42725</v>
      </c>
      <c r="N5312" s="1" t="s">
        <v>8</v>
      </c>
      <c r="O5312" s="2">
        <v>43820</v>
      </c>
    </row>
    <row r="5313" spans="1:15" ht="28.8" x14ac:dyDescent="0.3">
      <c r="A5313" s="1" t="s">
        <v>20569</v>
      </c>
      <c r="B5313" s="1" t="str">
        <f>"Richard Hopson Richard Hopson"</f>
        <v>Richard Hopson Richard Hopson</v>
      </c>
      <c r="C5313" s="1" t="s">
        <v>20570</v>
      </c>
      <c r="F5313" s="1" t="s">
        <v>50</v>
      </c>
      <c r="H5313" s="1" t="s">
        <v>20571</v>
      </c>
      <c r="I5313" s="1" t="s">
        <v>5</v>
      </c>
      <c r="J5313" s="1" t="s">
        <v>6</v>
      </c>
      <c r="K5313" s="1" t="s">
        <v>24</v>
      </c>
      <c r="M5313" s="2">
        <v>42725</v>
      </c>
      <c r="N5313" s="1" t="s">
        <v>8</v>
      </c>
      <c r="O5313" s="2">
        <v>43820</v>
      </c>
    </row>
    <row r="5314" spans="1:15" ht="43.2" x14ac:dyDescent="0.3">
      <c r="A5314" s="1" t="s">
        <v>4896</v>
      </c>
      <c r="B5314" s="1" t="str">
        <f>"John Phillips Contractors Limited "</f>
        <v xml:space="preserve">John Phillips Contractors Limited </v>
      </c>
      <c r="C5314" s="1" t="s">
        <v>4897</v>
      </c>
      <c r="D5314" s="1" t="s">
        <v>4898</v>
      </c>
      <c r="F5314" s="1" t="s">
        <v>1093</v>
      </c>
      <c r="H5314" s="1" t="s">
        <v>4899</v>
      </c>
      <c r="I5314" s="1" t="s">
        <v>19</v>
      </c>
      <c r="J5314" s="1" t="s">
        <v>6</v>
      </c>
      <c r="K5314" s="1" t="s">
        <v>34</v>
      </c>
      <c r="L5314" s="1">
        <v>7962748</v>
      </c>
      <c r="M5314" s="2">
        <v>42724</v>
      </c>
      <c r="N5314" s="1" t="s">
        <v>8</v>
      </c>
      <c r="O5314" s="2">
        <v>43819</v>
      </c>
    </row>
    <row r="5315" spans="1:15" x14ac:dyDescent="0.3">
      <c r="A5315" s="1" t="s">
        <v>4900</v>
      </c>
      <c r="B5315" s="1" t="str">
        <f>"Maccarter Bros"</f>
        <v>Maccarter Bros</v>
      </c>
      <c r="C5315" s="1" t="s">
        <v>4901</v>
      </c>
      <c r="F5315" s="1" t="s">
        <v>1700</v>
      </c>
      <c r="H5315" s="1" t="s">
        <v>4902</v>
      </c>
      <c r="I5315" s="1" t="s">
        <v>125</v>
      </c>
      <c r="J5315" s="1" t="s">
        <v>6</v>
      </c>
      <c r="K5315" s="1" t="s">
        <v>24</v>
      </c>
      <c r="M5315" s="2">
        <v>42724</v>
      </c>
      <c r="N5315" s="1" t="s">
        <v>8</v>
      </c>
      <c r="O5315" s="2">
        <v>43819</v>
      </c>
    </row>
    <row r="5316" spans="1:15" x14ac:dyDescent="0.3">
      <c r="A5316" s="1" t="s">
        <v>4903</v>
      </c>
      <c r="B5316" s="1" t="str">
        <f>"Tod Security and Fire"</f>
        <v>Tod Security and Fire</v>
      </c>
      <c r="C5316" s="1" t="s">
        <v>4904</v>
      </c>
      <c r="F5316" s="1" t="s">
        <v>205</v>
      </c>
      <c r="H5316" s="1" t="s">
        <v>4905</v>
      </c>
      <c r="I5316" s="1" t="s">
        <v>19</v>
      </c>
      <c r="J5316" s="1" t="s">
        <v>6</v>
      </c>
      <c r="K5316" s="1" t="s">
        <v>24</v>
      </c>
      <c r="L5316" s="1">
        <v>4638028</v>
      </c>
      <c r="M5316" s="2">
        <v>42724</v>
      </c>
      <c r="N5316" s="1" t="s">
        <v>8</v>
      </c>
      <c r="O5316" s="2">
        <v>43819</v>
      </c>
    </row>
    <row r="5317" spans="1:15" ht="28.8" x14ac:dyDescent="0.3">
      <c r="A5317" s="1" t="s">
        <v>4906</v>
      </c>
      <c r="B5317" s="1" t="str">
        <f>"Iwec International Ltd."</f>
        <v>Iwec International Ltd.</v>
      </c>
      <c r="C5317" s="1" t="s">
        <v>4907</v>
      </c>
      <c r="F5317" s="1" t="s">
        <v>3726</v>
      </c>
      <c r="H5317" s="1" t="s">
        <v>4908</v>
      </c>
      <c r="I5317" s="1" t="s">
        <v>19</v>
      </c>
      <c r="J5317" s="1" t="s">
        <v>6</v>
      </c>
      <c r="K5317" s="1" t="s">
        <v>34</v>
      </c>
      <c r="L5317" s="1">
        <v>4038739</v>
      </c>
      <c r="M5317" s="2">
        <v>42724</v>
      </c>
      <c r="N5317" s="1" t="s">
        <v>8</v>
      </c>
      <c r="O5317" s="2">
        <v>43819</v>
      </c>
    </row>
    <row r="5318" spans="1:15" ht="28.8" x14ac:dyDescent="0.3">
      <c r="A5318" s="1" t="s">
        <v>4909</v>
      </c>
      <c r="B5318" s="1" t="str">
        <f>"Martin Taffetsauffer Building Contractor"</f>
        <v>Martin Taffetsauffer Building Contractor</v>
      </c>
      <c r="C5318" s="1" t="s">
        <v>4910</v>
      </c>
      <c r="D5318" s="1" t="s">
        <v>4911</v>
      </c>
      <c r="F5318" s="1" t="s">
        <v>4912</v>
      </c>
      <c r="H5318" s="1" t="s">
        <v>857</v>
      </c>
      <c r="I5318" s="1" t="s">
        <v>19</v>
      </c>
      <c r="J5318" s="1" t="s">
        <v>6</v>
      </c>
      <c r="K5318" s="1" t="s">
        <v>34</v>
      </c>
      <c r="L5318" s="1">
        <v>5941457</v>
      </c>
      <c r="M5318" s="2">
        <v>42724</v>
      </c>
      <c r="N5318" s="1" t="s">
        <v>8</v>
      </c>
      <c r="O5318" s="2">
        <v>43819</v>
      </c>
    </row>
    <row r="5319" spans="1:15" ht="43.2" x14ac:dyDescent="0.3">
      <c r="A5319" s="1" t="s">
        <v>4913</v>
      </c>
      <c r="B5319" s="1" t="str">
        <f>"jonathan sl"</f>
        <v>jonathan sl</v>
      </c>
      <c r="C5319" s="1" t="s">
        <v>4914</v>
      </c>
      <c r="D5319" s="1" t="s">
        <v>4915</v>
      </c>
      <c r="E5319" s="1" t="s">
        <v>4916</v>
      </c>
      <c r="G5319" s="1" t="s">
        <v>4917</v>
      </c>
      <c r="I5319" s="1" t="s">
        <v>125</v>
      </c>
      <c r="J5319" s="1" t="s">
        <v>67</v>
      </c>
      <c r="K5319" s="1" t="s">
        <v>14</v>
      </c>
      <c r="M5319" s="2">
        <v>42724</v>
      </c>
      <c r="N5319" s="1" t="s">
        <v>8</v>
      </c>
      <c r="O5319" s="1" t="s">
        <v>68</v>
      </c>
    </row>
    <row r="5320" spans="1:15" x14ac:dyDescent="0.3">
      <c r="A5320" s="1" t="s">
        <v>4918</v>
      </c>
      <c r="B5320" s="1" t="str">
        <f>"MURRAY MEDICAL LTD"</f>
        <v>MURRAY MEDICAL LTD</v>
      </c>
      <c r="C5320" s="1" t="s">
        <v>4919</v>
      </c>
      <c r="F5320" s="1" t="s">
        <v>27</v>
      </c>
      <c r="H5320" s="1" t="s">
        <v>4920</v>
      </c>
      <c r="I5320" s="1" t="s">
        <v>19</v>
      </c>
      <c r="J5320" s="1" t="s">
        <v>6</v>
      </c>
      <c r="K5320" s="1" t="s">
        <v>1859</v>
      </c>
      <c r="L5320" s="1">
        <v>7357989</v>
      </c>
      <c r="M5320" s="2">
        <v>42724</v>
      </c>
      <c r="N5320" s="1" t="s">
        <v>8</v>
      </c>
      <c r="O5320" s="2">
        <v>43819</v>
      </c>
    </row>
    <row r="5321" spans="1:15" ht="28.8" x14ac:dyDescent="0.3">
      <c r="A5321" s="1" t="s">
        <v>19825</v>
      </c>
      <c r="B5321" s="1" t="str">
        <f>"Clint Probert PSM Recycling Ltd"</f>
        <v>Clint Probert PSM Recycling Ltd</v>
      </c>
      <c r="C5321" s="1" t="s">
        <v>19826</v>
      </c>
      <c r="F5321" s="1" t="s">
        <v>491</v>
      </c>
      <c r="H5321" s="1" t="s">
        <v>19827</v>
      </c>
      <c r="I5321" s="1" t="s">
        <v>5</v>
      </c>
      <c r="J5321" s="1" t="s">
        <v>6</v>
      </c>
      <c r="K5321" s="1" t="s">
        <v>24</v>
      </c>
      <c r="M5321" s="2">
        <v>42724</v>
      </c>
      <c r="N5321" s="1" t="s">
        <v>8</v>
      </c>
      <c r="O5321" s="2">
        <v>43819</v>
      </c>
    </row>
    <row r="5322" spans="1:15" ht="28.8" x14ac:dyDescent="0.3">
      <c r="A5322" s="1" t="s">
        <v>19828</v>
      </c>
      <c r="B5322" s="1" t="str">
        <f>"Noel Jones N J Jones"</f>
        <v>Noel Jones N J Jones</v>
      </c>
      <c r="C5322" s="1" t="s">
        <v>19829</v>
      </c>
      <c r="F5322" s="1" t="s">
        <v>1184</v>
      </c>
      <c r="H5322" s="1" t="s">
        <v>19830</v>
      </c>
      <c r="I5322" s="1" t="s">
        <v>5</v>
      </c>
      <c r="J5322" s="1" t="s">
        <v>6</v>
      </c>
      <c r="K5322" s="1" t="s">
        <v>24</v>
      </c>
      <c r="M5322" s="2">
        <v>42724</v>
      </c>
      <c r="N5322" s="1" t="s">
        <v>8</v>
      </c>
      <c r="O5322" s="2">
        <v>43819</v>
      </c>
    </row>
    <row r="5323" spans="1:15" ht="28.8" x14ac:dyDescent="0.3">
      <c r="A5323" s="1" t="s">
        <v>19831</v>
      </c>
      <c r="B5323" s="1" t="str">
        <f>"Robert  Stewart  Robert  Kevin Stewart "</f>
        <v xml:space="preserve">Robert  Stewart  Robert  Kevin Stewart </v>
      </c>
      <c r="C5323" s="1" t="s">
        <v>19832</v>
      </c>
      <c r="D5323" s="1" t="s">
        <v>19833</v>
      </c>
      <c r="F5323" s="1" t="s">
        <v>767</v>
      </c>
      <c r="H5323" s="1" t="s">
        <v>19834</v>
      </c>
      <c r="I5323" s="1" t="s">
        <v>5</v>
      </c>
      <c r="J5323" s="1" t="s">
        <v>6</v>
      </c>
      <c r="K5323" s="1" t="s">
        <v>24</v>
      </c>
      <c r="M5323" s="2">
        <v>42724</v>
      </c>
      <c r="N5323" s="1" t="s">
        <v>8</v>
      </c>
      <c r="O5323" s="2">
        <v>43819</v>
      </c>
    </row>
    <row r="5324" spans="1:15" ht="28.8" x14ac:dyDescent="0.3">
      <c r="A5324" s="1" t="s">
        <v>19835</v>
      </c>
      <c r="B5324" s="1" t="str">
        <f>"Decland Taylor Decland Taylor"</f>
        <v>Decland Taylor Decland Taylor</v>
      </c>
      <c r="C5324" s="1" t="s">
        <v>19836</v>
      </c>
      <c r="F5324" s="1" t="s">
        <v>91</v>
      </c>
      <c r="H5324" s="1" t="s">
        <v>19837</v>
      </c>
      <c r="I5324" s="1" t="s">
        <v>5</v>
      </c>
      <c r="J5324" s="1" t="s">
        <v>6</v>
      </c>
      <c r="K5324" s="1" t="s">
        <v>24</v>
      </c>
      <c r="M5324" s="2">
        <v>42724</v>
      </c>
      <c r="N5324" s="1" t="s">
        <v>8</v>
      </c>
      <c r="O5324" s="2">
        <v>43819</v>
      </c>
    </row>
    <row r="5325" spans="1:15" ht="28.8" x14ac:dyDescent="0.3">
      <c r="A5325" s="1" t="s">
        <v>19838</v>
      </c>
      <c r="B5325" s="1" t="str">
        <f>"Thomas Purcell T PURCELL"</f>
        <v>Thomas Purcell T PURCELL</v>
      </c>
      <c r="C5325" s="1" t="s">
        <v>19839</v>
      </c>
      <c r="D5325" s="1" t="s">
        <v>7494</v>
      </c>
      <c r="F5325" s="1" t="s">
        <v>1278</v>
      </c>
      <c r="H5325" s="1" t="s">
        <v>7019</v>
      </c>
      <c r="I5325" s="1" t="s">
        <v>5</v>
      </c>
      <c r="J5325" s="1" t="s">
        <v>6</v>
      </c>
      <c r="K5325" s="1" t="s">
        <v>34</v>
      </c>
      <c r="M5325" s="2">
        <v>42724</v>
      </c>
      <c r="N5325" s="1" t="s">
        <v>8</v>
      </c>
      <c r="O5325" s="2">
        <v>43819</v>
      </c>
    </row>
    <row r="5326" spans="1:15" ht="43.2" x14ac:dyDescent="0.3">
      <c r="A5326" s="1" t="s">
        <v>19840</v>
      </c>
      <c r="B5326" s="1" t="str">
        <f>"Rachael Poole"</f>
        <v>Rachael Poole</v>
      </c>
      <c r="C5326" s="1" t="s">
        <v>19841</v>
      </c>
      <c r="F5326" s="1" t="s">
        <v>930</v>
      </c>
      <c r="H5326" s="1" t="s">
        <v>19842</v>
      </c>
      <c r="I5326" s="1" t="s">
        <v>5</v>
      </c>
      <c r="J5326" s="1" t="s">
        <v>67</v>
      </c>
      <c r="K5326" s="1" t="s">
        <v>14</v>
      </c>
      <c r="M5326" s="2">
        <v>42724</v>
      </c>
      <c r="N5326" s="1" t="s">
        <v>8</v>
      </c>
      <c r="O5326" s="1" t="s">
        <v>68</v>
      </c>
    </row>
    <row r="5327" spans="1:15" ht="28.8" x14ac:dyDescent="0.3">
      <c r="A5327" s="1" t="s">
        <v>4887</v>
      </c>
      <c r="B5327" s="1" t="str">
        <f>"GRIFFITHS BROS (WXM) LTD"</f>
        <v>GRIFFITHS BROS (WXM) LTD</v>
      </c>
      <c r="C5327" s="1" t="s">
        <v>4888</v>
      </c>
      <c r="D5327" s="1" t="s">
        <v>4181</v>
      </c>
      <c r="F5327" s="1" t="s">
        <v>198</v>
      </c>
      <c r="H5327" s="1" t="s">
        <v>4889</v>
      </c>
      <c r="I5327" s="1" t="s">
        <v>19</v>
      </c>
      <c r="J5327" s="1" t="s">
        <v>6</v>
      </c>
      <c r="K5327" s="1" t="s">
        <v>24</v>
      </c>
      <c r="L5327" s="1">
        <v>4488521</v>
      </c>
      <c r="M5327" s="2">
        <v>42723</v>
      </c>
      <c r="N5327" s="1" t="s">
        <v>8</v>
      </c>
      <c r="O5327" s="2">
        <v>43818</v>
      </c>
    </row>
    <row r="5328" spans="1:15" x14ac:dyDescent="0.3">
      <c r="A5328" s="1" t="s">
        <v>4890</v>
      </c>
      <c r="B5328" s="1" t="str">
        <f>"Malopium Ltd."</f>
        <v>Malopium Ltd.</v>
      </c>
      <c r="C5328" s="1" t="s">
        <v>4891</v>
      </c>
      <c r="F5328" s="1" t="s">
        <v>65</v>
      </c>
      <c r="H5328" s="1" t="s">
        <v>4892</v>
      </c>
      <c r="I5328" s="1" t="s">
        <v>19</v>
      </c>
      <c r="J5328" s="1" t="s">
        <v>6</v>
      </c>
      <c r="K5328" s="1" t="s">
        <v>24</v>
      </c>
      <c r="L5328" s="1">
        <v>1434249</v>
      </c>
      <c r="M5328" s="2">
        <v>42723</v>
      </c>
      <c r="N5328" s="1" t="s">
        <v>8</v>
      </c>
      <c r="O5328" s="2">
        <v>43818</v>
      </c>
    </row>
    <row r="5329" spans="1:15" ht="43.2" x14ac:dyDescent="0.3">
      <c r="A5329" s="1" t="s">
        <v>4893</v>
      </c>
      <c r="B5329" s="1" t="str">
        <f>"Marina Stores Swansea Limited"</f>
        <v>Marina Stores Swansea Limited</v>
      </c>
      <c r="C5329" s="1" t="s">
        <v>4894</v>
      </c>
      <c r="D5329" s="1" t="s">
        <v>630</v>
      </c>
      <c r="F5329" s="1" t="s">
        <v>65</v>
      </c>
      <c r="H5329" s="1" t="s">
        <v>4895</v>
      </c>
      <c r="I5329" s="1" t="s">
        <v>19</v>
      </c>
      <c r="J5329" s="1" t="s">
        <v>67</v>
      </c>
      <c r="K5329" s="1" t="s">
        <v>14</v>
      </c>
      <c r="M5329" s="2">
        <v>42723</v>
      </c>
      <c r="N5329" s="1" t="s">
        <v>8</v>
      </c>
      <c r="O5329" s="1" t="s">
        <v>68</v>
      </c>
    </row>
    <row r="5330" spans="1:15" ht="28.8" x14ac:dyDescent="0.3">
      <c r="A5330" s="1" t="s">
        <v>19819</v>
      </c>
      <c r="B5330" s="1" t="str">
        <f>"John Parry Mr John Parry"</f>
        <v>John Parry Mr John Parry</v>
      </c>
      <c r="C5330" s="1" t="s">
        <v>19820</v>
      </c>
      <c r="F5330" s="1" t="s">
        <v>119</v>
      </c>
      <c r="H5330" s="1" t="s">
        <v>19821</v>
      </c>
      <c r="I5330" s="1" t="s">
        <v>5</v>
      </c>
      <c r="J5330" s="1" t="s">
        <v>6</v>
      </c>
      <c r="K5330" s="1" t="s">
        <v>24</v>
      </c>
      <c r="M5330" s="2">
        <v>42723</v>
      </c>
      <c r="N5330" s="1" t="s">
        <v>8</v>
      </c>
      <c r="O5330" s="2">
        <v>43818</v>
      </c>
    </row>
    <row r="5331" spans="1:15" ht="28.8" x14ac:dyDescent="0.3">
      <c r="A5331" s="1" t="s">
        <v>19822</v>
      </c>
      <c r="B5331" s="1" t="str">
        <f>"Geoffrey Fitton GWF General Dealor"</f>
        <v>Geoffrey Fitton GWF General Dealor</v>
      </c>
      <c r="C5331" s="1" t="s">
        <v>19823</v>
      </c>
      <c r="F5331" s="1" t="s">
        <v>198</v>
      </c>
      <c r="H5331" s="1" t="s">
        <v>19824</v>
      </c>
      <c r="I5331" s="1" t="s">
        <v>5</v>
      </c>
      <c r="J5331" s="1" t="s">
        <v>6</v>
      </c>
      <c r="K5331" s="1" t="s">
        <v>24</v>
      </c>
      <c r="M5331" s="2">
        <v>42723</v>
      </c>
      <c r="N5331" s="1" t="s">
        <v>8</v>
      </c>
      <c r="O5331" s="2">
        <v>43818</v>
      </c>
    </row>
    <row r="5332" spans="1:15" ht="43.2" x14ac:dyDescent="0.3">
      <c r="A5332" s="1" t="s">
        <v>19816</v>
      </c>
      <c r="B5332" s="1" t="str">
        <f>"Kevin McCarthy"</f>
        <v>Kevin McCarthy</v>
      </c>
      <c r="C5332" s="1" t="s">
        <v>19817</v>
      </c>
      <c r="F5332" s="1" t="s">
        <v>1175</v>
      </c>
      <c r="H5332" s="1" t="s">
        <v>19818</v>
      </c>
      <c r="I5332" s="1" t="s">
        <v>5</v>
      </c>
      <c r="J5332" s="1" t="s">
        <v>67</v>
      </c>
      <c r="K5332" s="1" t="s">
        <v>14</v>
      </c>
      <c r="M5332" s="2">
        <v>42721</v>
      </c>
      <c r="N5332" s="1" t="s">
        <v>8</v>
      </c>
      <c r="O5332" s="1" t="s">
        <v>68</v>
      </c>
    </row>
    <row r="5333" spans="1:15" ht="43.2" x14ac:dyDescent="0.3">
      <c r="A5333" s="1" t="s">
        <v>3745</v>
      </c>
      <c r="B5333" s="1" t="str">
        <f>"HARLECH INDUSTRIAL DOORS LTD"</f>
        <v>HARLECH INDUSTRIAL DOORS LTD</v>
      </c>
      <c r="C5333" s="1" t="s">
        <v>26</v>
      </c>
      <c r="F5333" s="1" t="s">
        <v>27</v>
      </c>
      <c r="H5333" s="1" t="s">
        <v>28</v>
      </c>
      <c r="I5333" s="1" t="s">
        <v>19</v>
      </c>
      <c r="J5333" s="1" t="s">
        <v>67</v>
      </c>
      <c r="K5333" s="1" t="s">
        <v>24</v>
      </c>
      <c r="L5333" s="1">
        <v>1319722</v>
      </c>
      <c r="M5333" s="2">
        <v>42720</v>
      </c>
      <c r="N5333" s="1" t="s">
        <v>8</v>
      </c>
      <c r="O5333" s="1" t="s">
        <v>68</v>
      </c>
    </row>
    <row r="5334" spans="1:15" ht="28.8" x14ac:dyDescent="0.3">
      <c r="A5334" s="1" t="s">
        <v>18964</v>
      </c>
      <c r="B5334" s="1" t="str">
        <f>"Craig Hill Rubbish Removals Cardiff"</f>
        <v>Craig Hill Rubbish Removals Cardiff</v>
      </c>
      <c r="C5334" s="1" t="s">
        <v>18965</v>
      </c>
      <c r="F5334" s="1" t="s">
        <v>27</v>
      </c>
      <c r="H5334" s="1" t="s">
        <v>18966</v>
      </c>
      <c r="I5334" s="1" t="s">
        <v>5</v>
      </c>
      <c r="J5334" s="1" t="s">
        <v>6</v>
      </c>
      <c r="K5334" s="1" t="s">
        <v>24</v>
      </c>
      <c r="M5334" s="2">
        <v>42720</v>
      </c>
      <c r="N5334" s="1" t="s">
        <v>8</v>
      </c>
      <c r="O5334" s="2">
        <v>43815</v>
      </c>
    </row>
    <row r="5335" spans="1:15" ht="43.2" x14ac:dyDescent="0.3">
      <c r="A5335" s="1" t="s">
        <v>18967</v>
      </c>
      <c r="B5335" s="1" t="str">
        <f>"Simon Edwards"</f>
        <v>Simon Edwards</v>
      </c>
      <c r="C5335" s="1" t="s">
        <v>18968</v>
      </c>
      <c r="F5335" s="1" t="s">
        <v>198</v>
      </c>
      <c r="H5335" s="1" t="s">
        <v>18969</v>
      </c>
      <c r="I5335" s="1" t="s">
        <v>5</v>
      </c>
      <c r="J5335" s="1" t="s">
        <v>67</v>
      </c>
      <c r="K5335" s="1" t="s">
        <v>24</v>
      </c>
      <c r="M5335" s="2">
        <v>42720</v>
      </c>
      <c r="N5335" s="1" t="s">
        <v>8</v>
      </c>
      <c r="O5335" s="1" t="s">
        <v>68</v>
      </c>
    </row>
    <row r="5336" spans="1:15" ht="28.8" x14ac:dyDescent="0.3">
      <c r="A5336" s="1" t="s">
        <v>19810</v>
      </c>
      <c r="B5336" s="1" t="str">
        <f>"Lindsay Jones"</f>
        <v>Lindsay Jones</v>
      </c>
      <c r="C5336" s="1" t="s">
        <v>19811</v>
      </c>
      <c r="F5336" s="1" t="s">
        <v>865</v>
      </c>
      <c r="H5336" s="1" t="s">
        <v>19812</v>
      </c>
      <c r="I5336" s="1" t="s">
        <v>5</v>
      </c>
      <c r="J5336" s="1" t="s">
        <v>6</v>
      </c>
      <c r="K5336" s="1" t="s">
        <v>24</v>
      </c>
      <c r="M5336" s="2">
        <v>42720</v>
      </c>
      <c r="N5336" s="1" t="s">
        <v>8</v>
      </c>
      <c r="O5336" s="2">
        <v>43815</v>
      </c>
    </row>
    <row r="5337" spans="1:15" ht="43.2" x14ac:dyDescent="0.3">
      <c r="A5337" s="1" t="s">
        <v>19813</v>
      </c>
      <c r="B5337" s="1" t="str">
        <f>"Andrew Thomas"</f>
        <v>Andrew Thomas</v>
      </c>
      <c r="C5337" s="1" t="s">
        <v>19814</v>
      </c>
      <c r="F5337" s="1" t="s">
        <v>438</v>
      </c>
      <c r="H5337" s="1" t="s">
        <v>19815</v>
      </c>
      <c r="I5337" s="1" t="s">
        <v>5</v>
      </c>
      <c r="J5337" s="1" t="s">
        <v>67</v>
      </c>
      <c r="K5337" s="1" t="s">
        <v>14</v>
      </c>
      <c r="M5337" s="2">
        <v>42720</v>
      </c>
      <c r="N5337" s="1" t="s">
        <v>8</v>
      </c>
      <c r="O5337" s="1" t="s">
        <v>68</v>
      </c>
    </row>
    <row r="5338" spans="1:15" ht="28.8" x14ac:dyDescent="0.3">
      <c r="A5338" s="1" t="s">
        <v>3740</v>
      </c>
      <c r="B5338" s="1" t="str">
        <f>"Premier Group (Uk) Ltd."</f>
        <v>Premier Group (Uk) Ltd.</v>
      </c>
      <c r="C5338" s="1" t="s">
        <v>3741</v>
      </c>
      <c r="D5338" s="1" t="s">
        <v>2438</v>
      </c>
      <c r="F5338" s="1" t="s">
        <v>91</v>
      </c>
      <c r="H5338" s="1" t="s">
        <v>520</v>
      </c>
      <c r="I5338" s="1" t="s">
        <v>19</v>
      </c>
      <c r="J5338" s="1" t="s">
        <v>6</v>
      </c>
      <c r="K5338" s="1" t="s">
        <v>34</v>
      </c>
      <c r="L5338" s="1">
        <v>4509281</v>
      </c>
      <c r="M5338" s="2">
        <v>42719</v>
      </c>
      <c r="N5338" s="1" t="s">
        <v>8</v>
      </c>
      <c r="O5338" s="2">
        <v>43814</v>
      </c>
    </row>
    <row r="5339" spans="1:15" ht="28.8" x14ac:dyDescent="0.3">
      <c r="A5339" s="1" t="s">
        <v>3742</v>
      </c>
      <c r="B5339" s="1" t="str">
        <f>"J.H Jenkins &amp; Sons"</f>
        <v>J.H Jenkins &amp; Sons</v>
      </c>
      <c r="C5339" s="1" t="s">
        <v>3743</v>
      </c>
      <c r="F5339" s="1" t="s">
        <v>65</v>
      </c>
      <c r="H5339" s="1" t="s">
        <v>3744</v>
      </c>
      <c r="I5339" s="1" t="s">
        <v>125</v>
      </c>
      <c r="J5339" s="1" t="s">
        <v>6</v>
      </c>
      <c r="K5339" s="1" t="s">
        <v>24</v>
      </c>
      <c r="M5339" s="2">
        <v>42719</v>
      </c>
      <c r="N5339" s="1" t="s">
        <v>8</v>
      </c>
      <c r="O5339" s="2">
        <v>43814</v>
      </c>
    </row>
    <row r="5340" spans="1:15" ht="28.8" x14ac:dyDescent="0.3">
      <c r="A5340" s="1" t="s">
        <v>18432</v>
      </c>
      <c r="B5340" s="1" t="str">
        <f>"S.J. ENVIRONMENTAL SERVICES LTD"</f>
        <v>S.J. ENVIRONMENTAL SERVICES LTD</v>
      </c>
      <c r="C5340" s="1" t="s">
        <v>18433</v>
      </c>
      <c r="D5340" s="1" t="s">
        <v>3004</v>
      </c>
      <c r="E5340" s="1" t="s">
        <v>1833</v>
      </c>
      <c r="F5340" s="1" t="s">
        <v>27</v>
      </c>
      <c r="H5340" s="1" t="s">
        <v>3005</v>
      </c>
      <c r="I5340" s="1" t="s">
        <v>19</v>
      </c>
      <c r="J5340" s="1" t="s">
        <v>6</v>
      </c>
      <c r="K5340" s="1" t="s">
        <v>34</v>
      </c>
      <c r="L5340" s="1">
        <v>5614078</v>
      </c>
      <c r="M5340" s="2">
        <v>42719</v>
      </c>
      <c r="N5340" s="1" t="s">
        <v>8</v>
      </c>
      <c r="O5340" s="2">
        <v>43814</v>
      </c>
    </row>
    <row r="5341" spans="1:15" x14ac:dyDescent="0.3">
      <c r="A5341" s="1" t="s">
        <v>18434</v>
      </c>
      <c r="B5341" s="1" t="str">
        <f>"WINDOWTEC LTD"</f>
        <v>WINDOWTEC LTD</v>
      </c>
      <c r="C5341" s="1" t="s">
        <v>18435</v>
      </c>
      <c r="F5341" s="1" t="s">
        <v>119</v>
      </c>
      <c r="H5341" s="1" t="s">
        <v>18436</v>
      </c>
      <c r="I5341" s="1" t="s">
        <v>19</v>
      </c>
      <c r="J5341" s="1" t="s">
        <v>6</v>
      </c>
      <c r="K5341" s="1" t="s">
        <v>24</v>
      </c>
      <c r="L5341" s="1">
        <v>9351296</v>
      </c>
      <c r="M5341" s="2">
        <v>42719</v>
      </c>
      <c r="N5341" s="1" t="s">
        <v>8</v>
      </c>
      <c r="O5341" s="2">
        <v>43814</v>
      </c>
    </row>
    <row r="5342" spans="1:15" ht="28.8" x14ac:dyDescent="0.3">
      <c r="A5342" s="1" t="s">
        <v>18958</v>
      </c>
      <c r="B5342" s="1" t="str">
        <f>"Ian Smith REBECCA'S SKIP HIRE"</f>
        <v>Ian Smith REBECCA'S SKIP HIRE</v>
      </c>
      <c r="C5342" s="1" t="s">
        <v>18959</v>
      </c>
      <c r="F5342" s="1" t="s">
        <v>277</v>
      </c>
      <c r="H5342" s="1" t="s">
        <v>18960</v>
      </c>
      <c r="I5342" s="1" t="s">
        <v>5</v>
      </c>
      <c r="J5342" s="1" t="s">
        <v>6</v>
      </c>
      <c r="K5342" s="1" t="s">
        <v>24</v>
      </c>
      <c r="M5342" s="2">
        <v>42719</v>
      </c>
      <c r="N5342" s="1" t="s">
        <v>8</v>
      </c>
      <c r="O5342" s="2">
        <v>43814</v>
      </c>
    </row>
    <row r="5343" spans="1:15" x14ac:dyDescent="0.3">
      <c r="A5343" s="1" t="s">
        <v>18961</v>
      </c>
      <c r="B5343" s="1" t="str">
        <f>"kieron jones k j metals "</f>
        <v xml:space="preserve">kieron jones k j metals </v>
      </c>
      <c r="C5343" s="1" t="s">
        <v>18962</v>
      </c>
      <c r="F5343" s="1" t="s">
        <v>370</v>
      </c>
      <c r="H5343" s="1" t="s">
        <v>18963</v>
      </c>
      <c r="I5343" s="1" t="s">
        <v>5</v>
      </c>
      <c r="J5343" s="1" t="s">
        <v>6</v>
      </c>
      <c r="K5343" s="1" t="s">
        <v>24</v>
      </c>
      <c r="M5343" s="2">
        <v>42719</v>
      </c>
      <c r="N5343" s="1" t="s">
        <v>8</v>
      </c>
      <c r="O5343" s="2">
        <v>43814</v>
      </c>
    </row>
    <row r="5344" spans="1:15" ht="28.8" x14ac:dyDescent="0.3">
      <c r="A5344" s="1" t="s">
        <v>30007</v>
      </c>
      <c r="B5344" s="1" t="str">
        <f>"Lee Martin Martins man and van"</f>
        <v>Lee Martin Martins man and van</v>
      </c>
      <c r="C5344" s="1" t="s">
        <v>30008</v>
      </c>
      <c r="D5344" s="1" t="s">
        <v>65</v>
      </c>
      <c r="F5344" s="1" t="s">
        <v>64</v>
      </c>
      <c r="H5344" s="1" t="s">
        <v>30009</v>
      </c>
      <c r="I5344" s="1" t="s">
        <v>5</v>
      </c>
      <c r="J5344" s="1" t="s">
        <v>6</v>
      </c>
      <c r="K5344" s="1" t="s">
        <v>34</v>
      </c>
      <c r="M5344" s="2">
        <v>42719</v>
      </c>
      <c r="N5344" s="1" t="s">
        <v>8</v>
      </c>
      <c r="O5344" s="2">
        <v>43814</v>
      </c>
    </row>
    <row r="5345" spans="1:15" ht="28.8" x14ac:dyDescent="0.3">
      <c r="A5345" s="1" t="s">
        <v>30010</v>
      </c>
      <c r="B5345" s="1" t="str">
        <f>"Charlie Corbin Charlie corbin"</f>
        <v>Charlie Corbin Charlie corbin</v>
      </c>
      <c r="C5345" s="1" t="s">
        <v>30011</v>
      </c>
      <c r="F5345" s="1" t="s">
        <v>15303</v>
      </c>
      <c r="H5345" s="1" t="s">
        <v>30012</v>
      </c>
      <c r="I5345" s="1" t="s">
        <v>5</v>
      </c>
      <c r="J5345" s="1" t="s">
        <v>6</v>
      </c>
      <c r="K5345" s="1" t="s">
        <v>24</v>
      </c>
      <c r="M5345" s="2">
        <v>42719</v>
      </c>
      <c r="N5345" s="1" t="s">
        <v>8</v>
      </c>
      <c r="O5345" s="2">
        <v>43814</v>
      </c>
    </row>
    <row r="5346" spans="1:15" ht="43.2" x14ac:dyDescent="0.3">
      <c r="A5346" s="1" t="s">
        <v>18415</v>
      </c>
      <c r="B5346" s="1" t="str">
        <f>"CAREW CAR DISMANTLERS"</f>
        <v>CAREW CAR DISMANTLERS</v>
      </c>
      <c r="C5346" s="1" t="s">
        <v>18416</v>
      </c>
      <c r="F5346" s="1" t="s">
        <v>18417</v>
      </c>
      <c r="H5346" s="1" t="s">
        <v>18418</v>
      </c>
      <c r="I5346" s="1" t="s">
        <v>125</v>
      </c>
      <c r="J5346" s="1" t="s">
        <v>6</v>
      </c>
      <c r="K5346" s="1" t="s">
        <v>34</v>
      </c>
      <c r="M5346" s="2">
        <v>42718</v>
      </c>
      <c r="N5346" s="1" t="s">
        <v>8</v>
      </c>
      <c r="O5346" s="2">
        <v>43813</v>
      </c>
    </row>
    <row r="5347" spans="1:15" ht="43.2" x14ac:dyDescent="0.3">
      <c r="A5347" s="1" t="s">
        <v>18419</v>
      </c>
      <c r="B5347" s="1" t="str">
        <f>"B&amp;H Canvas Products Ltd"</f>
        <v>B&amp;H Canvas Products Ltd</v>
      </c>
      <c r="C5347" s="1" t="s">
        <v>18420</v>
      </c>
      <c r="F5347" s="1" t="s">
        <v>27</v>
      </c>
      <c r="H5347" s="1" t="s">
        <v>18421</v>
      </c>
      <c r="I5347" s="1" t="s">
        <v>19</v>
      </c>
      <c r="J5347" s="1" t="s">
        <v>67</v>
      </c>
      <c r="K5347" s="1" t="s">
        <v>14</v>
      </c>
      <c r="M5347" s="2">
        <v>42718</v>
      </c>
      <c r="N5347" s="1" t="s">
        <v>8</v>
      </c>
      <c r="O5347" s="1" t="s">
        <v>68</v>
      </c>
    </row>
    <row r="5348" spans="1:15" ht="43.2" x14ac:dyDescent="0.3">
      <c r="A5348" s="1" t="s">
        <v>18422</v>
      </c>
      <c r="B5348" s="1" t="str">
        <f>"Chepstow Plant International Ltd"</f>
        <v>Chepstow Plant International Ltd</v>
      </c>
      <c r="C5348" s="1" t="s">
        <v>18423</v>
      </c>
      <c r="D5348" s="1" t="s">
        <v>1247</v>
      </c>
      <c r="F5348" s="1" t="s">
        <v>401</v>
      </c>
      <c r="H5348" s="1" t="s">
        <v>16777</v>
      </c>
      <c r="I5348" s="1" t="s">
        <v>19</v>
      </c>
      <c r="J5348" s="1" t="s">
        <v>67</v>
      </c>
      <c r="K5348" s="1" t="s">
        <v>14</v>
      </c>
      <c r="M5348" s="2">
        <v>42718</v>
      </c>
      <c r="N5348" s="1" t="s">
        <v>8</v>
      </c>
      <c r="O5348" s="1" t="s">
        <v>68</v>
      </c>
    </row>
    <row r="5349" spans="1:15" ht="28.8" x14ac:dyDescent="0.3">
      <c r="A5349" s="1" t="s">
        <v>18424</v>
      </c>
      <c r="B5349" s="1" t="str">
        <f>"Codex Transport LTD"</f>
        <v>Codex Transport LTD</v>
      </c>
      <c r="C5349" s="1" t="s">
        <v>18425</v>
      </c>
      <c r="F5349" s="1" t="s">
        <v>65</v>
      </c>
      <c r="H5349" s="1" t="s">
        <v>18426</v>
      </c>
      <c r="I5349" s="1" t="s">
        <v>19</v>
      </c>
      <c r="J5349" s="1" t="s">
        <v>6</v>
      </c>
      <c r="K5349" s="1" t="s">
        <v>34</v>
      </c>
      <c r="L5349" s="1">
        <v>8972219</v>
      </c>
      <c r="M5349" s="2">
        <v>42718</v>
      </c>
      <c r="N5349" s="1" t="s">
        <v>8</v>
      </c>
      <c r="O5349" s="2">
        <v>43833</v>
      </c>
    </row>
    <row r="5350" spans="1:15" ht="43.2" x14ac:dyDescent="0.3">
      <c r="A5350" s="1" t="s">
        <v>18427</v>
      </c>
      <c r="B5350" s="1" t="str">
        <f>"A One Construction"</f>
        <v>A One Construction</v>
      </c>
      <c r="C5350" s="1" t="s">
        <v>18428</v>
      </c>
      <c r="D5350" s="1" t="s">
        <v>6518</v>
      </c>
      <c r="F5350" s="1" t="s">
        <v>865</v>
      </c>
      <c r="H5350" s="1" t="s">
        <v>4951</v>
      </c>
      <c r="I5350" s="1" t="s">
        <v>19</v>
      </c>
      <c r="J5350" s="1" t="s">
        <v>6</v>
      </c>
      <c r="K5350" s="1" t="s">
        <v>34</v>
      </c>
      <c r="L5350" s="1">
        <v>7977723</v>
      </c>
      <c r="M5350" s="2">
        <v>42718</v>
      </c>
      <c r="N5350" s="1" t="s">
        <v>8</v>
      </c>
      <c r="O5350" s="2">
        <v>43813</v>
      </c>
    </row>
    <row r="5351" spans="1:15" x14ac:dyDescent="0.3">
      <c r="A5351" s="1" t="s">
        <v>18429</v>
      </c>
      <c r="B5351" s="1" t="str">
        <f>"T.D. &amp; C. KELLY LTD"</f>
        <v>T.D. &amp; C. KELLY LTD</v>
      </c>
      <c r="C5351" s="1" t="s">
        <v>18430</v>
      </c>
      <c r="F5351" s="1" t="s">
        <v>4731</v>
      </c>
      <c r="H5351" s="1" t="s">
        <v>18431</v>
      </c>
      <c r="I5351" s="1" t="s">
        <v>19</v>
      </c>
      <c r="J5351" s="1" t="s">
        <v>6</v>
      </c>
      <c r="K5351" s="1" t="s">
        <v>24</v>
      </c>
      <c r="L5351" s="1">
        <v>4385734</v>
      </c>
      <c r="M5351" s="2">
        <v>42718</v>
      </c>
      <c r="N5351" s="1" t="s">
        <v>8</v>
      </c>
      <c r="O5351" s="2">
        <v>43813</v>
      </c>
    </row>
    <row r="5352" spans="1:15" ht="43.2" x14ac:dyDescent="0.3">
      <c r="A5352" s="1" t="s">
        <v>29990</v>
      </c>
      <c r="B5352" s="1" t="str">
        <f>"Louise Taylor"</f>
        <v>Louise Taylor</v>
      </c>
      <c r="C5352" s="1" t="s">
        <v>29991</v>
      </c>
      <c r="F5352" s="1" t="s">
        <v>27</v>
      </c>
      <c r="H5352" s="1" t="s">
        <v>29992</v>
      </c>
      <c r="I5352" s="1" t="s">
        <v>5</v>
      </c>
      <c r="J5352" s="1" t="s">
        <v>67</v>
      </c>
      <c r="K5352" s="1" t="s">
        <v>14</v>
      </c>
      <c r="M5352" s="2">
        <v>42718</v>
      </c>
      <c r="N5352" s="1" t="s">
        <v>8</v>
      </c>
      <c r="O5352" s="1" t="s">
        <v>68</v>
      </c>
    </row>
    <row r="5353" spans="1:15" ht="43.2" x14ac:dyDescent="0.3">
      <c r="A5353" s="1" t="s">
        <v>29993</v>
      </c>
      <c r="B5353" s="1" t="str">
        <f>"Stephen Jacka"</f>
        <v>Stephen Jacka</v>
      </c>
      <c r="C5353" s="1" t="s">
        <v>29994</v>
      </c>
      <c r="D5353" s="1" t="s">
        <v>29995</v>
      </c>
      <c r="F5353" s="1" t="s">
        <v>1097</v>
      </c>
      <c r="H5353" s="1" t="s">
        <v>29996</v>
      </c>
      <c r="I5353" s="1" t="s">
        <v>5</v>
      </c>
      <c r="J5353" s="1" t="s">
        <v>67</v>
      </c>
      <c r="K5353" s="1" t="s">
        <v>24</v>
      </c>
      <c r="M5353" s="2">
        <v>42718</v>
      </c>
      <c r="N5353" s="1" t="s">
        <v>8</v>
      </c>
      <c r="O5353" s="1" t="s">
        <v>68</v>
      </c>
    </row>
    <row r="5354" spans="1:15" ht="28.8" x14ac:dyDescent="0.3">
      <c r="A5354" s="1" t="s">
        <v>29997</v>
      </c>
      <c r="B5354" s="1" t="str">
        <f>"lyndon huish Complete construction"</f>
        <v>lyndon huish Complete construction</v>
      </c>
      <c r="C5354" s="1" t="s">
        <v>29998</v>
      </c>
      <c r="F5354" s="1" t="s">
        <v>865</v>
      </c>
      <c r="H5354" s="1" t="s">
        <v>29999</v>
      </c>
      <c r="I5354" s="1" t="s">
        <v>5</v>
      </c>
      <c r="J5354" s="1" t="s">
        <v>6</v>
      </c>
      <c r="K5354" s="1" t="s">
        <v>24</v>
      </c>
      <c r="M5354" s="2">
        <v>42718</v>
      </c>
      <c r="N5354" s="1" t="s">
        <v>8</v>
      </c>
      <c r="O5354" s="2">
        <v>43813</v>
      </c>
    </row>
    <row r="5355" spans="1:15" ht="28.8" x14ac:dyDescent="0.3">
      <c r="A5355" s="1" t="s">
        <v>30000</v>
      </c>
      <c r="B5355" s="1" t="str">
        <f>"Mark Roberts Roberts Construction"</f>
        <v>Mark Roberts Roberts Construction</v>
      </c>
      <c r="C5355" s="1" t="s">
        <v>30001</v>
      </c>
      <c r="D5355" s="1" t="s">
        <v>30002</v>
      </c>
      <c r="F5355" s="1" t="s">
        <v>438</v>
      </c>
      <c r="H5355" s="1" t="s">
        <v>30003</v>
      </c>
      <c r="I5355" s="1" t="s">
        <v>5</v>
      </c>
      <c r="J5355" s="1" t="s">
        <v>6</v>
      </c>
      <c r="K5355" s="1" t="s">
        <v>34</v>
      </c>
      <c r="M5355" s="2">
        <v>42718</v>
      </c>
      <c r="N5355" s="1" t="s">
        <v>8</v>
      </c>
      <c r="O5355" s="2">
        <v>43813</v>
      </c>
    </row>
    <row r="5356" spans="1:15" ht="43.2" x14ac:dyDescent="0.3">
      <c r="A5356" s="1" t="s">
        <v>30004</v>
      </c>
      <c r="B5356" s="1" t="str">
        <f>"Thomas Kendall"</f>
        <v>Thomas Kendall</v>
      </c>
      <c r="C5356" s="1" t="s">
        <v>30005</v>
      </c>
      <c r="F5356" s="1" t="s">
        <v>1051</v>
      </c>
      <c r="H5356" s="1" t="s">
        <v>30006</v>
      </c>
      <c r="I5356" s="1" t="s">
        <v>5</v>
      </c>
      <c r="J5356" s="1" t="s">
        <v>67</v>
      </c>
      <c r="K5356" s="1" t="s">
        <v>14</v>
      </c>
      <c r="M5356" s="2">
        <v>42718</v>
      </c>
      <c r="N5356" s="1" t="s">
        <v>8</v>
      </c>
      <c r="O5356" s="1" t="s">
        <v>68</v>
      </c>
    </row>
    <row r="5357" spans="1:15" ht="28.8" x14ac:dyDescent="0.3">
      <c r="A5357" s="1" t="s">
        <v>17465</v>
      </c>
      <c r="B5357" s="1" t="str">
        <f>"The V Evans Group LTD"</f>
        <v>The V Evans Group LTD</v>
      </c>
      <c r="C5357" s="1" t="s">
        <v>17466</v>
      </c>
      <c r="F5357" s="1" t="s">
        <v>2686</v>
      </c>
      <c r="H5357" s="1" t="s">
        <v>6014</v>
      </c>
      <c r="I5357" s="1" t="s">
        <v>19</v>
      </c>
      <c r="J5357" s="1" t="s">
        <v>6</v>
      </c>
      <c r="K5357" s="1" t="s">
        <v>24</v>
      </c>
      <c r="L5357" s="1">
        <v>4385643</v>
      </c>
      <c r="M5357" s="2">
        <v>42717</v>
      </c>
      <c r="N5357" s="1" t="s">
        <v>8</v>
      </c>
      <c r="O5357" s="2">
        <v>43812</v>
      </c>
    </row>
    <row r="5358" spans="1:15" ht="43.2" x14ac:dyDescent="0.3">
      <c r="A5358" s="1" t="s">
        <v>17467</v>
      </c>
      <c r="B5358" s="1" t="str">
        <f>"S.L. EDWARDS  &amp;  SONS LTD"</f>
        <v>S.L. EDWARDS  &amp;  SONS LTD</v>
      </c>
      <c r="C5358" s="1" t="s">
        <v>17468</v>
      </c>
      <c r="F5358" s="1" t="s">
        <v>277</v>
      </c>
      <c r="H5358" s="1" t="s">
        <v>17469</v>
      </c>
      <c r="I5358" s="1" t="s">
        <v>19</v>
      </c>
      <c r="J5358" s="1" t="s">
        <v>67</v>
      </c>
      <c r="K5358" s="1" t="s">
        <v>24</v>
      </c>
      <c r="L5358" s="1">
        <v>541582</v>
      </c>
      <c r="M5358" s="2">
        <v>42717</v>
      </c>
      <c r="N5358" s="1" t="s">
        <v>8</v>
      </c>
      <c r="O5358" s="1" t="s">
        <v>68</v>
      </c>
    </row>
    <row r="5359" spans="1:15" ht="43.2" x14ac:dyDescent="0.3">
      <c r="A5359" s="1" t="s">
        <v>17470</v>
      </c>
      <c r="B5359" s="1" t="str">
        <f>"lifestyle express"</f>
        <v>lifestyle express</v>
      </c>
      <c r="C5359" s="1" t="s">
        <v>17471</v>
      </c>
      <c r="F5359" s="1" t="s">
        <v>27</v>
      </c>
      <c r="H5359" s="1" t="s">
        <v>17472</v>
      </c>
      <c r="I5359" s="1" t="s">
        <v>125</v>
      </c>
      <c r="J5359" s="1" t="s">
        <v>67</v>
      </c>
      <c r="K5359" s="1" t="s">
        <v>14</v>
      </c>
      <c r="M5359" s="2">
        <v>42717</v>
      </c>
      <c r="N5359" s="1" t="s">
        <v>8</v>
      </c>
      <c r="O5359" s="1" t="s">
        <v>68</v>
      </c>
    </row>
    <row r="5360" spans="1:15" ht="43.2" x14ac:dyDescent="0.3">
      <c r="A5360" s="1" t="s">
        <v>17473</v>
      </c>
      <c r="B5360" s="1" t="str">
        <f>"Abbotswood Flooring LTD"</f>
        <v>Abbotswood Flooring LTD</v>
      </c>
      <c r="C5360" s="1" t="s">
        <v>17474</v>
      </c>
      <c r="F5360" s="1" t="s">
        <v>170</v>
      </c>
      <c r="H5360" s="1" t="s">
        <v>17475</v>
      </c>
      <c r="I5360" s="1" t="s">
        <v>19</v>
      </c>
      <c r="J5360" s="1" t="s">
        <v>67</v>
      </c>
      <c r="K5360" s="1" t="s">
        <v>14</v>
      </c>
      <c r="M5360" s="2">
        <v>42717</v>
      </c>
      <c r="N5360" s="1" t="s">
        <v>8</v>
      </c>
      <c r="O5360" s="1" t="s">
        <v>68</v>
      </c>
    </row>
    <row r="5361" spans="1:15" ht="28.8" x14ac:dyDescent="0.3">
      <c r="A5361" s="1" t="s">
        <v>17476</v>
      </c>
      <c r="B5361" s="1" t="str">
        <f>"Gwynedd Council"</f>
        <v>Gwynedd Council</v>
      </c>
      <c r="C5361" s="1" t="s">
        <v>17477</v>
      </c>
      <c r="F5361" s="1" t="s">
        <v>710</v>
      </c>
      <c r="H5361" s="1" t="s">
        <v>17478</v>
      </c>
      <c r="I5361" s="1" t="s">
        <v>188</v>
      </c>
      <c r="J5361" s="1" t="s">
        <v>6</v>
      </c>
      <c r="K5361" s="1" t="s">
        <v>34</v>
      </c>
      <c r="M5361" s="2">
        <v>42717</v>
      </c>
      <c r="N5361" s="1" t="s">
        <v>8</v>
      </c>
      <c r="O5361" s="2">
        <v>43812</v>
      </c>
    </row>
    <row r="5362" spans="1:15" ht="28.8" x14ac:dyDescent="0.3">
      <c r="A5362" s="1" t="s">
        <v>17479</v>
      </c>
      <c r="B5362" s="1" t="str">
        <f>"DR Roofing Specialists LTD"</f>
        <v>DR Roofing Specialists LTD</v>
      </c>
      <c r="C5362" s="1" t="s">
        <v>17480</v>
      </c>
      <c r="F5362" s="1" t="s">
        <v>174</v>
      </c>
      <c r="H5362" s="1" t="s">
        <v>17481</v>
      </c>
      <c r="I5362" s="1" t="s">
        <v>19</v>
      </c>
      <c r="J5362" s="1" t="s">
        <v>6</v>
      </c>
      <c r="K5362" s="1" t="s">
        <v>24</v>
      </c>
      <c r="L5362" s="1">
        <v>7522142</v>
      </c>
      <c r="M5362" s="2">
        <v>42717</v>
      </c>
      <c r="N5362" s="1" t="s">
        <v>8</v>
      </c>
      <c r="O5362" s="2">
        <v>43812</v>
      </c>
    </row>
    <row r="5363" spans="1:15" ht="28.8" x14ac:dyDescent="0.3">
      <c r="A5363" s="1" t="s">
        <v>17482</v>
      </c>
      <c r="B5363" s="1" t="str">
        <f>"DJM Services (Pembs.)Ltd"</f>
        <v>DJM Services (Pembs.)Ltd</v>
      </c>
      <c r="C5363" s="1" t="s">
        <v>17483</v>
      </c>
      <c r="F5363" s="1" t="s">
        <v>438</v>
      </c>
      <c r="H5363" s="1" t="s">
        <v>17484</v>
      </c>
      <c r="I5363" s="1" t="s">
        <v>19</v>
      </c>
      <c r="J5363" s="1" t="s">
        <v>6</v>
      </c>
      <c r="K5363" s="1" t="s">
        <v>24</v>
      </c>
      <c r="L5363" s="1">
        <v>5953489</v>
      </c>
      <c r="M5363" s="2">
        <v>42717</v>
      </c>
      <c r="N5363" s="1" t="s">
        <v>8</v>
      </c>
      <c r="O5363" s="2">
        <v>43812</v>
      </c>
    </row>
    <row r="5364" spans="1:15" ht="28.8" x14ac:dyDescent="0.3">
      <c r="A5364" s="1" t="s">
        <v>17485</v>
      </c>
      <c r="B5364" s="1" t="str">
        <f>"South Wales Cleaning &amp; Maintenance"</f>
        <v>South Wales Cleaning &amp; Maintenance</v>
      </c>
      <c r="C5364" s="1" t="s">
        <v>17486</v>
      </c>
      <c r="F5364" s="1" t="s">
        <v>6536</v>
      </c>
      <c r="H5364" s="1" t="s">
        <v>17487</v>
      </c>
      <c r="I5364" s="1" t="s">
        <v>19</v>
      </c>
      <c r="J5364" s="1" t="s">
        <v>6</v>
      </c>
      <c r="K5364" s="1" t="s">
        <v>34</v>
      </c>
      <c r="L5364" s="1">
        <v>9644885</v>
      </c>
      <c r="M5364" s="2">
        <v>42717</v>
      </c>
      <c r="N5364" s="1" t="s">
        <v>8</v>
      </c>
      <c r="O5364" s="2">
        <v>43812</v>
      </c>
    </row>
    <row r="5365" spans="1:15" ht="43.2" x14ac:dyDescent="0.3">
      <c r="A5365" s="1" t="s">
        <v>18408</v>
      </c>
      <c r="B5365" s="1" t="str">
        <f>"Shirefield ltd"</f>
        <v>Shirefield ltd</v>
      </c>
      <c r="C5365" s="1" t="s">
        <v>18409</v>
      </c>
      <c r="D5365" s="1" t="s">
        <v>1286</v>
      </c>
      <c r="F5365" s="1" t="s">
        <v>401</v>
      </c>
      <c r="H5365" s="1" t="s">
        <v>18410</v>
      </c>
      <c r="I5365" s="1" t="s">
        <v>19</v>
      </c>
      <c r="J5365" s="1" t="s">
        <v>67</v>
      </c>
      <c r="K5365" s="1" t="s">
        <v>14</v>
      </c>
      <c r="M5365" s="2">
        <v>42717</v>
      </c>
      <c r="N5365" s="1" t="s">
        <v>8</v>
      </c>
      <c r="O5365" s="1" t="s">
        <v>68</v>
      </c>
    </row>
    <row r="5366" spans="1:15" ht="28.8" x14ac:dyDescent="0.3">
      <c r="A5366" s="1" t="s">
        <v>18411</v>
      </c>
      <c r="B5366" s="1" t="str">
        <f>"Richard Stead  Craig Matthews"</f>
        <v>Richard Stead  Craig Matthews</v>
      </c>
      <c r="C5366" s="1" t="s">
        <v>2567</v>
      </c>
      <c r="D5366" s="1" t="s">
        <v>2568</v>
      </c>
      <c r="F5366" s="1" t="s">
        <v>103</v>
      </c>
      <c r="H5366" s="1" t="s">
        <v>2569</v>
      </c>
      <c r="I5366" s="1" t="s">
        <v>125</v>
      </c>
      <c r="J5366" s="1" t="s">
        <v>6</v>
      </c>
      <c r="K5366" s="1" t="s">
        <v>24</v>
      </c>
      <c r="M5366" s="2">
        <v>42717</v>
      </c>
      <c r="N5366" s="1" t="s">
        <v>8</v>
      </c>
      <c r="O5366" s="2">
        <v>43812</v>
      </c>
    </row>
    <row r="5367" spans="1:15" ht="28.8" x14ac:dyDescent="0.3">
      <c r="A5367" s="1" t="s">
        <v>18412</v>
      </c>
      <c r="B5367" s="1" t="str">
        <f>"L Edwards"</f>
        <v>L Edwards</v>
      </c>
      <c r="C5367" s="1" t="s">
        <v>18413</v>
      </c>
      <c r="F5367" s="1" t="s">
        <v>1169</v>
      </c>
      <c r="H5367" s="1" t="s">
        <v>18414</v>
      </c>
      <c r="I5367" s="1" t="s">
        <v>125</v>
      </c>
      <c r="J5367" s="1" t="s">
        <v>6</v>
      </c>
      <c r="K5367" s="1" t="s">
        <v>24</v>
      </c>
      <c r="M5367" s="2">
        <v>42717</v>
      </c>
      <c r="N5367" s="1" t="s">
        <v>8</v>
      </c>
      <c r="O5367" s="2">
        <v>43812</v>
      </c>
    </row>
    <row r="5368" spans="1:15" ht="43.2" x14ac:dyDescent="0.3">
      <c r="A5368" s="1" t="s">
        <v>29244</v>
      </c>
      <c r="B5368" s="1" t="str">
        <f>"Mathew Mottram"</f>
        <v>Mathew Mottram</v>
      </c>
      <c r="C5368" s="1" t="s">
        <v>29245</v>
      </c>
      <c r="D5368" s="1" t="s">
        <v>6460</v>
      </c>
      <c r="F5368" s="1" t="s">
        <v>96</v>
      </c>
      <c r="H5368" s="1" t="s">
        <v>29246</v>
      </c>
      <c r="I5368" s="1" t="s">
        <v>5</v>
      </c>
      <c r="J5368" s="1" t="s">
        <v>67</v>
      </c>
      <c r="K5368" s="1" t="s">
        <v>14</v>
      </c>
      <c r="M5368" s="2">
        <v>42717</v>
      </c>
      <c r="N5368" s="1" t="s">
        <v>8</v>
      </c>
      <c r="O5368" s="1" t="s">
        <v>68</v>
      </c>
    </row>
    <row r="5369" spans="1:15" ht="28.8" x14ac:dyDescent="0.3">
      <c r="A5369" s="1" t="s">
        <v>29247</v>
      </c>
      <c r="B5369" s="1" t="str">
        <f>"Eric Shillcock Powerchem"</f>
        <v>Eric Shillcock Powerchem</v>
      </c>
      <c r="C5369" s="1" t="s">
        <v>29248</v>
      </c>
      <c r="F5369" s="1" t="s">
        <v>1184</v>
      </c>
      <c r="H5369" s="1" t="s">
        <v>29249</v>
      </c>
      <c r="I5369" s="1" t="s">
        <v>5</v>
      </c>
      <c r="J5369" s="1" t="s">
        <v>6</v>
      </c>
      <c r="K5369" s="1" t="s">
        <v>24</v>
      </c>
      <c r="M5369" s="2">
        <v>42717</v>
      </c>
      <c r="N5369" s="1" t="s">
        <v>8</v>
      </c>
      <c r="O5369" s="2">
        <v>43812</v>
      </c>
    </row>
    <row r="5370" spans="1:15" ht="28.8" x14ac:dyDescent="0.3">
      <c r="A5370" s="1" t="s">
        <v>29250</v>
      </c>
      <c r="B5370" s="1" t="str">
        <f>"Christian Griffiths Christian Griffiths"</f>
        <v>Christian Griffiths Christian Griffiths</v>
      </c>
      <c r="C5370" s="1" t="s">
        <v>29251</v>
      </c>
      <c r="F5370" s="1" t="s">
        <v>5645</v>
      </c>
      <c r="H5370" s="1" t="s">
        <v>25171</v>
      </c>
      <c r="I5370" s="1" t="s">
        <v>5</v>
      </c>
      <c r="J5370" s="1" t="s">
        <v>6</v>
      </c>
      <c r="K5370" s="1" t="s">
        <v>24</v>
      </c>
      <c r="M5370" s="2">
        <v>42717</v>
      </c>
      <c r="N5370" s="1" t="s">
        <v>8</v>
      </c>
      <c r="O5370" s="2">
        <v>43812</v>
      </c>
    </row>
    <row r="5371" spans="1:15" ht="43.2" x14ac:dyDescent="0.3">
      <c r="A5371" s="1" t="s">
        <v>29252</v>
      </c>
      <c r="B5371" s="1" t="str">
        <f>"Geoffrey William Fitton"</f>
        <v>Geoffrey William Fitton</v>
      </c>
      <c r="C5371" s="1" t="s">
        <v>19823</v>
      </c>
      <c r="F5371" s="1" t="s">
        <v>198</v>
      </c>
      <c r="H5371" s="1" t="s">
        <v>19824</v>
      </c>
      <c r="I5371" s="1" t="s">
        <v>5</v>
      </c>
      <c r="J5371" s="1" t="s">
        <v>67</v>
      </c>
      <c r="K5371" s="1" t="s">
        <v>24</v>
      </c>
      <c r="M5371" s="2">
        <v>42717</v>
      </c>
      <c r="N5371" s="1" t="s">
        <v>8</v>
      </c>
      <c r="O5371" s="1" t="s">
        <v>68</v>
      </c>
    </row>
    <row r="5372" spans="1:15" ht="28.8" x14ac:dyDescent="0.3">
      <c r="A5372" s="1" t="s">
        <v>29253</v>
      </c>
      <c r="B5372" s="1" t="str">
        <f>"Edwin Davies"</f>
        <v>Edwin Davies</v>
      </c>
      <c r="C5372" s="1" t="s">
        <v>29254</v>
      </c>
      <c r="D5372" s="1" t="s">
        <v>5491</v>
      </c>
      <c r="F5372" s="1" t="s">
        <v>1175</v>
      </c>
      <c r="H5372" s="1" t="s">
        <v>29255</v>
      </c>
      <c r="I5372" s="1" t="s">
        <v>5</v>
      </c>
      <c r="J5372" s="1" t="s">
        <v>6</v>
      </c>
      <c r="K5372" s="1" t="s">
        <v>34</v>
      </c>
      <c r="M5372" s="2">
        <v>42717</v>
      </c>
      <c r="N5372" s="1" t="s">
        <v>8</v>
      </c>
      <c r="O5372" s="2">
        <v>43812</v>
      </c>
    </row>
    <row r="5373" spans="1:15" ht="43.2" x14ac:dyDescent="0.3">
      <c r="A5373" s="1" t="s">
        <v>16476</v>
      </c>
      <c r="B5373" s="1" t="str">
        <f>"CENTREGREAT LTD"</f>
        <v>CENTREGREAT LTD</v>
      </c>
      <c r="C5373" s="1" t="s">
        <v>16477</v>
      </c>
      <c r="D5373" s="1" t="s">
        <v>1389</v>
      </c>
      <c r="F5373" s="1" t="s">
        <v>865</v>
      </c>
      <c r="H5373" s="1" t="s">
        <v>1390</v>
      </c>
      <c r="I5373" s="1" t="s">
        <v>19</v>
      </c>
      <c r="J5373" s="1" t="s">
        <v>6</v>
      </c>
      <c r="K5373" s="1" t="s">
        <v>24</v>
      </c>
      <c r="L5373" s="1">
        <v>1169341</v>
      </c>
      <c r="M5373" s="2">
        <v>42716</v>
      </c>
      <c r="N5373" s="1" t="s">
        <v>8</v>
      </c>
      <c r="O5373" s="2">
        <v>43811</v>
      </c>
    </row>
    <row r="5374" spans="1:15" ht="43.2" x14ac:dyDescent="0.3">
      <c r="A5374" s="1" t="s">
        <v>16478</v>
      </c>
      <c r="B5374" s="1" t="str">
        <f>"Limebright Ltd"</f>
        <v>Limebright Ltd</v>
      </c>
      <c r="C5374" s="1" t="s">
        <v>16479</v>
      </c>
      <c r="F5374" s="1" t="s">
        <v>91</v>
      </c>
      <c r="H5374" s="1" t="s">
        <v>16480</v>
      </c>
      <c r="I5374" s="1" t="s">
        <v>19</v>
      </c>
      <c r="J5374" s="1" t="s">
        <v>67</v>
      </c>
      <c r="K5374" s="1" t="s">
        <v>14</v>
      </c>
      <c r="M5374" s="2">
        <v>42716</v>
      </c>
      <c r="N5374" s="1" t="s">
        <v>8</v>
      </c>
      <c r="O5374" s="1" t="s">
        <v>68</v>
      </c>
    </row>
    <row r="5375" spans="1:15" ht="43.2" x14ac:dyDescent="0.3">
      <c r="A5375" s="1" t="s">
        <v>16481</v>
      </c>
      <c r="B5375" s="1" t="str">
        <f>"SOUTH &amp; WEST CHIMNEY LINING LTD"</f>
        <v>SOUTH &amp; WEST CHIMNEY LINING LTD</v>
      </c>
      <c r="C5375" s="1" t="s">
        <v>16482</v>
      </c>
      <c r="F5375" s="1" t="s">
        <v>12</v>
      </c>
      <c r="H5375" s="1" t="s">
        <v>16483</v>
      </c>
      <c r="I5375" s="1" t="s">
        <v>19</v>
      </c>
      <c r="J5375" s="1" t="s">
        <v>67</v>
      </c>
      <c r="K5375" s="1" t="s">
        <v>24</v>
      </c>
      <c r="L5375" s="1">
        <v>8099256</v>
      </c>
      <c r="M5375" s="2">
        <v>42716</v>
      </c>
      <c r="N5375" s="1" t="s">
        <v>8</v>
      </c>
      <c r="O5375" s="1" t="s">
        <v>68</v>
      </c>
    </row>
    <row r="5376" spans="1:15" x14ac:dyDescent="0.3">
      <c r="A5376" s="1" t="s">
        <v>16484</v>
      </c>
      <c r="B5376" s="1" t="str">
        <f>"D  Jenkins &amp; Son Ltd."</f>
        <v>D  Jenkins &amp; Son Ltd.</v>
      </c>
      <c r="C5376" s="1" t="s">
        <v>16485</v>
      </c>
      <c r="F5376" s="1" t="s">
        <v>17</v>
      </c>
      <c r="H5376" s="1" t="s">
        <v>16486</v>
      </c>
      <c r="I5376" s="1" t="s">
        <v>19</v>
      </c>
      <c r="J5376" s="1" t="s">
        <v>6</v>
      </c>
      <c r="K5376" s="1" t="s">
        <v>24</v>
      </c>
      <c r="L5376" s="1">
        <v>3937281</v>
      </c>
      <c r="M5376" s="2">
        <v>42716</v>
      </c>
      <c r="N5376" s="1" t="s">
        <v>8</v>
      </c>
      <c r="O5376" s="2">
        <v>43811</v>
      </c>
    </row>
    <row r="5377" spans="1:15" ht="43.2" x14ac:dyDescent="0.3">
      <c r="A5377" s="1" t="s">
        <v>16487</v>
      </c>
      <c r="B5377" s="1" t="str">
        <f>"Tinnelly Construction"</f>
        <v>Tinnelly Construction</v>
      </c>
      <c r="C5377" s="1" t="s">
        <v>16488</v>
      </c>
      <c r="D5377" s="1" t="s">
        <v>6518</v>
      </c>
      <c r="F5377" s="1" t="s">
        <v>865</v>
      </c>
      <c r="H5377" s="1" t="s">
        <v>13110</v>
      </c>
      <c r="I5377" s="1" t="s">
        <v>19</v>
      </c>
      <c r="J5377" s="1" t="s">
        <v>6</v>
      </c>
      <c r="K5377" s="1" t="s">
        <v>34</v>
      </c>
      <c r="L5377" s="1" t="s">
        <v>16489</v>
      </c>
      <c r="M5377" s="2">
        <v>42716</v>
      </c>
      <c r="N5377" s="1" t="s">
        <v>8</v>
      </c>
      <c r="O5377" s="2">
        <v>43811</v>
      </c>
    </row>
    <row r="5378" spans="1:15" x14ac:dyDescent="0.3">
      <c r="A5378" s="1" t="s">
        <v>28525</v>
      </c>
      <c r="B5378" s="1" t="str">
        <f>"nigel roach nps"</f>
        <v>nigel roach nps</v>
      </c>
      <c r="C5378" s="1" t="s">
        <v>28526</v>
      </c>
      <c r="F5378" s="1" t="s">
        <v>996</v>
      </c>
      <c r="H5378" s="1" t="s">
        <v>28527</v>
      </c>
      <c r="I5378" s="1" t="s">
        <v>5</v>
      </c>
      <c r="J5378" s="1" t="s">
        <v>6</v>
      </c>
      <c r="K5378" s="1" t="s">
        <v>24</v>
      </c>
      <c r="M5378" s="2">
        <v>42716</v>
      </c>
      <c r="N5378" s="1" t="s">
        <v>8</v>
      </c>
      <c r="O5378" s="2">
        <v>43811</v>
      </c>
    </row>
    <row r="5379" spans="1:15" ht="43.2" x14ac:dyDescent="0.3">
      <c r="A5379" s="1" t="s">
        <v>28528</v>
      </c>
      <c r="B5379" s="1" t="str">
        <f>"Huw Jones"</f>
        <v>Huw Jones</v>
      </c>
      <c r="C5379" s="1" t="s">
        <v>28529</v>
      </c>
      <c r="F5379" s="1" t="s">
        <v>277</v>
      </c>
      <c r="H5379" s="1" t="s">
        <v>28530</v>
      </c>
      <c r="I5379" s="1" t="s">
        <v>5</v>
      </c>
      <c r="J5379" s="1" t="s">
        <v>67</v>
      </c>
      <c r="K5379" s="1" t="s">
        <v>14</v>
      </c>
      <c r="M5379" s="2">
        <v>42716</v>
      </c>
      <c r="N5379" s="1" t="s">
        <v>8</v>
      </c>
      <c r="O5379" s="1" t="s">
        <v>68</v>
      </c>
    </row>
    <row r="5380" spans="1:15" ht="28.8" x14ac:dyDescent="0.3">
      <c r="A5380" s="1" t="s">
        <v>28531</v>
      </c>
      <c r="B5380" s="1" t="str">
        <f>"Darren Butcher"</f>
        <v>Darren Butcher</v>
      </c>
      <c r="C5380" s="1" t="s">
        <v>28532</v>
      </c>
      <c r="D5380" s="1" t="s">
        <v>28533</v>
      </c>
      <c r="F5380" s="1" t="s">
        <v>156</v>
      </c>
      <c r="H5380" s="1" t="s">
        <v>10731</v>
      </c>
      <c r="I5380" s="1" t="s">
        <v>5</v>
      </c>
      <c r="J5380" s="1" t="s">
        <v>6</v>
      </c>
      <c r="K5380" s="1" t="s">
        <v>24</v>
      </c>
      <c r="M5380" s="2">
        <v>42716</v>
      </c>
      <c r="N5380" s="1" t="s">
        <v>8</v>
      </c>
      <c r="O5380" s="2">
        <v>43811</v>
      </c>
    </row>
    <row r="5381" spans="1:15" ht="28.8" x14ac:dyDescent="0.3">
      <c r="A5381" s="1" t="s">
        <v>28534</v>
      </c>
      <c r="B5381" s="1" t="str">
        <f>"Mal Walker Mal Walker Maintenance"</f>
        <v>Mal Walker Mal Walker Maintenance</v>
      </c>
      <c r="C5381" s="1" t="s">
        <v>28535</v>
      </c>
      <c r="F5381" s="1" t="s">
        <v>12</v>
      </c>
      <c r="H5381" s="1" t="s">
        <v>28536</v>
      </c>
      <c r="I5381" s="1" t="s">
        <v>5</v>
      </c>
      <c r="J5381" s="1" t="s">
        <v>6</v>
      </c>
      <c r="K5381" s="1" t="s">
        <v>24</v>
      </c>
      <c r="M5381" s="2">
        <v>42716</v>
      </c>
      <c r="N5381" s="1" t="s">
        <v>8</v>
      </c>
      <c r="O5381" s="2">
        <v>43811</v>
      </c>
    </row>
    <row r="5382" spans="1:15" ht="28.8" x14ac:dyDescent="0.3">
      <c r="A5382" s="1" t="s">
        <v>28537</v>
      </c>
      <c r="B5382" s="1" t="str">
        <f>"Ashley Davies AWD Roofing"</f>
        <v>Ashley Davies AWD Roofing</v>
      </c>
      <c r="C5382" s="1" t="s">
        <v>28538</v>
      </c>
      <c r="F5382" s="1" t="s">
        <v>12</v>
      </c>
      <c r="H5382" s="1" t="s">
        <v>28539</v>
      </c>
      <c r="I5382" s="1" t="s">
        <v>5</v>
      </c>
      <c r="J5382" s="1" t="s">
        <v>6</v>
      </c>
      <c r="K5382" s="1" t="s">
        <v>34</v>
      </c>
      <c r="M5382" s="2">
        <v>42716</v>
      </c>
      <c r="N5382" s="1" t="s">
        <v>8</v>
      </c>
      <c r="O5382" s="2">
        <v>43811</v>
      </c>
    </row>
    <row r="5383" spans="1:15" ht="43.2" x14ac:dyDescent="0.3">
      <c r="A5383" s="1" t="s">
        <v>28540</v>
      </c>
      <c r="B5383" s="1" t="str">
        <f>"Gwilym Howatson"</f>
        <v>Gwilym Howatson</v>
      </c>
      <c r="C5383" s="1" t="s">
        <v>28541</v>
      </c>
      <c r="F5383" s="1" t="s">
        <v>83</v>
      </c>
      <c r="H5383" s="1" t="s">
        <v>28542</v>
      </c>
      <c r="I5383" s="1" t="s">
        <v>5</v>
      </c>
      <c r="J5383" s="1" t="s">
        <v>67</v>
      </c>
      <c r="K5383" s="1" t="s">
        <v>24</v>
      </c>
      <c r="M5383" s="2">
        <v>42716</v>
      </c>
      <c r="N5383" s="1" t="s">
        <v>8</v>
      </c>
      <c r="O5383" s="1" t="s">
        <v>68</v>
      </c>
    </row>
    <row r="5384" spans="1:15" ht="43.2" x14ac:dyDescent="0.3">
      <c r="A5384" s="1" t="s">
        <v>15426</v>
      </c>
      <c r="B5384" s="1" t="str">
        <f>"BILL WAY &amp; CO.LIMITED"</f>
        <v>BILL WAY &amp; CO.LIMITED</v>
      </c>
      <c r="C5384" s="1" t="s">
        <v>15427</v>
      </c>
      <c r="D5384" s="1" t="s">
        <v>11242</v>
      </c>
      <c r="F5384" s="1" t="s">
        <v>123</v>
      </c>
      <c r="H5384" s="1" t="s">
        <v>9449</v>
      </c>
      <c r="I5384" s="1" t="s">
        <v>19</v>
      </c>
      <c r="J5384" s="1" t="s">
        <v>6</v>
      </c>
      <c r="K5384" s="1" t="s">
        <v>34</v>
      </c>
      <c r="L5384" s="1">
        <v>515224</v>
      </c>
      <c r="M5384" s="2">
        <v>42715</v>
      </c>
      <c r="N5384" s="1" t="s">
        <v>8</v>
      </c>
      <c r="O5384" s="2">
        <v>43810</v>
      </c>
    </row>
    <row r="5385" spans="1:15" ht="43.2" x14ac:dyDescent="0.3">
      <c r="A5385" s="1" t="s">
        <v>16474</v>
      </c>
      <c r="B5385" s="1" t="str">
        <f>"ALT GARDENING &amp; MAINTENANCE SERVICE"</f>
        <v>ALT GARDENING &amp; MAINTENANCE SERVICE</v>
      </c>
      <c r="C5385" s="1" t="s">
        <v>16475</v>
      </c>
      <c r="F5385" s="1" t="s">
        <v>170</v>
      </c>
      <c r="H5385" s="1" t="s">
        <v>171</v>
      </c>
      <c r="I5385" s="1" t="s">
        <v>19</v>
      </c>
      <c r="J5385" s="1" t="s">
        <v>6</v>
      </c>
      <c r="K5385" s="1" t="s">
        <v>24</v>
      </c>
      <c r="L5385" s="1">
        <v>10463972</v>
      </c>
      <c r="M5385" s="2">
        <v>42715</v>
      </c>
      <c r="N5385" s="1" t="s">
        <v>8</v>
      </c>
      <c r="O5385" s="2">
        <v>43810</v>
      </c>
    </row>
    <row r="5386" spans="1:15" ht="43.2" x14ac:dyDescent="0.3">
      <c r="A5386" s="1" t="s">
        <v>27740</v>
      </c>
      <c r="B5386" s="1" t="str">
        <f>"alan williams"</f>
        <v>alan williams</v>
      </c>
      <c r="C5386" s="1" t="s">
        <v>27741</v>
      </c>
      <c r="F5386" s="1" t="s">
        <v>65</v>
      </c>
      <c r="H5386" s="1" t="s">
        <v>27742</v>
      </c>
      <c r="I5386" s="1" t="s">
        <v>5</v>
      </c>
      <c r="J5386" s="1" t="s">
        <v>67</v>
      </c>
      <c r="K5386" s="1" t="s">
        <v>14</v>
      </c>
      <c r="M5386" s="2">
        <v>42715</v>
      </c>
      <c r="N5386" s="1" t="s">
        <v>8</v>
      </c>
      <c r="O5386" s="1" t="s">
        <v>68</v>
      </c>
    </row>
    <row r="5387" spans="1:15" ht="28.8" x14ac:dyDescent="0.3">
      <c r="A5387" s="1" t="s">
        <v>27743</v>
      </c>
      <c r="B5387" s="1" t="str">
        <f>"Huw Roberts Huw Roberts"</f>
        <v>Huw Roberts Huw Roberts</v>
      </c>
      <c r="C5387" s="1" t="s">
        <v>27744</v>
      </c>
      <c r="F5387" s="1" t="s">
        <v>119</v>
      </c>
      <c r="H5387" s="1" t="s">
        <v>27745</v>
      </c>
      <c r="I5387" s="1" t="s">
        <v>5</v>
      </c>
      <c r="J5387" s="1" t="s">
        <v>6</v>
      </c>
      <c r="K5387" s="1" t="s">
        <v>24</v>
      </c>
      <c r="M5387" s="2">
        <v>42715</v>
      </c>
      <c r="N5387" s="1" t="s">
        <v>8</v>
      </c>
      <c r="O5387" s="2">
        <v>43810</v>
      </c>
    </row>
    <row r="5388" spans="1:15" ht="43.2" x14ac:dyDescent="0.3">
      <c r="A5388" s="1" t="s">
        <v>28522</v>
      </c>
      <c r="B5388" s="1" t="str">
        <f>"Geraint Micah"</f>
        <v>Geraint Micah</v>
      </c>
      <c r="C5388" s="1" t="s">
        <v>28523</v>
      </c>
      <c r="F5388" s="1" t="s">
        <v>2</v>
      </c>
      <c r="H5388" s="1" t="s">
        <v>28524</v>
      </c>
      <c r="I5388" s="1" t="s">
        <v>5</v>
      </c>
      <c r="J5388" s="1" t="s">
        <v>67</v>
      </c>
      <c r="K5388" s="1" t="s">
        <v>34</v>
      </c>
      <c r="M5388" s="2">
        <v>42715</v>
      </c>
      <c r="N5388" s="1" t="s">
        <v>8</v>
      </c>
      <c r="O5388" s="1" t="s">
        <v>68</v>
      </c>
    </row>
    <row r="5389" spans="1:15" ht="28.8" x14ac:dyDescent="0.3">
      <c r="A5389" s="1" t="s">
        <v>15418</v>
      </c>
      <c r="B5389" s="1" t="str">
        <f>"Halbro Ltd."</f>
        <v>Halbro Ltd.</v>
      </c>
      <c r="C5389" s="1" t="s">
        <v>15419</v>
      </c>
      <c r="D5389" s="1" t="s">
        <v>4386</v>
      </c>
      <c r="F5389" s="1" t="s">
        <v>134</v>
      </c>
      <c r="H5389" s="1" t="s">
        <v>15420</v>
      </c>
      <c r="I5389" s="1" t="s">
        <v>19</v>
      </c>
      <c r="J5389" s="1" t="s">
        <v>6</v>
      </c>
      <c r="K5389" s="1" t="s">
        <v>34</v>
      </c>
      <c r="L5389" s="1">
        <v>4230219</v>
      </c>
      <c r="M5389" s="2">
        <v>42714</v>
      </c>
      <c r="N5389" s="1" t="s">
        <v>8</v>
      </c>
      <c r="O5389" s="2">
        <v>43809</v>
      </c>
    </row>
    <row r="5390" spans="1:15" ht="28.8" x14ac:dyDescent="0.3">
      <c r="A5390" s="1" t="s">
        <v>15421</v>
      </c>
      <c r="B5390" s="1" t="str">
        <f>"2d property maintenance"</f>
        <v>2d property maintenance</v>
      </c>
      <c r="C5390" s="1" t="s">
        <v>15422</v>
      </c>
      <c r="D5390" s="1" t="s">
        <v>15423</v>
      </c>
      <c r="E5390" s="1" t="s">
        <v>15424</v>
      </c>
      <c r="F5390" s="1" t="s">
        <v>767</v>
      </c>
      <c r="G5390" s="1" t="s">
        <v>141</v>
      </c>
      <c r="H5390" s="1" t="s">
        <v>13889</v>
      </c>
      <c r="I5390" s="1" t="s">
        <v>19</v>
      </c>
      <c r="J5390" s="1" t="s">
        <v>6</v>
      </c>
      <c r="K5390" s="1" t="s">
        <v>34</v>
      </c>
      <c r="L5390" s="1">
        <v>7467640</v>
      </c>
      <c r="M5390" s="2">
        <v>42714</v>
      </c>
      <c r="N5390" s="1" t="s">
        <v>8</v>
      </c>
      <c r="O5390" s="2">
        <v>43808</v>
      </c>
    </row>
    <row r="5391" spans="1:15" ht="28.8" x14ac:dyDescent="0.3">
      <c r="A5391" s="1" t="s">
        <v>15425</v>
      </c>
      <c r="B5391" s="1" t="str">
        <f>"Western Delivery Services Limited"</f>
        <v>Western Delivery Services Limited</v>
      </c>
      <c r="C5391" s="1" t="s">
        <v>8363</v>
      </c>
      <c r="D5391" s="1" t="s">
        <v>8364</v>
      </c>
      <c r="E5391" s="1" t="s">
        <v>4511</v>
      </c>
      <c r="F5391" s="1" t="s">
        <v>865</v>
      </c>
      <c r="H5391" s="1" t="s">
        <v>8365</v>
      </c>
      <c r="I5391" s="1" t="s">
        <v>19</v>
      </c>
      <c r="J5391" s="1" t="s">
        <v>6</v>
      </c>
      <c r="K5391" s="1" t="s">
        <v>24</v>
      </c>
      <c r="L5391" s="1">
        <v>8985778</v>
      </c>
      <c r="M5391" s="2">
        <v>42714</v>
      </c>
      <c r="N5391" s="1" t="s">
        <v>8</v>
      </c>
      <c r="O5391" s="2">
        <v>43809</v>
      </c>
    </row>
    <row r="5392" spans="1:15" ht="28.8" x14ac:dyDescent="0.3">
      <c r="A5392" s="1" t="s">
        <v>27737</v>
      </c>
      <c r="B5392" s="1" t="str">
        <f>"Norman Harding Norman Harding"</f>
        <v>Norman Harding Norman Harding</v>
      </c>
      <c r="C5392" s="1" t="s">
        <v>27738</v>
      </c>
      <c r="F5392" s="1" t="s">
        <v>17</v>
      </c>
      <c r="H5392" s="1" t="s">
        <v>27739</v>
      </c>
      <c r="I5392" s="1" t="s">
        <v>5</v>
      </c>
      <c r="J5392" s="1" t="s">
        <v>6</v>
      </c>
      <c r="K5392" s="1" t="s">
        <v>24</v>
      </c>
      <c r="M5392" s="2">
        <v>42714</v>
      </c>
      <c r="N5392" s="1" t="s">
        <v>8</v>
      </c>
      <c r="O5392" s="2">
        <v>43809</v>
      </c>
    </row>
    <row r="5393" spans="1:15" ht="43.2" x14ac:dyDescent="0.3">
      <c r="A5393" s="1" t="s">
        <v>14527</v>
      </c>
      <c r="B5393" s="1" t="str">
        <f>"SOUTHERN MAINTEANANCE SERVICES"</f>
        <v>SOUTHERN MAINTEANANCE SERVICES</v>
      </c>
      <c r="C5393" s="1" t="s">
        <v>14528</v>
      </c>
      <c r="F5393" s="1" t="s">
        <v>12797</v>
      </c>
      <c r="H5393" s="1" t="s">
        <v>14529</v>
      </c>
      <c r="I5393" s="1" t="s">
        <v>19</v>
      </c>
      <c r="J5393" s="1" t="s">
        <v>67</v>
      </c>
      <c r="K5393" s="1" t="s">
        <v>14</v>
      </c>
      <c r="M5393" s="2">
        <v>42713</v>
      </c>
      <c r="N5393" s="1" t="s">
        <v>8</v>
      </c>
      <c r="O5393" s="1" t="s">
        <v>68</v>
      </c>
    </row>
    <row r="5394" spans="1:15" ht="43.2" x14ac:dyDescent="0.3">
      <c r="A5394" s="1" t="s">
        <v>26866</v>
      </c>
      <c r="B5394" s="1" t="str">
        <f>"Michael Thomas M. Thomas Caravan Repairs"</f>
        <v>Michael Thomas M. Thomas Caravan Repairs</v>
      </c>
      <c r="C5394" s="1" t="s">
        <v>26867</v>
      </c>
      <c r="F5394" s="1" t="s">
        <v>83</v>
      </c>
      <c r="H5394" s="1" t="s">
        <v>26868</v>
      </c>
      <c r="I5394" s="1" t="s">
        <v>5</v>
      </c>
      <c r="J5394" s="1" t="s">
        <v>6</v>
      </c>
      <c r="K5394" s="1" t="s">
        <v>24</v>
      </c>
      <c r="M5394" s="2">
        <v>42713</v>
      </c>
      <c r="N5394" s="1" t="s">
        <v>8</v>
      </c>
      <c r="O5394" s="2">
        <v>43808</v>
      </c>
    </row>
    <row r="5395" spans="1:15" ht="43.2" x14ac:dyDescent="0.3">
      <c r="A5395" s="1" t="s">
        <v>27724</v>
      </c>
      <c r="B5395" s="1" t="str">
        <f>"Nick Dale"</f>
        <v>Nick Dale</v>
      </c>
      <c r="C5395" s="1" t="s">
        <v>27725</v>
      </c>
      <c r="F5395" s="1" t="s">
        <v>12675</v>
      </c>
      <c r="H5395" s="1" t="s">
        <v>27726</v>
      </c>
      <c r="I5395" s="1" t="s">
        <v>5</v>
      </c>
      <c r="J5395" s="1" t="s">
        <v>67</v>
      </c>
      <c r="K5395" s="1" t="s">
        <v>14</v>
      </c>
      <c r="M5395" s="2">
        <v>42713</v>
      </c>
      <c r="N5395" s="1" t="s">
        <v>8</v>
      </c>
      <c r="O5395" s="1" t="s">
        <v>68</v>
      </c>
    </row>
    <row r="5396" spans="1:15" ht="28.8" x14ac:dyDescent="0.3">
      <c r="A5396" s="1" t="s">
        <v>27727</v>
      </c>
      <c r="B5396" s="1" t="str">
        <f>"Jamie Morris M &amp; C Scrap Merchant Dealer"</f>
        <v>Jamie Morris M &amp; C Scrap Merchant Dealer</v>
      </c>
      <c r="C5396" s="1" t="s">
        <v>27728</v>
      </c>
      <c r="F5396" s="1" t="s">
        <v>42</v>
      </c>
      <c r="H5396" s="1" t="s">
        <v>27729</v>
      </c>
      <c r="I5396" s="1" t="s">
        <v>5</v>
      </c>
      <c r="J5396" s="1" t="s">
        <v>6</v>
      </c>
      <c r="K5396" s="1" t="s">
        <v>24</v>
      </c>
      <c r="M5396" s="2">
        <v>42713</v>
      </c>
      <c r="N5396" s="1" t="s">
        <v>8</v>
      </c>
      <c r="O5396" s="2">
        <v>43808</v>
      </c>
    </row>
    <row r="5397" spans="1:15" ht="28.8" x14ac:dyDescent="0.3">
      <c r="A5397" s="1" t="s">
        <v>27730</v>
      </c>
      <c r="B5397" s="1" t="str">
        <f>"John Davies John Davies Scrapmetal"</f>
        <v>John Davies John Davies Scrapmetal</v>
      </c>
      <c r="C5397" s="1" t="s">
        <v>27731</v>
      </c>
      <c r="D5397" s="1" t="s">
        <v>42</v>
      </c>
      <c r="F5397" s="1" t="s">
        <v>666</v>
      </c>
      <c r="H5397" s="1" t="s">
        <v>27732</v>
      </c>
      <c r="I5397" s="1" t="s">
        <v>5</v>
      </c>
      <c r="J5397" s="1" t="s">
        <v>6</v>
      </c>
      <c r="K5397" s="1" t="s">
        <v>24</v>
      </c>
      <c r="M5397" s="2">
        <v>42713</v>
      </c>
      <c r="N5397" s="1" t="s">
        <v>8</v>
      </c>
      <c r="O5397" s="2">
        <v>43808</v>
      </c>
    </row>
    <row r="5398" spans="1:15" ht="28.8" x14ac:dyDescent="0.3">
      <c r="A5398" s="1" t="s">
        <v>27733</v>
      </c>
      <c r="B5398" s="1" t="str">
        <f>"MARTIN LEWIS MR MARTIN LEWIS"</f>
        <v>MARTIN LEWIS MR MARTIN LEWIS</v>
      </c>
      <c r="C5398" s="1" t="s">
        <v>10600</v>
      </c>
      <c r="F5398" s="1" t="s">
        <v>91</v>
      </c>
      <c r="H5398" s="1" t="s">
        <v>10601</v>
      </c>
      <c r="I5398" s="1" t="s">
        <v>5</v>
      </c>
      <c r="J5398" s="1" t="s">
        <v>6</v>
      </c>
      <c r="K5398" s="1" t="s">
        <v>24</v>
      </c>
      <c r="M5398" s="2">
        <v>42713</v>
      </c>
      <c r="N5398" s="1" t="s">
        <v>8</v>
      </c>
      <c r="O5398" s="2">
        <v>43808</v>
      </c>
    </row>
    <row r="5399" spans="1:15" ht="28.8" x14ac:dyDescent="0.3">
      <c r="A5399" s="1" t="s">
        <v>27734</v>
      </c>
      <c r="B5399" s="1" t="str">
        <f>"kevin williams kevin williams"</f>
        <v>kevin williams kevin williams</v>
      </c>
      <c r="C5399" s="1" t="s">
        <v>27735</v>
      </c>
      <c r="F5399" s="1" t="s">
        <v>710</v>
      </c>
      <c r="H5399" s="1" t="s">
        <v>27736</v>
      </c>
      <c r="I5399" s="1" t="s">
        <v>5</v>
      </c>
      <c r="J5399" s="1" t="s">
        <v>6</v>
      </c>
      <c r="K5399" s="1" t="s">
        <v>24</v>
      </c>
      <c r="M5399" s="2">
        <v>42713</v>
      </c>
      <c r="N5399" s="1" t="s">
        <v>8</v>
      </c>
      <c r="O5399" s="2">
        <v>43808</v>
      </c>
    </row>
    <row r="5400" spans="1:15" ht="43.2" x14ac:dyDescent="0.3">
      <c r="A5400" s="1" t="s">
        <v>14513</v>
      </c>
      <c r="B5400" s="1" t="str">
        <f>"Welsh Farm Organics"</f>
        <v>Welsh Farm Organics</v>
      </c>
      <c r="C5400" s="1" t="s">
        <v>14514</v>
      </c>
      <c r="F5400" s="1" t="s">
        <v>445</v>
      </c>
      <c r="H5400" s="1" t="s">
        <v>14515</v>
      </c>
      <c r="I5400" s="1" t="s">
        <v>125</v>
      </c>
      <c r="J5400" s="1" t="s">
        <v>67</v>
      </c>
      <c r="K5400" s="1" t="s">
        <v>14</v>
      </c>
      <c r="M5400" s="2">
        <v>42712</v>
      </c>
      <c r="N5400" s="1" t="s">
        <v>8</v>
      </c>
      <c r="O5400" s="1" t="s">
        <v>68</v>
      </c>
    </row>
    <row r="5401" spans="1:15" ht="28.8" x14ac:dyDescent="0.3">
      <c r="A5401" s="1" t="s">
        <v>14516</v>
      </c>
      <c r="B5401" s="1" t="str">
        <f>"Environmental Practical Solutions "</f>
        <v xml:space="preserve">Environmental Practical Solutions </v>
      </c>
      <c r="C5401" s="1" t="s">
        <v>14517</v>
      </c>
      <c r="F5401" s="1" t="s">
        <v>65</v>
      </c>
      <c r="H5401" s="1" t="s">
        <v>3768</v>
      </c>
      <c r="I5401" s="1" t="s">
        <v>19</v>
      </c>
      <c r="J5401" s="1" t="s">
        <v>6</v>
      </c>
      <c r="K5401" s="1" t="s">
        <v>34</v>
      </c>
      <c r="L5401" s="1">
        <v>5232080</v>
      </c>
      <c r="M5401" s="2">
        <v>42712</v>
      </c>
      <c r="N5401" s="1" t="s">
        <v>8</v>
      </c>
      <c r="O5401" s="2">
        <v>43807</v>
      </c>
    </row>
    <row r="5402" spans="1:15" ht="43.2" x14ac:dyDescent="0.3">
      <c r="A5402" s="1" t="s">
        <v>14518</v>
      </c>
      <c r="B5402" s="1" t="str">
        <f>"Gasflair Wales Ltd"</f>
        <v>Gasflair Wales Ltd</v>
      </c>
      <c r="C5402" s="1" t="s">
        <v>14519</v>
      </c>
      <c r="D5402" s="1" t="s">
        <v>1839</v>
      </c>
      <c r="F5402" s="1" t="s">
        <v>103</v>
      </c>
      <c r="H5402" s="1" t="s">
        <v>14520</v>
      </c>
      <c r="I5402" s="1" t="s">
        <v>19</v>
      </c>
      <c r="J5402" s="1" t="s">
        <v>6</v>
      </c>
      <c r="K5402" s="1" t="s">
        <v>34</v>
      </c>
      <c r="L5402" s="1">
        <v>4647493</v>
      </c>
      <c r="M5402" s="2">
        <v>42712</v>
      </c>
      <c r="N5402" s="1" t="s">
        <v>8</v>
      </c>
      <c r="O5402" s="2">
        <v>43807</v>
      </c>
    </row>
    <row r="5403" spans="1:15" ht="28.8" x14ac:dyDescent="0.3">
      <c r="A5403" s="1" t="s">
        <v>14521</v>
      </c>
      <c r="B5403" s="1" t="str">
        <f>"P B S  (South Wales) Ltd."</f>
        <v>P B S  (South Wales) Ltd.</v>
      </c>
      <c r="C5403" s="1" t="s">
        <v>14522</v>
      </c>
      <c r="F5403" s="1" t="s">
        <v>91</v>
      </c>
      <c r="H5403" s="1" t="s">
        <v>14523</v>
      </c>
      <c r="I5403" s="1" t="s">
        <v>19</v>
      </c>
      <c r="J5403" s="1" t="s">
        <v>6</v>
      </c>
      <c r="K5403" s="1" t="s">
        <v>24</v>
      </c>
      <c r="L5403" s="1">
        <v>4595780</v>
      </c>
      <c r="M5403" s="2">
        <v>42712</v>
      </c>
      <c r="N5403" s="1" t="s">
        <v>8</v>
      </c>
      <c r="O5403" s="2">
        <v>43807</v>
      </c>
    </row>
    <row r="5404" spans="1:15" ht="28.8" x14ac:dyDescent="0.3">
      <c r="A5404" s="1" t="s">
        <v>14524</v>
      </c>
      <c r="B5404" s="1" t="str">
        <f>"ASHDOWN FENCING LTD"</f>
        <v>ASHDOWN FENCING LTD</v>
      </c>
      <c r="C5404" s="1" t="s">
        <v>14525</v>
      </c>
      <c r="D5404" s="1" t="s">
        <v>14526</v>
      </c>
      <c r="F5404" s="1" t="s">
        <v>786</v>
      </c>
      <c r="H5404" s="1" t="s">
        <v>4030</v>
      </c>
      <c r="I5404" s="1" t="s">
        <v>19</v>
      </c>
      <c r="J5404" s="1" t="s">
        <v>6</v>
      </c>
      <c r="K5404" s="1" t="s">
        <v>24</v>
      </c>
      <c r="L5404" s="1">
        <v>4671642</v>
      </c>
      <c r="M5404" s="2">
        <v>42712</v>
      </c>
      <c r="N5404" s="1" t="s">
        <v>8</v>
      </c>
      <c r="O5404" s="2">
        <v>43807</v>
      </c>
    </row>
    <row r="5405" spans="1:15" ht="43.2" x14ac:dyDescent="0.3">
      <c r="A5405" s="1" t="s">
        <v>26855</v>
      </c>
      <c r="B5405" s="1" t="str">
        <f>"Phil Stone"</f>
        <v>Phil Stone</v>
      </c>
      <c r="C5405" s="1" t="s">
        <v>26856</v>
      </c>
      <c r="F5405" s="1" t="s">
        <v>37</v>
      </c>
      <c r="H5405" s="1" t="s">
        <v>26857</v>
      </c>
      <c r="I5405" s="1" t="s">
        <v>5</v>
      </c>
      <c r="J5405" s="1" t="s">
        <v>67</v>
      </c>
      <c r="K5405" s="1" t="s">
        <v>14</v>
      </c>
      <c r="M5405" s="2">
        <v>42712</v>
      </c>
      <c r="N5405" s="1" t="s">
        <v>8</v>
      </c>
      <c r="O5405" s="1" t="s">
        <v>68</v>
      </c>
    </row>
    <row r="5406" spans="1:15" ht="28.8" x14ac:dyDescent="0.3">
      <c r="A5406" s="1" t="s">
        <v>26858</v>
      </c>
      <c r="B5406" s="1" t="str">
        <f>"Daimien  Allen Cts"</f>
        <v>Daimien  Allen Cts</v>
      </c>
      <c r="C5406" s="1" t="s">
        <v>26859</v>
      </c>
      <c r="F5406" s="1" t="s">
        <v>27</v>
      </c>
      <c r="H5406" s="1" t="s">
        <v>26860</v>
      </c>
      <c r="I5406" s="1" t="s">
        <v>5</v>
      </c>
      <c r="J5406" s="1" t="s">
        <v>6</v>
      </c>
      <c r="K5406" s="1" t="s">
        <v>24</v>
      </c>
      <c r="M5406" s="2">
        <v>42712</v>
      </c>
      <c r="N5406" s="1" t="s">
        <v>8</v>
      </c>
      <c r="O5406" s="2">
        <v>43807</v>
      </c>
    </row>
    <row r="5407" spans="1:15" ht="43.2" x14ac:dyDescent="0.3">
      <c r="A5407" s="1" t="s">
        <v>26861</v>
      </c>
      <c r="B5407" s="1" t="str">
        <f>"Neil Fox"</f>
        <v>Neil Fox</v>
      </c>
      <c r="C5407" s="1" t="s">
        <v>26862</v>
      </c>
      <c r="F5407" s="1" t="s">
        <v>198</v>
      </c>
      <c r="H5407" s="1" t="s">
        <v>19560</v>
      </c>
      <c r="I5407" s="1" t="s">
        <v>5</v>
      </c>
      <c r="J5407" s="1" t="s">
        <v>67</v>
      </c>
      <c r="K5407" s="1" t="s">
        <v>24</v>
      </c>
      <c r="M5407" s="2">
        <v>42712</v>
      </c>
      <c r="N5407" s="1" t="s">
        <v>8</v>
      </c>
      <c r="O5407" s="1" t="s">
        <v>68</v>
      </c>
    </row>
    <row r="5408" spans="1:15" ht="28.8" x14ac:dyDescent="0.3">
      <c r="A5408" s="1" t="s">
        <v>26863</v>
      </c>
      <c r="B5408" s="1" t="str">
        <f>"Dean Jones Dean Jones Construction"</f>
        <v>Dean Jones Dean Jones Construction</v>
      </c>
      <c r="C5408" s="1" t="s">
        <v>26864</v>
      </c>
      <c r="F5408" s="1" t="s">
        <v>5645</v>
      </c>
      <c r="H5408" s="1" t="s">
        <v>26865</v>
      </c>
      <c r="I5408" s="1" t="s">
        <v>5</v>
      </c>
      <c r="J5408" s="1" t="s">
        <v>6</v>
      </c>
      <c r="K5408" s="1" t="s">
        <v>24</v>
      </c>
      <c r="M5408" s="2">
        <v>42712</v>
      </c>
      <c r="N5408" s="1" t="s">
        <v>8</v>
      </c>
      <c r="O5408" s="2">
        <v>43807</v>
      </c>
    </row>
    <row r="5409" spans="1:15" ht="28.8" x14ac:dyDescent="0.3">
      <c r="A5409" s="1" t="s">
        <v>13682</v>
      </c>
      <c r="B5409" s="1" t="str">
        <f>"Rowlands Contracting Ltd"</f>
        <v>Rowlands Contracting Ltd</v>
      </c>
      <c r="C5409" s="1" t="s">
        <v>13683</v>
      </c>
      <c r="D5409" s="1" t="s">
        <v>8016</v>
      </c>
      <c r="F5409" s="1" t="s">
        <v>607</v>
      </c>
      <c r="H5409" s="1" t="s">
        <v>13684</v>
      </c>
      <c r="I5409" s="1" t="s">
        <v>19</v>
      </c>
      <c r="J5409" s="1" t="s">
        <v>6</v>
      </c>
      <c r="K5409" s="1" t="s">
        <v>24</v>
      </c>
      <c r="L5409" s="1">
        <v>8617155</v>
      </c>
      <c r="M5409" s="2">
        <v>42711</v>
      </c>
      <c r="N5409" s="1" t="s">
        <v>8</v>
      </c>
      <c r="O5409" s="2">
        <v>43806</v>
      </c>
    </row>
    <row r="5410" spans="1:15" ht="43.2" x14ac:dyDescent="0.3">
      <c r="A5410" s="1" t="s">
        <v>13685</v>
      </c>
      <c r="B5410" s="1" t="str">
        <f>"The carpet shop"</f>
        <v>The carpet shop</v>
      </c>
      <c r="C5410" s="1" t="s">
        <v>13686</v>
      </c>
      <c r="F5410" s="1" t="s">
        <v>42</v>
      </c>
      <c r="H5410" s="1" t="s">
        <v>13687</v>
      </c>
      <c r="I5410" s="1" t="s">
        <v>125</v>
      </c>
      <c r="J5410" s="1" t="s">
        <v>67</v>
      </c>
      <c r="K5410" s="1" t="s">
        <v>14</v>
      </c>
      <c r="M5410" s="2">
        <v>42711</v>
      </c>
      <c r="N5410" s="1" t="s">
        <v>8</v>
      </c>
      <c r="O5410" s="1" t="s">
        <v>68</v>
      </c>
    </row>
    <row r="5411" spans="1:15" ht="43.2" x14ac:dyDescent="0.3">
      <c r="A5411" s="1" t="s">
        <v>13688</v>
      </c>
      <c r="B5411" s="1" t="str">
        <f>"south wales service centre"</f>
        <v>south wales service centre</v>
      </c>
      <c r="C5411" s="1" t="s">
        <v>13689</v>
      </c>
      <c r="D5411" s="1" t="s">
        <v>13690</v>
      </c>
      <c r="E5411" s="1" t="s">
        <v>1839</v>
      </c>
      <c r="F5411" s="1" t="s">
        <v>103</v>
      </c>
      <c r="H5411" s="1" t="s">
        <v>13691</v>
      </c>
      <c r="I5411" s="1" t="s">
        <v>19</v>
      </c>
      <c r="J5411" s="1" t="s">
        <v>67</v>
      </c>
      <c r="K5411" s="1" t="s">
        <v>14</v>
      </c>
      <c r="M5411" s="2">
        <v>42711</v>
      </c>
      <c r="N5411" s="1" t="s">
        <v>8</v>
      </c>
      <c r="O5411" s="1" t="s">
        <v>68</v>
      </c>
    </row>
    <row r="5412" spans="1:15" ht="28.8" x14ac:dyDescent="0.3">
      <c r="A5412" s="1" t="s">
        <v>13692</v>
      </c>
      <c r="B5412" s="1" t="str">
        <f>"Universal poultry wholesale ltd"</f>
        <v>Universal poultry wholesale ltd</v>
      </c>
      <c r="C5412" s="1" t="s">
        <v>13693</v>
      </c>
      <c r="F5412" s="1" t="s">
        <v>123</v>
      </c>
      <c r="H5412" s="1" t="s">
        <v>13694</v>
      </c>
      <c r="I5412" s="1" t="s">
        <v>19</v>
      </c>
      <c r="J5412" s="1" t="s">
        <v>6</v>
      </c>
      <c r="K5412" s="1" t="s">
        <v>24</v>
      </c>
      <c r="L5412" s="1">
        <v>7887285</v>
      </c>
      <c r="M5412" s="2">
        <v>42711</v>
      </c>
      <c r="N5412" s="1" t="s">
        <v>8</v>
      </c>
      <c r="O5412" s="2">
        <v>43806</v>
      </c>
    </row>
    <row r="5413" spans="1:15" ht="28.8" x14ac:dyDescent="0.3">
      <c r="A5413" s="1" t="s">
        <v>13695</v>
      </c>
      <c r="B5413" s="1" t="str">
        <f>"P&amp;P LANDSCAPING (WALES) LTD"</f>
        <v>P&amp;P LANDSCAPING (WALES) LTD</v>
      </c>
      <c r="C5413" s="1" t="s">
        <v>13696</v>
      </c>
      <c r="F5413" s="1" t="s">
        <v>27</v>
      </c>
      <c r="H5413" s="1" t="s">
        <v>13697</v>
      </c>
      <c r="I5413" s="1" t="s">
        <v>19</v>
      </c>
      <c r="J5413" s="1" t="s">
        <v>6</v>
      </c>
      <c r="K5413" s="1" t="s">
        <v>24</v>
      </c>
      <c r="L5413" s="1">
        <v>6960345</v>
      </c>
      <c r="M5413" s="2">
        <v>42711</v>
      </c>
      <c r="N5413" s="1" t="s">
        <v>8</v>
      </c>
      <c r="O5413" s="2">
        <v>43806</v>
      </c>
    </row>
    <row r="5414" spans="1:15" ht="43.2" x14ac:dyDescent="0.3">
      <c r="A5414" s="1" t="s">
        <v>13698</v>
      </c>
      <c r="B5414" s="1" t="str">
        <f>"TREEWORKS (WEST WALES) LTD"</f>
        <v>TREEWORKS (WEST WALES) LTD</v>
      </c>
      <c r="C5414" s="1" t="s">
        <v>13699</v>
      </c>
      <c r="F5414" s="1" t="s">
        <v>438</v>
      </c>
      <c r="H5414" s="1" t="s">
        <v>13700</v>
      </c>
      <c r="I5414" s="1" t="s">
        <v>19</v>
      </c>
      <c r="J5414" s="1" t="s">
        <v>67</v>
      </c>
      <c r="K5414" s="1" t="s">
        <v>24</v>
      </c>
      <c r="L5414" s="1">
        <v>4619764</v>
      </c>
      <c r="M5414" s="2">
        <v>42711</v>
      </c>
      <c r="N5414" s="1" t="s">
        <v>8</v>
      </c>
      <c r="O5414" s="1" t="s">
        <v>68</v>
      </c>
    </row>
    <row r="5415" spans="1:15" ht="43.2" x14ac:dyDescent="0.3">
      <c r="A5415" s="1" t="s">
        <v>13701</v>
      </c>
      <c r="B5415" s="1" t="str">
        <f>"Vaughans Radio Ltd"</f>
        <v>Vaughans Radio Ltd</v>
      </c>
      <c r="C5415" s="1" t="s">
        <v>13702</v>
      </c>
      <c r="F5415" s="1" t="s">
        <v>42</v>
      </c>
      <c r="H5415" s="1" t="s">
        <v>9108</v>
      </c>
      <c r="I5415" s="1" t="s">
        <v>19</v>
      </c>
      <c r="J5415" s="1" t="s">
        <v>67</v>
      </c>
      <c r="K5415" s="1" t="s">
        <v>14</v>
      </c>
      <c r="M5415" s="2">
        <v>42711</v>
      </c>
      <c r="N5415" s="1" t="s">
        <v>8</v>
      </c>
      <c r="O5415" s="1" t="s">
        <v>68</v>
      </c>
    </row>
    <row r="5416" spans="1:15" ht="43.2" x14ac:dyDescent="0.3">
      <c r="A5416" s="1" t="s">
        <v>13703</v>
      </c>
      <c r="B5416" s="1" t="str">
        <f>"Vaughans Radio Ltd"</f>
        <v>Vaughans Radio Ltd</v>
      </c>
      <c r="C5416" s="1" t="s">
        <v>13704</v>
      </c>
      <c r="F5416" s="1" t="s">
        <v>37</v>
      </c>
      <c r="H5416" s="1" t="s">
        <v>13705</v>
      </c>
      <c r="I5416" s="1" t="s">
        <v>19</v>
      </c>
      <c r="J5416" s="1" t="s">
        <v>67</v>
      </c>
      <c r="K5416" s="1" t="s">
        <v>14</v>
      </c>
      <c r="M5416" s="2">
        <v>42711</v>
      </c>
      <c r="N5416" s="1" t="s">
        <v>8</v>
      </c>
      <c r="O5416" s="1" t="s">
        <v>68</v>
      </c>
    </row>
    <row r="5417" spans="1:15" ht="43.2" x14ac:dyDescent="0.3">
      <c r="A5417" s="1" t="s">
        <v>13706</v>
      </c>
      <c r="B5417" s="1" t="str">
        <f>"Vaughans Radio Ltd"</f>
        <v>Vaughans Radio Ltd</v>
      </c>
      <c r="C5417" s="1" t="s">
        <v>13707</v>
      </c>
      <c r="F5417" s="1" t="s">
        <v>96</v>
      </c>
      <c r="H5417" s="1" t="s">
        <v>13708</v>
      </c>
      <c r="I5417" s="1" t="s">
        <v>19</v>
      </c>
      <c r="J5417" s="1" t="s">
        <v>67</v>
      </c>
      <c r="K5417" s="1" t="s">
        <v>14</v>
      </c>
      <c r="M5417" s="2">
        <v>42711</v>
      </c>
      <c r="N5417" s="1" t="s">
        <v>8</v>
      </c>
      <c r="O5417" s="1" t="s">
        <v>68</v>
      </c>
    </row>
    <row r="5418" spans="1:15" ht="43.2" x14ac:dyDescent="0.3">
      <c r="A5418" s="1" t="s">
        <v>13709</v>
      </c>
      <c r="B5418" s="1" t="str">
        <f>"Vaughans Radio Ltd"</f>
        <v>Vaughans Radio Ltd</v>
      </c>
      <c r="C5418" s="1" t="s">
        <v>13710</v>
      </c>
      <c r="D5418" s="1" t="s">
        <v>437</v>
      </c>
      <c r="F5418" s="1" t="s">
        <v>438</v>
      </c>
      <c r="H5418" s="1" t="s">
        <v>439</v>
      </c>
      <c r="I5418" s="1" t="s">
        <v>19</v>
      </c>
      <c r="J5418" s="1" t="s">
        <v>67</v>
      </c>
      <c r="K5418" s="1" t="s">
        <v>14</v>
      </c>
      <c r="M5418" s="2">
        <v>42711</v>
      </c>
      <c r="N5418" s="1" t="s">
        <v>8</v>
      </c>
      <c r="O5418" s="1" t="s">
        <v>68</v>
      </c>
    </row>
    <row r="5419" spans="1:15" ht="43.2" x14ac:dyDescent="0.3">
      <c r="A5419" s="1" t="s">
        <v>13711</v>
      </c>
      <c r="B5419" s="1" t="str">
        <f>"Vaughans Radio Ltd"</f>
        <v>Vaughans Radio Ltd</v>
      </c>
      <c r="C5419" s="1" t="s">
        <v>13712</v>
      </c>
      <c r="D5419" s="1" t="s">
        <v>13713</v>
      </c>
      <c r="F5419" s="1" t="s">
        <v>123</v>
      </c>
      <c r="H5419" s="1" t="s">
        <v>3488</v>
      </c>
      <c r="I5419" s="1" t="s">
        <v>19</v>
      </c>
      <c r="J5419" s="1" t="s">
        <v>67</v>
      </c>
      <c r="K5419" s="1" t="s">
        <v>14</v>
      </c>
      <c r="M5419" s="2">
        <v>42711</v>
      </c>
      <c r="N5419" s="1" t="s">
        <v>8</v>
      </c>
      <c r="O5419" s="1" t="s">
        <v>68</v>
      </c>
    </row>
    <row r="5420" spans="1:15" ht="43.2" x14ac:dyDescent="0.3">
      <c r="A5420" s="1" t="s">
        <v>26150</v>
      </c>
      <c r="B5420" s="1" t="str">
        <f>"Michael  Chapman "</f>
        <v xml:space="preserve">Michael  Chapman </v>
      </c>
      <c r="C5420" s="1" t="s">
        <v>26151</v>
      </c>
      <c r="F5420" s="1" t="s">
        <v>26152</v>
      </c>
      <c r="H5420" s="1" t="s">
        <v>26153</v>
      </c>
      <c r="I5420" s="1" t="s">
        <v>5</v>
      </c>
      <c r="J5420" s="1" t="s">
        <v>67</v>
      </c>
      <c r="K5420" s="1" t="s">
        <v>14</v>
      </c>
      <c r="M5420" s="2">
        <v>42711</v>
      </c>
      <c r="N5420" s="1" t="s">
        <v>8</v>
      </c>
      <c r="O5420" s="1" t="s">
        <v>68</v>
      </c>
    </row>
    <row r="5421" spans="1:15" ht="28.8" x14ac:dyDescent="0.3">
      <c r="A5421" s="1" t="s">
        <v>26154</v>
      </c>
      <c r="B5421" s="1" t="str">
        <f>"Alaw Hughes Grab Hire Bangor"</f>
        <v>Alaw Hughes Grab Hire Bangor</v>
      </c>
      <c r="C5421" s="1" t="s">
        <v>26155</v>
      </c>
      <c r="F5421" s="1" t="s">
        <v>1321</v>
      </c>
      <c r="H5421" s="1" t="s">
        <v>26156</v>
      </c>
      <c r="I5421" s="1" t="s">
        <v>5</v>
      </c>
      <c r="J5421" s="1" t="s">
        <v>6</v>
      </c>
      <c r="K5421" s="1" t="s">
        <v>24</v>
      </c>
      <c r="M5421" s="2">
        <v>42711</v>
      </c>
      <c r="N5421" s="1" t="s">
        <v>8</v>
      </c>
      <c r="O5421" s="2">
        <v>43806</v>
      </c>
    </row>
    <row r="5422" spans="1:15" ht="28.8" x14ac:dyDescent="0.3">
      <c r="A5422" s="1" t="s">
        <v>26157</v>
      </c>
      <c r="B5422" s="1" t="str">
        <f>"Martin Evans property doctor"</f>
        <v>Martin Evans property doctor</v>
      </c>
      <c r="C5422" s="1" t="s">
        <v>26158</v>
      </c>
      <c r="F5422" s="1" t="s">
        <v>1351</v>
      </c>
      <c r="H5422" s="1" t="s">
        <v>26159</v>
      </c>
      <c r="I5422" s="1" t="s">
        <v>5</v>
      </c>
      <c r="J5422" s="1" t="s">
        <v>6</v>
      </c>
      <c r="K5422" s="1" t="s">
        <v>24</v>
      </c>
      <c r="M5422" s="2">
        <v>42711</v>
      </c>
      <c r="N5422" s="1" t="s">
        <v>8</v>
      </c>
      <c r="O5422" s="2">
        <v>43806</v>
      </c>
    </row>
    <row r="5423" spans="1:15" ht="28.8" x14ac:dyDescent="0.3">
      <c r="A5423" s="1" t="s">
        <v>12561</v>
      </c>
      <c r="B5423" s="1" t="str">
        <f>"J PARRY &amp; HUGHES LTD"</f>
        <v>J PARRY &amp; HUGHES LTD</v>
      </c>
      <c r="C5423" s="1" t="s">
        <v>12562</v>
      </c>
      <c r="F5423" s="1" t="s">
        <v>2757</v>
      </c>
      <c r="H5423" s="1" t="s">
        <v>12563</v>
      </c>
      <c r="I5423" s="1" t="s">
        <v>19</v>
      </c>
      <c r="J5423" s="1" t="s">
        <v>6</v>
      </c>
      <c r="K5423" s="1" t="s">
        <v>24</v>
      </c>
      <c r="L5423" s="1">
        <v>756858</v>
      </c>
      <c r="M5423" s="2">
        <v>42710</v>
      </c>
      <c r="N5423" s="1" t="s">
        <v>8</v>
      </c>
      <c r="O5423" s="2">
        <v>43805</v>
      </c>
    </row>
    <row r="5424" spans="1:15" ht="43.2" x14ac:dyDescent="0.3">
      <c r="A5424" s="1" t="s">
        <v>12564</v>
      </c>
      <c r="B5424" s="1" t="str">
        <f>"Newport City Council"</f>
        <v>Newport City Council</v>
      </c>
      <c r="C5424" s="1" t="s">
        <v>12565</v>
      </c>
      <c r="F5424" s="1" t="s">
        <v>91</v>
      </c>
      <c r="H5424" s="1" t="s">
        <v>1298</v>
      </c>
      <c r="I5424" s="1" t="s">
        <v>188</v>
      </c>
      <c r="J5424" s="1" t="s">
        <v>67</v>
      </c>
      <c r="K5424" s="1" t="s">
        <v>24</v>
      </c>
      <c r="M5424" s="2">
        <v>42710</v>
      </c>
      <c r="N5424" s="1" t="s">
        <v>8</v>
      </c>
      <c r="O5424" s="1" t="s">
        <v>68</v>
      </c>
    </row>
    <row r="5425" spans="1:15" ht="43.2" x14ac:dyDescent="0.3">
      <c r="A5425" s="1" t="s">
        <v>12566</v>
      </c>
      <c r="B5425" s="1" t="str">
        <f>"cartrefi conwy"</f>
        <v>cartrefi conwy</v>
      </c>
      <c r="C5425" s="1" t="s">
        <v>12567</v>
      </c>
      <c r="D5425" s="1" t="s">
        <v>11080</v>
      </c>
      <c r="F5425" s="1" t="s">
        <v>374</v>
      </c>
      <c r="H5425" s="1" t="s">
        <v>11081</v>
      </c>
      <c r="I5425" s="1" t="s">
        <v>1872</v>
      </c>
      <c r="J5425" s="1" t="s">
        <v>67</v>
      </c>
      <c r="K5425" s="1" t="s">
        <v>14</v>
      </c>
      <c r="M5425" s="2">
        <v>42710</v>
      </c>
      <c r="N5425" s="1" t="s">
        <v>8</v>
      </c>
      <c r="O5425" s="1" t="s">
        <v>68</v>
      </c>
    </row>
    <row r="5426" spans="1:15" ht="28.8" x14ac:dyDescent="0.3">
      <c r="A5426" s="1" t="s">
        <v>12568</v>
      </c>
      <c r="B5426" s="1" t="str">
        <f>"Just Rails Ltd."</f>
        <v>Just Rails Ltd.</v>
      </c>
      <c r="C5426" s="1" t="s">
        <v>12569</v>
      </c>
      <c r="F5426" s="1" t="s">
        <v>27</v>
      </c>
      <c r="H5426" s="1" t="s">
        <v>12570</v>
      </c>
      <c r="I5426" s="1" t="s">
        <v>19</v>
      </c>
      <c r="J5426" s="1" t="s">
        <v>6</v>
      </c>
      <c r="K5426" s="1" t="s">
        <v>24</v>
      </c>
      <c r="L5426" s="1">
        <v>4713689</v>
      </c>
      <c r="M5426" s="2">
        <v>42710</v>
      </c>
      <c r="N5426" s="1" t="s">
        <v>8</v>
      </c>
      <c r="O5426" s="2">
        <v>43805</v>
      </c>
    </row>
    <row r="5427" spans="1:15" ht="43.2" x14ac:dyDescent="0.3">
      <c r="A5427" s="1" t="s">
        <v>12571</v>
      </c>
      <c r="B5427" s="1" t="str">
        <f>"Owen Brothers Contractors Ltd."</f>
        <v>Owen Brothers Contractors Ltd.</v>
      </c>
      <c r="C5427" s="1" t="s">
        <v>12572</v>
      </c>
      <c r="F5427" s="1" t="s">
        <v>1366</v>
      </c>
      <c r="H5427" s="1" t="s">
        <v>12573</v>
      </c>
      <c r="I5427" s="1" t="s">
        <v>19</v>
      </c>
      <c r="J5427" s="1" t="s">
        <v>67</v>
      </c>
      <c r="K5427" s="1" t="s">
        <v>24</v>
      </c>
      <c r="L5427" s="1">
        <v>4623278</v>
      </c>
      <c r="M5427" s="2">
        <v>42710</v>
      </c>
      <c r="N5427" s="1" t="s">
        <v>8</v>
      </c>
      <c r="O5427" s="1" t="s">
        <v>68</v>
      </c>
    </row>
    <row r="5428" spans="1:15" ht="28.8" x14ac:dyDescent="0.3">
      <c r="A5428" s="1" t="s">
        <v>12574</v>
      </c>
      <c r="B5428" s="1" t="str">
        <f>"David Roberts Transport Limited"</f>
        <v>David Roberts Transport Limited</v>
      </c>
      <c r="C5428" s="1" t="s">
        <v>12575</v>
      </c>
      <c r="F5428" s="1" t="s">
        <v>2504</v>
      </c>
      <c r="H5428" s="1" t="s">
        <v>7593</v>
      </c>
      <c r="I5428" s="1" t="s">
        <v>19</v>
      </c>
      <c r="J5428" s="1" t="s">
        <v>6</v>
      </c>
      <c r="K5428" s="1" t="s">
        <v>34</v>
      </c>
      <c r="L5428" s="1">
        <v>5344249</v>
      </c>
      <c r="M5428" s="2">
        <v>42710</v>
      </c>
      <c r="N5428" s="1" t="s">
        <v>8</v>
      </c>
      <c r="O5428" s="2">
        <v>43805</v>
      </c>
    </row>
    <row r="5429" spans="1:15" x14ac:dyDescent="0.3">
      <c r="A5429" s="1" t="s">
        <v>12576</v>
      </c>
      <c r="B5429" s="1" t="str">
        <f>"Get Carter UK 365 Ltd"</f>
        <v>Get Carter UK 365 Ltd</v>
      </c>
      <c r="C5429" s="1" t="s">
        <v>12577</v>
      </c>
      <c r="F5429" s="1" t="s">
        <v>4731</v>
      </c>
      <c r="H5429" s="1" t="s">
        <v>12578</v>
      </c>
      <c r="I5429" s="1" t="s">
        <v>19</v>
      </c>
      <c r="J5429" s="1" t="s">
        <v>6</v>
      </c>
      <c r="K5429" s="1" t="s">
        <v>24</v>
      </c>
      <c r="L5429" s="1">
        <v>9587546</v>
      </c>
      <c r="M5429" s="2">
        <v>42710</v>
      </c>
      <c r="N5429" s="1" t="s">
        <v>8</v>
      </c>
      <c r="O5429" s="2">
        <v>43805</v>
      </c>
    </row>
    <row r="5430" spans="1:15" ht="43.2" x14ac:dyDescent="0.3">
      <c r="A5430" s="1" t="s">
        <v>25419</v>
      </c>
      <c r="B5430" s="1" t="str">
        <f>"Antony  Jones"</f>
        <v>Antony  Jones</v>
      </c>
      <c r="C5430" s="1" t="s">
        <v>25420</v>
      </c>
      <c r="D5430" s="1" t="s">
        <v>12893</v>
      </c>
      <c r="F5430" s="1" t="s">
        <v>198</v>
      </c>
      <c r="H5430" s="1" t="s">
        <v>25421</v>
      </c>
      <c r="I5430" s="1" t="s">
        <v>5</v>
      </c>
      <c r="J5430" s="1" t="s">
        <v>67</v>
      </c>
      <c r="K5430" s="1" t="s">
        <v>14</v>
      </c>
      <c r="M5430" s="2">
        <v>42710</v>
      </c>
      <c r="N5430" s="1" t="s">
        <v>8</v>
      </c>
      <c r="O5430" s="1" t="s">
        <v>68</v>
      </c>
    </row>
    <row r="5431" spans="1:15" ht="43.2" x14ac:dyDescent="0.3">
      <c r="A5431" s="1" t="s">
        <v>25422</v>
      </c>
      <c r="B5431" s="1" t="str">
        <f>"jon darcy"</f>
        <v>jon darcy</v>
      </c>
      <c r="C5431" s="1" t="s">
        <v>25423</v>
      </c>
      <c r="F5431" s="1" t="s">
        <v>380</v>
      </c>
      <c r="H5431" s="1" t="s">
        <v>25424</v>
      </c>
      <c r="I5431" s="1" t="s">
        <v>5</v>
      </c>
      <c r="J5431" s="1" t="s">
        <v>67</v>
      </c>
      <c r="K5431" s="1" t="s">
        <v>34</v>
      </c>
      <c r="M5431" s="2">
        <v>42710</v>
      </c>
      <c r="N5431" s="1" t="s">
        <v>8</v>
      </c>
      <c r="O5431" s="1" t="s">
        <v>68</v>
      </c>
    </row>
    <row r="5432" spans="1:15" x14ac:dyDescent="0.3">
      <c r="A5432" s="1" t="s">
        <v>25425</v>
      </c>
      <c r="B5432" s="1" t="str">
        <f>"jon darcy jon darcy"</f>
        <v>jon darcy jon darcy</v>
      </c>
      <c r="C5432" s="1" t="s">
        <v>25423</v>
      </c>
      <c r="F5432" s="1" t="s">
        <v>380</v>
      </c>
      <c r="H5432" s="1" t="s">
        <v>25424</v>
      </c>
      <c r="I5432" s="1" t="s">
        <v>5</v>
      </c>
      <c r="J5432" s="1" t="s">
        <v>6</v>
      </c>
      <c r="K5432" s="1" t="s">
        <v>24</v>
      </c>
      <c r="M5432" s="2">
        <v>42710</v>
      </c>
      <c r="N5432" s="1" t="s">
        <v>8</v>
      </c>
      <c r="O5432" s="2">
        <v>43805</v>
      </c>
    </row>
    <row r="5433" spans="1:15" ht="43.2" x14ac:dyDescent="0.3">
      <c r="A5433" s="1" t="s">
        <v>26147</v>
      </c>
      <c r="B5433" s="1" t="str">
        <f>"Philip Roberts Philip Lee Roberts"</f>
        <v>Philip Roberts Philip Lee Roberts</v>
      </c>
      <c r="C5433" s="1" t="s">
        <v>26148</v>
      </c>
      <c r="F5433" s="1" t="s">
        <v>198</v>
      </c>
      <c r="H5433" s="1" t="s">
        <v>26149</v>
      </c>
      <c r="I5433" s="1" t="s">
        <v>5</v>
      </c>
      <c r="J5433" s="1" t="s">
        <v>67</v>
      </c>
      <c r="K5433" s="1" t="s">
        <v>24</v>
      </c>
      <c r="M5433" s="2">
        <v>42710</v>
      </c>
      <c r="N5433" s="1" t="s">
        <v>8</v>
      </c>
      <c r="O5433" s="1" t="s">
        <v>68</v>
      </c>
    </row>
    <row r="5434" spans="1:15" x14ac:dyDescent="0.3">
      <c r="A5434" s="1" t="s">
        <v>11658</v>
      </c>
      <c r="B5434" s="1" t="str">
        <f>"Tom &amp; Penny Ltd."</f>
        <v>Tom &amp; Penny Ltd.</v>
      </c>
      <c r="C5434" s="1" t="s">
        <v>11659</v>
      </c>
      <c r="D5434" s="1" t="s">
        <v>10090</v>
      </c>
      <c r="F5434" s="1" t="s">
        <v>4645</v>
      </c>
      <c r="H5434" s="1" t="s">
        <v>11660</v>
      </c>
      <c r="I5434" s="1" t="s">
        <v>19</v>
      </c>
      <c r="J5434" s="1" t="s">
        <v>6</v>
      </c>
      <c r="K5434" s="1" t="s">
        <v>24</v>
      </c>
      <c r="L5434" s="1">
        <v>4045906</v>
      </c>
      <c r="M5434" s="2">
        <v>42709</v>
      </c>
      <c r="N5434" s="1" t="s">
        <v>8</v>
      </c>
      <c r="O5434" s="2">
        <v>43804</v>
      </c>
    </row>
    <row r="5435" spans="1:15" ht="28.8" x14ac:dyDescent="0.3">
      <c r="A5435" s="1" t="s">
        <v>11661</v>
      </c>
      <c r="B5435" s="1" t="str">
        <f>"Mac Home Improvements Ltd."</f>
        <v>Mac Home Improvements Ltd.</v>
      </c>
      <c r="C5435" s="1" t="s">
        <v>11662</v>
      </c>
      <c r="F5435" s="1" t="s">
        <v>27</v>
      </c>
      <c r="H5435" s="1" t="s">
        <v>11663</v>
      </c>
      <c r="I5435" s="1" t="s">
        <v>19</v>
      </c>
      <c r="J5435" s="1" t="s">
        <v>6</v>
      </c>
      <c r="K5435" s="1" t="s">
        <v>24</v>
      </c>
      <c r="L5435" s="1">
        <v>3685102</v>
      </c>
      <c r="M5435" s="2">
        <v>42709</v>
      </c>
      <c r="N5435" s="1" t="s">
        <v>8</v>
      </c>
      <c r="O5435" s="2">
        <v>43804</v>
      </c>
    </row>
    <row r="5436" spans="1:15" ht="28.8" x14ac:dyDescent="0.3">
      <c r="A5436" s="1" t="s">
        <v>11664</v>
      </c>
      <c r="B5436" s="1" t="str">
        <f>"RECYCLED SOLUTIONS LIMITED"</f>
        <v>RECYCLED SOLUTIONS LIMITED</v>
      </c>
      <c r="C5436" s="1" t="s">
        <v>11665</v>
      </c>
      <c r="D5436" s="1" t="s">
        <v>11666</v>
      </c>
      <c r="F5436" s="1" t="s">
        <v>380</v>
      </c>
      <c r="H5436" s="1" t="s">
        <v>11667</v>
      </c>
      <c r="I5436" s="1" t="s">
        <v>19</v>
      </c>
      <c r="J5436" s="1" t="s">
        <v>6</v>
      </c>
      <c r="K5436" s="1" t="s">
        <v>34</v>
      </c>
      <c r="L5436" s="1">
        <v>10510441</v>
      </c>
      <c r="M5436" s="2">
        <v>42709</v>
      </c>
      <c r="N5436" s="1" t="s">
        <v>8</v>
      </c>
      <c r="O5436" s="2">
        <v>43804</v>
      </c>
    </row>
    <row r="5437" spans="1:15" ht="43.2" x14ac:dyDescent="0.3">
      <c r="A5437" s="1" t="s">
        <v>11668</v>
      </c>
      <c r="B5437" s="1" t="str">
        <f>"VAUGHANS RADIO LTD"</f>
        <v>VAUGHANS RADIO LTD</v>
      </c>
      <c r="C5437" s="1" t="s">
        <v>11669</v>
      </c>
      <c r="F5437" s="1" t="s">
        <v>438</v>
      </c>
      <c r="H5437" s="1" t="s">
        <v>11670</v>
      </c>
      <c r="I5437" s="1" t="s">
        <v>19</v>
      </c>
      <c r="J5437" s="1" t="s">
        <v>67</v>
      </c>
      <c r="K5437" s="1" t="s">
        <v>24</v>
      </c>
      <c r="L5437" s="1">
        <v>3743951</v>
      </c>
      <c r="M5437" s="2">
        <v>42709</v>
      </c>
      <c r="N5437" s="1" t="s">
        <v>8</v>
      </c>
      <c r="O5437" s="1" t="s">
        <v>68</v>
      </c>
    </row>
    <row r="5438" spans="1:15" ht="28.8" x14ac:dyDescent="0.3">
      <c r="A5438" s="1" t="s">
        <v>12555</v>
      </c>
      <c r="B5438" s="1" t="str">
        <f>"BALOGA DRIVE &amp; RECOVERY LTD"</f>
        <v>BALOGA DRIVE &amp; RECOVERY LTD</v>
      </c>
      <c r="C5438" s="1" t="s">
        <v>12556</v>
      </c>
      <c r="F5438" s="1" t="s">
        <v>5110</v>
      </c>
      <c r="H5438" s="1" t="s">
        <v>12557</v>
      </c>
      <c r="I5438" s="1" t="s">
        <v>19</v>
      </c>
      <c r="J5438" s="1" t="s">
        <v>6</v>
      </c>
      <c r="K5438" s="1" t="s">
        <v>24</v>
      </c>
      <c r="L5438" s="1">
        <v>24</v>
      </c>
      <c r="M5438" s="2">
        <v>42709</v>
      </c>
      <c r="N5438" s="1" t="s">
        <v>8</v>
      </c>
      <c r="O5438" s="2">
        <v>43804</v>
      </c>
    </row>
    <row r="5439" spans="1:15" ht="28.8" x14ac:dyDescent="0.3">
      <c r="A5439" s="1" t="s">
        <v>12558</v>
      </c>
      <c r="B5439" s="1" t="str">
        <f>"Gareth Lane Plumbing &amp; Gas Services"</f>
        <v>Gareth Lane Plumbing &amp; Gas Services</v>
      </c>
      <c r="C5439" s="1" t="s">
        <v>12559</v>
      </c>
      <c r="F5439" s="1" t="s">
        <v>1097</v>
      </c>
      <c r="H5439" s="1" t="s">
        <v>12560</v>
      </c>
      <c r="I5439" s="1" t="s">
        <v>19</v>
      </c>
      <c r="J5439" s="1" t="s">
        <v>6</v>
      </c>
      <c r="K5439" s="1" t="s">
        <v>34</v>
      </c>
      <c r="L5439" s="1">
        <v>9932611</v>
      </c>
      <c r="M5439" s="2">
        <v>42709</v>
      </c>
      <c r="N5439" s="1" t="s">
        <v>8</v>
      </c>
      <c r="O5439" s="2">
        <v>43804</v>
      </c>
    </row>
    <row r="5440" spans="1:15" ht="43.2" x14ac:dyDescent="0.3">
      <c r="A5440" s="1" t="s">
        <v>24588</v>
      </c>
      <c r="B5440" s="1" t="str">
        <f>"jose ferdi  tokay "</f>
        <v xml:space="preserve">jose ferdi  tokay </v>
      </c>
      <c r="C5440" s="1" t="s">
        <v>24589</v>
      </c>
      <c r="D5440" s="1" t="s">
        <v>24590</v>
      </c>
      <c r="F5440" s="1" t="s">
        <v>24591</v>
      </c>
      <c r="H5440" s="1" t="s">
        <v>24592</v>
      </c>
      <c r="I5440" s="1" t="s">
        <v>5</v>
      </c>
      <c r="J5440" s="1" t="s">
        <v>67</v>
      </c>
      <c r="K5440" s="1" t="s">
        <v>14</v>
      </c>
      <c r="M5440" s="2">
        <v>42709</v>
      </c>
      <c r="N5440" s="1" t="s">
        <v>8</v>
      </c>
      <c r="O5440" s="1" t="s">
        <v>68</v>
      </c>
    </row>
    <row r="5441" spans="1:15" ht="43.2" x14ac:dyDescent="0.3">
      <c r="A5441" s="1" t="s">
        <v>24593</v>
      </c>
      <c r="B5441" s="1" t="str">
        <f>"Richard Edwards R J Edwards Agricultural Contractor"</f>
        <v>Richard Edwards R J Edwards Agricultural Contractor</v>
      </c>
      <c r="C5441" s="1" t="s">
        <v>24594</v>
      </c>
      <c r="F5441" s="1" t="s">
        <v>37</v>
      </c>
      <c r="H5441" s="1" t="s">
        <v>24595</v>
      </c>
      <c r="I5441" s="1" t="s">
        <v>5</v>
      </c>
      <c r="J5441" s="1" t="s">
        <v>6</v>
      </c>
      <c r="K5441" s="1" t="s">
        <v>24</v>
      </c>
      <c r="M5441" s="2">
        <v>42709</v>
      </c>
      <c r="N5441" s="1" t="s">
        <v>8</v>
      </c>
      <c r="O5441" s="2">
        <v>43804</v>
      </c>
    </row>
    <row r="5442" spans="1:15" ht="43.2" x14ac:dyDescent="0.3">
      <c r="A5442" s="1" t="s">
        <v>24596</v>
      </c>
      <c r="B5442" s="1" t="str">
        <f>"Mick Butler"</f>
        <v>Mick Butler</v>
      </c>
      <c r="C5442" s="1" t="s">
        <v>24597</v>
      </c>
      <c r="F5442" s="1" t="s">
        <v>96</v>
      </c>
      <c r="H5442" s="1" t="s">
        <v>24598</v>
      </c>
      <c r="I5442" s="1" t="s">
        <v>5</v>
      </c>
      <c r="J5442" s="1" t="s">
        <v>67</v>
      </c>
      <c r="K5442" s="1" t="s">
        <v>14</v>
      </c>
      <c r="M5442" s="2">
        <v>42709</v>
      </c>
      <c r="N5442" s="1" t="s">
        <v>8</v>
      </c>
      <c r="O5442" s="1" t="s">
        <v>68</v>
      </c>
    </row>
    <row r="5443" spans="1:15" ht="43.2" x14ac:dyDescent="0.3">
      <c r="A5443" s="1" t="s">
        <v>24599</v>
      </c>
      <c r="B5443" s="1" t="str">
        <f>"GERAINT HOPWOOD A1 Computer Recycling Wales"</f>
        <v>GERAINT HOPWOOD A1 Computer Recycling Wales</v>
      </c>
      <c r="C5443" s="1" t="s">
        <v>24600</v>
      </c>
      <c r="F5443" s="1" t="s">
        <v>198</v>
      </c>
      <c r="H5443" s="1" t="s">
        <v>24601</v>
      </c>
      <c r="I5443" s="1" t="s">
        <v>5</v>
      </c>
      <c r="J5443" s="1" t="s">
        <v>6</v>
      </c>
      <c r="K5443" s="1" t="s">
        <v>34</v>
      </c>
      <c r="M5443" s="2">
        <v>42709</v>
      </c>
      <c r="N5443" s="1" t="s">
        <v>8</v>
      </c>
      <c r="O5443" s="2">
        <v>43804</v>
      </c>
    </row>
    <row r="5444" spans="1:15" ht="28.8" x14ac:dyDescent="0.3">
      <c r="A5444" s="1" t="s">
        <v>11655</v>
      </c>
      <c r="B5444" s="1" t="str">
        <f>"H R JAMES CONSTRUCTION LTD"</f>
        <v>H R JAMES CONSTRUCTION LTD</v>
      </c>
      <c r="C5444" s="1" t="s">
        <v>11656</v>
      </c>
      <c r="F5444" s="1" t="s">
        <v>12</v>
      </c>
      <c r="H5444" s="1" t="s">
        <v>11657</v>
      </c>
      <c r="I5444" s="1" t="s">
        <v>19</v>
      </c>
      <c r="J5444" s="1" t="s">
        <v>6</v>
      </c>
      <c r="K5444" s="1" t="s">
        <v>24</v>
      </c>
      <c r="L5444" s="1">
        <v>10314190</v>
      </c>
      <c r="M5444" s="2">
        <v>42708</v>
      </c>
      <c r="N5444" s="1" t="s">
        <v>8</v>
      </c>
      <c r="O5444" s="2">
        <v>43803</v>
      </c>
    </row>
    <row r="5445" spans="1:15" x14ac:dyDescent="0.3">
      <c r="A5445" s="1" t="s">
        <v>11651</v>
      </c>
      <c r="B5445" s="1" t="str">
        <f>"11ABA LTD"</f>
        <v>11ABA LTD</v>
      </c>
      <c r="C5445" s="1" t="s">
        <v>11652</v>
      </c>
      <c r="F5445" s="1" t="s">
        <v>11653</v>
      </c>
      <c r="H5445" s="1" t="s">
        <v>11654</v>
      </c>
      <c r="I5445" s="1" t="s">
        <v>19</v>
      </c>
      <c r="J5445" s="1" t="s">
        <v>6</v>
      </c>
      <c r="K5445" s="1" t="s">
        <v>24</v>
      </c>
      <c r="L5445" s="1">
        <v>6</v>
      </c>
      <c r="M5445" s="2">
        <v>42707</v>
      </c>
      <c r="N5445" s="1" t="s">
        <v>8</v>
      </c>
      <c r="O5445" s="2">
        <v>43802</v>
      </c>
    </row>
    <row r="5446" spans="1:15" ht="43.2" x14ac:dyDescent="0.3">
      <c r="A5446" s="1" t="s">
        <v>10609</v>
      </c>
      <c r="B5446" s="1" t="str">
        <f>"Benerik Painting &amp; Decorating Services Ltd."</f>
        <v>Benerik Painting &amp; Decorating Services Ltd.</v>
      </c>
      <c r="C5446" s="1" t="s">
        <v>3710</v>
      </c>
      <c r="F5446" s="1" t="s">
        <v>1175</v>
      </c>
      <c r="H5446" s="1" t="s">
        <v>3711</v>
      </c>
      <c r="I5446" s="1" t="s">
        <v>19</v>
      </c>
      <c r="J5446" s="1" t="s">
        <v>6</v>
      </c>
      <c r="K5446" s="1" t="s">
        <v>24</v>
      </c>
      <c r="L5446" s="1">
        <v>5618193</v>
      </c>
      <c r="M5446" s="2">
        <v>42706</v>
      </c>
      <c r="N5446" s="1" t="s">
        <v>8</v>
      </c>
      <c r="O5446" s="2">
        <v>43801</v>
      </c>
    </row>
    <row r="5447" spans="1:15" x14ac:dyDescent="0.3">
      <c r="A5447" s="1" t="s">
        <v>10610</v>
      </c>
      <c r="B5447" s="1" t="str">
        <f>"C B  Refrigeration Ltd."</f>
        <v>C B  Refrigeration Ltd.</v>
      </c>
      <c r="C5447" s="1" t="s">
        <v>10611</v>
      </c>
      <c r="D5447" s="1" t="s">
        <v>10612</v>
      </c>
      <c r="F5447" s="1" t="s">
        <v>1093</v>
      </c>
      <c r="H5447" s="1" t="s">
        <v>5092</v>
      </c>
      <c r="I5447" s="1" t="s">
        <v>19</v>
      </c>
      <c r="J5447" s="1" t="s">
        <v>6</v>
      </c>
      <c r="K5447" s="1" t="s">
        <v>24</v>
      </c>
      <c r="L5447" s="1">
        <v>1917726</v>
      </c>
      <c r="M5447" s="2">
        <v>42706</v>
      </c>
      <c r="N5447" s="1" t="s">
        <v>8</v>
      </c>
      <c r="O5447" s="2">
        <v>43801</v>
      </c>
    </row>
    <row r="5448" spans="1:15" ht="28.8" x14ac:dyDescent="0.3">
      <c r="A5448" s="1" t="s">
        <v>10613</v>
      </c>
      <c r="B5448" s="1" t="str">
        <f>"Estateways Plc"</f>
        <v>Estateways Plc</v>
      </c>
      <c r="C5448" s="1" t="s">
        <v>10614</v>
      </c>
      <c r="F5448" s="1" t="s">
        <v>64</v>
      </c>
      <c r="H5448" s="1" t="s">
        <v>10615</v>
      </c>
      <c r="I5448" s="1" t="s">
        <v>19</v>
      </c>
      <c r="J5448" s="1" t="s">
        <v>6</v>
      </c>
      <c r="K5448" s="1" t="s">
        <v>24</v>
      </c>
      <c r="L5448" s="1">
        <v>202450</v>
      </c>
      <c r="M5448" s="2">
        <v>42706</v>
      </c>
      <c r="N5448" s="1" t="s">
        <v>8</v>
      </c>
      <c r="O5448" s="2">
        <v>43801</v>
      </c>
    </row>
    <row r="5449" spans="1:15" ht="28.8" x14ac:dyDescent="0.3">
      <c r="A5449" s="1" t="s">
        <v>10616</v>
      </c>
      <c r="B5449" s="1" t="str">
        <f>"R &amp; R Site Services Ltd."</f>
        <v>R &amp; R Site Services Ltd.</v>
      </c>
      <c r="C5449" s="1" t="s">
        <v>4282</v>
      </c>
      <c r="D5449" s="1" t="s">
        <v>1247</v>
      </c>
      <c r="E5449" s="1" t="s">
        <v>400</v>
      </c>
      <c r="F5449" s="1" t="s">
        <v>401</v>
      </c>
      <c r="H5449" s="1" t="s">
        <v>4283</v>
      </c>
      <c r="I5449" s="1" t="s">
        <v>19</v>
      </c>
      <c r="J5449" s="1" t="s">
        <v>6</v>
      </c>
      <c r="K5449" s="1" t="s">
        <v>34</v>
      </c>
      <c r="L5449" s="1">
        <v>4921840</v>
      </c>
      <c r="M5449" s="2">
        <v>42706</v>
      </c>
      <c r="N5449" s="1" t="s">
        <v>8</v>
      </c>
      <c r="O5449" s="2">
        <v>43801</v>
      </c>
    </row>
    <row r="5450" spans="1:15" ht="28.8" x14ac:dyDescent="0.3">
      <c r="A5450" s="1" t="s">
        <v>10617</v>
      </c>
      <c r="B5450" s="1" t="str">
        <f>"L.G.Murphy (Swansea) Ltd"</f>
        <v>L.G.Murphy (Swansea) Ltd</v>
      </c>
      <c r="C5450" s="1" t="s">
        <v>10618</v>
      </c>
      <c r="D5450" s="1" t="s">
        <v>2041</v>
      </c>
      <c r="F5450" s="1" t="s">
        <v>64</v>
      </c>
      <c r="H5450" s="1" t="s">
        <v>6339</v>
      </c>
      <c r="I5450" s="1" t="s">
        <v>19</v>
      </c>
      <c r="J5450" s="1" t="s">
        <v>6</v>
      </c>
      <c r="K5450" s="1" t="s">
        <v>1859</v>
      </c>
      <c r="L5450" s="1">
        <v>1060666</v>
      </c>
      <c r="M5450" s="2">
        <v>42706</v>
      </c>
      <c r="N5450" s="1" t="s">
        <v>8</v>
      </c>
      <c r="O5450" s="2">
        <v>43801</v>
      </c>
    </row>
    <row r="5451" spans="1:15" ht="28.8" x14ac:dyDescent="0.3">
      <c r="A5451" s="1" t="s">
        <v>10619</v>
      </c>
      <c r="B5451" s="1" t="str">
        <f>"POWER PROPERTIES &amp; SON'S LTD"</f>
        <v>POWER PROPERTIES &amp; SON'S LTD</v>
      </c>
      <c r="C5451" s="1" t="s">
        <v>10620</v>
      </c>
      <c r="F5451" s="1" t="s">
        <v>328</v>
      </c>
      <c r="H5451" s="1" t="s">
        <v>568</v>
      </c>
      <c r="I5451" s="1" t="s">
        <v>19</v>
      </c>
      <c r="J5451" s="1" t="s">
        <v>6</v>
      </c>
      <c r="K5451" s="1" t="s">
        <v>34</v>
      </c>
      <c r="L5451" s="1">
        <v>6042771</v>
      </c>
      <c r="M5451" s="2">
        <v>42706</v>
      </c>
      <c r="N5451" s="1" t="s">
        <v>8</v>
      </c>
      <c r="O5451" s="2">
        <v>43801</v>
      </c>
    </row>
    <row r="5452" spans="1:15" ht="28.8" x14ac:dyDescent="0.3">
      <c r="A5452" s="1" t="s">
        <v>23712</v>
      </c>
      <c r="B5452" s="1" t="str">
        <f>"dean price D P  Tarmacadam"</f>
        <v>dean price D P  Tarmacadam</v>
      </c>
      <c r="C5452" s="1" t="s">
        <v>23713</v>
      </c>
      <c r="F5452" s="1" t="s">
        <v>27</v>
      </c>
      <c r="H5452" s="1" t="s">
        <v>23714</v>
      </c>
      <c r="I5452" s="1" t="s">
        <v>5</v>
      </c>
      <c r="J5452" s="1" t="s">
        <v>6</v>
      </c>
      <c r="K5452" s="1" t="s">
        <v>34</v>
      </c>
      <c r="M5452" s="2">
        <v>42706</v>
      </c>
      <c r="N5452" s="1" t="s">
        <v>8</v>
      </c>
      <c r="O5452" s="2">
        <v>43801</v>
      </c>
    </row>
    <row r="5453" spans="1:15" ht="43.2" x14ac:dyDescent="0.3">
      <c r="A5453" s="1" t="s">
        <v>24585</v>
      </c>
      <c r="B5453" s="1" t="str">
        <f>"Idris Jones"</f>
        <v>Idris Jones</v>
      </c>
      <c r="C5453" s="1" t="s">
        <v>24586</v>
      </c>
      <c r="F5453" s="1" t="s">
        <v>5640</v>
      </c>
      <c r="H5453" s="1" t="s">
        <v>24587</v>
      </c>
      <c r="I5453" s="1" t="s">
        <v>5</v>
      </c>
      <c r="J5453" s="1" t="s">
        <v>67</v>
      </c>
      <c r="K5453" s="1" t="s">
        <v>24</v>
      </c>
      <c r="M5453" s="2">
        <v>42706</v>
      </c>
      <c r="N5453" s="1" t="s">
        <v>8</v>
      </c>
      <c r="O5453" s="1" t="s">
        <v>68</v>
      </c>
    </row>
    <row r="5454" spans="1:15" ht="43.2" x14ac:dyDescent="0.3">
      <c r="A5454" s="1" t="s">
        <v>9526</v>
      </c>
      <c r="B5454" s="1" t="str">
        <f>"BRIAN FINSELBACH  &amp;  SON LTD"</f>
        <v>BRIAN FINSELBACH  &amp;  SON LTD</v>
      </c>
      <c r="C5454" s="1" t="s">
        <v>9527</v>
      </c>
      <c r="F5454" s="1" t="s">
        <v>65</v>
      </c>
      <c r="H5454" s="1" t="s">
        <v>9528</v>
      </c>
      <c r="I5454" s="1" t="s">
        <v>19</v>
      </c>
      <c r="J5454" s="1" t="s">
        <v>67</v>
      </c>
      <c r="K5454" s="1" t="s">
        <v>24</v>
      </c>
      <c r="L5454" s="1">
        <v>4822877</v>
      </c>
      <c r="M5454" s="2">
        <v>42705</v>
      </c>
      <c r="N5454" s="1" t="s">
        <v>8</v>
      </c>
      <c r="O5454" s="1" t="s">
        <v>68</v>
      </c>
    </row>
    <row r="5455" spans="1:15" ht="43.2" x14ac:dyDescent="0.3">
      <c r="A5455" s="1" t="s">
        <v>9529</v>
      </c>
      <c r="B5455" s="1" t="str">
        <f>"Gwaun Cae Gurwen Dental Practice"</f>
        <v>Gwaun Cae Gurwen Dental Practice</v>
      </c>
      <c r="C5455" s="1" t="s">
        <v>9530</v>
      </c>
      <c r="D5455" s="1" t="s">
        <v>9531</v>
      </c>
      <c r="F5455" s="1" t="s">
        <v>665</v>
      </c>
      <c r="H5455" s="1" t="s">
        <v>9532</v>
      </c>
      <c r="I5455" s="1" t="s">
        <v>125</v>
      </c>
      <c r="J5455" s="1" t="s">
        <v>67</v>
      </c>
      <c r="K5455" s="1" t="s">
        <v>14</v>
      </c>
      <c r="M5455" s="2">
        <v>42705</v>
      </c>
      <c r="N5455" s="1" t="s">
        <v>8</v>
      </c>
      <c r="O5455" s="1" t="s">
        <v>68</v>
      </c>
    </row>
    <row r="5456" spans="1:15" ht="28.8" x14ac:dyDescent="0.3">
      <c r="A5456" s="1" t="s">
        <v>10595</v>
      </c>
      <c r="B5456" s="1" t="str">
        <f>"Coastal Cottages of Pembrokeshire Ltd."</f>
        <v>Coastal Cottages of Pembrokeshire Ltd.</v>
      </c>
      <c r="C5456" s="1" t="s">
        <v>10596</v>
      </c>
      <c r="F5456" s="1" t="s">
        <v>438</v>
      </c>
      <c r="H5456" s="1" t="s">
        <v>10597</v>
      </c>
      <c r="I5456" s="1" t="s">
        <v>19</v>
      </c>
      <c r="J5456" s="1" t="s">
        <v>6</v>
      </c>
      <c r="K5456" s="1" t="s">
        <v>24</v>
      </c>
      <c r="L5456" s="1">
        <v>2748097</v>
      </c>
      <c r="M5456" s="2">
        <v>42705</v>
      </c>
      <c r="N5456" s="1" t="s">
        <v>8</v>
      </c>
      <c r="O5456" s="2">
        <v>43800</v>
      </c>
    </row>
    <row r="5457" spans="1:15" ht="28.8" x14ac:dyDescent="0.3">
      <c r="A5457" s="1" t="s">
        <v>10598</v>
      </c>
      <c r="B5457" s="1" t="str">
        <f>"Darwin (North West) Ltd"</f>
        <v>Darwin (North West) Ltd</v>
      </c>
      <c r="C5457" s="1" t="s">
        <v>7018</v>
      </c>
      <c r="F5457" s="1" t="s">
        <v>1278</v>
      </c>
      <c r="H5457" s="1" t="s">
        <v>7019</v>
      </c>
      <c r="I5457" s="1" t="s">
        <v>19</v>
      </c>
      <c r="J5457" s="1" t="s">
        <v>6</v>
      </c>
      <c r="K5457" s="1" t="s">
        <v>24</v>
      </c>
      <c r="L5457" s="1">
        <v>7578989</v>
      </c>
      <c r="M5457" s="2">
        <v>42705</v>
      </c>
      <c r="N5457" s="1" t="s">
        <v>8</v>
      </c>
      <c r="O5457" s="2">
        <v>43800</v>
      </c>
    </row>
    <row r="5458" spans="1:15" ht="43.2" x14ac:dyDescent="0.3">
      <c r="A5458" s="1" t="s">
        <v>10599</v>
      </c>
      <c r="B5458" s="1" t="str">
        <f>"Martin"</f>
        <v>Martin</v>
      </c>
      <c r="C5458" s="1" t="s">
        <v>10600</v>
      </c>
      <c r="F5458" s="1" t="s">
        <v>91</v>
      </c>
      <c r="H5458" s="1" t="s">
        <v>10601</v>
      </c>
      <c r="I5458" s="1" t="s">
        <v>188</v>
      </c>
      <c r="J5458" s="1" t="s">
        <v>67</v>
      </c>
      <c r="K5458" s="1" t="s">
        <v>14</v>
      </c>
      <c r="M5458" s="2">
        <v>42705</v>
      </c>
      <c r="N5458" s="1" t="s">
        <v>8</v>
      </c>
      <c r="O5458" s="1" t="s">
        <v>68</v>
      </c>
    </row>
    <row r="5459" spans="1:15" ht="43.2" x14ac:dyDescent="0.3">
      <c r="A5459" s="1" t="s">
        <v>10602</v>
      </c>
      <c r="B5459" s="1" t="str">
        <f>"B &amp; D Electrical Services Ltd"</f>
        <v>B &amp; D Electrical Services Ltd</v>
      </c>
      <c r="C5459" s="1" t="s">
        <v>4608</v>
      </c>
      <c r="D5459" s="1" t="s">
        <v>4609</v>
      </c>
      <c r="F5459" s="1" t="s">
        <v>198</v>
      </c>
      <c r="H5459" s="1" t="s">
        <v>4610</v>
      </c>
      <c r="I5459" s="1" t="s">
        <v>19</v>
      </c>
      <c r="J5459" s="1" t="s">
        <v>67</v>
      </c>
      <c r="K5459" s="1" t="s">
        <v>14</v>
      </c>
      <c r="M5459" s="2">
        <v>42705</v>
      </c>
      <c r="N5459" s="1" t="s">
        <v>8</v>
      </c>
      <c r="O5459" s="1" t="s">
        <v>68</v>
      </c>
    </row>
    <row r="5460" spans="1:15" ht="28.8" x14ac:dyDescent="0.3">
      <c r="A5460" s="1" t="s">
        <v>10603</v>
      </c>
      <c r="B5460" s="1" t="str">
        <f>"Malpross Services"</f>
        <v>Malpross Services</v>
      </c>
      <c r="C5460" s="1" t="s">
        <v>10604</v>
      </c>
      <c r="D5460" s="1" t="s">
        <v>10605</v>
      </c>
      <c r="F5460" s="1" t="s">
        <v>666</v>
      </c>
      <c r="H5460" s="1" t="s">
        <v>10606</v>
      </c>
      <c r="I5460" s="1" t="s">
        <v>125</v>
      </c>
      <c r="J5460" s="1" t="s">
        <v>6</v>
      </c>
      <c r="K5460" s="1" t="s">
        <v>34</v>
      </c>
      <c r="M5460" s="2">
        <v>42705</v>
      </c>
      <c r="N5460" s="1" t="s">
        <v>8</v>
      </c>
      <c r="O5460" s="2">
        <v>43800</v>
      </c>
    </row>
    <row r="5461" spans="1:15" ht="28.8" x14ac:dyDescent="0.3">
      <c r="A5461" s="1" t="s">
        <v>10607</v>
      </c>
      <c r="B5461" s="1" t="str">
        <f>"CARDIFF SKIP &amp; GRAB HIRE LTD"</f>
        <v>CARDIFF SKIP &amp; GRAB HIRE LTD</v>
      </c>
      <c r="C5461" s="1" t="s">
        <v>10608</v>
      </c>
      <c r="D5461" s="1" t="s">
        <v>8852</v>
      </c>
      <c r="F5461" s="1" t="s">
        <v>27</v>
      </c>
      <c r="H5461" s="1" t="s">
        <v>8853</v>
      </c>
      <c r="I5461" s="1" t="s">
        <v>19</v>
      </c>
      <c r="J5461" s="1" t="s">
        <v>6</v>
      </c>
      <c r="K5461" s="1" t="s">
        <v>34</v>
      </c>
      <c r="L5461" s="1">
        <v>10294548</v>
      </c>
      <c r="M5461" s="2">
        <v>42705</v>
      </c>
      <c r="N5461" s="1" t="s">
        <v>8</v>
      </c>
      <c r="O5461" s="2">
        <v>43800</v>
      </c>
    </row>
    <row r="5462" spans="1:15" ht="28.8" x14ac:dyDescent="0.3">
      <c r="A5462" s="1" t="s">
        <v>22954</v>
      </c>
      <c r="B5462" s="1" t="str">
        <f>"Gary Thomas Gary Thomas"</f>
        <v>Gary Thomas Gary Thomas</v>
      </c>
      <c r="C5462" s="1" t="s">
        <v>22955</v>
      </c>
      <c r="F5462" s="1" t="s">
        <v>12</v>
      </c>
      <c r="H5462" s="1" t="s">
        <v>22956</v>
      </c>
      <c r="I5462" s="1" t="s">
        <v>5</v>
      </c>
      <c r="J5462" s="1" t="s">
        <v>6</v>
      </c>
      <c r="K5462" s="1" t="s">
        <v>24</v>
      </c>
      <c r="M5462" s="2">
        <v>42705</v>
      </c>
      <c r="N5462" s="1" t="s">
        <v>8</v>
      </c>
      <c r="O5462" s="2">
        <v>43800</v>
      </c>
    </row>
    <row r="5463" spans="1:15" ht="43.2" x14ac:dyDescent="0.3">
      <c r="A5463" s="1" t="s">
        <v>23707</v>
      </c>
      <c r="B5463" s="1" t="str">
        <f>"Francis  Barrett"</f>
        <v>Francis  Barrett</v>
      </c>
      <c r="C5463" s="1" t="s">
        <v>23708</v>
      </c>
      <c r="F5463" s="1" t="s">
        <v>23709</v>
      </c>
      <c r="H5463" s="1" t="s">
        <v>23710</v>
      </c>
      <c r="I5463" s="1" t="s">
        <v>5</v>
      </c>
      <c r="J5463" s="1" t="s">
        <v>67</v>
      </c>
      <c r="K5463" s="1" t="s">
        <v>14</v>
      </c>
      <c r="M5463" s="2">
        <v>42705</v>
      </c>
      <c r="N5463" s="1" t="s">
        <v>8</v>
      </c>
      <c r="O5463" s="1" t="s">
        <v>68</v>
      </c>
    </row>
    <row r="5464" spans="1:15" ht="43.2" x14ac:dyDescent="0.3">
      <c r="A5464" s="1" t="s">
        <v>23711</v>
      </c>
      <c r="B5464" s="1" t="str">
        <f>"Martin Lewis"</f>
        <v>Martin Lewis</v>
      </c>
      <c r="C5464" s="1" t="s">
        <v>10600</v>
      </c>
      <c r="F5464" s="1" t="s">
        <v>91</v>
      </c>
      <c r="H5464" s="1" t="s">
        <v>10601</v>
      </c>
      <c r="I5464" s="1" t="s">
        <v>5</v>
      </c>
      <c r="J5464" s="1" t="s">
        <v>67</v>
      </c>
      <c r="K5464" s="1" t="s">
        <v>14</v>
      </c>
      <c r="M5464" s="2">
        <v>42705</v>
      </c>
      <c r="N5464" s="1" t="s">
        <v>8</v>
      </c>
      <c r="O5464" s="1" t="s">
        <v>68</v>
      </c>
    </row>
    <row r="5465" spans="1:15" ht="28.8" x14ac:dyDescent="0.3">
      <c r="A5465" s="1" t="s">
        <v>9503</v>
      </c>
      <c r="B5465" s="1" t="str">
        <f>"Aquaflow Plumbing &amp; Heating"</f>
        <v>Aquaflow Plumbing &amp; Heating</v>
      </c>
      <c r="C5465" s="1" t="s">
        <v>9504</v>
      </c>
      <c r="F5465" s="1" t="s">
        <v>9049</v>
      </c>
      <c r="H5465" s="1" t="s">
        <v>9505</v>
      </c>
      <c r="I5465" s="1" t="s">
        <v>19</v>
      </c>
      <c r="J5465" s="1" t="s">
        <v>6</v>
      </c>
      <c r="K5465" s="1" t="s">
        <v>34</v>
      </c>
      <c r="L5465" s="1">
        <v>9420030</v>
      </c>
      <c r="M5465" s="2">
        <v>42704</v>
      </c>
      <c r="N5465" s="1" t="s">
        <v>8</v>
      </c>
      <c r="O5465" s="2">
        <v>43799</v>
      </c>
    </row>
    <row r="5466" spans="1:15" ht="43.2" x14ac:dyDescent="0.3">
      <c r="A5466" s="1" t="s">
        <v>9506</v>
      </c>
      <c r="B5466" s="1" t="str">
        <f>"AJL SERVICES LTD"</f>
        <v>AJL SERVICES LTD</v>
      </c>
      <c r="C5466" s="1" t="s">
        <v>9507</v>
      </c>
      <c r="F5466" s="1" t="s">
        <v>3242</v>
      </c>
      <c r="H5466" s="1" t="s">
        <v>9508</v>
      </c>
      <c r="I5466" s="1" t="s">
        <v>19</v>
      </c>
      <c r="J5466" s="1" t="s">
        <v>67</v>
      </c>
      <c r="K5466" s="1" t="s">
        <v>14</v>
      </c>
      <c r="M5466" s="2">
        <v>42704</v>
      </c>
      <c r="N5466" s="1" t="s">
        <v>8</v>
      </c>
      <c r="O5466" s="1" t="s">
        <v>68</v>
      </c>
    </row>
    <row r="5467" spans="1:15" ht="43.2" x14ac:dyDescent="0.3">
      <c r="A5467" s="1" t="s">
        <v>9509</v>
      </c>
      <c r="B5467" s="1" t="str">
        <f>"Liverton Opticians"</f>
        <v>Liverton Opticians</v>
      </c>
      <c r="C5467" s="1" t="s">
        <v>9510</v>
      </c>
      <c r="F5467" s="1" t="s">
        <v>91</v>
      </c>
      <c r="H5467" s="1" t="s">
        <v>9511</v>
      </c>
      <c r="I5467" s="1" t="s">
        <v>19</v>
      </c>
      <c r="J5467" s="1" t="s">
        <v>67</v>
      </c>
      <c r="K5467" s="1" t="s">
        <v>14</v>
      </c>
      <c r="M5467" s="2">
        <v>42704</v>
      </c>
      <c r="N5467" s="1" t="s">
        <v>8</v>
      </c>
      <c r="O5467" s="1" t="s">
        <v>68</v>
      </c>
    </row>
    <row r="5468" spans="1:15" ht="28.8" x14ac:dyDescent="0.3">
      <c r="A5468" s="1" t="s">
        <v>9512</v>
      </c>
      <c r="B5468" s="1" t="str">
        <f>"G &amp; W Wigglesworth Builders Ltd"</f>
        <v>G &amp; W Wigglesworth Builders Ltd</v>
      </c>
      <c r="C5468" s="1" t="s">
        <v>9513</v>
      </c>
      <c r="F5468" s="1" t="s">
        <v>8738</v>
      </c>
      <c r="H5468" s="1" t="s">
        <v>9514</v>
      </c>
      <c r="I5468" s="1" t="s">
        <v>19</v>
      </c>
      <c r="J5468" s="1" t="s">
        <v>6</v>
      </c>
      <c r="K5468" s="1" t="s">
        <v>34</v>
      </c>
      <c r="L5468" s="1">
        <v>6238563</v>
      </c>
      <c r="M5468" s="2">
        <v>42704</v>
      </c>
      <c r="N5468" s="1" t="s">
        <v>8</v>
      </c>
      <c r="O5468" s="2">
        <v>43799</v>
      </c>
    </row>
    <row r="5469" spans="1:15" ht="28.8" x14ac:dyDescent="0.3">
      <c r="A5469" s="1" t="s">
        <v>9515</v>
      </c>
      <c r="B5469" s="1" t="str">
        <f>"A Williams Contract Services Ltd"</f>
        <v>A Williams Contract Services Ltd</v>
      </c>
      <c r="C5469" s="1" t="s">
        <v>9516</v>
      </c>
      <c r="F5469" s="1" t="s">
        <v>2961</v>
      </c>
      <c r="H5469" s="1" t="s">
        <v>9517</v>
      </c>
      <c r="I5469" s="1" t="s">
        <v>19</v>
      </c>
      <c r="J5469" s="1" t="s">
        <v>6</v>
      </c>
      <c r="K5469" s="1" t="s">
        <v>34</v>
      </c>
      <c r="L5469" s="1">
        <v>7105795</v>
      </c>
      <c r="M5469" s="2">
        <v>42704</v>
      </c>
      <c r="N5469" s="1" t="s">
        <v>8</v>
      </c>
      <c r="O5469" s="2">
        <v>43799</v>
      </c>
    </row>
    <row r="5470" spans="1:15" ht="28.8" x14ac:dyDescent="0.3">
      <c r="A5470" s="1" t="s">
        <v>9518</v>
      </c>
      <c r="B5470" s="1" t="str">
        <f>"G ALLAWAY LTD"</f>
        <v>G ALLAWAY LTD</v>
      </c>
      <c r="C5470" s="1" t="s">
        <v>9519</v>
      </c>
      <c r="F5470" s="1" t="s">
        <v>91</v>
      </c>
      <c r="H5470" s="1" t="s">
        <v>9520</v>
      </c>
      <c r="I5470" s="1" t="s">
        <v>19</v>
      </c>
      <c r="J5470" s="1" t="s">
        <v>6</v>
      </c>
      <c r="K5470" s="1" t="s">
        <v>24</v>
      </c>
      <c r="L5470" s="1">
        <v>5865027</v>
      </c>
      <c r="M5470" s="2">
        <v>42704</v>
      </c>
      <c r="N5470" s="1" t="s">
        <v>8</v>
      </c>
      <c r="O5470" s="2">
        <v>43799</v>
      </c>
    </row>
    <row r="5471" spans="1:15" ht="28.8" x14ac:dyDescent="0.3">
      <c r="A5471" s="1" t="s">
        <v>9521</v>
      </c>
      <c r="B5471" s="1" t="str">
        <f>"WESTCOAST SIGNS LTD"</f>
        <v>WESTCOAST SIGNS LTD</v>
      </c>
      <c r="C5471" s="1" t="s">
        <v>9522</v>
      </c>
      <c r="D5471" s="1" t="s">
        <v>95</v>
      </c>
      <c r="F5471" s="1" t="s">
        <v>56</v>
      </c>
      <c r="H5471" s="1" t="s">
        <v>1270</v>
      </c>
      <c r="I5471" s="1" t="s">
        <v>19</v>
      </c>
      <c r="J5471" s="1" t="s">
        <v>6</v>
      </c>
      <c r="K5471" s="1" t="s">
        <v>24</v>
      </c>
      <c r="L5471" s="1">
        <v>4294174</v>
      </c>
      <c r="M5471" s="2">
        <v>42704</v>
      </c>
      <c r="N5471" s="1" t="s">
        <v>8</v>
      </c>
      <c r="O5471" s="2">
        <v>43799</v>
      </c>
    </row>
    <row r="5472" spans="1:15" ht="43.2" x14ac:dyDescent="0.3">
      <c r="A5472" s="1" t="s">
        <v>9523</v>
      </c>
      <c r="B5472" s="1" t="str">
        <f>"Welshpool Town Council"</f>
        <v>Welshpool Town Council</v>
      </c>
      <c r="C5472" s="1" t="s">
        <v>9524</v>
      </c>
      <c r="F5472" s="1" t="s">
        <v>416</v>
      </c>
      <c r="H5472" s="1" t="s">
        <v>9525</v>
      </c>
      <c r="I5472" s="1" t="s">
        <v>188</v>
      </c>
      <c r="J5472" s="1" t="s">
        <v>67</v>
      </c>
      <c r="K5472" s="1" t="s">
        <v>14</v>
      </c>
      <c r="M5472" s="2">
        <v>42704</v>
      </c>
      <c r="N5472" s="1" t="s">
        <v>8</v>
      </c>
      <c r="O5472" s="1" t="s">
        <v>68</v>
      </c>
    </row>
    <row r="5473" spans="1:15" ht="28.8" x14ac:dyDescent="0.3">
      <c r="A5473" s="1" t="s">
        <v>22941</v>
      </c>
      <c r="B5473" s="1" t="str">
        <f>"Jeffrey Banfield jeff banfield plant hire"</f>
        <v>Jeffrey Banfield jeff banfield plant hire</v>
      </c>
      <c r="C5473" s="1" t="s">
        <v>22942</v>
      </c>
      <c r="D5473" s="1" t="s">
        <v>5001</v>
      </c>
      <c r="F5473" s="1" t="s">
        <v>457</v>
      </c>
      <c r="H5473" s="1" t="s">
        <v>22943</v>
      </c>
      <c r="I5473" s="1" t="s">
        <v>5</v>
      </c>
      <c r="J5473" s="1" t="s">
        <v>6</v>
      </c>
      <c r="K5473" s="1" t="s">
        <v>24</v>
      </c>
      <c r="M5473" s="2">
        <v>42704</v>
      </c>
      <c r="N5473" s="1" t="s">
        <v>8</v>
      </c>
      <c r="O5473" s="2">
        <v>43799</v>
      </c>
    </row>
    <row r="5474" spans="1:15" ht="28.8" x14ac:dyDescent="0.3">
      <c r="A5474" s="1" t="s">
        <v>22944</v>
      </c>
      <c r="B5474" s="1" t="str">
        <f>"Adam Darlow  AMD House Clearance"</f>
        <v>Adam Darlow  AMD House Clearance</v>
      </c>
      <c r="C5474" s="1" t="s">
        <v>22945</v>
      </c>
      <c r="F5474" s="1" t="s">
        <v>91</v>
      </c>
      <c r="H5474" s="1" t="s">
        <v>22946</v>
      </c>
      <c r="I5474" s="1" t="s">
        <v>5</v>
      </c>
      <c r="J5474" s="1" t="s">
        <v>6</v>
      </c>
      <c r="K5474" s="1" t="s">
        <v>24</v>
      </c>
      <c r="M5474" s="2">
        <v>42704</v>
      </c>
      <c r="N5474" s="1" t="s">
        <v>8</v>
      </c>
      <c r="O5474" s="2">
        <v>43799</v>
      </c>
    </row>
    <row r="5475" spans="1:15" ht="43.2" x14ac:dyDescent="0.3">
      <c r="A5475" s="1" t="s">
        <v>22947</v>
      </c>
      <c r="B5475" s="1" t="str">
        <f>"Glyn Vaughan Jones GV Jones Plumbing &amp; Heating"</f>
        <v>Glyn Vaughan Jones GV Jones Plumbing &amp; Heating</v>
      </c>
      <c r="C5475" s="1" t="s">
        <v>22948</v>
      </c>
      <c r="F5475" s="1" t="s">
        <v>119</v>
      </c>
      <c r="H5475" s="1" t="s">
        <v>22949</v>
      </c>
      <c r="I5475" s="1" t="s">
        <v>5</v>
      </c>
      <c r="J5475" s="1" t="s">
        <v>6</v>
      </c>
      <c r="K5475" s="1" t="s">
        <v>24</v>
      </c>
      <c r="M5475" s="2">
        <v>42704</v>
      </c>
      <c r="N5475" s="1" t="s">
        <v>8</v>
      </c>
      <c r="O5475" s="2">
        <v>43799</v>
      </c>
    </row>
    <row r="5476" spans="1:15" ht="28.8" x14ac:dyDescent="0.3">
      <c r="A5476" s="1" t="s">
        <v>22950</v>
      </c>
      <c r="B5476" s="1" t="str">
        <f>"Radoslaw Iwanczyk R.I.Van Removals"</f>
        <v>Radoslaw Iwanczyk R.I.Van Removals</v>
      </c>
      <c r="C5476" s="1" t="s">
        <v>22951</v>
      </c>
      <c r="F5476" s="1" t="s">
        <v>22952</v>
      </c>
      <c r="H5476" s="1" t="s">
        <v>22953</v>
      </c>
      <c r="I5476" s="1" t="s">
        <v>5</v>
      </c>
      <c r="J5476" s="1" t="s">
        <v>6</v>
      </c>
      <c r="K5476" s="1" t="s">
        <v>24</v>
      </c>
      <c r="M5476" s="2">
        <v>42704</v>
      </c>
      <c r="N5476" s="1" t="s">
        <v>8</v>
      </c>
      <c r="O5476" s="2">
        <v>43799</v>
      </c>
    </row>
    <row r="5477" spans="1:15" ht="43.2" x14ac:dyDescent="0.3">
      <c r="A5477" s="1" t="s">
        <v>8351</v>
      </c>
      <c r="B5477" s="1" t="str">
        <f>"Lakewell Utilities Limited"</f>
        <v>Lakewell Utilities Limited</v>
      </c>
      <c r="C5477" s="1" t="s">
        <v>7477</v>
      </c>
      <c r="D5477" s="1" t="s">
        <v>1389</v>
      </c>
      <c r="F5477" s="1" t="s">
        <v>865</v>
      </c>
      <c r="H5477" s="1" t="s">
        <v>7478</v>
      </c>
      <c r="I5477" s="1" t="s">
        <v>19</v>
      </c>
      <c r="J5477" s="1" t="s">
        <v>6</v>
      </c>
      <c r="K5477" s="1" t="s">
        <v>34</v>
      </c>
      <c r="L5477" s="1">
        <v>8517019</v>
      </c>
      <c r="M5477" s="2">
        <v>42703</v>
      </c>
      <c r="N5477" s="1" t="s">
        <v>8</v>
      </c>
      <c r="O5477" s="2">
        <v>43798</v>
      </c>
    </row>
    <row r="5478" spans="1:15" ht="28.8" x14ac:dyDescent="0.3">
      <c r="A5478" s="1" t="s">
        <v>8352</v>
      </c>
      <c r="B5478" s="1" t="str">
        <f>"HOLTBY BUILDERS LTD"</f>
        <v>HOLTBY BUILDERS LTD</v>
      </c>
      <c r="C5478" s="1" t="s">
        <v>8353</v>
      </c>
      <c r="F5478" s="1" t="s">
        <v>8354</v>
      </c>
      <c r="H5478" s="1" t="s">
        <v>8355</v>
      </c>
      <c r="I5478" s="1" t="s">
        <v>19</v>
      </c>
      <c r="J5478" s="1" t="s">
        <v>6</v>
      </c>
      <c r="K5478" s="1" t="s">
        <v>34</v>
      </c>
      <c r="L5478" s="1">
        <v>1894810</v>
      </c>
      <c r="M5478" s="2">
        <v>42703</v>
      </c>
      <c r="N5478" s="1" t="s">
        <v>8</v>
      </c>
      <c r="O5478" s="2">
        <v>43798</v>
      </c>
    </row>
    <row r="5479" spans="1:15" ht="43.2" x14ac:dyDescent="0.3">
      <c r="A5479" s="1" t="s">
        <v>8356</v>
      </c>
      <c r="B5479" s="1" t="str">
        <f>"Lextan Ltd"</f>
        <v>Lextan Ltd</v>
      </c>
      <c r="C5479" s="1" t="s">
        <v>8357</v>
      </c>
      <c r="F5479" s="1" t="s">
        <v>4596</v>
      </c>
      <c r="H5479" s="1" t="s">
        <v>8358</v>
      </c>
      <c r="I5479" s="1" t="s">
        <v>19</v>
      </c>
      <c r="J5479" s="1" t="s">
        <v>67</v>
      </c>
      <c r="K5479" s="1" t="s">
        <v>14</v>
      </c>
      <c r="M5479" s="2">
        <v>42703</v>
      </c>
      <c r="N5479" s="1" t="s">
        <v>8</v>
      </c>
      <c r="O5479" s="1" t="s">
        <v>68</v>
      </c>
    </row>
    <row r="5480" spans="1:15" ht="28.8" x14ac:dyDescent="0.3">
      <c r="A5480" s="1" t="s">
        <v>8359</v>
      </c>
      <c r="B5480" s="1" t="str">
        <f>"Quality Cleaning Solutions (Wales)L"</f>
        <v>Quality Cleaning Solutions (Wales)L</v>
      </c>
      <c r="C5480" s="1" t="s">
        <v>8360</v>
      </c>
      <c r="F5480" s="1" t="s">
        <v>65</v>
      </c>
      <c r="H5480" s="1" t="s">
        <v>8361</v>
      </c>
      <c r="I5480" s="1" t="s">
        <v>19</v>
      </c>
      <c r="J5480" s="1" t="s">
        <v>6</v>
      </c>
      <c r="K5480" s="1" t="s">
        <v>24</v>
      </c>
      <c r="L5480" s="1">
        <v>7202747</v>
      </c>
      <c r="M5480" s="2">
        <v>42703</v>
      </c>
      <c r="N5480" s="1" t="s">
        <v>8</v>
      </c>
      <c r="O5480" s="2">
        <v>43798</v>
      </c>
    </row>
    <row r="5481" spans="1:15" ht="28.8" x14ac:dyDescent="0.3">
      <c r="A5481" s="1" t="s">
        <v>8362</v>
      </c>
      <c r="B5481" s="1" t="str">
        <f>"W COLLINS &amp; CO LTD"</f>
        <v>W COLLINS &amp; CO LTD</v>
      </c>
      <c r="C5481" s="1" t="s">
        <v>8363</v>
      </c>
      <c r="D5481" s="1" t="s">
        <v>8364</v>
      </c>
      <c r="E5481" s="1" t="s">
        <v>4511</v>
      </c>
      <c r="F5481" s="1" t="s">
        <v>865</v>
      </c>
      <c r="H5481" s="1" t="s">
        <v>8365</v>
      </c>
      <c r="I5481" s="1" t="s">
        <v>19</v>
      </c>
      <c r="J5481" s="1" t="s">
        <v>6</v>
      </c>
      <c r="K5481" s="1" t="s">
        <v>24</v>
      </c>
      <c r="L5481" s="1">
        <v>3764431</v>
      </c>
      <c r="M5481" s="2">
        <v>42703</v>
      </c>
      <c r="N5481" s="1" t="s">
        <v>8</v>
      </c>
      <c r="O5481" s="2">
        <v>43798</v>
      </c>
    </row>
    <row r="5482" spans="1:15" ht="28.8" x14ac:dyDescent="0.3">
      <c r="A5482" s="1" t="s">
        <v>8366</v>
      </c>
      <c r="B5482" s="1" t="str">
        <f>"Jacksons Car Dismantlers Ltd."</f>
        <v>Jacksons Car Dismantlers Ltd.</v>
      </c>
      <c r="C5482" s="1" t="s">
        <v>8367</v>
      </c>
      <c r="D5482" s="1" t="s">
        <v>8368</v>
      </c>
      <c r="F5482" s="1" t="s">
        <v>1346</v>
      </c>
      <c r="H5482" s="1" t="s">
        <v>8369</v>
      </c>
      <c r="I5482" s="1" t="s">
        <v>19</v>
      </c>
      <c r="J5482" s="1" t="s">
        <v>6</v>
      </c>
      <c r="K5482" s="1" t="s">
        <v>24</v>
      </c>
      <c r="L5482" s="1">
        <v>4721020</v>
      </c>
      <c r="M5482" s="2">
        <v>42703</v>
      </c>
      <c r="N5482" s="1" t="s">
        <v>8</v>
      </c>
      <c r="O5482" s="2">
        <v>43798</v>
      </c>
    </row>
    <row r="5483" spans="1:15" ht="43.2" x14ac:dyDescent="0.3">
      <c r="A5483" s="1" t="s">
        <v>22189</v>
      </c>
      <c r="B5483" s="1" t="str">
        <f>"Andrew Gilbey"</f>
        <v>Andrew Gilbey</v>
      </c>
      <c r="C5483" s="1" t="s">
        <v>22190</v>
      </c>
      <c r="F5483" s="1" t="s">
        <v>22191</v>
      </c>
      <c r="H5483" s="1" t="s">
        <v>22192</v>
      </c>
      <c r="I5483" s="1" t="s">
        <v>5</v>
      </c>
      <c r="J5483" s="1" t="s">
        <v>67</v>
      </c>
      <c r="K5483" s="1" t="s">
        <v>14</v>
      </c>
      <c r="M5483" s="2">
        <v>42703</v>
      </c>
      <c r="N5483" s="1" t="s">
        <v>8</v>
      </c>
      <c r="O5483" s="1" t="s">
        <v>68</v>
      </c>
    </row>
    <row r="5484" spans="1:15" ht="43.2" x14ac:dyDescent="0.3">
      <c r="A5484" s="1" t="s">
        <v>22193</v>
      </c>
      <c r="B5484" s="1" t="str">
        <f>"Leon Hill L.hill roofing"</f>
        <v>Leon Hill L.hill roofing</v>
      </c>
      <c r="C5484" s="1" t="s">
        <v>22194</v>
      </c>
      <c r="F5484" s="1" t="s">
        <v>4831</v>
      </c>
      <c r="H5484" s="1" t="s">
        <v>22195</v>
      </c>
      <c r="I5484" s="1" t="s">
        <v>5</v>
      </c>
      <c r="J5484" s="1" t="s">
        <v>67</v>
      </c>
      <c r="K5484" s="1" t="s">
        <v>24</v>
      </c>
      <c r="M5484" s="2">
        <v>42703</v>
      </c>
      <c r="N5484" s="1" t="s">
        <v>8</v>
      </c>
      <c r="O5484" s="1" t="s">
        <v>68</v>
      </c>
    </row>
    <row r="5485" spans="1:15" ht="28.8" x14ac:dyDescent="0.3">
      <c r="A5485" s="1" t="s">
        <v>22196</v>
      </c>
      <c r="B5485" s="1" t="str">
        <f>"Harry Smyth Harry Smyth"</f>
        <v>Harry Smyth Harry Smyth</v>
      </c>
      <c r="C5485" s="1" t="s">
        <v>22197</v>
      </c>
      <c r="F5485" s="1" t="s">
        <v>438</v>
      </c>
      <c r="H5485" s="1" t="s">
        <v>22198</v>
      </c>
      <c r="I5485" s="1" t="s">
        <v>5</v>
      </c>
      <c r="J5485" s="1" t="s">
        <v>6</v>
      </c>
      <c r="K5485" s="1" t="s">
        <v>24</v>
      </c>
      <c r="M5485" s="2">
        <v>42703</v>
      </c>
      <c r="N5485" s="1" t="s">
        <v>8</v>
      </c>
      <c r="O5485" s="2">
        <v>43798</v>
      </c>
    </row>
    <row r="5486" spans="1:15" ht="43.2" x14ac:dyDescent="0.3">
      <c r="A5486" s="1" t="s">
        <v>7167</v>
      </c>
      <c r="B5486" s="1" t="str">
        <f>"Randisi Textiles Recycling Ltd"</f>
        <v>Randisi Textiles Recycling Ltd</v>
      </c>
      <c r="C5486" s="1" t="s">
        <v>7168</v>
      </c>
      <c r="F5486" s="1" t="s">
        <v>3864</v>
      </c>
      <c r="H5486" s="1" t="s">
        <v>7169</v>
      </c>
      <c r="I5486" s="1" t="s">
        <v>19</v>
      </c>
      <c r="J5486" s="1" t="s">
        <v>67</v>
      </c>
      <c r="K5486" s="1" t="s">
        <v>14</v>
      </c>
      <c r="M5486" s="2">
        <v>42702</v>
      </c>
      <c r="N5486" s="1" t="s">
        <v>8</v>
      </c>
      <c r="O5486" s="1" t="s">
        <v>68</v>
      </c>
    </row>
    <row r="5487" spans="1:15" ht="28.8" x14ac:dyDescent="0.3">
      <c r="A5487" s="1" t="s">
        <v>7170</v>
      </c>
      <c r="B5487" s="1" t="str">
        <f>"CASTLEOAK CARE PARTNERSHIPS LTD"</f>
        <v>CASTLEOAK CARE PARTNERSHIPS LTD</v>
      </c>
      <c r="C5487" s="1" t="s">
        <v>7171</v>
      </c>
      <c r="D5487" s="1" t="s">
        <v>5663</v>
      </c>
      <c r="E5487" s="1" t="s">
        <v>2349</v>
      </c>
      <c r="F5487" s="1" t="s">
        <v>27</v>
      </c>
      <c r="H5487" s="1" t="s">
        <v>7172</v>
      </c>
      <c r="I5487" s="1" t="s">
        <v>19</v>
      </c>
      <c r="J5487" s="1" t="s">
        <v>6</v>
      </c>
      <c r="K5487" s="1" t="s">
        <v>34</v>
      </c>
      <c r="L5487" s="1">
        <v>2196821</v>
      </c>
      <c r="M5487" s="2">
        <v>42702</v>
      </c>
      <c r="N5487" s="1" t="s">
        <v>8</v>
      </c>
      <c r="O5487" s="2">
        <v>43797</v>
      </c>
    </row>
    <row r="5488" spans="1:15" ht="43.2" x14ac:dyDescent="0.3">
      <c r="A5488" s="1" t="s">
        <v>7173</v>
      </c>
      <c r="B5488" s="1" t="str">
        <f>"P J WEBB HAULAGE LTD"</f>
        <v>P J WEBB HAULAGE LTD</v>
      </c>
      <c r="C5488" s="1" t="s">
        <v>7174</v>
      </c>
      <c r="F5488" s="1" t="s">
        <v>457</v>
      </c>
      <c r="H5488" s="1" t="s">
        <v>7175</v>
      </c>
      <c r="I5488" s="1" t="s">
        <v>19</v>
      </c>
      <c r="J5488" s="1" t="s">
        <v>67</v>
      </c>
      <c r="K5488" s="1" t="s">
        <v>24</v>
      </c>
      <c r="L5488" s="1">
        <v>6416544</v>
      </c>
      <c r="M5488" s="2">
        <v>42702</v>
      </c>
      <c r="N5488" s="1" t="s">
        <v>8</v>
      </c>
      <c r="O5488" s="1" t="s">
        <v>68</v>
      </c>
    </row>
    <row r="5489" spans="1:15" ht="43.2" x14ac:dyDescent="0.3">
      <c r="A5489" s="1" t="s">
        <v>7176</v>
      </c>
      <c r="B5489" s="1" t="str">
        <f>"ARBMAN LIMITED "</f>
        <v xml:space="preserve">ARBMAN LIMITED </v>
      </c>
      <c r="C5489" s="1" t="s">
        <v>7177</v>
      </c>
      <c r="F5489" s="1" t="s">
        <v>1321</v>
      </c>
      <c r="H5489" s="1" t="s">
        <v>7178</v>
      </c>
      <c r="I5489" s="1" t="s">
        <v>19</v>
      </c>
      <c r="J5489" s="1" t="s">
        <v>67</v>
      </c>
      <c r="K5489" s="1" t="s">
        <v>14</v>
      </c>
      <c r="M5489" s="2">
        <v>42702</v>
      </c>
      <c r="N5489" s="1" t="s">
        <v>8</v>
      </c>
      <c r="O5489" s="1" t="s">
        <v>68</v>
      </c>
    </row>
    <row r="5490" spans="1:15" ht="43.2" x14ac:dyDescent="0.3">
      <c r="A5490" s="1" t="s">
        <v>7179</v>
      </c>
      <c r="B5490" s="1" t="str">
        <f>"D G Carvell Groundworks Ltd"</f>
        <v>D G Carvell Groundworks Ltd</v>
      </c>
      <c r="C5490" s="1" t="s">
        <v>7180</v>
      </c>
      <c r="D5490" s="1" t="s">
        <v>7181</v>
      </c>
      <c r="E5490" s="1" t="s">
        <v>424</v>
      </c>
      <c r="F5490" s="1" t="s">
        <v>65</v>
      </c>
      <c r="H5490" s="1" t="s">
        <v>7182</v>
      </c>
      <c r="I5490" s="1" t="s">
        <v>19</v>
      </c>
      <c r="J5490" s="1" t="s">
        <v>6</v>
      </c>
      <c r="K5490" s="1" t="s">
        <v>24</v>
      </c>
      <c r="L5490" s="1">
        <v>7954099</v>
      </c>
      <c r="M5490" s="2">
        <v>42702</v>
      </c>
      <c r="N5490" s="1" t="s">
        <v>8</v>
      </c>
      <c r="O5490" s="2">
        <v>43797</v>
      </c>
    </row>
    <row r="5491" spans="1:15" x14ac:dyDescent="0.3">
      <c r="A5491" s="1" t="s">
        <v>7183</v>
      </c>
      <c r="B5491" s="1" t="str">
        <f>"LCC GROUP LTD"</f>
        <v>LCC GROUP LTD</v>
      </c>
      <c r="C5491" s="1" t="s">
        <v>7184</v>
      </c>
      <c r="F5491" s="1" t="s">
        <v>7185</v>
      </c>
      <c r="H5491" s="1" t="s">
        <v>7186</v>
      </c>
      <c r="I5491" s="1" t="s">
        <v>19</v>
      </c>
      <c r="J5491" s="1" t="s">
        <v>6</v>
      </c>
      <c r="K5491" s="1" t="s">
        <v>1859</v>
      </c>
      <c r="L5491" s="1" t="s">
        <v>7187</v>
      </c>
      <c r="M5491" s="2">
        <v>42702</v>
      </c>
      <c r="N5491" s="1" t="s">
        <v>8</v>
      </c>
      <c r="O5491" s="2">
        <v>43797</v>
      </c>
    </row>
    <row r="5492" spans="1:15" ht="28.8" x14ac:dyDescent="0.3">
      <c r="A5492" s="1" t="s">
        <v>7188</v>
      </c>
      <c r="B5492" s="1" t="str">
        <f>"PDS NW Ltd"</f>
        <v>PDS NW Ltd</v>
      </c>
      <c r="C5492" s="1" t="s">
        <v>7189</v>
      </c>
      <c r="D5492" s="1" t="s">
        <v>7190</v>
      </c>
      <c r="F5492" s="1" t="s">
        <v>323</v>
      </c>
      <c r="H5492" s="1" t="s">
        <v>7191</v>
      </c>
      <c r="I5492" s="1" t="s">
        <v>19</v>
      </c>
      <c r="J5492" s="1" t="s">
        <v>6</v>
      </c>
      <c r="K5492" s="1" t="s">
        <v>34</v>
      </c>
      <c r="L5492" s="1">
        <v>6880500</v>
      </c>
      <c r="M5492" s="2">
        <v>42702</v>
      </c>
      <c r="N5492" s="1" t="s">
        <v>8</v>
      </c>
      <c r="O5492" s="2">
        <v>43797</v>
      </c>
    </row>
    <row r="5493" spans="1:15" ht="28.8" x14ac:dyDescent="0.3">
      <c r="A5493" s="1" t="s">
        <v>7192</v>
      </c>
      <c r="B5493" s="1" t="str">
        <f>"WW Builders (Wales) Ltd"</f>
        <v>WW Builders (Wales) Ltd</v>
      </c>
      <c r="C5493" s="1" t="s">
        <v>7193</v>
      </c>
      <c r="F5493" s="1" t="s">
        <v>354</v>
      </c>
      <c r="H5493" s="1" t="s">
        <v>7194</v>
      </c>
      <c r="I5493" s="1" t="s">
        <v>19</v>
      </c>
      <c r="J5493" s="1" t="s">
        <v>6</v>
      </c>
      <c r="K5493" s="1" t="s">
        <v>34</v>
      </c>
      <c r="L5493" s="1">
        <v>7712378</v>
      </c>
      <c r="M5493" s="2">
        <v>42702</v>
      </c>
      <c r="N5493" s="1" t="s">
        <v>8</v>
      </c>
      <c r="O5493" s="2">
        <v>43797</v>
      </c>
    </row>
    <row r="5494" spans="1:15" ht="28.8" x14ac:dyDescent="0.3">
      <c r="A5494" s="1" t="s">
        <v>8336</v>
      </c>
      <c r="B5494" s="1" t="str">
        <f>"Tradebe Gwent Ltd."</f>
        <v>Tradebe Gwent Ltd.</v>
      </c>
      <c r="C5494" s="1" t="s">
        <v>8337</v>
      </c>
      <c r="F5494" s="1" t="s">
        <v>156</v>
      </c>
      <c r="H5494" s="1" t="s">
        <v>8338</v>
      </c>
      <c r="I5494" s="1" t="s">
        <v>19</v>
      </c>
      <c r="J5494" s="1" t="s">
        <v>6</v>
      </c>
      <c r="K5494" s="1" t="s">
        <v>34</v>
      </c>
      <c r="L5494" s="1">
        <v>171493</v>
      </c>
      <c r="M5494" s="2">
        <v>42702</v>
      </c>
      <c r="N5494" s="1" t="s">
        <v>8</v>
      </c>
      <c r="O5494" s="2">
        <v>43797</v>
      </c>
    </row>
    <row r="5495" spans="1:15" ht="28.8" x14ac:dyDescent="0.3">
      <c r="A5495" s="1" t="s">
        <v>8339</v>
      </c>
      <c r="B5495" s="1" t="str">
        <f>"Generations Building &amp; Maintenance "</f>
        <v xml:space="preserve">Generations Building &amp; Maintenance </v>
      </c>
      <c r="C5495" s="1" t="s">
        <v>8340</v>
      </c>
      <c r="F5495" s="1" t="s">
        <v>8341</v>
      </c>
      <c r="H5495" s="1" t="s">
        <v>8342</v>
      </c>
      <c r="I5495" s="1" t="s">
        <v>19</v>
      </c>
      <c r="J5495" s="1" t="s">
        <v>6</v>
      </c>
      <c r="K5495" s="1" t="s">
        <v>24</v>
      </c>
      <c r="L5495" s="1">
        <v>6467734</v>
      </c>
      <c r="M5495" s="2">
        <v>42702</v>
      </c>
      <c r="N5495" s="1" t="s">
        <v>8</v>
      </c>
      <c r="O5495" s="2">
        <v>43797</v>
      </c>
    </row>
    <row r="5496" spans="1:15" ht="43.2" x14ac:dyDescent="0.3">
      <c r="A5496" s="1" t="s">
        <v>8343</v>
      </c>
      <c r="B5496" s="1" t="str">
        <f>"J &amp; J Motors Ltd."</f>
        <v>J &amp; J Motors Ltd.</v>
      </c>
      <c r="C5496" s="1" t="s">
        <v>8344</v>
      </c>
      <c r="D5496" s="1" t="s">
        <v>551</v>
      </c>
      <c r="E5496" s="1" t="s">
        <v>449</v>
      </c>
      <c r="F5496" s="1" t="s">
        <v>42</v>
      </c>
      <c r="H5496" s="1" t="s">
        <v>552</v>
      </c>
      <c r="I5496" s="1" t="s">
        <v>19</v>
      </c>
      <c r="J5496" s="1" t="s">
        <v>67</v>
      </c>
      <c r="K5496" s="1" t="s">
        <v>24</v>
      </c>
      <c r="L5496" s="1">
        <v>3487909</v>
      </c>
      <c r="M5496" s="2">
        <v>42702</v>
      </c>
      <c r="N5496" s="1" t="s">
        <v>8</v>
      </c>
      <c r="O5496" s="1" t="s">
        <v>68</v>
      </c>
    </row>
    <row r="5497" spans="1:15" ht="28.8" x14ac:dyDescent="0.3">
      <c r="A5497" s="1" t="s">
        <v>8345</v>
      </c>
      <c r="B5497" s="1" t="str">
        <f>"CR Building &amp; Surveying Services"</f>
        <v>CR Building &amp; Surveying Services</v>
      </c>
      <c r="C5497" s="1" t="s">
        <v>8346</v>
      </c>
      <c r="D5497" s="1" t="s">
        <v>5248</v>
      </c>
      <c r="F5497" s="1" t="s">
        <v>1058</v>
      </c>
      <c r="H5497" s="1" t="s">
        <v>8347</v>
      </c>
      <c r="I5497" s="1" t="s">
        <v>19</v>
      </c>
      <c r="J5497" s="1" t="s">
        <v>6</v>
      </c>
      <c r="K5497" s="1" t="s">
        <v>34</v>
      </c>
      <c r="L5497" s="1">
        <v>10454587</v>
      </c>
      <c r="M5497" s="2">
        <v>42702</v>
      </c>
      <c r="N5497" s="1" t="s">
        <v>8</v>
      </c>
      <c r="O5497" s="2">
        <v>43797</v>
      </c>
    </row>
    <row r="5498" spans="1:15" ht="28.8" x14ac:dyDescent="0.3">
      <c r="A5498" s="1" t="s">
        <v>8348</v>
      </c>
      <c r="B5498" s="1" t="str">
        <f>"Colmix Contractors Ltd"</f>
        <v>Colmix Contractors Ltd</v>
      </c>
      <c r="C5498" s="1" t="s">
        <v>8349</v>
      </c>
      <c r="F5498" s="1" t="s">
        <v>401</v>
      </c>
      <c r="H5498" s="1" t="s">
        <v>8350</v>
      </c>
      <c r="I5498" s="1" t="s">
        <v>19</v>
      </c>
      <c r="J5498" s="1" t="s">
        <v>6</v>
      </c>
      <c r="K5498" s="1" t="s">
        <v>24</v>
      </c>
      <c r="L5498" s="1">
        <v>4208310</v>
      </c>
      <c r="M5498" s="2">
        <v>42702</v>
      </c>
      <c r="N5498" s="1" t="s">
        <v>8</v>
      </c>
      <c r="O5498" s="2">
        <v>43797</v>
      </c>
    </row>
    <row r="5499" spans="1:15" x14ac:dyDescent="0.3">
      <c r="A5499" s="1" t="s">
        <v>21367</v>
      </c>
      <c r="B5499" s="1" t="str">
        <f>"Kim John EnviroMaint"</f>
        <v>Kim John EnviroMaint</v>
      </c>
      <c r="C5499" s="1" t="s">
        <v>21368</v>
      </c>
      <c r="F5499" s="1" t="s">
        <v>174</v>
      </c>
      <c r="H5499" s="1" t="s">
        <v>21369</v>
      </c>
      <c r="I5499" s="1" t="s">
        <v>5</v>
      </c>
      <c r="J5499" s="1" t="s">
        <v>6</v>
      </c>
      <c r="K5499" s="1" t="s">
        <v>24</v>
      </c>
      <c r="M5499" s="2">
        <v>42702</v>
      </c>
      <c r="N5499" s="1" t="s">
        <v>8</v>
      </c>
      <c r="O5499" s="2">
        <v>43797</v>
      </c>
    </row>
    <row r="5500" spans="1:15" ht="43.2" x14ac:dyDescent="0.3">
      <c r="A5500" s="1" t="s">
        <v>21370</v>
      </c>
      <c r="B5500" s="1" t="str">
        <f>"Howard john"</f>
        <v>Howard john</v>
      </c>
      <c r="C5500" s="1" t="s">
        <v>21371</v>
      </c>
      <c r="F5500" s="1" t="s">
        <v>380</v>
      </c>
      <c r="H5500" s="1" t="s">
        <v>21372</v>
      </c>
      <c r="I5500" s="1" t="s">
        <v>5</v>
      </c>
      <c r="J5500" s="1" t="s">
        <v>67</v>
      </c>
      <c r="K5500" s="1" t="s">
        <v>14</v>
      </c>
      <c r="M5500" s="2">
        <v>42702</v>
      </c>
      <c r="N5500" s="1" t="s">
        <v>8</v>
      </c>
      <c r="O5500" s="1" t="s">
        <v>68</v>
      </c>
    </row>
    <row r="5501" spans="1:15" ht="28.8" x14ac:dyDescent="0.3">
      <c r="A5501" s="1" t="s">
        <v>21373</v>
      </c>
      <c r="B5501" s="1" t="str">
        <f>"DOUGLAS HUGHES D J HUGHES"</f>
        <v>DOUGLAS HUGHES D J HUGHES</v>
      </c>
      <c r="C5501" s="1" t="s">
        <v>21374</v>
      </c>
      <c r="F5501" s="1" t="s">
        <v>6080</v>
      </c>
      <c r="H5501" s="1" t="s">
        <v>21375</v>
      </c>
      <c r="I5501" s="1" t="s">
        <v>5</v>
      </c>
      <c r="J5501" s="1" t="s">
        <v>6</v>
      </c>
      <c r="K5501" s="1" t="s">
        <v>34</v>
      </c>
      <c r="M5501" s="2">
        <v>42702</v>
      </c>
      <c r="N5501" s="1" t="s">
        <v>8</v>
      </c>
      <c r="O5501" s="2">
        <v>43797</v>
      </c>
    </row>
    <row r="5502" spans="1:15" ht="28.8" x14ac:dyDescent="0.3">
      <c r="A5502" s="1" t="s">
        <v>22183</v>
      </c>
      <c r="B5502" s="1" t="str">
        <f>"William Bennett William Bennett"</f>
        <v>William Bennett William Bennett</v>
      </c>
      <c r="C5502" s="1" t="s">
        <v>22184</v>
      </c>
      <c r="D5502" s="1" t="s">
        <v>22185</v>
      </c>
      <c r="F5502" s="1" t="s">
        <v>2906</v>
      </c>
      <c r="H5502" s="1" t="s">
        <v>3628</v>
      </c>
      <c r="I5502" s="1" t="s">
        <v>5</v>
      </c>
      <c r="J5502" s="1" t="s">
        <v>6</v>
      </c>
      <c r="K5502" s="1" t="s">
        <v>24</v>
      </c>
      <c r="M5502" s="2">
        <v>42702</v>
      </c>
      <c r="N5502" s="1" t="s">
        <v>8</v>
      </c>
      <c r="O5502" s="2">
        <v>43797</v>
      </c>
    </row>
    <row r="5503" spans="1:15" ht="28.8" x14ac:dyDescent="0.3">
      <c r="A5503" s="1" t="s">
        <v>22186</v>
      </c>
      <c r="B5503" s="1" t="str">
        <f>"Jason  Carter Jason Carter"</f>
        <v>Jason  Carter Jason Carter</v>
      </c>
      <c r="C5503" s="1" t="s">
        <v>22187</v>
      </c>
      <c r="D5503" s="1" t="s">
        <v>155</v>
      </c>
      <c r="F5503" s="1" t="s">
        <v>91</v>
      </c>
      <c r="H5503" s="1" t="s">
        <v>22188</v>
      </c>
      <c r="I5503" s="1" t="s">
        <v>5</v>
      </c>
      <c r="J5503" s="1" t="s">
        <v>6</v>
      </c>
      <c r="K5503" s="1" t="s">
        <v>34</v>
      </c>
      <c r="M5503" s="2">
        <v>42702</v>
      </c>
      <c r="N5503" s="1" t="s">
        <v>8</v>
      </c>
      <c r="O5503" s="2">
        <v>43797</v>
      </c>
    </row>
    <row r="5504" spans="1:15" ht="28.8" x14ac:dyDescent="0.3">
      <c r="A5504" s="1" t="s">
        <v>7164</v>
      </c>
      <c r="B5504" s="1" t="str">
        <f>"ARC Contracting ltd"</f>
        <v>ARC Contracting ltd</v>
      </c>
      <c r="C5504" s="1" t="s">
        <v>7165</v>
      </c>
      <c r="F5504" s="1" t="s">
        <v>103</v>
      </c>
      <c r="H5504" s="1" t="s">
        <v>7166</v>
      </c>
      <c r="I5504" s="1" t="s">
        <v>19</v>
      </c>
      <c r="J5504" s="1" t="s">
        <v>6</v>
      </c>
      <c r="K5504" s="1" t="s">
        <v>34</v>
      </c>
      <c r="L5504" s="1">
        <v>7981417</v>
      </c>
      <c r="M5504" s="2">
        <v>42701</v>
      </c>
      <c r="N5504" s="1" t="s">
        <v>8</v>
      </c>
      <c r="O5504" s="2">
        <v>43796</v>
      </c>
    </row>
    <row r="5505" spans="1:15" ht="43.2" x14ac:dyDescent="0.3">
      <c r="A5505" s="1" t="s">
        <v>21364</v>
      </c>
      <c r="B5505" s="1" t="str">
        <f>"Paul Davies Complete improvement specialists"</f>
        <v>Paul Davies Complete improvement specialists</v>
      </c>
      <c r="C5505" s="1" t="s">
        <v>21365</v>
      </c>
      <c r="F5505" s="1" t="s">
        <v>996</v>
      </c>
      <c r="H5505" s="1" t="s">
        <v>21366</v>
      </c>
      <c r="I5505" s="1" t="s">
        <v>5</v>
      </c>
      <c r="J5505" s="1" t="s">
        <v>6</v>
      </c>
      <c r="K5505" s="1" t="s">
        <v>34</v>
      </c>
      <c r="M5505" s="2">
        <v>42701</v>
      </c>
      <c r="N5505" s="1" t="s">
        <v>8</v>
      </c>
      <c r="O5505" s="2">
        <v>43796</v>
      </c>
    </row>
    <row r="5506" spans="1:15" ht="28.8" x14ac:dyDescent="0.3">
      <c r="A5506" s="1" t="s">
        <v>6029</v>
      </c>
      <c r="B5506" s="1" t="str">
        <f>"Inspire Windows LTD"</f>
        <v>Inspire Windows LTD</v>
      </c>
      <c r="C5506" s="1" t="s">
        <v>6030</v>
      </c>
      <c r="D5506" s="1" t="s">
        <v>500</v>
      </c>
      <c r="F5506" s="1" t="s">
        <v>123</v>
      </c>
      <c r="H5506" s="1" t="s">
        <v>6031</v>
      </c>
      <c r="I5506" s="1" t="s">
        <v>19</v>
      </c>
      <c r="J5506" s="1" t="s">
        <v>6</v>
      </c>
      <c r="K5506" s="1" t="s">
        <v>24</v>
      </c>
      <c r="L5506" s="1">
        <v>7380999</v>
      </c>
      <c r="M5506" s="2">
        <v>42700</v>
      </c>
      <c r="N5506" s="1" t="s">
        <v>8</v>
      </c>
      <c r="O5506" s="2">
        <v>43795</v>
      </c>
    </row>
    <row r="5507" spans="1:15" ht="28.8" x14ac:dyDescent="0.3">
      <c r="A5507" s="1" t="s">
        <v>6032</v>
      </c>
      <c r="B5507" s="1" t="str">
        <f>"Diagonal Properties Ltd"</f>
        <v>Diagonal Properties Ltd</v>
      </c>
      <c r="C5507" s="1" t="s">
        <v>6033</v>
      </c>
      <c r="F5507" s="1" t="s">
        <v>27</v>
      </c>
      <c r="H5507" s="1" t="s">
        <v>6034</v>
      </c>
      <c r="I5507" s="1" t="s">
        <v>19</v>
      </c>
      <c r="J5507" s="1" t="s">
        <v>6</v>
      </c>
      <c r="K5507" s="1" t="s">
        <v>34</v>
      </c>
      <c r="L5507" s="1">
        <v>5508497</v>
      </c>
      <c r="M5507" s="2">
        <v>42700</v>
      </c>
      <c r="N5507" s="1" t="s">
        <v>8</v>
      </c>
      <c r="O5507" s="2">
        <v>43795</v>
      </c>
    </row>
    <row r="5508" spans="1:15" ht="28.8" x14ac:dyDescent="0.3">
      <c r="A5508" s="1" t="s">
        <v>20566</v>
      </c>
      <c r="B5508" s="1" t="str">
        <f>"Martyn Smith Where ya bin"</f>
        <v>Martyn Smith Where ya bin</v>
      </c>
      <c r="C5508" s="1" t="s">
        <v>20567</v>
      </c>
      <c r="F5508" s="1" t="s">
        <v>65</v>
      </c>
      <c r="H5508" s="1" t="s">
        <v>20568</v>
      </c>
      <c r="I5508" s="1" t="s">
        <v>5</v>
      </c>
      <c r="J5508" s="1" t="s">
        <v>6</v>
      </c>
      <c r="K5508" s="1" t="s">
        <v>24</v>
      </c>
      <c r="M5508" s="2">
        <v>42700</v>
      </c>
      <c r="N5508" s="1" t="s">
        <v>8</v>
      </c>
      <c r="O5508" s="2">
        <v>43795</v>
      </c>
    </row>
    <row r="5509" spans="1:15" ht="43.2" x14ac:dyDescent="0.3">
      <c r="A5509" s="1" t="s">
        <v>4865</v>
      </c>
      <c r="B5509" s="1" t="str">
        <f>"TRANSITION MANAGEMENT SERVICES LTD"</f>
        <v>TRANSITION MANAGEMENT SERVICES LTD</v>
      </c>
      <c r="C5509" s="1" t="s">
        <v>4866</v>
      </c>
      <c r="F5509" s="1" t="s">
        <v>4867</v>
      </c>
      <c r="G5509" s="1" t="s">
        <v>211</v>
      </c>
      <c r="H5509" s="1" t="s">
        <v>4868</v>
      </c>
      <c r="I5509" s="1" t="s">
        <v>19</v>
      </c>
      <c r="J5509" s="1" t="s">
        <v>6</v>
      </c>
      <c r="K5509" s="1" t="s">
        <v>34</v>
      </c>
      <c r="L5509" s="1">
        <v>5570170</v>
      </c>
      <c r="M5509" s="2">
        <v>42699</v>
      </c>
      <c r="N5509" s="1" t="s">
        <v>8</v>
      </c>
      <c r="O5509" s="2">
        <v>43793</v>
      </c>
    </row>
    <row r="5510" spans="1:15" x14ac:dyDescent="0.3">
      <c r="A5510" s="1" t="s">
        <v>4869</v>
      </c>
      <c r="B5510" s="1" t="str">
        <f>"Pryce Removals"</f>
        <v>Pryce Removals</v>
      </c>
      <c r="C5510" s="1" t="s">
        <v>4870</v>
      </c>
      <c r="F5510" s="1" t="s">
        <v>1184</v>
      </c>
      <c r="H5510" s="1" t="s">
        <v>4871</v>
      </c>
      <c r="I5510" s="1" t="s">
        <v>125</v>
      </c>
      <c r="J5510" s="1" t="s">
        <v>6</v>
      </c>
      <c r="K5510" s="1" t="s">
        <v>24</v>
      </c>
      <c r="M5510" s="2">
        <v>42699</v>
      </c>
      <c r="N5510" s="1" t="s">
        <v>8</v>
      </c>
      <c r="O5510" s="2">
        <v>43794</v>
      </c>
    </row>
    <row r="5511" spans="1:15" ht="28.8" x14ac:dyDescent="0.3">
      <c r="A5511" s="1" t="s">
        <v>4872</v>
      </c>
      <c r="B5511" s="1" t="str">
        <f>"Celtic Homes &amp; Builders Ltd."</f>
        <v>Celtic Homes &amp; Builders Ltd.</v>
      </c>
      <c r="C5511" s="1" t="s">
        <v>4873</v>
      </c>
      <c r="F5511" s="1" t="s">
        <v>223</v>
      </c>
      <c r="H5511" s="1" t="s">
        <v>4874</v>
      </c>
      <c r="I5511" s="1" t="s">
        <v>19</v>
      </c>
      <c r="J5511" s="1" t="s">
        <v>6</v>
      </c>
      <c r="K5511" s="1" t="s">
        <v>34</v>
      </c>
      <c r="L5511" s="1">
        <v>4938379</v>
      </c>
      <c r="M5511" s="2">
        <v>42699</v>
      </c>
      <c r="N5511" s="1" t="s">
        <v>8</v>
      </c>
      <c r="O5511" s="2">
        <v>43794</v>
      </c>
    </row>
    <row r="5512" spans="1:15" ht="28.8" x14ac:dyDescent="0.3">
      <c r="A5512" s="1" t="s">
        <v>4875</v>
      </c>
      <c r="B5512" s="1" t="str">
        <f>"BOB FRANCIS CRANE HIRE LTD"</f>
        <v>BOB FRANCIS CRANE HIRE LTD</v>
      </c>
      <c r="C5512" s="1" t="s">
        <v>4876</v>
      </c>
      <c r="F5512" s="1" t="s">
        <v>83</v>
      </c>
      <c r="H5512" s="1" t="s">
        <v>4877</v>
      </c>
      <c r="I5512" s="1" t="s">
        <v>19</v>
      </c>
      <c r="J5512" s="1" t="s">
        <v>6</v>
      </c>
      <c r="K5512" s="1" t="s">
        <v>24</v>
      </c>
      <c r="L5512" s="1">
        <v>3325242</v>
      </c>
      <c r="M5512" s="2">
        <v>42699</v>
      </c>
      <c r="N5512" s="1" t="s">
        <v>8</v>
      </c>
      <c r="O5512" s="2">
        <v>43794</v>
      </c>
    </row>
    <row r="5513" spans="1:15" ht="28.8" x14ac:dyDescent="0.3">
      <c r="A5513" s="1" t="s">
        <v>4878</v>
      </c>
      <c r="B5513" s="1" t="str">
        <f>"ABBA LOOS LTD"</f>
        <v>ABBA LOOS LTD</v>
      </c>
      <c r="C5513" s="1" t="s">
        <v>2033</v>
      </c>
      <c r="D5513" s="1" t="s">
        <v>877</v>
      </c>
      <c r="F5513" s="1" t="s">
        <v>37</v>
      </c>
      <c r="H5513" s="1" t="s">
        <v>2034</v>
      </c>
      <c r="I5513" s="1" t="s">
        <v>19</v>
      </c>
      <c r="J5513" s="1" t="s">
        <v>6</v>
      </c>
      <c r="K5513" s="1" t="s">
        <v>34</v>
      </c>
      <c r="L5513" s="1">
        <v>6268768</v>
      </c>
      <c r="M5513" s="2">
        <v>42699</v>
      </c>
      <c r="N5513" s="1" t="s">
        <v>8</v>
      </c>
      <c r="O5513" s="2">
        <v>43794</v>
      </c>
    </row>
    <row r="5514" spans="1:15" ht="28.8" x14ac:dyDescent="0.3">
      <c r="A5514" s="1" t="s">
        <v>4879</v>
      </c>
      <c r="B5514" s="1" t="str">
        <f>"Envirotrade"</f>
        <v>Envirotrade</v>
      </c>
      <c r="C5514" s="1" t="s">
        <v>4880</v>
      </c>
      <c r="D5514" s="1" t="s">
        <v>4881</v>
      </c>
      <c r="F5514" s="1" t="s">
        <v>230</v>
      </c>
      <c r="H5514" s="1" t="s">
        <v>4882</v>
      </c>
      <c r="I5514" s="1" t="s">
        <v>19</v>
      </c>
      <c r="J5514" s="1" t="s">
        <v>6</v>
      </c>
      <c r="K5514" s="1" t="s">
        <v>1859</v>
      </c>
      <c r="L5514" s="1">
        <v>6305396</v>
      </c>
      <c r="M5514" s="2">
        <v>42699</v>
      </c>
      <c r="N5514" s="1" t="s">
        <v>8</v>
      </c>
      <c r="O5514" s="2">
        <v>43794</v>
      </c>
    </row>
    <row r="5515" spans="1:15" ht="28.8" x14ac:dyDescent="0.3">
      <c r="A5515" s="1" t="s">
        <v>4883</v>
      </c>
      <c r="B5515" s="1" t="str">
        <f>"S.Tranter Construction Services Limited"</f>
        <v>S.Tranter Construction Services Limited</v>
      </c>
      <c r="C5515" s="1" t="s">
        <v>4884</v>
      </c>
      <c r="D5515" s="1" t="s">
        <v>4885</v>
      </c>
      <c r="F5515" s="1" t="s">
        <v>739</v>
      </c>
      <c r="H5515" s="1" t="s">
        <v>4886</v>
      </c>
      <c r="I5515" s="1" t="s">
        <v>19</v>
      </c>
      <c r="J5515" s="1" t="s">
        <v>6</v>
      </c>
      <c r="K5515" s="1" t="s">
        <v>24</v>
      </c>
      <c r="L5515" s="1">
        <v>7171591</v>
      </c>
      <c r="M5515" s="2">
        <v>42699</v>
      </c>
      <c r="N5515" s="1" t="s">
        <v>8</v>
      </c>
      <c r="O5515" s="2">
        <v>43794</v>
      </c>
    </row>
    <row r="5516" spans="1:15" ht="43.2" x14ac:dyDescent="0.3">
      <c r="A5516" s="1" t="s">
        <v>6019</v>
      </c>
      <c r="B5516" s="1" t="str">
        <f>"K S &amp; J Davies"</f>
        <v>K S &amp; J Davies</v>
      </c>
      <c r="C5516" s="1" t="s">
        <v>6020</v>
      </c>
      <c r="F5516" s="1" t="s">
        <v>4630</v>
      </c>
      <c r="H5516" s="1" t="s">
        <v>6021</v>
      </c>
      <c r="I5516" s="1" t="s">
        <v>125</v>
      </c>
      <c r="J5516" s="1" t="s">
        <v>67</v>
      </c>
      <c r="K5516" s="1" t="s">
        <v>14</v>
      </c>
      <c r="M5516" s="2">
        <v>42699</v>
      </c>
      <c r="N5516" s="1" t="s">
        <v>8</v>
      </c>
      <c r="O5516" s="1" t="s">
        <v>68</v>
      </c>
    </row>
    <row r="5517" spans="1:15" ht="43.2" x14ac:dyDescent="0.3">
      <c r="A5517" s="1" t="s">
        <v>6022</v>
      </c>
      <c r="B5517" s="1" t="str">
        <f>"Gower Bird Hospital"</f>
        <v>Gower Bird Hospital</v>
      </c>
      <c r="C5517" s="1" t="s">
        <v>6023</v>
      </c>
      <c r="D5517" s="1" t="s">
        <v>6024</v>
      </c>
      <c r="F5517" s="1" t="s">
        <v>65</v>
      </c>
      <c r="H5517" s="1" t="s">
        <v>6025</v>
      </c>
      <c r="I5517" s="1" t="s">
        <v>1872</v>
      </c>
      <c r="J5517" s="1" t="s">
        <v>67</v>
      </c>
      <c r="K5517" s="1" t="s">
        <v>14</v>
      </c>
      <c r="M5517" s="2">
        <v>42699</v>
      </c>
      <c r="N5517" s="1" t="s">
        <v>8</v>
      </c>
      <c r="O5517" s="1" t="s">
        <v>68</v>
      </c>
    </row>
    <row r="5518" spans="1:15" ht="28.8" x14ac:dyDescent="0.3">
      <c r="A5518" s="1" t="s">
        <v>6026</v>
      </c>
      <c r="B5518" s="1" t="str">
        <f>"Leon Wright"</f>
        <v>Leon Wright</v>
      </c>
      <c r="C5518" s="1" t="s">
        <v>6027</v>
      </c>
      <c r="F5518" s="1" t="s">
        <v>103</v>
      </c>
      <c r="H5518" s="1" t="s">
        <v>6028</v>
      </c>
      <c r="I5518" s="1" t="s">
        <v>125</v>
      </c>
      <c r="J5518" s="1" t="s">
        <v>6</v>
      </c>
      <c r="K5518" s="1" t="s">
        <v>34</v>
      </c>
      <c r="M5518" s="2">
        <v>42699</v>
      </c>
      <c r="N5518" s="1" t="s">
        <v>8</v>
      </c>
      <c r="O5518" s="2">
        <v>43794</v>
      </c>
    </row>
    <row r="5519" spans="1:15" ht="28.8" x14ac:dyDescent="0.3">
      <c r="A5519" s="1" t="s">
        <v>19806</v>
      </c>
      <c r="B5519" s="1" t="str">
        <f>"Gareth Mealor GMS (G Mealor and Son)"</f>
        <v>Gareth Mealor GMS (G Mealor and Son)</v>
      </c>
      <c r="C5519" s="1" t="s">
        <v>19807</v>
      </c>
      <c r="D5519" s="1" t="s">
        <v>19808</v>
      </c>
      <c r="F5519" s="1" t="s">
        <v>1278</v>
      </c>
      <c r="H5519" s="1" t="s">
        <v>19809</v>
      </c>
      <c r="I5519" s="1" t="s">
        <v>5</v>
      </c>
      <c r="J5519" s="1" t="s">
        <v>6</v>
      </c>
      <c r="K5519" s="1" t="s">
        <v>24</v>
      </c>
      <c r="M5519" s="2">
        <v>42699</v>
      </c>
      <c r="N5519" s="1" t="s">
        <v>8</v>
      </c>
      <c r="O5519" s="2">
        <v>43794</v>
      </c>
    </row>
    <row r="5520" spans="1:15" ht="28.8" x14ac:dyDescent="0.3">
      <c r="A5520" s="1" t="s">
        <v>20558</v>
      </c>
      <c r="B5520" s="1" t="str">
        <f>"Michael Price Michael Price"</f>
        <v>Michael Price Michael Price</v>
      </c>
      <c r="C5520" s="1" t="s">
        <v>20559</v>
      </c>
      <c r="F5520" s="1" t="s">
        <v>2711</v>
      </c>
      <c r="H5520" s="1" t="s">
        <v>20560</v>
      </c>
      <c r="I5520" s="1" t="s">
        <v>5</v>
      </c>
      <c r="J5520" s="1" t="s">
        <v>6</v>
      </c>
      <c r="K5520" s="1" t="s">
        <v>24</v>
      </c>
      <c r="M5520" s="2">
        <v>42699</v>
      </c>
      <c r="N5520" s="1" t="s">
        <v>8</v>
      </c>
      <c r="O5520" s="2">
        <v>43794</v>
      </c>
    </row>
    <row r="5521" spans="1:15" ht="43.2" x14ac:dyDescent="0.3">
      <c r="A5521" s="1" t="s">
        <v>20561</v>
      </c>
      <c r="B5521" s="1" t="str">
        <f>"Robert Waygood"</f>
        <v>Robert Waygood</v>
      </c>
      <c r="C5521" s="1" t="s">
        <v>20562</v>
      </c>
      <c r="D5521" s="1" t="s">
        <v>9240</v>
      </c>
      <c r="E5521" s="1" t="s">
        <v>2623</v>
      </c>
      <c r="F5521" s="1" t="s">
        <v>65</v>
      </c>
      <c r="H5521" s="1" t="s">
        <v>9241</v>
      </c>
      <c r="I5521" s="1" t="s">
        <v>5</v>
      </c>
      <c r="J5521" s="1" t="s">
        <v>67</v>
      </c>
      <c r="K5521" s="1" t="s">
        <v>24</v>
      </c>
      <c r="M5521" s="2">
        <v>42699</v>
      </c>
      <c r="N5521" s="1" t="s">
        <v>8</v>
      </c>
      <c r="O5521" s="1" t="s">
        <v>68</v>
      </c>
    </row>
    <row r="5522" spans="1:15" ht="28.8" x14ac:dyDescent="0.3">
      <c r="A5522" s="1" t="s">
        <v>20563</v>
      </c>
      <c r="B5522" s="1" t="str">
        <f>"David Rook West Wales Chimney Sweep"</f>
        <v>David Rook West Wales Chimney Sweep</v>
      </c>
      <c r="C5522" s="1" t="s">
        <v>20564</v>
      </c>
      <c r="F5522" s="1" t="s">
        <v>3726</v>
      </c>
      <c r="H5522" s="1" t="s">
        <v>20565</v>
      </c>
      <c r="I5522" s="1" t="s">
        <v>5</v>
      </c>
      <c r="J5522" s="1" t="s">
        <v>6</v>
      </c>
      <c r="K5522" s="1" t="s">
        <v>24</v>
      </c>
      <c r="M5522" s="2">
        <v>42699</v>
      </c>
      <c r="N5522" s="1" t="s">
        <v>8</v>
      </c>
      <c r="O5522" s="2">
        <v>43794</v>
      </c>
    </row>
    <row r="5523" spans="1:15" ht="43.2" x14ac:dyDescent="0.3">
      <c r="A5523" s="1" t="s">
        <v>4852</v>
      </c>
      <c r="B5523" s="1" t="str">
        <f>"GRYSON AIR CONDITIONING EQUIPMENT LTD"</f>
        <v>GRYSON AIR CONDITIONING EQUIPMENT LTD</v>
      </c>
      <c r="C5523" s="1" t="s">
        <v>4853</v>
      </c>
      <c r="F5523" s="1" t="s">
        <v>621</v>
      </c>
      <c r="H5523" s="1" t="s">
        <v>4854</v>
      </c>
      <c r="I5523" s="1" t="s">
        <v>19</v>
      </c>
      <c r="J5523" s="1" t="s">
        <v>67</v>
      </c>
      <c r="K5523" s="1" t="s">
        <v>24</v>
      </c>
      <c r="L5523" s="1">
        <v>4033228</v>
      </c>
      <c r="M5523" s="2">
        <v>42698</v>
      </c>
      <c r="N5523" s="1" t="s">
        <v>8</v>
      </c>
      <c r="O5523" s="1" t="s">
        <v>68</v>
      </c>
    </row>
    <row r="5524" spans="1:15" ht="28.8" x14ac:dyDescent="0.3">
      <c r="A5524" s="1" t="s">
        <v>4855</v>
      </c>
      <c r="B5524" s="1" t="str">
        <f>"Cintrix Systems Ltd"</f>
        <v>Cintrix Systems Ltd</v>
      </c>
      <c r="C5524" s="1" t="s">
        <v>4856</v>
      </c>
      <c r="D5524" s="1" t="s">
        <v>4857</v>
      </c>
      <c r="F5524" s="1" t="s">
        <v>103</v>
      </c>
      <c r="H5524" s="1" t="s">
        <v>4858</v>
      </c>
      <c r="I5524" s="1" t="s">
        <v>19</v>
      </c>
      <c r="J5524" s="1" t="s">
        <v>6</v>
      </c>
      <c r="K5524" s="1" t="s">
        <v>24</v>
      </c>
      <c r="L5524" s="1">
        <v>7175786</v>
      </c>
      <c r="M5524" s="2">
        <v>42698</v>
      </c>
      <c r="N5524" s="1" t="s">
        <v>8</v>
      </c>
      <c r="O5524" s="2">
        <v>43792</v>
      </c>
    </row>
    <row r="5525" spans="1:15" ht="28.8" x14ac:dyDescent="0.3">
      <c r="A5525" s="1" t="s">
        <v>4859</v>
      </c>
      <c r="B5525" s="1" t="str">
        <f>"T&amp;M Electrical Ltd"</f>
        <v>T&amp;M Electrical Ltd</v>
      </c>
      <c r="C5525" s="1" t="s">
        <v>4860</v>
      </c>
      <c r="F5525" s="1" t="s">
        <v>174</v>
      </c>
      <c r="H5525" s="1" t="s">
        <v>4861</v>
      </c>
      <c r="I5525" s="1" t="s">
        <v>19</v>
      </c>
      <c r="J5525" s="1" t="s">
        <v>6</v>
      </c>
      <c r="K5525" s="1" t="s">
        <v>24</v>
      </c>
      <c r="L5525" s="1">
        <v>4712143</v>
      </c>
      <c r="M5525" s="2">
        <v>42698</v>
      </c>
      <c r="N5525" s="1" t="s">
        <v>8</v>
      </c>
      <c r="O5525" s="2">
        <v>43793</v>
      </c>
    </row>
    <row r="5526" spans="1:15" ht="43.2" x14ac:dyDescent="0.3">
      <c r="A5526" s="1" t="s">
        <v>4862</v>
      </c>
      <c r="B5526" s="1" t="str">
        <f>"GreenThumb Ltd"</f>
        <v>GreenThumb Ltd</v>
      </c>
      <c r="C5526" s="1" t="s">
        <v>4863</v>
      </c>
      <c r="F5526" s="1" t="s">
        <v>4731</v>
      </c>
      <c r="H5526" s="1" t="s">
        <v>4864</v>
      </c>
      <c r="I5526" s="1" t="s">
        <v>19</v>
      </c>
      <c r="J5526" s="1" t="s">
        <v>67</v>
      </c>
      <c r="K5526" s="1" t="s">
        <v>14</v>
      </c>
      <c r="M5526" s="2">
        <v>42698</v>
      </c>
      <c r="N5526" s="1" t="s">
        <v>8</v>
      </c>
      <c r="O5526" s="1" t="s">
        <v>68</v>
      </c>
    </row>
    <row r="5527" spans="1:15" ht="28.8" x14ac:dyDescent="0.3">
      <c r="A5527" s="1" t="s">
        <v>3718</v>
      </c>
      <c r="B5527" s="1" t="str">
        <f>"Russ Transport Ltd"</f>
        <v>Russ Transport Ltd</v>
      </c>
      <c r="C5527" s="1" t="s">
        <v>3719</v>
      </c>
      <c r="D5527" s="1" t="s">
        <v>197</v>
      </c>
      <c r="F5527" s="1" t="s">
        <v>198</v>
      </c>
      <c r="H5527" s="1" t="s">
        <v>3720</v>
      </c>
      <c r="I5527" s="1" t="s">
        <v>19</v>
      </c>
      <c r="J5527" s="1" t="s">
        <v>6</v>
      </c>
      <c r="K5527" s="1" t="s">
        <v>34</v>
      </c>
      <c r="L5527" s="1">
        <v>9143950</v>
      </c>
      <c r="M5527" s="2">
        <v>42697</v>
      </c>
      <c r="N5527" s="1" t="s">
        <v>8</v>
      </c>
      <c r="O5527" s="2">
        <v>43792</v>
      </c>
    </row>
    <row r="5528" spans="1:15" ht="43.2" x14ac:dyDescent="0.3">
      <c r="A5528" s="1" t="s">
        <v>3721</v>
      </c>
      <c r="B5528" s="1" t="str">
        <f>"Nant Walter Garage"</f>
        <v>Nant Walter Garage</v>
      </c>
      <c r="C5528" s="1" t="s">
        <v>3722</v>
      </c>
      <c r="F5528" s="1" t="s">
        <v>2200</v>
      </c>
      <c r="H5528" s="1" t="s">
        <v>3723</v>
      </c>
      <c r="I5528" s="1" t="s">
        <v>19</v>
      </c>
      <c r="J5528" s="1" t="s">
        <v>67</v>
      </c>
      <c r="K5528" s="1" t="s">
        <v>24</v>
      </c>
      <c r="M5528" s="2">
        <v>42697</v>
      </c>
      <c r="N5528" s="1" t="s">
        <v>8</v>
      </c>
      <c r="O5528" s="1" t="s">
        <v>68</v>
      </c>
    </row>
    <row r="5529" spans="1:15" ht="28.8" x14ac:dyDescent="0.3">
      <c r="A5529" s="1" t="s">
        <v>3724</v>
      </c>
      <c r="B5529" s="1" t="str">
        <f>"BURNS PET NUTRITION LTD"</f>
        <v>BURNS PET NUTRITION LTD</v>
      </c>
      <c r="C5529" s="1" t="s">
        <v>3725</v>
      </c>
      <c r="F5529" s="1" t="s">
        <v>3726</v>
      </c>
      <c r="H5529" s="1" t="s">
        <v>3727</v>
      </c>
      <c r="I5529" s="1" t="s">
        <v>19</v>
      </c>
      <c r="J5529" s="1" t="s">
        <v>6</v>
      </c>
      <c r="K5529" s="1" t="s">
        <v>24</v>
      </c>
      <c r="L5529" s="1">
        <v>4181441</v>
      </c>
      <c r="M5529" s="2">
        <v>42697</v>
      </c>
      <c r="N5529" s="1" t="s">
        <v>8</v>
      </c>
      <c r="O5529" s="2">
        <v>43792</v>
      </c>
    </row>
    <row r="5530" spans="1:15" ht="28.8" x14ac:dyDescent="0.3">
      <c r="A5530" s="1" t="s">
        <v>3728</v>
      </c>
      <c r="B5530" s="1" t="str">
        <f>"Mark Stone Kitchens Ltd "</f>
        <v xml:space="preserve">Mark Stone Kitchens Ltd </v>
      </c>
      <c r="C5530" s="1" t="s">
        <v>3729</v>
      </c>
      <c r="D5530" s="1" t="s">
        <v>3730</v>
      </c>
      <c r="F5530" s="1" t="s">
        <v>2961</v>
      </c>
      <c r="H5530" s="1" t="s">
        <v>3731</v>
      </c>
      <c r="I5530" s="1" t="s">
        <v>19</v>
      </c>
      <c r="J5530" s="1" t="s">
        <v>6</v>
      </c>
      <c r="K5530" s="1" t="s">
        <v>34</v>
      </c>
      <c r="L5530" s="1">
        <v>9679818</v>
      </c>
      <c r="M5530" s="2">
        <v>42697</v>
      </c>
      <c r="N5530" s="1" t="s">
        <v>8</v>
      </c>
      <c r="O5530" s="2">
        <v>43792</v>
      </c>
    </row>
    <row r="5531" spans="1:15" ht="28.8" x14ac:dyDescent="0.3">
      <c r="A5531" s="1" t="s">
        <v>3732</v>
      </c>
      <c r="B5531" s="1" t="str">
        <f>"SOUTH WALES FENCING LTD"</f>
        <v>SOUTH WALES FENCING LTD</v>
      </c>
      <c r="C5531" s="1" t="s">
        <v>3733</v>
      </c>
      <c r="F5531" s="1" t="s">
        <v>174</v>
      </c>
      <c r="H5531" s="1" t="s">
        <v>3734</v>
      </c>
      <c r="I5531" s="1" t="s">
        <v>19</v>
      </c>
      <c r="J5531" s="1" t="s">
        <v>6</v>
      </c>
      <c r="K5531" s="1" t="s">
        <v>34</v>
      </c>
      <c r="L5531" s="1">
        <v>6922921</v>
      </c>
      <c r="M5531" s="2">
        <v>42697</v>
      </c>
      <c r="N5531" s="1" t="s">
        <v>8</v>
      </c>
      <c r="O5531" s="2">
        <v>43792</v>
      </c>
    </row>
    <row r="5532" spans="1:15" ht="28.8" x14ac:dyDescent="0.3">
      <c r="A5532" s="1" t="s">
        <v>3735</v>
      </c>
      <c r="B5532" s="1" t="str">
        <f>"kg &amp;m burton"</f>
        <v>kg &amp;m burton</v>
      </c>
      <c r="C5532" s="1" t="s">
        <v>3736</v>
      </c>
      <c r="F5532" s="1" t="s">
        <v>950</v>
      </c>
      <c r="H5532" s="1" t="s">
        <v>3737</v>
      </c>
      <c r="I5532" s="1" t="s">
        <v>125</v>
      </c>
      <c r="J5532" s="1" t="s">
        <v>6</v>
      </c>
      <c r="K5532" s="1" t="s">
        <v>24</v>
      </c>
      <c r="M5532" s="2">
        <v>42697</v>
      </c>
      <c r="N5532" s="1" t="s">
        <v>8</v>
      </c>
      <c r="O5532" s="2">
        <v>43792</v>
      </c>
    </row>
    <row r="5533" spans="1:15" ht="43.2" x14ac:dyDescent="0.3">
      <c r="A5533" s="1" t="s">
        <v>3738</v>
      </c>
      <c r="B5533" s="1" t="str">
        <f>"emma and graham williams"</f>
        <v>emma and graham williams</v>
      </c>
      <c r="C5533" s="1" t="s">
        <v>3739</v>
      </c>
      <c r="F5533" s="1" t="s">
        <v>2906</v>
      </c>
      <c r="H5533" s="1" t="s">
        <v>245</v>
      </c>
      <c r="I5533" s="1" t="s">
        <v>125</v>
      </c>
      <c r="J5533" s="1" t="s">
        <v>67</v>
      </c>
      <c r="K5533" s="1" t="s">
        <v>14</v>
      </c>
      <c r="M5533" s="2">
        <v>42697</v>
      </c>
      <c r="N5533" s="1" t="s">
        <v>8</v>
      </c>
      <c r="O5533" s="1" t="s">
        <v>68</v>
      </c>
    </row>
    <row r="5534" spans="1:15" ht="28.8" x14ac:dyDescent="0.3">
      <c r="A5534" s="1" t="s">
        <v>18952</v>
      </c>
      <c r="B5534" s="1" t="str">
        <f>"GEORGE LAUGHARNE ALLSORTS"</f>
        <v>GEORGE LAUGHARNE ALLSORTS</v>
      </c>
      <c r="C5534" s="1" t="s">
        <v>18953</v>
      </c>
      <c r="F5534" s="1" t="s">
        <v>1346</v>
      </c>
      <c r="H5534" s="1" t="s">
        <v>18954</v>
      </c>
      <c r="I5534" s="1" t="s">
        <v>5</v>
      </c>
      <c r="J5534" s="1" t="s">
        <v>6</v>
      </c>
      <c r="K5534" s="1" t="s">
        <v>34</v>
      </c>
      <c r="M5534" s="2">
        <v>42697</v>
      </c>
      <c r="N5534" s="1" t="s">
        <v>8</v>
      </c>
      <c r="O5534" s="2">
        <v>43792</v>
      </c>
    </row>
    <row r="5535" spans="1:15" ht="43.2" x14ac:dyDescent="0.3">
      <c r="A5535" s="1" t="s">
        <v>18955</v>
      </c>
      <c r="B5535" s="1" t="str">
        <f>"Andrew Bennett"</f>
        <v>Andrew Bennett</v>
      </c>
      <c r="C5535" s="1" t="s">
        <v>18956</v>
      </c>
      <c r="F5535" s="1" t="s">
        <v>2906</v>
      </c>
      <c r="H5535" s="1" t="s">
        <v>18957</v>
      </c>
      <c r="I5535" s="1" t="s">
        <v>5</v>
      </c>
      <c r="J5535" s="1" t="s">
        <v>67</v>
      </c>
      <c r="K5535" s="1" t="s">
        <v>14</v>
      </c>
      <c r="M5535" s="2">
        <v>42697</v>
      </c>
      <c r="N5535" s="1" t="s">
        <v>8</v>
      </c>
      <c r="O5535" s="1" t="s">
        <v>68</v>
      </c>
    </row>
    <row r="5536" spans="1:15" ht="28.8" x14ac:dyDescent="0.3">
      <c r="A5536" s="1" t="s">
        <v>19795</v>
      </c>
      <c r="B5536" s="1" t="str">
        <f>"Luke Patterson-Jones LPJ Oil Services"</f>
        <v>Luke Patterson-Jones LPJ Oil Services</v>
      </c>
      <c r="C5536" s="1" t="s">
        <v>19796</v>
      </c>
      <c r="F5536" s="1" t="s">
        <v>3415</v>
      </c>
      <c r="H5536" s="1" t="s">
        <v>19797</v>
      </c>
      <c r="I5536" s="1" t="s">
        <v>5</v>
      </c>
      <c r="J5536" s="1" t="s">
        <v>6</v>
      </c>
      <c r="K5536" s="1" t="s">
        <v>34</v>
      </c>
      <c r="M5536" s="2">
        <v>42697</v>
      </c>
      <c r="N5536" s="1" t="s">
        <v>8</v>
      </c>
      <c r="O5536" s="2">
        <v>43792</v>
      </c>
    </row>
    <row r="5537" spans="1:15" ht="28.8" x14ac:dyDescent="0.3">
      <c r="A5537" s="1" t="s">
        <v>19798</v>
      </c>
      <c r="B5537" s="1" t="str">
        <f>"Stephen Lloyd S L Plant Hire"</f>
        <v>Stephen Lloyd S L Plant Hire</v>
      </c>
      <c r="C5537" s="1" t="s">
        <v>19799</v>
      </c>
      <c r="F5537" s="1" t="s">
        <v>12</v>
      </c>
      <c r="H5537" s="1" t="s">
        <v>19800</v>
      </c>
      <c r="I5537" s="1" t="s">
        <v>5</v>
      </c>
      <c r="J5537" s="1" t="s">
        <v>6</v>
      </c>
      <c r="K5537" s="1" t="s">
        <v>34</v>
      </c>
      <c r="M5537" s="2">
        <v>42697</v>
      </c>
      <c r="N5537" s="1" t="s">
        <v>8</v>
      </c>
      <c r="O5537" s="2">
        <v>43792</v>
      </c>
    </row>
    <row r="5538" spans="1:15" ht="28.8" x14ac:dyDescent="0.3">
      <c r="A5538" s="1" t="s">
        <v>19801</v>
      </c>
      <c r="B5538" s="1" t="str">
        <f>"Ben Shepherd mumblesproperty.com"</f>
        <v>Ben Shepherd mumblesproperty.com</v>
      </c>
      <c r="C5538" s="1" t="s">
        <v>19802</v>
      </c>
      <c r="D5538" s="1" t="s">
        <v>19803</v>
      </c>
      <c r="E5538" s="1" t="s">
        <v>19804</v>
      </c>
      <c r="F5538" s="1" t="s">
        <v>65</v>
      </c>
      <c r="H5538" s="1" t="s">
        <v>19805</v>
      </c>
      <c r="I5538" s="1" t="s">
        <v>5</v>
      </c>
      <c r="J5538" s="1" t="s">
        <v>6</v>
      </c>
      <c r="K5538" s="1" t="s">
        <v>24</v>
      </c>
      <c r="M5538" s="2">
        <v>42697</v>
      </c>
      <c r="N5538" s="1" t="s">
        <v>8</v>
      </c>
      <c r="O5538" s="2">
        <v>43792</v>
      </c>
    </row>
    <row r="5539" spans="1:15" ht="28.8" x14ac:dyDescent="0.3">
      <c r="A5539" s="1" t="s">
        <v>3712</v>
      </c>
      <c r="B5539" s="1" t="str">
        <f>"AT ENVIRONMENTAL WALES LTD"</f>
        <v>AT ENVIRONMENTAL WALES LTD</v>
      </c>
      <c r="C5539" s="1" t="s">
        <v>3713</v>
      </c>
      <c r="F5539" s="1" t="s">
        <v>706</v>
      </c>
      <c r="H5539" s="1" t="s">
        <v>3714</v>
      </c>
      <c r="I5539" s="1" t="s">
        <v>19</v>
      </c>
      <c r="J5539" s="1" t="s">
        <v>6</v>
      </c>
      <c r="K5539" s="1" t="s">
        <v>34</v>
      </c>
      <c r="L5539" s="1">
        <v>6168213</v>
      </c>
      <c r="M5539" s="2">
        <v>42696</v>
      </c>
      <c r="N5539" s="1" t="s">
        <v>8</v>
      </c>
      <c r="O5539" s="2">
        <v>43791</v>
      </c>
    </row>
    <row r="5540" spans="1:15" ht="28.8" x14ac:dyDescent="0.3">
      <c r="A5540" s="1" t="s">
        <v>3715</v>
      </c>
      <c r="B5540" s="1" t="str">
        <f>"SIMON HULLIN DEVELOPMENTS LTD"</f>
        <v>SIMON HULLIN DEVELOPMENTS LTD</v>
      </c>
      <c r="C5540" s="1" t="s">
        <v>3716</v>
      </c>
      <c r="F5540" s="1" t="s">
        <v>65</v>
      </c>
      <c r="H5540" s="1" t="s">
        <v>3717</v>
      </c>
      <c r="I5540" s="1" t="s">
        <v>19</v>
      </c>
      <c r="J5540" s="1" t="s">
        <v>6</v>
      </c>
      <c r="K5540" s="1" t="s">
        <v>24</v>
      </c>
      <c r="L5540" s="1">
        <v>4658932</v>
      </c>
      <c r="M5540" s="2">
        <v>42696</v>
      </c>
      <c r="N5540" s="1" t="s">
        <v>8</v>
      </c>
      <c r="O5540" s="2">
        <v>43791</v>
      </c>
    </row>
    <row r="5541" spans="1:15" ht="43.2" x14ac:dyDescent="0.3">
      <c r="A5541" s="1" t="s">
        <v>18443</v>
      </c>
      <c r="B5541" s="1" t="str">
        <f>"Winch Lane GP Surgery"</f>
        <v>Winch Lane GP Surgery</v>
      </c>
      <c r="C5541" s="1" t="s">
        <v>18444</v>
      </c>
      <c r="F5541" s="1" t="s">
        <v>438</v>
      </c>
      <c r="H5541" s="1" t="s">
        <v>18445</v>
      </c>
      <c r="I5541" s="1" t="s">
        <v>125</v>
      </c>
      <c r="J5541" s="1" t="s">
        <v>67</v>
      </c>
      <c r="K5541" s="1" t="s">
        <v>14</v>
      </c>
      <c r="M5541" s="2">
        <v>42696</v>
      </c>
      <c r="N5541" s="1" t="s">
        <v>8</v>
      </c>
      <c r="O5541" s="1" t="s">
        <v>68</v>
      </c>
    </row>
    <row r="5542" spans="1:15" ht="43.2" x14ac:dyDescent="0.3">
      <c r="A5542" s="1" t="s">
        <v>18446</v>
      </c>
      <c r="B5542" s="1" t="str">
        <f>"Lb removals and clearances "</f>
        <v xml:space="preserve">Lb removals and clearances </v>
      </c>
      <c r="C5542" s="1" t="s">
        <v>18447</v>
      </c>
      <c r="F5542" s="1" t="s">
        <v>380</v>
      </c>
      <c r="H5542" s="1" t="s">
        <v>18448</v>
      </c>
      <c r="I5542" s="1" t="s">
        <v>188</v>
      </c>
      <c r="J5542" s="1" t="s">
        <v>67</v>
      </c>
      <c r="K5542" s="1" t="s">
        <v>14</v>
      </c>
      <c r="M5542" s="2">
        <v>42696</v>
      </c>
      <c r="N5542" s="1" t="s">
        <v>8</v>
      </c>
      <c r="O5542" s="1" t="s">
        <v>68</v>
      </c>
    </row>
    <row r="5543" spans="1:15" ht="43.2" x14ac:dyDescent="0.3">
      <c r="A5543" s="1" t="s">
        <v>18944</v>
      </c>
      <c r="B5543" s="1" t="str">
        <f>"robin roberts r.d.roberts contracting"</f>
        <v>robin roberts r.d.roberts contracting</v>
      </c>
      <c r="C5543" s="1" t="s">
        <v>18945</v>
      </c>
      <c r="F5543" s="1" t="s">
        <v>18946</v>
      </c>
      <c r="H5543" s="1" t="s">
        <v>18947</v>
      </c>
      <c r="I5543" s="1" t="s">
        <v>5</v>
      </c>
      <c r="J5543" s="1" t="s">
        <v>67</v>
      </c>
      <c r="K5543" s="1" t="s">
        <v>34</v>
      </c>
      <c r="M5543" s="2">
        <v>42696</v>
      </c>
      <c r="N5543" s="1" t="s">
        <v>8</v>
      </c>
      <c r="O5543" s="1" t="s">
        <v>68</v>
      </c>
    </row>
    <row r="5544" spans="1:15" ht="43.2" x14ac:dyDescent="0.3">
      <c r="A5544" s="1" t="s">
        <v>18948</v>
      </c>
      <c r="B5544" s="1" t="str">
        <f>"sion  watson"</f>
        <v>sion  watson</v>
      </c>
      <c r="C5544" s="1" t="s">
        <v>18949</v>
      </c>
      <c r="D5544" s="1" t="s">
        <v>18950</v>
      </c>
      <c r="F5544" s="1" t="s">
        <v>9261</v>
      </c>
      <c r="H5544" s="1" t="s">
        <v>18951</v>
      </c>
      <c r="I5544" s="1" t="s">
        <v>5</v>
      </c>
      <c r="J5544" s="1" t="s">
        <v>67</v>
      </c>
      <c r="K5544" s="1" t="s">
        <v>14</v>
      </c>
      <c r="M5544" s="2">
        <v>42696</v>
      </c>
      <c r="N5544" s="1" t="s">
        <v>8</v>
      </c>
      <c r="O5544" s="1" t="s">
        <v>68</v>
      </c>
    </row>
    <row r="5545" spans="1:15" ht="43.2" x14ac:dyDescent="0.3">
      <c r="A5545" s="1" t="s">
        <v>30023</v>
      </c>
      <c r="B5545" s="1" t="str">
        <f>"David Beckerley"</f>
        <v>David Beckerley</v>
      </c>
      <c r="C5545" s="1" t="s">
        <v>21473</v>
      </c>
      <c r="F5545" s="1" t="s">
        <v>27</v>
      </c>
      <c r="H5545" s="1" t="s">
        <v>21474</v>
      </c>
      <c r="I5545" s="1" t="s">
        <v>5</v>
      </c>
      <c r="J5545" s="1" t="s">
        <v>67</v>
      </c>
      <c r="K5545" s="1" t="s">
        <v>14</v>
      </c>
      <c r="M5545" s="2">
        <v>42696</v>
      </c>
      <c r="N5545" s="1" t="s">
        <v>8</v>
      </c>
      <c r="O5545" s="1" t="s">
        <v>68</v>
      </c>
    </row>
    <row r="5546" spans="1:15" ht="43.2" x14ac:dyDescent="0.3">
      <c r="A5546" s="1" t="s">
        <v>17492</v>
      </c>
      <c r="B5546" s="1" t="str">
        <f>"Giggles Nursery"</f>
        <v>Giggles Nursery</v>
      </c>
      <c r="C5546" s="1" t="s">
        <v>17493</v>
      </c>
      <c r="F5546" s="1" t="s">
        <v>7218</v>
      </c>
      <c r="H5546" s="1" t="s">
        <v>17494</v>
      </c>
      <c r="I5546" s="1" t="s">
        <v>19</v>
      </c>
      <c r="J5546" s="1" t="s">
        <v>67</v>
      </c>
      <c r="K5546" s="1" t="s">
        <v>14</v>
      </c>
      <c r="M5546" s="2">
        <v>42695</v>
      </c>
      <c r="N5546" s="1" t="s">
        <v>8</v>
      </c>
      <c r="O5546" s="1" t="s">
        <v>68</v>
      </c>
    </row>
    <row r="5547" spans="1:15" ht="43.2" x14ac:dyDescent="0.3">
      <c r="A5547" s="1" t="s">
        <v>17495</v>
      </c>
      <c r="B5547" s="1" t="str">
        <f>"mence and clark"</f>
        <v>mence and clark</v>
      </c>
      <c r="C5547" s="1" t="s">
        <v>17496</v>
      </c>
      <c r="F5547" s="1" t="s">
        <v>103</v>
      </c>
      <c r="H5547" s="1" t="s">
        <v>17497</v>
      </c>
      <c r="I5547" s="1" t="s">
        <v>125</v>
      </c>
      <c r="J5547" s="1" t="s">
        <v>67</v>
      </c>
      <c r="K5547" s="1" t="s">
        <v>14</v>
      </c>
      <c r="M5547" s="2">
        <v>42695</v>
      </c>
      <c r="N5547" s="1" t="s">
        <v>8</v>
      </c>
      <c r="O5547" s="1" t="s">
        <v>68</v>
      </c>
    </row>
    <row r="5548" spans="1:15" ht="43.2" x14ac:dyDescent="0.3">
      <c r="A5548" s="1" t="s">
        <v>17498</v>
      </c>
      <c r="B5548" s="1" t="str">
        <f>"CAMBRIA MAINTENANCE SERVICES LIMITED"</f>
        <v>CAMBRIA MAINTENANCE SERVICES LIMITED</v>
      </c>
      <c r="C5548" s="1" t="s">
        <v>17499</v>
      </c>
      <c r="D5548" s="1" t="s">
        <v>17500</v>
      </c>
      <c r="F5548" s="1" t="s">
        <v>123</v>
      </c>
      <c r="H5548" s="1" t="s">
        <v>17501</v>
      </c>
      <c r="I5548" s="1" t="s">
        <v>19</v>
      </c>
      <c r="J5548" s="1" t="s">
        <v>6</v>
      </c>
      <c r="K5548" s="1" t="s">
        <v>34</v>
      </c>
      <c r="L5548" s="1">
        <v>7389484</v>
      </c>
      <c r="M5548" s="2">
        <v>42695</v>
      </c>
      <c r="N5548" s="1" t="s">
        <v>8</v>
      </c>
      <c r="O5548" s="2">
        <v>43790</v>
      </c>
    </row>
    <row r="5549" spans="1:15" ht="28.8" x14ac:dyDescent="0.3">
      <c r="A5549" s="1" t="s">
        <v>18437</v>
      </c>
      <c r="B5549" s="1" t="str">
        <f>"Aderyn Ltd"</f>
        <v>Aderyn Ltd</v>
      </c>
      <c r="C5549" s="1" t="s">
        <v>18438</v>
      </c>
      <c r="F5549" s="1" t="s">
        <v>457</v>
      </c>
      <c r="H5549" s="1" t="s">
        <v>18439</v>
      </c>
      <c r="I5549" s="1" t="s">
        <v>19</v>
      </c>
      <c r="J5549" s="1" t="s">
        <v>6</v>
      </c>
      <c r="K5549" s="1" t="s">
        <v>34</v>
      </c>
      <c r="L5549" s="1">
        <v>7004697</v>
      </c>
      <c r="M5549" s="2">
        <v>42695</v>
      </c>
      <c r="N5549" s="1" t="s">
        <v>8</v>
      </c>
      <c r="O5549" s="2">
        <v>43790</v>
      </c>
    </row>
    <row r="5550" spans="1:15" ht="28.8" x14ac:dyDescent="0.3">
      <c r="A5550" s="1" t="s">
        <v>18440</v>
      </c>
      <c r="B5550" s="1" t="str">
        <f>"R D THOMAS HAULAGE LTD"</f>
        <v>R D THOMAS HAULAGE LTD</v>
      </c>
      <c r="C5550" s="1" t="s">
        <v>18441</v>
      </c>
      <c r="D5550" s="1" t="s">
        <v>15129</v>
      </c>
      <c r="F5550" s="1" t="s">
        <v>786</v>
      </c>
      <c r="H5550" s="1" t="s">
        <v>18442</v>
      </c>
      <c r="I5550" s="1" t="s">
        <v>19</v>
      </c>
      <c r="J5550" s="1" t="s">
        <v>6</v>
      </c>
      <c r="K5550" s="1" t="s">
        <v>24</v>
      </c>
      <c r="L5550" s="1">
        <v>5292903</v>
      </c>
      <c r="M5550" s="2">
        <v>42695</v>
      </c>
      <c r="N5550" s="1" t="s">
        <v>8</v>
      </c>
      <c r="O5550" s="2">
        <v>43790</v>
      </c>
    </row>
    <row r="5551" spans="1:15" ht="28.8" x14ac:dyDescent="0.3">
      <c r="A5551" s="1" t="s">
        <v>29265</v>
      </c>
      <c r="B5551" s="1" t="str">
        <f>"Neil Simon Neil Simon Haulage"</f>
        <v>Neil Simon Neil Simon Haulage</v>
      </c>
      <c r="C5551" s="1" t="s">
        <v>29266</v>
      </c>
      <c r="F5551" s="1" t="s">
        <v>10970</v>
      </c>
      <c r="H5551" s="1" t="s">
        <v>29267</v>
      </c>
      <c r="I5551" s="1" t="s">
        <v>5</v>
      </c>
      <c r="J5551" s="1" t="s">
        <v>6</v>
      </c>
      <c r="K5551" s="1" t="s">
        <v>24</v>
      </c>
      <c r="M5551" s="2">
        <v>42695</v>
      </c>
      <c r="N5551" s="1" t="s">
        <v>8</v>
      </c>
      <c r="O5551" s="2">
        <v>43790</v>
      </c>
    </row>
    <row r="5552" spans="1:15" ht="28.8" x14ac:dyDescent="0.3">
      <c r="A5552" s="1" t="s">
        <v>30013</v>
      </c>
      <c r="B5552" s="1" t="str">
        <f>"Elfed Evans E L Evans Haulage"</f>
        <v>Elfed Evans E L Evans Haulage</v>
      </c>
      <c r="C5552" s="1" t="s">
        <v>30014</v>
      </c>
      <c r="F5552" s="1" t="s">
        <v>1169</v>
      </c>
      <c r="H5552" s="1" t="s">
        <v>30015</v>
      </c>
      <c r="I5552" s="1" t="s">
        <v>5</v>
      </c>
      <c r="J5552" s="1" t="s">
        <v>6</v>
      </c>
      <c r="K5552" s="1" t="s">
        <v>24</v>
      </c>
      <c r="M5552" s="2">
        <v>42695</v>
      </c>
      <c r="N5552" s="1" t="s">
        <v>8</v>
      </c>
      <c r="O5552" s="2">
        <v>43790</v>
      </c>
    </row>
    <row r="5553" spans="1:15" ht="43.2" x14ac:dyDescent="0.3">
      <c r="A5553" s="1" t="s">
        <v>30016</v>
      </c>
      <c r="B5553" s="1" t="str">
        <f>"ALWYN THOMAS"</f>
        <v>ALWYN THOMAS</v>
      </c>
      <c r="C5553" s="1" t="s">
        <v>30017</v>
      </c>
      <c r="F5553" s="1" t="s">
        <v>710</v>
      </c>
      <c r="H5553" s="1" t="s">
        <v>30018</v>
      </c>
      <c r="I5553" s="1" t="s">
        <v>5</v>
      </c>
      <c r="J5553" s="1" t="s">
        <v>67</v>
      </c>
      <c r="K5553" s="1" t="s">
        <v>14</v>
      </c>
      <c r="M5553" s="2">
        <v>42695</v>
      </c>
      <c r="N5553" s="1" t="s">
        <v>8</v>
      </c>
      <c r="O5553" s="1" t="s">
        <v>68</v>
      </c>
    </row>
    <row r="5554" spans="1:15" ht="28.8" x14ac:dyDescent="0.3">
      <c r="A5554" s="1" t="s">
        <v>30019</v>
      </c>
      <c r="B5554" s="1" t="str">
        <f>"Griff Davies G R Davies"</f>
        <v>Griff Davies G R Davies</v>
      </c>
      <c r="C5554" s="1" t="s">
        <v>30020</v>
      </c>
      <c r="F5554" s="1" t="s">
        <v>7844</v>
      </c>
      <c r="H5554" s="1" t="s">
        <v>30021</v>
      </c>
      <c r="I5554" s="1" t="s">
        <v>5</v>
      </c>
      <c r="J5554" s="1" t="s">
        <v>6</v>
      </c>
      <c r="K5554" s="1" t="s">
        <v>24</v>
      </c>
      <c r="M5554" s="2">
        <v>42695</v>
      </c>
      <c r="N5554" s="1" t="s">
        <v>8</v>
      </c>
      <c r="O5554" s="2">
        <v>43791</v>
      </c>
    </row>
    <row r="5555" spans="1:15" ht="43.2" x14ac:dyDescent="0.3">
      <c r="A5555" s="1" t="s">
        <v>30022</v>
      </c>
      <c r="B5555" s="1" t="str">
        <f>"Robert Leach"</f>
        <v>Robert Leach</v>
      </c>
      <c r="C5555" s="1" t="s">
        <v>7177</v>
      </c>
      <c r="F5555" s="1" t="s">
        <v>1321</v>
      </c>
      <c r="H5555" s="1" t="s">
        <v>7178</v>
      </c>
      <c r="I5555" s="1" t="s">
        <v>5</v>
      </c>
      <c r="J5555" s="1" t="s">
        <v>67</v>
      </c>
      <c r="K5555" s="1" t="s">
        <v>14</v>
      </c>
      <c r="M5555" s="2">
        <v>42695</v>
      </c>
      <c r="N5555" s="1" t="s">
        <v>8</v>
      </c>
      <c r="O5555" s="1" t="s">
        <v>68</v>
      </c>
    </row>
    <row r="5556" spans="1:15" ht="43.2" x14ac:dyDescent="0.3">
      <c r="A5556" s="1" t="s">
        <v>29259</v>
      </c>
      <c r="B5556" s="1" t="str">
        <f>"Kris Phillips Complete carpentry"</f>
        <v>Kris Phillips Complete carpentry</v>
      </c>
      <c r="C5556" s="1" t="s">
        <v>29260</v>
      </c>
      <c r="F5556" s="1" t="s">
        <v>438</v>
      </c>
      <c r="H5556" s="1" t="s">
        <v>29261</v>
      </c>
      <c r="I5556" s="1" t="s">
        <v>5</v>
      </c>
      <c r="J5556" s="1" t="s">
        <v>67</v>
      </c>
      <c r="K5556" s="1" t="s">
        <v>24</v>
      </c>
      <c r="M5556" s="2">
        <v>42694</v>
      </c>
      <c r="N5556" s="1" t="s">
        <v>8</v>
      </c>
      <c r="O5556" s="1" t="s">
        <v>68</v>
      </c>
    </row>
    <row r="5557" spans="1:15" ht="28.8" x14ac:dyDescent="0.3">
      <c r="A5557" s="1" t="s">
        <v>29262</v>
      </c>
      <c r="B5557" s="1" t="str">
        <f>"Matthew Williams Slega recycling "</f>
        <v xml:space="preserve">Matthew Williams Slega recycling </v>
      </c>
      <c r="C5557" s="1" t="s">
        <v>29263</v>
      </c>
      <c r="F5557" s="1" t="s">
        <v>174</v>
      </c>
      <c r="H5557" s="1" t="s">
        <v>29264</v>
      </c>
      <c r="I5557" s="1" t="s">
        <v>5</v>
      </c>
      <c r="J5557" s="1" t="s">
        <v>6</v>
      </c>
      <c r="K5557" s="1" t="s">
        <v>24</v>
      </c>
      <c r="M5557" s="2">
        <v>42694</v>
      </c>
      <c r="N5557" s="1" t="s">
        <v>8</v>
      </c>
      <c r="O5557" s="2">
        <v>43789</v>
      </c>
    </row>
    <row r="5558" spans="1:15" ht="43.2" x14ac:dyDescent="0.3">
      <c r="A5558" s="1" t="s">
        <v>17491</v>
      </c>
      <c r="B5558" s="1" t="str">
        <f>"queensfeery car breakers"</f>
        <v>queensfeery car breakers</v>
      </c>
      <c r="C5558" s="1" t="s">
        <v>645</v>
      </c>
      <c r="F5558" s="1" t="s">
        <v>1346</v>
      </c>
      <c r="H5558" s="1" t="s">
        <v>646</v>
      </c>
      <c r="I5558" s="1" t="s">
        <v>188</v>
      </c>
      <c r="J5558" s="1" t="s">
        <v>67</v>
      </c>
      <c r="K5558" s="1" t="s">
        <v>14</v>
      </c>
      <c r="M5558" s="2">
        <v>42693</v>
      </c>
      <c r="N5558" s="1" t="s">
        <v>8</v>
      </c>
      <c r="O5558" s="1" t="s">
        <v>68</v>
      </c>
    </row>
    <row r="5559" spans="1:15" ht="43.2" x14ac:dyDescent="0.3">
      <c r="A5559" s="1" t="s">
        <v>12543</v>
      </c>
      <c r="B5559" s="1" t="str">
        <f>"Deeksfarms"</f>
        <v>Deeksfarms</v>
      </c>
      <c r="C5559" s="1" t="s">
        <v>12544</v>
      </c>
      <c r="D5559" s="1" t="s">
        <v>12545</v>
      </c>
      <c r="F5559" s="1" t="s">
        <v>12546</v>
      </c>
      <c r="H5559" s="1" t="s">
        <v>12547</v>
      </c>
      <c r="I5559" s="1" t="s">
        <v>125</v>
      </c>
      <c r="J5559" s="1" t="s">
        <v>67</v>
      </c>
      <c r="K5559" s="1" t="s">
        <v>14</v>
      </c>
      <c r="M5559" s="2">
        <v>42692</v>
      </c>
      <c r="N5559" s="1" t="s">
        <v>8</v>
      </c>
      <c r="O5559" s="1" t="s">
        <v>68</v>
      </c>
    </row>
    <row r="5560" spans="1:15" ht="28.8" x14ac:dyDescent="0.3">
      <c r="A5560" s="1" t="s">
        <v>12548</v>
      </c>
      <c r="B5560" s="1" t="str">
        <f>"RBM Haulage &amp; Hire Ltd"</f>
        <v>RBM Haulage &amp; Hire Ltd</v>
      </c>
      <c r="C5560" s="1" t="s">
        <v>12549</v>
      </c>
      <c r="F5560" s="1" t="s">
        <v>2906</v>
      </c>
      <c r="H5560" s="1" t="s">
        <v>12550</v>
      </c>
      <c r="I5560" s="1" t="s">
        <v>19</v>
      </c>
      <c r="J5560" s="1" t="s">
        <v>6</v>
      </c>
      <c r="K5560" s="1" t="s">
        <v>24</v>
      </c>
      <c r="L5560" s="1">
        <v>8654709</v>
      </c>
      <c r="M5560" s="2">
        <v>42692</v>
      </c>
      <c r="N5560" s="1" t="s">
        <v>8</v>
      </c>
      <c r="O5560" s="2">
        <v>43787</v>
      </c>
    </row>
    <row r="5561" spans="1:15" ht="28.8" x14ac:dyDescent="0.3">
      <c r="A5561" s="1" t="s">
        <v>12551</v>
      </c>
      <c r="B5561" s="1" t="str">
        <f>"J M  Vokes Ltd."</f>
        <v>J M  Vokes Ltd.</v>
      </c>
      <c r="C5561" s="1" t="s">
        <v>12552</v>
      </c>
      <c r="D5561" s="1" t="s">
        <v>12553</v>
      </c>
      <c r="F5561" s="1" t="s">
        <v>380</v>
      </c>
      <c r="H5561" s="1" t="s">
        <v>12554</v>
      </c>
      <c r="I5561" s="1" t="s">
        <v>19</v>
      </c>
      <c r="J5561" s="1" t="s">
        <v>6</v>
      </c>
      <c r="K5561" s="1" t="s">
        <v>24</v>
      </c>
      <c r="L5561" s="1">
        <v>906550</v>
      </c>
      <c r="M5561" s="2">
        <v>42692</v>
      </c>
      <c r="N5561" s="1" t="s">
        <v>8</v>
      </c>
      <c r="O5561" s="2">
        <v>43787</v>
      </c>
    </row>
    <row r="5562" spans="1:15" ht="28.8" x14ac:dyDescent="0.3">
      <c r="A5562" s="1" t="s">
        <v>17488</v>
      </c>
      <c r="B5562" s="1" t="str">
        <f>"Colin Laver Heating Ltd."</f>
        <v>Colin Laver Heating Ltd.</v>
      </c>
      <c r="C5562" s="1" t="s">
        <v>17489</v>
      </c>
      <c r="D5562" s="1" t="s">
        <v>1761</v>
      </c>
      <c r="F5562" s="1" t="s">
        <v>277</v>
      </c>
      <c r="H5562" s="1" t="s">
        <v>17490</v>
      </c>
      <c r="I5562" s="1" t="s">
        <v>19</v>
      </c>
      <c r="J5562" s="1" t="s">
        <v>6</v>
      </c>
      <c r="K5562" s="1" t="s">
        <v>24</v>
      </c>
      <c r="L5562" s="1">
        <v>1572590</v>
      </c>
      <c r="M5562" s="2">
        <v>42692</v>
      </c>
      <c r="N5562" s="1" t="s">
        <v>8</v>
      </c>
      <c r="O5562" s="2">
        <v>43787</v>
      </c>
    </row>
    <row r="5563" spans="1:15" ht="28.8" x14ac:dyDescent="0.3">
      <c r="A5563" s="1" t="s">
        <v>25414</v>
      </c>
      <c r="B5563" s="1" t="str">
        <f>"Colin Jessup Colin Jessup"</f>
        <v>Colin Jessup Colin Jessup</v>
      </c>
      <c r="C5563" s="1" t="s">
        <v>25415</v>
      </c>
      <c r="F5563" s="1" t="s">
        <v>1321</v>
      </c>
      <c r="H5563" s="1" t="s">
        <v>15415</v>
      </c>
      <c r="I5563" s="1" t="s">
        <v>5</v>
      </c>
      <c r="J5563" s="1" t="s">
        <v>6</v>
      </c>
      <c r="K5563" s="1" t="s">
        <v>24</v>
      </c>
      <c r="M5563" s="2">
        <v>42692</v>
      </c>
      <c r="N5563" s="1" t="s">
        <v>8</v>
      </c>
      <c r="O5563" s="2">
        <v>43787</v>
      </c>
    </row>
    <row r="5564" spans="1:15" x14ac:dyDescent="0.3">
      <c r="A5564" s="1" t="s">
        <v>25416</v>
      </c>
      <c r="B5564" s="1" t="str">
        <f>"Andrew Jones JMS"</f>
        <v>Andrew Jones JMS</v>
      </c>
      <c r="C5564" s="1" t="s">
        <v>25417</v>
      </c>
      <c r="F5564" s="1" t="s">
        <v>1479</v>
      </c>
      <c r="H5564" s="1" t="s">
        <v>25418</v>
      </c>
      <c r="I5564" s="1" t="s">
        <v>5</v>
      </c>
      <c r="J5564" s="1" t="s">
        <v>6</v>
      </c>
      <c r="K5564" s="1" t="s">
        <v>24</v>
      </c>
      <c r="M5564" s="2">
        <v>42692</v>
      </c>
      <c r="N5564" s="1" t="s">
        <v>8</v>
      </c>
      <c r="O5564" s="2">
        <v>43787</v>
      </c>
    </row>
    <row r="5565" spans="1:15" ht="28.8" x14ac:dyDescent="0.3">
      <c r="A5565" s="1" t="s">
        <v>26144</v>
      </c>
      <c r="B5565" s="1" t="str">
        <f>"jonathan norris jjn autos"</f>
        <v>jonathan norris jjn autos</v>
      </c>
      <c r="C5565" s="1" t="s">
        <v>26145</v>
      </c>
      <c r="F5565" s="1" t="s">
        <v>65</v>
      </c>
      <c r="H5565" s="1" t="s">
        <v>26146</v>
      </c>
      <c r="I5565" s="1" t="s">
        <v>5</v>
      </c>
      <c r="J5565" s="1" t="s">
        <v>6</v>
      </c>
      <c r="K5565" s="1" t="s">
        <v>24</v>
      </c>
      <c r="M5565" s="2">
        <v>42692</v>
      </c>
      <c r="N5565" s="1" t="s">
        <v>8</v>
      </c>
      <c r="O5565" s="2">
        <v>43787</v>
      </c>
    </row>
    <row r="5566" spans="1:15" ht="28.8" x14ac:dyDescent="0.3">
      <c r="A5566" s="1" t="s">
        <v>29256</v>
      </c>
      <c r="B5566" s="1" t="str">
        <f>"Caradoc Lowe County Windows &amp; Joiners"</f>
        <v>Caradoc Lowe County Windows &amp; Joiners</v>
      </c>
      <c r="C5566" s="1" t="s">
        <v>29257</v>
      </c>
      <c r="F5566" s="1" t="s">
        <v>3415</v>
      </c>
      <c r="H5566" s="1" t="s">
        <v>29258</v>
      </c>
      <c r="I5566" s="1" t="s">
        <v>5</v>
      </c>
      <c r="J5566" s="1" t="s">
        <v>6</v>
      </c>
      <c r="K5566" s="1" t="s">
        <v>24</v>
      </c>
      <c r="M5566" s="2">
        <v>42692</v>
      </c>
      <c r="N5566" s="1" t="s">
        <v>8</v>
      </c>
      <c r="O5566" s="2">
        <v>43787</v>
      </c>
    </row>
    <row r="5567" spans="1:15" ht="57.6" x14ac:dyDescent="0.3">
      <c r="A5567" s="1" t="s">
        <v>11602</v>
      </c>
      <c r="B5567" s="1" t="str">
        <f>"Graig Environmental Recycling Services Ltd."</f>
        <v>Graig Environmental Recycling Services Ltd.</v>
      </c>
      <c r="C5567" s="1" t="s">
        <v>11603</v>
      </c>
      <c r="F5567" s="1" t="s">
        <v>277</v>
      </c>
      <c r="H5567" s="1" t="s">
        <v>11604</v>
      </c>
      <c r="I5567" s="1" t="s">
        <v>19</v>
      </c>
      <c r="J5567" s="1" t="s">
        <v>6</v>
      </c>
      <c r="K5567" s="1" t="s">
        <v>24</v>
      </c>
      <c r="L5567" s="1">
        <v>3668881</v>
      </c>
      <c r="M5567" s="2">
        <v>42691</v>
      </c>
      <c r="N5567" s="1" t="s">
        <v>8</v>
      </c>
      <c r="O5567" s="2">
        <v>43786</v>
      </c>
    </row>
    <row r="5568" spans="1:15" ht="28.8" x14ac:dyDescent="0.3">
      <c r="A5568" s="1" t="s">
        <v>11605</v>
      </c>
      <c r="B5568" s="1" t="str">
        <f>"allenfencing and landscaping"</f>
        <v>allenfencing and landscaping</v>
      </c>
      <c r="C5568" s="1" t="s">
        <v>11606</v>
      </c>
      <c r="F5568" s="1" t="s">
        <v>277</v>
      </c>
      <c r="H5568" s="1" t="s">
        <v>11607</v>
      </c>
      <c r="I5568" s="1" t="s">
        <v>125</v>
      </c>
      <c r="J5568" s="1" t="s">
        <v>6</v>
      </c>
      <c r="K5568" s="1" t="s">
        <v>24</v>
      </c>
      <c r="M5568" s="2">
        <v>42691</v>
      </c>
      <c r="N5568" s="1" t="s">
        <v>8</v>
      </c>
      <c r="O5568" s="2">
        <v>43786</v>
      </c>
    </row>
    <row r="5569" spans="1:15" ht="28.8" x14ac:dyDescent="0.3">
      <c r="A5569" s="1" t="s">
        <v>12540</v>
      </c>
      <c r="B5569" s="1" t="str">
        <f>"TIR Construction Ltd"</f>
        <v>TIR Construction Ltd</v>
      </c>
      <c r="C5569" s="1" t="s">
        <v>12541</v>
      </c>
      <c r="D5569" s="1" t="s">
        <v>4033</v>
      </c>
      <c r="F5569" s="1" t="s">
        <v>3</v>
      </c>
      <c r="H5569" s="1" t="s">
        <v>12542</v>
      </c>
      <c r="I5569" s="1" t="s">
        <v>19</v>
      </c>
      <c r="J5569" s="1" t="s">
        <v>6</v>
      </c>
      <c r="K5569" s="1" t="s">
        <v>34</v>
      </c>
      <c r="L5569" s="1">
        <v>8242245</v>
      </c>
      <c r="M5569" s="2">
        <v>42691</v>
      </c>
      <c r="N5569" s="1" t="s">
        <v>8</v>
      </c>
      <c r="O5569" s="2">
        <v>43786</v>
      </c>
    </row>
    <row r="5570" spans="1:15" ht="28.8" x14ac:dyDescent="0.3">
      <c r="A5570" s="1" t="s">
        <v>24554</v>
      </c>
      <c r="B5570" s="1" t="str">
        <f>"Damien Duffy Damien duffy"</f>
        <v>Damien Duffy Damien duffy</v>
      </c>
      <c r="C5570" s="1" t="s">
        <v>24555</v>
      </c>
      <c r="F5570" s="1" t="s">
        <v>103</v>
      </c>
      <c r="H5570" s="1" t="s">
        <v>24556</v>
      </c>
      <c r="I5570" s="1" t="s">
        <v>5</v>
      </c>
      <c r="J5570" s="1" t="s">
        <v>6</v>
      </c>
      <c r="K5570" s="1" t="s">
        <v>24</v>
      </c>
      <c r="M5570" s="2">
        <v>42691</v>
      </c>
      <c r="N5570" s="1" t="s">
        <v>8</v>
      </c>
      <c r="O5570" s="2">
        <v>43786</v>
      </c>
    </row>
    <row r="5571" spans="1:15" ht="43.2" x14ac:dyDescent="0.3">
      <c r="A5571" s="1" t="s">
        <v>24557</v>
      </c>
      <c r="B5571" s="1" t="str">
        <f>"clinton phillips"</f>
        <v>clinton phillips</v>
      </c>
      <c r="C5571" s="1" t="s">
        <v>24558</v>
      </c>
      <c r="F5571" s="1" t="s">
        <v>2200</v>
      </c>
      <c r="H5571" s="1" t="s">
        <v>24559</v>
      </c>
      <c r="I5571" s="1" t="s">
        <v>5</v>
      </c>
      <c r="J5571" s="1" t="s">
        <v>67</v>
      </c>
      <c r="K5571" s="1" t="s">
        <v>14</v>
      </c>
      <c r="M5571" s="2">
        <v>42691</v>
      </c>
      <c r="N5571" s="1" t="s">
        <v>8</v>
      </c>
      <c r="O5571" s="1" t="s">
        <v>68</v>
      </c>
    </row>
    <row r="5572" spans="1:15" ht="43.2" x14ac:dyDescent="0.3">
      <c r="A5572" s="1" t="s">
        <v>24560</v>
      </c>
      <c r="B5572" s="1" t="str">
        <f>"Ben Williams"</f>
        <v>Ben Williams</v>
      </c>
      <c r="C5572" s="1" t="s">
        <v>24561</v>
      </c>
      <c r="F5572" s="1" t="s">
        <v>865</v>
      </c>
      <c r="H5572" s="1" t="s">
        <v>24562</v>
      </c>
      <c r="I5572" s="1" t="s">
        <v>5</v>
      </c>
      <c r="J5572" s="1" t="s">
        <v>67</v>
      </c>
      <c r="K5572" s="1" t="s">
        <v>14</v>
      </c>
      <c r="M5572" s="2">
        <v>42691</v>
      </c>
      <c r="N5572" s="1" t="s">
        <v>8</v>
      </c>
      <c r="O5572" s="1" t="s">
        <v>68</v>
      </c>
    </row>
    <row r="5573" spans="1:15" ht="28.8" x14ac:dyDescent="0.3">
      <c r="A5573" s="1" t="s">
        <v>25405</v>
      </c>
      <c r="B5573" s="1" t="str">
        <f>"Daniel Hurford 4 Sure Installations"</f>
        <v>Daniel Hurford 4 Sure Installations</v>
      </c>
      <c r="C5573" s="1" t="s">
        <v>25406</v>
      </c>
      <c r="F5573" s="1" t="s">
        <v>27</v>
      </c>
      <c r="H5573" s="1" t="s">
        <v>25407</v>
      </c>
      <c r="I5573" s="1" t="s">
        <v>5</v>
      </c>
      <c r="J5573" s="1" t="s">
        <v>6</v>
      </c>
      <c r="K5573" s="1" t="s">
        <v>24</v>
      </c>
      <c r="M5573" s="2">
        <v>42691</v>
      </c>
      <c r="N5573" s="1" t="s">
        <v>8</v>
      </c>
      <c r="O5573" s="2">
        <v>43786</v>
      </c>
    </row>
    <row r="5574" spans="1:15" ht="43.2" x14ac:dyDescent="0.3">
      <c r="A5574" s="1" t="s">
        <v>25408</v>
      </c>
      <c r="B5574" s="1" t="str">
        <f>"Charles Williamson"</f>
        <v>Charles Williamson</v>
      </c>
      <c r="C5574" s="1" t="s">
        <v>25409</v>
      </c>
      <c r="F5574" s="1" t="s">
        <v>19104</v>
      </c>
      <c r="H5574" s="1" t="s">
        <v>25410</v>
      </c>
      <c r="I5574" s="1" t="s">
        <v>5</v>
      </c>
      <c r="J5574" s="1" t="s">
        <v>67</v>
      </c>
      <c r="K5574" s="1" t="s">
        <v>14</v>
      </c>
      <c r="M5574" s="2">
        <v>42691</v>
      </c>
      <c r="N5574" s="1" t="s">
        <v>8</v>
      </c>
      <c r="O5574" s="1" t="s">
        <v>68</v>
      </c>
    </row>
    <row r="5575" spans="1:15" ht="43.2" x14ac:dyDescent="0.3">
      <c r="A5575" s="1" t="s">
        <v>25411</v>
      </c>
      <c r="B5575" s="1" t="str">
        <f>"Jonathan Owens Amplexus home improvements"</f>
        <v>Jonathan Owens Amplexus home improvements</v>
      </c>
      <c r="C5575" s="1" t="s">
        <v>25412</v>
      </c>
      <c r="F5575" s="1" t="s">
        <v>2817</v>
      </c>
      <c r="H5575" s="1" t="s">
        <v>25413</v>
      </c>
      <c r="I5575" s="1" t="s">
        <v>5</v>
      </c>
      <c r="J5575" s="1" t="s">
        <v>6</v>
      </c>
      <c r="K5575" s="1" t="s">
        <v>34</v>
      </c>
      <c r="M5575" s="2">
        <v>42691</v>
      </c>
      <c r="N5575" s="1" t="s">
        <v>8</v>
      </c>
      <c r="O5575" s="2">
        <v>43786</v>
      </c>
    </row>
    <row r="5576" spans="1:15" ht="28.8" x14ac:dyDescent="0.3">
      <c r="A5576" s="1" t="s">
        <v>10571</v>
      </c>
      <c r="B5576" s="1" t="str">
        <f>"Everdry Construction Ltd."</f>
        <v>Everdry Construction Ltd.</v>
      </c>
      <c r="C5576" s="1" t="s">
        <v>10572</v>
      </c>
      <c r="F5576" s="1" t="s">
        <v>2950</v>
      </c>
      <c r="H5576" s="1" t="s">
        <v>2417</v>
      </c>
      <c r="I5576" s="1" t="s">
        <v>19</v>
      </c>
      <c r="J5576" s="1" t="s">
        <v>6</v>
      </c>
      <c r="K5576" s="1" t="s">
        <v>34</v>
      </c>
      <c r="L5576" s="1">
        <v>7038775</v>
      </c>
      <c r="M5576" s="2">
        <v>42690</v>
      </c>
      <c r="N5576" s="1" t="s">
        <v>8</v>
      </c>
      <c r="O5576" s="2">
        <v>43785</v>
      </c>
    </row>
    <row r="5577" spans="1:15" ht="28.8" x14ac:dyDescent="0.3">
      <c r="A5577" s="1" t="s">
        <v>10573</v>
      </c>
      <c r="B5577" s="1" t="str">
        <f>"Rawson Digital Limited"</f>
        <v>Rawson Digital Limited</v>
      </c>
      <c r="C5577" s="1" t="s">
        <v>10574</v>
      </c>
      <c r="D5577" s="1" t="s">
        <v>7509</v>
      </c>
      <c r="F5577" s="1" t="s">
        <v>198</v>
      </c>
      <c r="H5577" s="1" t="s">
        <v>3720</v>
      </c>
      <c r="I5577" s="1" t="s">
        <v>19</v>
      </c>
      <c r="J5577" s="1" t="s">
        <v>6</v>
      </c>
      <c r="K5577" s="1" t="s">
        <v>24</v>
      </c>
      <c r="L5577" s="1">
        <v>8127286</v>
      </c>
      <c r="M5577" s="2">
        <v>42690</v>
      </c>
      <c r="N5577" s="1" t="s">
        <v>8</v>
      </c>
      <c r="O5577" s="2">
        <v>43808</v>
      </c>
    </row>
    <row r="5578" spans="1:15" ht="43.2" x14ac:dyDescent="0.3">
      <c r="A5578" s="1" t="s">
        <v>10575</v>
      </c>
      <c r="B5578" s="1" t="str">
        <f>"Rodell Chimneys Ltd"</f>
        <v>Rodell Chimneys Ltd</v>
      </c>
      <c r="C5578" s="1" t="s">
        <v>10576</v>
      </c>
      <c r="F5578" s="1" t="s">
        <v>1206</v>
      </c>
      <c r="H5578" s="1" t="s">
        <v>3199</v>
      </c>
      <c r="I5578" s="1" t="s">
        <v>19</v>
      </c>
      <c r="J5578" s="1" t="s">
        <v>67</v>
      </c>
      <c r="K5578" s="1" t="s">
        <v>14</v>
      </c>
      <c r="M5578" s="2">
        <v>42690</v>
      </c>
      <c r="N5578" s="1" t="s">
        <v>8</v>
      </c>
      <c r="O5578" s="1" t="s">
        <v>68</v>
      </c>
    </row>
    <row r="5579" spans="1:15" ht="43.2" x14ac:dyDescent="0.3">
      <c r="A5579" s="1" t="s">
        <v>10577</v>
      </c>
      <c r="B5579" s="1" t="str">
        <f>"Wps Logistics Ltd."</f>
        <v>Wps Logistics Ltd.</v>
      </c>
      <c r="C5579" s="1" t="s">
        <v>10578</v>
      </c>
      <c r="D5579" s="1" t="s">
        <v>6072</v>
      </c>
      <c r="F5579" s="1" t="s">
        <v>198</v>
      </c>
      <c r="H5579" s="1" t="s">
        <v>6073</v>
      </c>
      <c r="I5579" s="1" t="s">
        <v>19</v>
      </c>
      <c r="J5579" s="1" t="s">
        <v>67</v>
      </c>
      <c r="K5579" s="1" t="s">
        <v>24</v>
      </c>
      <c r="L5579" s="1">
        <v>3158502</v>
      </c>
      <c r="M5579" s="2">
        <v>42690</v>
      </c>
      <c r="N5579" s="1" t="s">
        <v>8</v>
      </c>
      <c r="O5579" s="1" t="s">
        <v>68</v>
      </c>
    </row>
    <row r="5580" spans="1:15" ht="28.8" x14ac:dyDescent="0.3">
      <c r="A5580" s="1" t="s">
        <v>10579</v>
      </c>
      <c r="B5580" s="1" t="str">
        <f>"Howard Phillips Electrical"</f>
        <v>Howard Phillips Electrical</v>
      </c>
      <c r="C5580" s="1" t="s">
        <v>10580</v>
      </c>
      <c r="F5580" s="1" t="s">
        <v>65</v>
      </c>
      <c r="H5580" s="1" t="s">
        <v>10581</v>
      </c>
      <c r="I5580" s="1" t="s">
        <v>19</v>
      </c>
      <c r="J5580" s="1" t="s">
        <v>6</v>
      </c>
      <c r="K5580" s="1" t="s">
        <v>24</v>
      </c>
      <c r="L5580" s="1">
        <v>7174459</v>
      </c>
      <c r="M5580" s="2">
        <v>42690</v>
      </c>
      <c r="N5580" s="1" t="s">
        <v>8</v>
      </c>
      <c r="O5580" s="2">
        <v>43785</v>
      </c>
    </row>
    <row r="5581" spans="1:15" ht="28.8" x14ac:dyDescent="0.3">
      <c r="A5581" s="1" t="s">
        <v>10582</v>
      </c>
      <c r="B5581" s="1" t="str">
        <f>"Wps Logistics Ltd."</f>
        <v>Wps Logistics Ltd.</v>
      </c>
      <c r="C5581" s="1" t="s">
        <v>10578</v>
      </c>
      <c r="D5581" s="1" t="s">
        <v>6072</v>
      </c>
      <c r="F5581" s="1" t="s">
        <v>198</v>
      </c>
      <c r="H5581" s="1" t="s">
        <v>6073</v>
      </c>
      <c r="I5581" s="1" t="s">
        <v>19</v>
      </c>
      <c r="J5581" s="1" t="s">
        <v>6</v>
      </c>
      <c r="K5581" s="1" t="s">
        <v>24</v>
      </c>
      <c r="L5581" s="1">
        <v>3158502</v>
      </c>
      <c r="M5581" s="2">
        <v>42690</v>
      </c>
      <c r="N5581" s="1" t="s">
        <v>8</v>
      </c>
      <c r="O5581" s="2">
        <v>43785</v>
      </c>
    </row>
    <row r="5582" spans="1:15" ht="28.8" x14ac:dyDescent="0.3">
      <c r="A5582" s="1" t="s">
        <v>10583</v>
      </c>
      <c r="B5582" s="1" t="str">
        <f>"TRANS MEDIA TECHNOLOGY LTD"</f>
        <v>TRANS MEDIA TECHNOLOGY LTD</v>
      </c>
      <c r="C5582" s="1" t="s">
        <v>10584</v>
      </c>
      <c r="D5582" s="1" t="s">
        <v>10585</v>
      </c>
      <c r="F5582" s="1" t="s">
        <v>64</v>
      </c>
      <c r="H5582" s="1" t="s">
        <v>8211</v>
      </c>
      <c r="I5582" s="1" t="s">
        <v>19</v>
      </c>
      <c r="J5582" s="1" t="s">
        <v>6</v>
      </c>
      <c r="K5582" s="1" t="s">
        <v>34</v>
      </c>
      <c r="L5582" s="1">
        <v>1281224</v>
      </c>
      <c r="M5582" s="2">
        <v>42690</v>
      </c>
      <c r="N5582" s="1" t="s">
        <v>8</v>
      </c>
      <c r="O5582" s="2">
        <v>43785</v>
      </c>
    </row>
    <row r="5583" spans="1:15" ht="43.2" x14ac:dyDescent="0.3">
      <c r="A5583" s="1" t="s">
        <v>11597</v>
      </c>
      <c r="B5583" s="1" t="str">
        <f>"Total Boilers Limited"</f>
        <v>Total Boilers Limited</v>
      </c>
      <c r="C5583" s="1" t="s">
        <v>11598</v>
      </c>
      <c r="D5583" s="1" t="s">
        <v>7509</v>
      </c>
      <c r="F5583" s="1" t="s">
        <v>532</v>
      </c>
      <c r="H5583" s="1" t="s">
        <v>199</v>
      </c>
      <c r="I5583" s="1" t="s">
        <v>19</v>
      </c>
      <c r="J5583" s="1" t="s">
        <v>67</v>
      </c>
      <c r="K5583" s="1" t="s">
        <v>24</v>
      </c>
      <c r="L5583" s="1">
        <v>7729190</v>
      </c>
      <c r="M5583" s="2">
        <v>42690</v>
      </c>
      <c r="N5583" s="1" t="s">
        <v>8</v>
      </c>
      <c r="O5583" s="1" t="s">
        <v>68</v>
      </c>
    </row>
    <row r="5584" spans="1:15" ht="28.8" x14ac:dyDescent="0.3">
      <c r="A5584" s="1" t="s">
        <v>11599</v>
      </c>
      <c r="B5584" s="1" t="str">
        <f>"Total Boilers Limited"</f>
        <v>Total Boilers Limited</v>
      </c>
      <c r="C5584" s="1" t="s">
        <v>11598</v>
      </c>
      <c r="D5584" s="1" t="s">
        <v>7509</v>
      </c>
      <c r="F5584" s="1" t="s">
        <v>532</v>
      </c>
      <c r="H5584" s="1" t="s">
        <v>199</v>
      </c>
      <c r="I5584" s="1" t="s">
        <v>19</v>
      </c>
      <c r="J5584" s="1" t="s">
        <v>6</v>
      </c>
      <c r="K5584" s="1" t="s">
        <v>24</v>
      </c>
      <c r="L5584" s="1">
        <v>7729190</v>
      </c>
      <c r="M5584" s="2">
        <v>42690</v>
      </c>
      <c r="N5584" s="1" t="s">
        <v>8</v>
      </c>
      <c r="O5584" s="2">
        <v>43785</v>
      </c>
    </row>
    <row r="5585" spans="1:15" ht="28.8" x14ac:dyDescent="0.3">
      <c r="A5585" s="1" t="s">
        <v>11600</v>
      </c>
      <c r="B5585" s="1" t="str">
        <f>"TYRONE HICKS TRANSPORT LTD"</f>
        <v>TYRONE HICKS TRANSPORT LTD</v>
      </c>
      <c r="C5585" s="1" t="s">
        <v>11601</v>
      </c>
      <c r="F5585" s="1" t="s">
        <v>865</v>
      </c>
      <c r="H5585" s="1" t="s">
        <v>4259</v>
      </c>
      <c r="I5585" s="1" t="s">
        <v>19</v>
      </c>
      <c r="J5585" s="1" t="s">
        <v>6</v>
      </c>
      <c r="K5585" s="1" t="s">
        <v>24</v>
      </c>
      <c r="L5585" s="1">
        <v>4998794</v>
      </c>
      <c r="M5585" s="2">
        <v>42690</v>
      </c>
      <c r="N5585" s="1" t="s">
        <v>8</v>
      </c>
      <c r="O5585" s="2">
        <v>43785</v>
      </c>
    </row>
    <row r="5586" spans="1:15" ht="28.8" x14ac:dyDescent="0.3">
      <c r="A5586" s="1" t="s">
        <v>23682</v>
      </c>
      <c r="B5586" s="1" t="str">
        <f>"Simon Prime Prime PVC "</f>
        <v xml:space="preserve">Simon Prime Prime PVC </v>
      </c>
      <c r="C5586" s="1" t="s">
        <v>23683</v>
      </c>
      <c r="F5586" s="1" t="s">
        <v>83</v>
      </c>
      <c r="H5586" s="1" t="s">
        <v>23684</v>
      </c>
      <c r="I5586" s="1" t="s">
        <v>5</v>
      </c>
      <c r="J5586" s="1" t="s">
        <v>6</v>
      </c>
      <c r="K5586" s="1" t="s">
        <v>24</v>
      </c>
      <c r="M5586" s="2">
        <v>42690</v>
      </c>
      <c r="N5586" s="1" t="s">
        <v>8</v>
      </c>
      <c r="O5586" s="2">
        <v>43787</v>
      </c>
    </row>
    <row r="5587" spans="1:15" ht="28.8" x14ac:dyDescent="0.3">
      <c r="A5587" s="1" t="s">
        <v>24545</v>
      </c>
      <c r="B5587" s="1" t="str">
        <f>"Peter Morgan Peter Morgan"</f>
        <v>Peter Morgan Peter Morgan</v>
      </c>
      <c r="C5587" s="1" t="s">
        <v>24546</v>
      </c>
      <c r="D5587" s="1" t="s">
        <v>3181</v>
      </c>
      <c r="F5587" s="1" t="s">
        <v>3691</v>
      </c>
      <c r="H5587" s="1" t="s">
        <v>24547</v>
      </c>
      <c r="I5587" s="1" t="s">
        <v>5</v>
      </c>
      <c r="J5587" s="1" t="s">
        <v>6</v>
      </c>
      <c r="K5587" s="1" t="s">
        <v>24</v>
      </c>
      <c r="M5587" s="2">
        <v>42690</v>
      </c>
      <c r="N5587" s="1" t="s">
        <v>8</v>
      </c>
      <c r="O5587" s="2">
        <v>43785</v>
      </c>
    </row>
    <row r="5588" spans="1:15" ht="43.2" x14ac:dyDescent="0.3">
      <c r="A5588" s="1" t="s">
        <v>24548</v>
      </c>
      <c r="B5588" s="1" t="str">
        <f>"Roger Newman"</f>
        <v>Roger Newman</v>
      </c>
      <c r="C5588" s="1" t="s">
        <v>24549</v>
      </c>
      <c r="F5588" s="1" t="s">
        <v>134</v>
      </c>
      <c r="H5588" s="1" t="s">
        <v>24550</v>
      </c>
      <c r="I5588" s="1" t="s">
        <v>5</v>
      </c>
      <c r="J5588" s="1" t="s">
        <v>67</v>
      </c>
      <c r="K5588" s="1" t="s">
        <v>14</v>
      </c>
      <c r="M5588" s="2">
        <v>42690</v>
      </c>
      <c r="N5588" s="1" t="s">
        <v>8</v>
      </c>
      <c r="O5588" s="1" t="s">
        <v>68</v>
      </c>
    </row>
    <row r="5589" spans="1:15" x14ac:dyDescent="0.3">
      <c r="A5589" s="1" t="s">
        <v>24551</v>
      </c>
      <c r="B5589" s="1" t="str">
        <f>"Thomas Evans T Evans"</f>
        <v>Thomas Evans T Evans</v>
      </c>
      <c r="C5589" s="1" t="s">
        <v>24552</v>
      </c>
      <c r="F5589" s="1" t="s">
        <v>17</v>
      </c>
      <c r="H5589" s="1" t="s">
        <v>24553</v>
      </c>
      <c r="I5589" s="1" t="s">
        <v>5</v>
      </c>
      <c r="J5589" s="1" t="s">
        <v>6</v>
      </c>
      <c r="K5589" s="1" t="s">
        <v>24</v>
      </c>
      <c r="M5589" s="2">
        <v>42690</v>
      </c>
      <c r="N5589" s="1" t="s">
        <v>8</v>
      </c>
      <c r="O5589" s="2">
        <v>43785</v>
      </c>
    </row>
    <row r="5590" spans="1:15" ht="28.8" x14ac:dyDescent="0.3">
      <c r="A5590" s="1" t="s">
        <v>9484</v>
      </c>
      <c r="B5590" s="1" t="str">
        <f>"SARGENT MIKE &amp; SON LTD"</f>
        <v>SARGENT MIKE &amp; SON LTD</v>
      </c>
      <c r="C5590" s="1" t="s">
        <v>9485</v>
      </c>
      <c r="F5590" s="1" t="s">
        <v>6080</v>
      </c>
      <c r="H5590" s="1" t="s">
        <v>9486</v>
      </c>
      <c r="I5590" s="1" t="s">
        <v>19</v>
      </c>
      <c r="J5590" s="1" t="s">
        <v>6</v>
      </c>
      <c r="K5590" s="1" t="s">
        <v>34</v>
      </c>
      <c r="L5590" s="1">
        <v>4939244</v>
      </c>
      <c r="M5590" s="2">
        <v>42689</v>
      </c>
      <c r="N5590" s="1" t="s">
        <v>8</v>
      </c>
      <c r="O5590" s="2">
        <v>43784</v>
      </c>
    </row>
    <row r="5591" spans="1:15" ht="28.8" x14ac:dyDescent="0.3">
      <c r="A5591" s="1" t="s">
        <v>9487</v>
      </c>
      <c r="B5591" s="1" t="str">
        <f>"Byw Bywyd (Living Life) Cyf"</f>
        <v>Byw Bywyd (Living Life) Cyf</v>
      </c>
      <c r="C5591" s="1" t="s">
        <v>9488</v>
      </c>
      <c r="F5591" s="1" t="s">
        <v>710</v>
      </c>
      <c r="H5591" s="1" t="s">
        <v>9489</v>
      </c>
      <c r="I5591" s="1" t="s">
        <v>19</v>
      </c>
      <c r="J5591" s="1" t="s">
        <v>6</v>
      </c>
      <c r="K5591" s="1" t="s">
        <v>34</v>
      </c>
      <c r="L5591" s="1">
        <v>4784856</v>
      </c>
      <c r="M5591" s="2">
        <v>42689</v>
      </c>
      <c r="N5591" s="1" t="s">
        <v>8</v>
      </c>
      <c r="O5591" s="2">
        <v>43784</v>
      </c>
    </row>
    <row r="5592" spans="1:15" ht="28.8" x14ac:dyDescent="0.3">
      <c r="A5592" s="1" t="s">
        <v>10563</v>
      </c>
      <c r="B5592" s="1" t="str">
        <f>"Eamonn Kilby Decorators Ltd."</f>
        <v>Eamonn Kilby Decorators Ltd.</v>
      </c>
      <c r="C5592" s="1" t="s">
        <v>10564</v>
      </c>
      <c r="F5592" s="1" t="s">
        <v>91</v>
      </c>
      <c r="H5592" s="1" t="s">
        <v>10565</v>
      </c>
      <c r="I5592" s="1" t="s">
        <v>19</v>
      </c>
      <c r="J5592" s="1" t="s">
        <v>6</v>
      </c>
      <c r="K5592" s="1" t="s">
        <v>24</v>
      </c>
      <c r="L5592" s="1">
        <v>5481591</v>
      </c>
      <c r="M5592" s="2">
        <v>42689</v>
      </c>
      <c r="N5592" s="1" t="s">
        <v>8</v>
      </c>
      <c r="O5592" s="2">
        <v>43784</v>
      </c>
    </row>
    <row r="5593" spans="1:15" ht="43.2" x14ac:dyDescent="0.3">
      <c r="A5593" s="1" t="s">
        <v>10566</v>
      </c>
      <c r="B5593" s="1" t="str">
        <f>"Martyn Adams garden seves "</f>
        <v xml:space="preserve">Martyn Adams garden seves </v>
      </c>
      <c r="C5593" s="1" t="s">
        <v>10567</v>
      </c>
      <c r="D5593" s="1" t="s">
        <v>10568</v>
      </c>
      <c r="F5593" s="1" t="s">
        <v>10569</v>
      </c>
      <c r="H5593" s="1" t="s">
        <v>10570</v>
      </c>
      <c r="I5593" s="1" t="s">
        <v>188</v>
      </c>
      <c r="J5593" s="1" t="s">
        <v>67</v>
      </c>
      <c r="K5593" s="1" t="s">
        <v>14</v>
      </c>
      <c r="M5593" s="2">
        <v>42689</v>
      </c>
      <c r="N5593" s="1" t="s">
        <v>8</v>
      </c>
      <c r="O5593" s="1" t="s">
        <v>68</v>
      </c>
    </row>
    <row r="5594" spans="1:15" ht="28.8" x14ac:dyDescent="0.3">
      <c r="A5594" s="1" t="s">
        <v>22908</v>
      </c>
      <c r="B5594" s="1" t="str">
        <f>"Bryn Evans TEIARS GWYNEDD TYRES"</f>
        <v>Bryn Evans TEIARS GWYNEDD TYRES</v>
      </c>
      <c r="C5594" s="1" t="s">
        <v>21312</v>
      </c>
      <c r="F5594" s="1" t="s">
        <v>710</v>
      </c>
      <c r="H5594" s="1" t="s">
        <v>21313</v>
      </c>
      <c r="I5594" s="1" t="s">
        <v>5</v>
      </c>
      <c r="J5594" s="1" t="s">
        <v>6</v>
      </c>
      <c r="K5594" s="1" t="s">
        <v>24</v>
      </c>
      <c r="M5594" s="2">
        <v>42689</v>
      </c>
      <c r="N5594" s="1" t="s">
        <v>8</v>
      </c>
      <c r="O5594" s="2">
        <v>43784</v>
      </c>
    </row>
    <row r="5595" spans="1:15" ht="28.8" x14ac:dyDescent="0.3">
      <c r="A5595" s="1" t="s">
        <v>22909</v>
      </c>
      <c r="B5595" s="1" t="str">
        <f>"Terence Lane Tremadog filling station"</f>
        <v>Terence Lane Tremadog filling station</v>
      </c>
      <c r="C5595" s="1" t="s">
        <v>22910</v>
      </c>
      <c r="F5595" s="1" t="s">
        <v>2504</v>
      </c>
      <c r="H5595" s="1" t="s">
        <v>22911</v>
      </c>
      <c r="I5595" s="1" t="s">
        <v>5</v>
      </c>
      <c r="J5595" s="1" t="s">
        <v>6</v>
      </c>
      <c r="K5595" s="1" t="s">
        <v>34</v>
      </c>
      <c r="M5595" s="2">
        <v>42689</v>
      </c>
      <c r="N5595" s="1" t="s">
        <v>8</v>
      </c>
      <c r="O5595" s="2">
        <v>43784</v>
      </c>
    </row>
    <row r="5596" spans="1:15" ht="43.2" x14ac:dyDescent="0.3">
      <c r="A5596" s="1" t="s">
        <v>22912</v>
      </c>
      <c r="B5596" s="1" t="str">
        <f>"jackie Brown"</f>
        <v>jackie Brown</v>
      </c>
      <c r="C5596" s="1" t="s">
        <v>22913</v>
      </c>
      <c r="F5596" s="1" t="s">
        <v>930</v>
      </c>
      <c r="H5596" s="1" t="s">
        <v>22914</v>
      </c>
      <c r="I5596" s="1" t="s">
        <v>5</v>
      </c>
      <c r="J5596" s="1" t="s">
        <v>67</v>
      </c>
      <c r="K5596" s="1" t="s">
        <v>14</v>
      </c>
      <c r="M5596" s="2">
        <v>42689</v>
      </c>
      <c r="N5596" s="1" t="s">
        <v>8</v>
      </c>
      <c r="O5596" s="1" t="s">
        <v>68</v>
      </c>
    </row>
    <row r="5597" spans="1:15" ht="28.8" x14ac:dyDescent="0.3">
      <c r="A5597" s="1" t="s">
        <v>23676</v>
      </c>
      <c r="B5597" s="1" t="str">
        <f>"Derek LLoyd Williams"</f>
        <v>Derek LLoyd Williams</v>
      </c>
      <c r="C5597" s="1" t="s">
        <v>23677</v>
      </c>
      <c r="F5597" s="1" t="s">
        <v>1184</v>
      </c>
      <c r="H5597" s="1" t="s">
        <v>23678</v>
      </c>
      <c r="I5597" s="1" t="s">
        <v>5</v>
      </c>
      <c r="J5597" s="1" t="s">
        <v>6</v>
      </c>
      <c r="K5597" s="1" t="s">
        <v>24</v>
      </c>
      <c r="M5597" s="2">
        <v>42689</v>
      </c>
      <c r="N5597" s="1" t="s">
        <v>8</v>
      </c>
      <c r="O5597" s="2">
        <v>43784</v>
      </c>
    </row>
    <row r="5598" spans="1:15" ht="28.8" x14ac:dyDescent="0.3">
      <c r="A5598" s="1" t="s">
        <v>23679</v>
      </c>
      <c r="B5598" s="1" t="str">
        <f>"Craig Dean  Lewis"</f>
        <v>Craig Dean  Lewis</v>
      </c>
      <c r="C5598" s="1" t="s">
        <v>23680</v>
      </c>
      <c r="F5598" s="1" t="s">
        <v>91</v>
      </c>
      <c r="H5598" s="1" t="s">
        <v>23681</v>
      </c>
      <c r="I5598" s="1" t="s">
        <v>5</v>
      </c>
      <c r="J5598" s="1" t="s">
        <v>6</v>
      </c>
      <c r="K5598" s="1" t="s">
        <v>24</v>
      </c>
      <c r="M5598" s="2">
        <v>42689</v>
      </c>
      <c r="N5598" s="1" t="s">
        <v>8</v>
      </c>
      <c r="O5598" s="2">
        <v>43784</v>
      </c>
    </row>
    <row r="5599" spans="1:15" ht="28.8" x14ac:dyDescent="0.3">
      <c r="A5599" s="1" t="s">
        <v>9468</v>
      </c>
      <c r="B5599" s="1" t="str">
        <f>"Asset &amp; Infrastructure Engineering"</f>
        <v>Asset &amp; Infrastructure Engineering</v>
      </c>
      <c r="C5599" s="1" t="s">
        <v>9469</v>
      </c>
      <c r="F5599" s="1" t="s">
        <v>865</v>
      </c>
      <c r="H5599" s="1" t="s">
        <v>9470</v>
      </c>
      <c r="I5599" s="1" t="s">
        <v>19</v>
      </c>
      <c r="J5599" s="1" t="s">
        <v>6</v>
      </c>
      <c r="K5599" s="1" t="s">
        <v>34</v>
      </c>
      <c r="L5599" s="1">
        <v>9585148</v>
      </c>
      <c r="M5599" s="2">
        <v>42688</v>
      </c>
      <c r="N5599" s="1" t="s">
        <v>8</v>
      </c>
      <c r="O5599" s="2">
        <v>43841</v>
      </c>
    </row>
    <row r="5600" spans="1:15" ht="28.8" x14ac:dyDescent="0.3">
      <c r="A5600" s="1" t="s">
        <v>9471</v>
      </c>
      <c r="B5600" s="1" t="str">
        <f>"C&amp;R Construction "</f>
        <v xml:space="preserve">C&amp;R Construction </v>
      </c>
      <c r="C5600" s="1" t="s">
        <v>9472</v>
      </c>
      <c r="F5600" s="1" t="s">
        <v>9473</v>
      </c>
      <c r="H5600" s="1" t="s">
        <v>9474</v>
      </c>
      <c r="I5600" s="1" t="s">
        <v>125</v>
      </c>
      <c r="J5600" s="1" t="s">
        <v>6</v>
      </c>
      <c r="K5600" s="1" t="s">
        <v>24</v>
      </c>
      <c r="M5600" s="2">
        <v>42688</v>
      </c>
      <c r="N5600" s="1" t="s">
        <v>8</v>
      </c>
      <c r="O5600" s="2">
        <v>43783</v>
      </c>
    </row>
    <row r="5601" spans="1:15" ht="28.8" x14ac:dyDescent="0.3">
      <c r="A5601" s="1" t="s">
        <v>9475</v>
      </c>
      <c r="B5601" s="1" t="str">
        <f>"Roberts and son scrap metal"</f>
        <v>Roberts and son scrap metal</v>
      </c>
      <c r="C5601" s="1" t="s">
        <v>9476</v>
      </c>
      <c r="F5601" s="1" t="s">
        <v>1975</v>
      </c>
      <c r="H5601" s="1" t="s">
        <v>9477</v>
      </c>
      <c r="I5601" s="1" t="s">
        <v>125</v>
      </c>
      <c r="J5601" s="1" t="s">
        <v>6</v>
      </c>
      <c r="K5601" s="1" t="s">
        <v>24</v>
      </c>
      <c r="M5601" s="2">
        <v>42688</v>
      </c>
      <c r="N5601" s="1" t="s">
        <v>8</v>
      </c>
      <c r="O5601" s="2">
        <v>43782</v>
      </c>
    </row>
    <row r="5602" spans="1:15" ht="28.8" x14ac:dyDescent="0.3">
      <c r="A5602" s="1" t="s">
        <v>9478</v>
      </c>
      <c r="B5602" s="1" t="str">
        <f>"Sunny Truck Ltd"</f>
        <v>Sunny Truck Ltd</v>
      </c>
      <c r="C5602" s="1" t="s">
        <v>9479</v>
      </c>
      <c r="F5602" s="1" t="s">
        <v>27</v>
      </c>
      <c r="H5602" s="1" t="s">
        <v>9480</v>
      </c>
      <c r="I5602" s="1" t="s">
        <v>19</v>
      </c>
      <c r="J5602" s="1" t="s">
        <v>6</v>
      </c>
      <c r="K5602" s="1" t="s">
        <v>34</v>
      </c>
      <c r="L5602" s="1">
        <v>9740016</v>
      </c>
      <c r="M5602" s="2">
        <v>42688</v>
      </c>
      <c r="N5602" s="1" t="s">
        <v>8</v>
      </c>
      <c r="O5602" s="2">
        <v>43783</v>
      </c>
    </row>
    <row r="5603" spans="1:15" ht="43.2" x14ac:dyDescent="0.3">
      <c r="A5603" s="1" t="s">
        <v>9481</v>
      </c>
      <c r="B5603" s="1" t="str">
        <f>"GLAS (PROJECT MANAGEMENT &amp; CONSTRUCTION) LTD"</f>
        <v>GLAS (PROJECT MANAGEMENT &amp; CONSTRUCTION) LTD</v>
      </c>
      <c r="C5603" s="1" t="s">
        <v>9482</v>
      </c>
      <c r="F5603" s="1" t="s">
        <v>1321</v>
      </c>
      <c r="H5603" s="1" t="s">
        <v>9483</v>
      </c>
      <c r="I5603" s="1" t="s">
        <v>19</v>
      </c>
      <c r="J5603" s="1" t="s">
        <v>6</v>
      </c>
      <c r="K5603" s="1" t="s">
        <v>34</v>
      </c>
      <c r="L5603" s="1">
        <v>6489763</v>
      </c>
      <c r="M5603" s="2">
        <v>42688</v>
      </c>
      <c r="N5603" s="1" t="s">
        <v>8</v>
      </c>
      <c r="O5603" s="2">
        <v>43783</v>
      </c>
    </row>
    <row r="5604" spans="1:15" ht="28.8" x14ac:dyDescent="0.3">
      <c r="A5604" s="1" t="s">
        <v>22156</v>
      </c>
      <c r="B5604" s="1" t="str">
        <f>"Simon John  Harry S J Harry"</f>
        <v>Simon John  Harry S J Harry</v>
      </c>
      <c r="C5604" s="1" t="s">
        <v>22157</v>
      </c>
      <c r="D5604" s="1" t="s">
        <v>2483</v>
      </c>
      <c r="F5604" s="1" t="s">
        <v>1511</v>
      </c>
      <c r="H5604" s="1" t="s">
        <v>22158</v>
      </c>
      <c r="I5604" s="1" t="s">
        <v>5</v>
      </c>
      <c r="J5604" s="1" t="s">
        <v>6</v>
      </c>
      <c r="K5604" s="1" t="s">
        <v>34</v>
      </c>
      <c r="M5604" s="2">
        <v>42688</v>
      </c>
      <c r="N5604" s="1" t="s">
        <v>8</v>
      </c>
      <c r="O5604" s="2">
        <v>43783</v>
      </c>
    </row>
    <row r="5605" spans="1:15" ht="28.8" x14ac:dyDescent="0.3">
      <c r="A5605" s="1" t="s">
        <v>22905</v>
      </c>
      <c r="B5605" s="1" t="str">
        <f>"Simon Roberts S Roberts building"</f>
        <v>Simon Roberts S Roberts building</v>
      </c>
      <c r="C5605" s="1" t="s">
        <v>22906</v>
      </c>
      <c r="F5605" s="1" t="s">
        <v>96</v>
      </c>
      <c r="H5605" s="1" t="s">
        <v>22907</v>
      </c>
      <c r="I5605" s="1" t="s">
        <v>5</v>
      </c>
      <c r="J5605" s="1" t="s">
        <v>6</v>
      </c>
      <c r="K5605" s="1" t="s">
        <v>24</v>
      </c>
      <c r="M5605" s="2">
        <v>42688</v>
      </c>
      <c r="N5605" s="1" t="s">
        <v>8</v>
      </c>
      <c r="O5605" s="2">
        <v>43783</v>
      </c>
    </row>
    <row r="5606" spans="1:15" ht="43.2" x14ac:dyDescent="0.3">
      <c r="A5606" s="1" t="s">
        <v>8298</v>
      </c>
      <c r="B5606" s="1" t="str">
        <f>"codoco"</f>
        <v>codoco</v>
      </c>
      <c r="C5606" s="1" t="s">
        <v>8299</v>
      </c>
      <c r="F5606" s="1" t="s">
        <v>174</v>
      </c>
      <c r="H5606" s="1" t="s">
        <v>8300</v>
      </c>
      <c r="I5606" s="1" t="s">
        <v>19</v>
      </c>
      <c r="J5606" s="1" t="s">
        <v>67</v>
      </c>
      <c r="K5606" s="1" t="s">
        <v>14</v>
      </c>
      <c r="M5606" s="2">
        <v>42687</v>
      </c>
      <c r="N5606" s="1" t="s">
        <v>8</v>
      </c>
      <c r="O5606" s="1" t="s">
        <v>68</v>
      </c>
    </row>
    <row r="5607" spans="1:15" ht="43.2" x14ac:dyDescent="0.3">
      <c r="A5607" s="1" t="s">
        <v>8301</v>
      </c>
      <c r="B5607" s="1" t="str">
        <f>"Causeway Developments (Sussex) Ltd"</f>
        <v>Causeway Developments (Sussex) Ltd</v>
      </c>
      <c r="C5607" s="1" t="s">
        <v>8302</v>
      </c>
      <c r="F5607" s="1" t="s">
        <v>8303</v>
      </c>
      <c r="H5607" s="1" t="s">
        <v>8304</v>
      </c>
      <c r="I5607" s="1" t="s">
        <v>19</v>
      </c>
      <c r="J5607" s="1" t="s">
        <v>6</v>
      </c>
      <c r="K5607" s="1" t="s">
        <v>34</v>
      </c>
      <c r="L5607" s="1">
        <v>7759100</v>
      </c>
      <c r="M5607" s="2">
        <v>42687</v>
      </c>
      <c r="N5607" s="1" t="s">
        <v>8</v>
      </c>
      <c r="O5607" s="2">
        <v>43782</v>
      </c>
    </row>
    <row r="5608" spans="1:15" ht="43.2" x14ac:dyDescent="0.3">
      <c r="A5608" s="1" t="s">
        <v>22147</v>
      </c>
      <c r="B5608" s="1" t="str">
        <f>"Richard Bates Bathroom Renovation Services"</f>
        <v>Richard Bates Bathroom Renovation Services</v>
      </c>
      <c r="C5608" s="1" t="s">
        <v>22148</v>
      </c>
      <c r="F5608" s="1" t="s">
        <v>3242</v>
      </c>
      <c r="G5608" s="1" t="s">
        <v>359</v>
      </c>
      <c r="H5608" s="1" t="s">
        <v>22149</v>
      </c>
      <c r="I5608" s="1" t="s">
        <v>5</v>
      </c>
      <c r="J5608" s="1" t="s">
        <v>6</v>
      </c>
      <c r="K5608" s="1" t="s">
        <v>34</v>
      </c>
      <c r="M5608" s="2">
        <v>42687</v>
      </c>
      <c r="N5608" s="1" t="s">
        <v>8</v>
      </c>
      <c r="O5608" s="2">
        <v>43781</v>
      </c>
    </row>
    <row r="5609" spans="1:15" ht="28.8" x14ac:dyDescent="0.3">
      <c r="A5609" s="1" t="s">
        <v>22150</v>
      </c>
      <c r="B5609" s="1" t="str">
        <f>"george thies georgeandliz"</f>
        <v>george thies georgeandliz</v>
      </c>
      <c r="C5609" s="1" t="s">
        <v>22151</v>
      </c>
      <c r="F5609" s="1" t="s">
        <v>374</v>
      </c>
      <c r="H5609" s="1" t="s">
        <v>22152</v>
      </c>
      <c r="I5609" s="1" t="s">
        <v>5</v>
      </c>
      <c r="J5609" s="1" t="s">
        <v>6</v>
      </c>
      <c r="K5609" s="1" t="s">
        <v>24</v>
      </c>
      <c r="M5609" s="2">
        <v>42687</v>
      </c>
      <c r="N5609" s="1" t="s">
        <v>8</v>
      </c>
      <c r="O5609" s="2">
        <v>43782</v>
      </c>
    </row>
    <row r="5610" spans="1:15" ht="43.2" x14ac:dyDescent="0.3">
      <c r="A5610" s="1" t="s">
        <v>22153</v>
      </c>
      <c r="B5610" s="1" t="str">
        <f>"Liam Kealy"</f>
        <v>Liam Kealy</v>
      </c>
      <c r="C5610" s="1" t="s">
        <v>22154</v>
      </c>
      <c r="D5610" s="1" t="s">
        <v>22057</v>
      </c>
      <c r="F5610" s="1" t="s">
        <v>65</v>
      </c>
      <c r="H5610" s="1" t="s">
        <v>22155</v>
      </c>
      <c r="I5610" s="1" t="s">
        <v>5</v>
      </c>
      <c r="J5610" s="1" t="s">
        <v>67</v>
      </c>
      <c r="K5610" s="1" t="s">
        <v>14</v>
      </c>
      <c r="M5610" s="2">
        <v>42687</v>
      </c>
      <c r="N5610" s="1" t="s">
        <v>8</v>
      </c>
      <c r="O5610" s="1" t="s">
        <v>68</v>
      </c>
    </row>
    <row r="5611" spans="1:15" ht="28.8" x14ac:dyDescent="0.3">
      <c r="A5611" s="1" t="s">
        <v>8294</v>
      </c>
      <c r="B5611" s="1" t="str">
        <f>"Richards Construction Ltd."</f>
        <v>Richards Construction Ltd.</v>
      </c>
      <c r="C5611" s="1" t="s">
        <v>8295</v>
      </c>
      <c r="D5611" s="1" t="s">
        <v>8296</v>
      </c>
      <c r="F5611" s="1" t="s">
        <v>123</v>
      </c>
      <c r="H5611" s="1" t="s">
        <v>8297</v>
      </c>
      <c r="I5611" s="1" t="s">
        <v>19</v>
      </c>
      <c r="J5611" s="1" t="s">
        <v>6</v>
      </c>
      <c r="K5611" s="1" t="s">
        <v>34</v>
      </c>
      <c r="L5611" s="1">
        <v>2791726</v>
      </c>
      <c r="M5611" s="2">
        <v>42685</v>
      </c>
      <c r="N5611" s="1" t="s">
        <v>8</v>
      </c>
      <c r="O5611" s="2">
        <v>43780</v>
      </c>
    </row>
    <row r="5612" spans="1:15" ht="28.8" x14ac:dyDescent="0.3">
      <c r="A5612" s="1" t="s">
        <v>22142</v>
      </c>
      <c r="B5612" s="1" t="str">
        <f>"Terence Loosemore Terence Loosemore"</f>
        <v>Terence Loosemore Terence Loosemore</v>
      </c>
      <c r="C5612" s="1" t="s">
        <v>22143</v>
      </c>
      <c r="F5612" s="1" t="s">
        <v>65</v>
      </c>
      <c r="H5612" s="1" t="s">
        <v>22144</v>
      </c>
      <c r="I5612" s="1" t="s">
        <v>5</v>
      </c>
      <c r="J5612" s="1" t="s">
        <v>6</v>
      </c>
      <c r="K5612" s="1" t="s">
        <v>24</v>
      </c>
      <c r="M5612" s="2">
        <v>42685</v>
      </c>
      <c r="N5612" s="1" t="s">
        <v>8</v>
      </c>
      <c r="O5612" s="2">
        <v>43780</v>
      </c>
    </row>
    <row r="5613" spans="1:15" ht="43.2" x14ac:dyDescent="0.3">
      <c r="A5613" s="1" t="s">
        <v>22145</v>
      </c>
      <c r="B5613" s="1" t="str">
        <f>"Paul Hancock"</f>
        <v>Paul Hancock</v>
      </c>
      <c r="C5613" s="1" t="s">
        <v>22146</v>
      </c>
      <c r="D5613" s="1" t="s">
        <v>5248</v>
      </c>
      <c r="F5613" s="1" t="s">
        <v>1058</v>
      </c>
      <c r="H5613" s="1" t="s">
        <v>19818</v>
      </c>
      <c r="I5613" s="1" t="s">
        <v>5</v>
      </c>
      <c r="J5613" s="1" t="s">
        <v>67</v>
      </c>
      <c r="K5613" s="1" t="s">
        <v>14</v>
      </c>
      <c r="M5613" s="2">
        <v>42685</v>
      </c>
      <c r="N5613" s="1" t="s">
        <v>8</v>
      </c>
      <c r="O5613" s="1" t="s">
        <v>68</v>
      </c>
    </row>
    <row r="5614" spans="1:15" x14ac:dyDescent="0.3">
      <c r="A5614" s="1" t="s">
        <v>7127</v>
      </c>
      <c r="B5614" s="1" t="str">
        <f>"Inshallah meds Ltd"</f>
        <v>Inshallah meds Ltd</v>
      </c>
      <c r="C5614" s="1" t="s">
        <v>7128</v>
      </c>
      <c r="F5614" s="1" t="s">
        <v>3864</v>
      </c>
      <c r="H5614" s="1" t="s">
        <v>7129</v>
      </c>
      <c r="I5614" s="1" t="s">
        <v>19</v>
      </c>
      <c r="J5614" s="1" t="s">
        <v>6</v>
      </c>
      <c r="K5614" s="1" t="s">
        <v>24</v>
      </c>
      <c r="L5614" s="1">
        <v>7083930</v>
      </c>
      <c r="M5614" s="2">
        <v>42684</v>
      </c>
      <c r="N5614" s="1" t="s">
        <v>8</v>
      </c>
      <c r="O5614" s="2">
        <v>43779</v>
      </c>
    </row>
    <row r="5615" spans="1:15" ht="43.2" x14ac:dyDescent="0.3">
      <c r="A5615" s="1" t="s">
        <v>7130</v>
      </c>
      <c r="B5615" s="1" t="str">
        <f>"ahmeds"</f>
        <v>ahmeds</v>
      </c>
      <c r="C5615" s="1" t="s">
        <v>7131</v>
      </c>
      <c r="F5615" s="1" t="s">
        <v>27</v>
      </c>
      <c r="H5615" s="1" t="s">
        <v>7132</v>
      </c>
      <c r="I5615" s="1" t="s">
        <v>125</v>
      </c>
      <c r="J5615" s="1" t="s">
        <v>67</v>
      </c>
      <c r="K5615" s="1" t="s">
        <v>34</v>
      </c>
      <c r="M5615" s="2">
        <v>42684</v>
      </c>
      <c r="N5615" s="1" t="s">
        <v>8</v>
      </c>
      <c r="O5615" s="1" t="s">
        <v>68</v>
      </c>
    </row>
    <row r="5616" spans="1:15" ht="28.8" x14ac:dyDescent="0.3">
      <c r="A5616" s="1" t="s">
        <v>7133</v>
      </c>
      <c r="B5616" s="1" t="str">
        <f>"sherazi cars and export"</f>
        <v>sherazi cars and export</v>
      </c>
      <c r="C5616" s="1" t="s">
        <v>7131</v>
      </c>
      <c r="F5616" s="1" t="s">
        <v>27</v>
      </c>
      <c r="H5616" s="1" t="s">
        <v>7132</v>
      </c>
      <c r="I5616" s="1" t="s">
        <v>125</v>
      </c>
      <c r="J5616" s="1" t="s">
        <v>6</v>
      </c>
      <c r="K5616" s="1" t="s">
        <v>34</v>
      </c>
      <c r="M5616" s="2">
        <v>42684</v>
      </c>
      <c r="N5616" s="1" t="s">
        <v>8</v>
      </c>
      <c r="O5616" s="2">
        <v>43779</v>
      </c>
    </row>
    <row r="5617" spans="1:15" ht="28.8" x14ac:dyDescent="0.3">
      <c r="A5617" s="1" t="s">
        <v>7134</v>
      </c>
      <c r="B5617" s="1" t="str">
        <f>"Saracens Tyres Ltd "</f>
        <v xml:space="preserve">Saracens Tyres Ltd </v>
      </c>
      <c r="C5617" s="1" t="s">
        <v>7135</v>
      </c>
      <c r="F5617" s="1" t="s">
        <v>2281</v>
      </c>
      <c r="H5617" s="1" t="s">
        <v>7136</v>
      </c>
      <c r="I5617" s="1" t="s">
        <v>19</v>
      </c>
      <c r="J5617" s="1" t="s">
        <v>6</v>
      </c>
      <c r="K5617" s="1" t="s">
        <v>34</v>
      </c>
      <c r="L5617" s="1">
        <v>7781643</v>
      </c>
      <c r="M5617" s="2">
        <v>42684</v>
      </c>
      <c r="N5617" s="1" t="s">
        <v>8</v>
      </c>
      <c r="O5617" s="2">
        <v>43779</v>
      </c>
    </row>
    <row r="5618" spans="1:15" ht="28.8" x14ac:dyDescent="0.3">
      <c r="A5618" s="1" t="s">
        <v>7137</v>
      </c>
      <c r="B5618" s="1" t="str">
        <f>"MARQUETTE METAL RECYCLING LTD"</f>
        <v>MARQUETTE METAL RECYCLING LTD</v>
      </c>
      <c r="C5618" s="1" t="s">
        <v>7138</v>
      </c>
      <c r="F5618" s="1" t="s">
        <v>27</v>
      </c>
      <c r="H5618" s="1" t="s">
        <v>7139</v>
      </c>
      <c r="I5618" s="1" t="s">
        <v>19</v>
      </c>
      <c r="J5618" s="1" t="s">
        <v>6</v>
      </c>
      <c r="K5618" s="1" t="s">
        <v>34</v>
      </c>
      <c r="L5618" s="1">
        <v>8823813</v>
      </c>
      <c r="M5618" s="2">
        <v>42684</v>
      </c>
      <c r="N5618" s="1" t="s">
        <v>8</v>
      </c>
      <c r="O5618" s="2">
        <v>43779</v>
      </c>
    </row>
    <row r="5619" spans="1:15" ht="43.2" x14ac:dyDescent="0.3">
      <c r="A5619" s="1" t="s">
        <v>8288</v>
      </c>
      <c r="B5619" s="1" t="str">
        <f>"AGS SECURITY SYSTEMS LTD"</f>
        <v>AGS SECURITY SYSTEMS LTD</v>
      </c>
      <c r="C5619" s="1" t="s">
        <v>8289</v>
      </c>
      <c r="F5619" s="1" t="s">
        <v>607</v>
      </c>
      <c r="H5619" s="1" t="s">
        <v>8290</v>
      </c>
      <c r="I5619" s="1" t="s">
        <v>19</v>
      </c>
      <c r="J5619" s="1" t="s">
        <v>67</v>
      </c>
      <c r="K5619" s="1" t="s">
        <v>24</v>
      </c>
      <c r="L5619" s="1">
        <v>4710897</v>
      </c>
      <c r="M5619" s="2">
        <v>42684</v>
      </c>
      <c r="N5619" s="1" t="s">
        <v>8</v>
      </c>
      <c r="O5619" s="1" t="s">
        <v>68</v>
      </c>
    </row>
    <row r="5620" spans="1:15" ht="28.8" x14ac:dyDescent="0.3">
      <c r="A5620" s="1" t="s">
        <v>8291</v>
      </c>
      <c r="B5620" s="1" t="str">
        <f>"TYMAWR LIME LTD"</f>
        <v>TYMAWR LIME LTD</v>
      </c>
      <c r="C5620" s="1" t="s">
        <v>8292</v>
      </c>
      <c r="F5620" s="1" t="s">
        <v>3415</v>
      </c>
      <c r="H5620" s="1" t="s">
        <v>8293</v>
      </c>
      <c r="I5620" s="1" t="s">
        <v>19</v>
      </c>
      <c r="J5620" s="1" t="s">
        <v>6</v>
      </c>
      <c r="K5620" s="1" t="s">
        <v>34</v>
      </c>
      <c r="L5620" s="1">
        <v>3752242</v>
      </c>
      <c r="M5620" s="2">
        <v>42684</v>
      </c>
      <c r="N5620" s="1" t="s">
        <v>8</v>
      </c>
      <c r="O5620" s="2">
        <v>43779</v>
      </c>
    </row>
    <row r="5621" spans="1:15" ht="28.8" x14ac:dyDescent="0.3">
      <c r="A5621" s="1" t="s">
        <v>21329</v>
      </c>
      <c r="B5621" s="1" t="str">
        <f>"Stephen Buet Greenhill landscaping"</f>
        <v>Stephen Buet Greenhill landscaping</v>
      </c>
      <c r="C5621" s="1" t="s">
        <v>21330</v>
      </c>
      <c r="F5621" s="1" t="s">
        <v>714</v>
      </c>
      <c r="H5621" s="1" t="s">
        <v>21331</v>
      </c>
      <c r="I5621" s="1" t="s">
        <v>5</v>
      </c>
      <c r="J5621" s="1" t="s">
        <v>6</v>
      </c>
      <c r="K5621" s="1" t="s">
        <v>24</v>
      </c>
      <c r="M5621" s="2">
        <v>42684</v>
      </c>
      <c r="N5621" s="1" t="s">
        <v>8</v>
      </c>
      <c r="O5621" s="2">
        <v>43779</v>
      </c>
    </row>
    <row r="5622" spans="1:15" ht="43.2" x14ac:dyDescent="0.3">
      <c r="A5622" s="1" t="s">
        <v>21332</v>
      </c>
      <c r="B5622" s="1" t="str">
        <f>"Nicola Evans"</f>
        <v>Nicola Evans</v>
      </c>
      <c r="C5622" s="1" t="s">
        <v>21333</v>
      </c>
      <c r="F5622" s="1" t="s">
        <v>1983</v>
      </c>
      <c r="H5622" s="1" t="s">
        <v>21334</v>
      </c>
      <c r="I5622" s="1" t="s">
        <v>5</v>
      </c>
      <c r="J5622" s="1" t="s">
        <v>67</v>
      </c>
      <c r="K5622" s="1" t="s">
        <v>14</v>
      </c>
      <c r="M5622" s="2">
        <v>42684</v>
      </c>
      <c r="N5622" s="1" t="s">
        <v>8</v>
      </c>
      <c r="O5622" s="1" t="s">
        <v>68</v>
      </c>
    </row>
    <row r="5623" spans="1:15" ht="28.8" x14ac:dyDescent="0.3">
      <c r="A5623" s="1" t="s">
        <v>22136</v>
      </c>
      <c r="B5623" s="1" t="str">
        <f>"Ian Armitage Ian Armitage"</f>
        <v>Ian Armitage Ian Armitage</v>
      </c>
      <c r="C5623" s="1" t="s">
        <v>22137</v>
      </c>
      <c r="F5623" s="1" t="s">
        <v>4507</v>
      </c>
      <c r="H5623" s="1" t="s">
        <v>22138</v>
      </c>
      <c r="I5623" s="1" t="s">
        <v>5</v>
      </c>
      <c r="J5623" s="1" t="s">
        <v>6</v>
      </c>
      <c r="K5623" s="1" t="s">
        <v>24</v>
      </c>
      <c r="M5623" s="2">
        <v>42684</v>
      </c>
      <c r="N5623" s="1" t="s">
        <v>8</v>
      </c>
      <c r="O5623" s="2">
        <v>43779</v>
      </c>
    </row>
    <row r="5624" spans="1:15" ht="28.8" x14ac:dyDescent="0.3">
      <c r="A5624" s="1" t="s">
        <v>22139</v>
      </c>
      <c r="B5624" s="1" t="str">
        <f>"mathew malanga MR M MALANGA"</f>
        <v>mathew malanga MR M MALANGA</v>
      </c>
      <c r="C5624" s="1" t="s">
        <v>22140</v>
      </c>
      <c r="F5624" s="1" t="s">
        <v>198</v>
      </c>
      <c r="H5624" s="1" t="s">
        <v>22141</v>
      </c>
      <c r="I5624" s="1" t="s">
        <v>5</v>
      </c>
      <c r="J5624" s="1" t="s">
        <v>6</v>
      </c>
      <c r="K5624" s="1" t="s">
        <v>24</v>
      </c>
      <c r="M5624" s="2">
        <v>42684</v>
      </c>
      <c r="N5624" s="1" t="s">
        <v>8</v>
      </c>
      <c r="O5624" s="2">
        <v>43779</v>
      </c>
    </row>
    <row r="5625" spans="1:15" ht="28.8" x14ac:dyDescent="0.3">
      <c r="A5625" s="1" t="s">
        <v>5969</v>
      </c>
      <c r="B5625" s="1" t="str">
        <f>"Dave Cottle Civil EngineeringLtd"</f>
        <v>Dave Cottle Civil EngineeringLtd</v>
      </c>
      <c r="C5625" s="1" t="s">
        <v>2595</v>
      </c>
      <c r="D5625" s="1" t="s">
        <v>2596</v>
      </c>
      <c r="F5625" s="1" t="s">
        <v>198</v>
      </c>
      <c r="H5625" s="1" t="s">
        <v>2597</v>
      </c>
      <c r="I5625" s="1" t="s">
        <v>19</v>
      </c>
      <c r="J5625" s="1" t="s">
        <v>6</v>
      </c>
      <c r="K5625" s="1" t="s">
        <v>24</v>
      </c>
      <c r="L5625" s="1">
        <v>4606718</v>
      </c>
      <c r="M5625" s="2">
        <v>42683</v>
      </c>
      <c r="N5625" s="1" t="s">
        <v>8</v>
      </c>
      <c r="O5625" s="2">
        <v>43778</v>
      </c>
    </row>
    <row r="5626" spans="1:15" ht="28.8" x14ac:dyDescent="0.3">
      <c r="A5626" s="1" t="s">
        <v>5970</v>
      </c>
      <c r="B5626" s="1" t="str">
        <f>"Portacover Machinery Movements Ltd."</f>
        <v>Portacover Machinery Movements Ltd.</v>
      </c>
      <c r="C5626" s="1" t="s">
        <v>5971</v>
      </c>
      <c r="F5626" s="1" t="s">
        <v>174</v>
      </c>
      <c r="H5626" s="1" t="s">
        <v>5972</v>
      </c>
      <c r="I5626" s="1" t="s">
        <v>19</v>
      </c>
      <c r="J5626" s="1" t="s">
        <v>6</v>
      </c>
      <c r="K5626" s="1" t="s">
        <v>34</v>
      </c>
      <c r="L5626" s="1">
        <v>1436641</v>
      </c>
      <c r="M5626" s="2">
        <v>42683</v>
      </c>
      <c r="N5626" s="1" t="s">
        <v>8</v>
      </c>
      <c r="O5626" s="2">
        <v>43778</v>
      </c>
    </row>
    <row r="5627" spans="1:15" ht="28.8" x14ac:dyDescent="0.3">
      <c r="A5627" s="1" t="s">
        <v>5973</v>
      </c>
      <c r="B5627" s="1" t="str">
        <f>"SWG Construction (Build &amp; Renovate)"</f>
        <v>SWG Construction (Build &amp; Renovate)</v>
      </c>
      <c r="C5627" s="1" t="s">
        <v>5974</v>
      </c>
      <c r="F5627" s="1" t="s">
        <v>416</v>
      </c>
      <c r="H5627" s="1" t="s">
        <v>5975</v>
      </c>
      <c r="I5627" s="1" t="s">
        <v>19</v>
      </c>
      <c r="J5627" s="1" t="s">
        <v>6</v>
      </c>
      <c r="K5627" s="1" t="s">
        <v>24</v>
      </c>
      <c r="L5627" s="1">
        <v>4620503</v>
      </c>
      <c r="M5627" s="2">
        <v>42683</v>
      </c>
      <c r="N5627" s="1" t="s">
        <v>8</v>
      </c>
      <c r="O5627" s="2">
        <v>43778</v>
      </c>
    </row>
    <row r="5628" spans="1:15" ht="28.8" x14ac:dyDescent="0.3">
      <c r="A5628" s="1" t="s">
        <v>5976</v>
      </c>
      <c r="B5628" s="1" t="str">
        <f>"Red Builders (Abergavenny) Ltd."</f>
        <v>Red Builders (Abergavenny) Ltd.</v>
      </c>
      <c r="C5628" s="1" t="s">
        <v>5977</v>
      </c>
      <c r="F5628" s="1" t="s">
        <v>205</v>
      </c>
      <c r="H5628" s="1" t="s">
        <v>5978</v>
      </c>
      <c r="I5628" s="1" t="s">
        <v>19</v>
      </c>
      <c r="J5628" s="1" t="s">
        <v>6</v>
      </c>
      <c r="K5628" s="1" t="s">
        <v>34</v>
      </c>
      <c r="L5628" s="1">
        <v>6983165</v>
      </c>
      <c r="M5628" s="2">
        <v>42683</v>
      </c>
      <c r="N5628" s="1" t="s">
        <v>8</v>
      </c>
      <c r="O5628" s="2">
        <v>43778</v>
      </c>
    </row>
    <row r="5629" spans="1:15" ht="28.8" x14ac:dyDescent="0.3">
      <c r="A5629" s="1" t="s">
        <v>5979</v>
      </c>
      <c r="B5629" s="1" t="str">
        <f>"Artro Property Services Ltd"</f>
        <v>Artro Property Services Ltd</v>
      </c>
      <c r="C5629" s="1" t="s">
        <v>5980</v>
      </c>
      <c r="F5629" s="1" t="s">
        <v>3884</v>
      </c>
      <c r="H5629" s="1" t="s">
        <v>5981</v>
      </c>
      <c r="I5629" s="1" t="s">
        <v>19</v>
      </c>
      <c r="J5629" s="1" t="s">
        <v>6</v>
      </c>
      <c r="K5629" s="1" t="s">
        <v>24</v>
      </c>
      <c r="L5629" s="1">
        <v>8136755</v>
      </c>
      <c r="M5629" s="2">
        <v>42683</v>
      </c>
      <c r="N5629" s="1" t="s">
        <v>8</v>
      </c>
      <c r="O5629" s="2">
        <v>43778</v>
      </c>
    </row>
    <row r="5630" spans="1:15" ht="43.2" x14ac:dyDescent="0.3">
      <c r="A5630" s="1" t="s">
        <v>5982</v>
      </c>
      <c r="B5630" s="1" t="str">
        <f>"SERIES 2000 LTD"</f>
        <v>SERIES 2000 LTD</v>
      </c>
      <c r="C5630" s="1" t="s">
        <v>5983</v>
      </c>
      <c r="F5630" s="1" t="s">
        <v>380</v>
      </c>
      <c r="H5630" s="1" t="s">
        <v>1689</v>
      </c>
      <c r="I5630" s="1" t="s">
        <v>19</v>
      </c>
      <c r="J5630" s="1" t="s">
        <v>67</v>
      </c>
      <c r="K5630" s="1" t="s">
        <v>34</v>
      </c>
      <c r="L5630" s="1">
        <v>3636455</v>
      </c>
      <c r="M5630" s="2">
        <v>42683</v>
      </c>
      <c r="N5630" s="1" t="s">
        <v>8</v>
      </c>
      <c r="O5630" s="1" t="s">
        <v>68</v>
      </c>
    </row>
    <row r="5631" spans="1:15" ht="28.8" x14ac:dyDescent="0.3">
      <c r="A5631" s="1" t="s">
        <v>5984</v>
      </c>
      <c r="B5631" s="1" t="str">
        <f>"ACORN GLASS &amp; GLAZING"</f>
        <v>ACORN GLASS &amp; GLAZING</v>
      </c>
      <c r="C5631" s="1" t="s">
        <v>5985</v>
      </c>
      <c r="F5631" s="1" t="s">
        <v>3247</v>
      </c>
      <c r="H5631" s="1" t="s">
        <v>5986</v>
      </c>
      <c r="I5631" s="1" t="s">
        <v>125</v>
      </c>
      <c r="J5631" s="1" t="s">
        <v>6</v>
      </c>
      <c r="K5631" s="1" t="s">
        <v>24</v>
      </c>
      <c r="M5631" s="2">
        <v>42683</v>
      </c>
      <c r="N5631" s="1" t="s">
        <v>8</v>
      </c>
      <c r="O5631" s="2">
        <v>43778</v>
      </c>
    </row>
    <row r="5632" spans="1:15" ht="28.8" x14ac:dyDescent="0.3">
      <c r="A5632" s="1" t="s">
        <v>5987</v>
      </c>
      <c r="B5632" s="1" t="str">
        <f>"Ecolab Ltd"</f>
        <v>Ecolab Ltd</v>
      </c>
      <c r="C5632" s="1" t="s">
        <v>5988</v>
      </c>
      <c r="F5632" s="1" t="s">
        <v>1093</v>
      </c>
      <c r="H5632" s="1" t="s">
        <v>5989</v>
      </c>
      <c r="I5632" s="1" t="s">
        <v>19</v>
      </c>
      <c r="J5632" s="1" t="s">
        <v>6</v>
      </c>
      <c r="K5632" s="1" t="s">
        <v>24</v>
      </c>
      <c r="L5632" s="1">
        <v>649192</v>
      </c>
      <c r="M5632" s="2">
        <v>42683</v>
      </c>
      <c r="N5632" s="1" t="s">
        <v>8</v>
      </c>
      <c r="O5632" s="2">
        <v>43778</v>
      </c>
    </row>
    <row r="5633" spans="1:15" ht="43.2" x14ac:dyDescent="0.3">
      <c r="A5633" s="1" t="s">
        <v>5990</v>
      </c>
      <c r="B5633" s="1" t="str">
        <f>"Bronyffynnon Surgery"</f>
        <v>Bronyffynnon Surgery</v>
      </c>
      <c r="C5633" s="1" t="s">
        <v>5991</v>
      </c>
      <c r="F5633" s="1" t="s">
        <v>1169</v>
      </c>
      <c r="H5633" s="1" t="s">
        <v>5992</v>
      </c>
      <c r="I5633" s="1" t="s">
        <v>125</v>
      </c>
      <c r="J5633" s="1" t="s">
        <v>67</v>
      </c>
      <c r="K5633" s="1" t="s">
        <v>14</v>
      </c>
      <c r="M5633" s="2">
        <v>42683</v>
      </c>
      <c r="N5633" s="1" t="s">
        <v>8</v>
      </c>
      <c r="O5633" s="1" t="s">
        <v>68</v>
      </c>
    </row>
    <row r="5634" spans="1:15" ht="28.8" x14ac:dyDescent="0.3">
      <c r="A5634" s="1" t="s">
        <v>7123</v>
      </c>
      <c r="B5634" s="1" t="str">
        <f>"Top Plumb Ltd"</f>
        <v>Top Plumb Ltd</v>
      </c>
      <c r="C5634" s="1" t="s">
        <v>7124</v>
      </c>
      <c r="F5634" s="1" t="s">
        <v>7125</v>
      </c>
      <c r="H5634" s="1" t="s">
        <v>7126</v>
      </c>
      <c r="I5634" s="1" t="s">
        <v>19</v>
      </c>
      <c r="J5634" s="1" t="s">
        <v>6</v>
      </c>
      <c r="K5634" s="1" t="s">
        <v>24</v>
      </c>
      <c r="L5634" s="1">
        <v>10058264</v>
      </c>
      <c r="M5634" s="2">
        <v>42683</v>
      </c>
      <c r="N5634" s="1" t="s">
        <v>8</v>
      </c>
      <c r="O5634" s="2">
        <v>43778</v>
      </c>
    </row>
    <row r="5635" spans="1:15" ht="28.8" x14ac:dyDescent="0.3">
      <c r="A5635" s="1" t="s">
        <v>20537</v>
      </c>
      <c r="B5635" s="1" t="str">
        <f>"Samuel Lawrence Lawrence Transport"</f>
        <v>Samuel Lawrence Lawrence Transport</v>
      </c>
      <c r="C5635" s="1" t="s">
        <v>20538</v>
      </c>
      <c r="F5635" s="1" t="s">
        <v>2950</v>
      </c>
      <c r="H5635" s="1" t="s">
        <v>20539</v>
      </c>
      <c r="I5635" s="1" t="s">
        <v>5</v>
      </c>
      <c r="J5635" s="1" t="s">
        <v>6</v>
      </c>
      <c r="K5635" s="1" t="s">
        <v>34</v>
      </c>
      <c r="M5635" s="2">
        <v>42683</v>
      </c>
      <c r="N5635" s="1" t="s">
        <v>8</v>
      </c>
      <c r="O5635" s="2">
        <v>43778</v>
      </c>
    </row>
    <row r="5636" spans="1:15" ht="28.8" x14ac:dyDescent="0.3">
      <c r="A5636" s="1" t="s">
        <v>21323</v>
      </c>
      <c r="B5636" s="1" t="str">
        <f>"Bryn Jones Bryn Jones Plastering &amp; Building"</f>
        <v>Bryn Jones Bryn Jones Plastering &amp; Building</v>
      </c>
      <c r="C5636" s="1" t="s">
        <v>21324</v>
      </c>
      <c r="F5636" s="1" t="s">
        <v>1169</v>
      </c>
      <c r="H5636" s="1" t="s">
        <v>21325</v>
      </c>
      <c r="I5636" s="1" t="s">
        <v>5</v>
      </c>
      <c r="J5636" s="1" t="s">
        <v>6</v>
      </c>
      <c r="K5636" s="1" t="s">
        <v>24</v>
      </c>
      <c r="M5636" s="2">
        <v>42683</v>
      </c>
      <c r="N5636" s="1" t="s">
        <v>8</v>
      </c>
      <c r="O5636" s="2">
        <v>43778</v>
      </c>
    </row>
    <row r="5637" spans="1:15" ht="28.8" x14ac:dyDescent="0.3">
      <c r="A5637" s="1" t="s">
        <v>21326</v>
      </c>
      <c r="B5637" s="1" t="str">
        <f>"Percy Jones Percy Jones"</f>
        <v>Percy Jones Percy Jones</v>
      </c>
      <c r="C5637" s="1" t="s">
        <v>21327</v>
      </c>
      <c r="F5637" s="1" t="s">
        <v>42</v>
      </c>
      <c r="H5637" s="1" t="s">
        <v>21328</v>
      </c>
      <c r="I5637" s="1" t="s">
        <v>5</v>
      </c>
      <c r="J5637" s="1" t="s">
        <v>6</v>
      </c>
      <c r="K5637" s="1" t="s">
        <v>24</v>
      </c>
      <c r="M5637" s="2">
        <v>42683</v>
      </c>
      <c r="N5637" s="1" t="s">
        <v>8</v>
      </c>
      <c r="O5637" s="2">
        <v>43778</v>
      </c>
    </row>
    <row r="5638" spans="1:15" ht="28.8" x14ac:dyDescent="0.3">
      <c r="A5638" s="1" t="s">
        <v>4800</v>
      </c>
      <c r="B5638" s="1" t="str">
        <f>"MEC Industrial Engineering Ltd"</f>
        <v>MEC Industrial Engineering Ltd</v>
      </c>
      <c r="C5638" s="1" t="s">
        <v>4801</v>
      </c>
      <c r="F5638" s="1" t="s">
        <v>2066</v>
      </c>
      <c r="H5638" s="1" t="s">
        <v>4802</v>
      </c>
      <c r="I5638" s="1" t="s">
        <v>19</v>
      </c>
      <c r="J5638" s="1" t="s">
        <v>6</v>
      </c>
      <c r="K5638" s="1" t="s">
        <v>24</v>
      </c>
      <c r="L5638" s="1">
        <v>8578158</v>
      </c>
      <c r="M5638" s="2">
        <v>42682</v>
      </c>
      <c r="N5638" s="1" t="s">
        <v>8</v>
      </c>
      <c r="O5638" s="2">
        <v>43777</v>
      </c>
    </row>
    <row r="5639" spans="1:15" ht="43.2" x14ac:dyDescent="0.3">
      <c r="A5639" s="1" t="s">
        <v>4803</v>
      </c>
      <c r="B5639" s="1" t="str">
        <f>"PEMBROKESHIRE PART WORNS LTD"</f>
        <v>PEMBROKESHIRE PART WORNS LTD</v>
      </c>
      <c r="C5639" s="1" t="s">
        <v>4804</v>
      </c>
      <c r="F5639" s="1" t="s">
        <v>134</v>
      </c>
      <c r="H5639" s="1" t="s">
        <v>4805</v>
      </c>
      <c r="I5639" s="1" t="s">
        <v>19</v>
      </c>
      <c r="J5639" s="1" t="s">
        <v>67</v>
      </c>
      <c r="K5639" s="1" t="s">
        <v>24</v>
      </c>
      <c r="M5639" s="2">
        <v>42682</v>
      </c>
      <c r="N5639" s="1" t="s">
        <v>8</v>
      </c>
      <c r="O5639" s="1" t="s">
        <v>68</v>
      </c>
    </row>
    <row r="5640" spans="1:15" ht="28.8" x14ac:dyDescent="0.3">
      <c r="A5640" s="1" t="s">
        <v>4806</v>
      </c>
      <c r="B5640" s="1" t="str">
        <f>"T.I. HOPWOOD LTD"</f>
        <v>T.I. HOPWOOD LTD</v>
      </c>
      <c r="C5640" s="1" t="s">
        <v>4807</v>
      </c>
      <c r="F5640" s="1" t="s">
        <v>2277</v>
      </c>
      <c r="H5640" s="1" t="s">
        <v>4808</v>
      </c>
      <c r="I5640" s="1" t="s">
        <v>19</v>
      </c>
      <c r="J5640" s="1" t="s">
        <v>6</v>
      </c>
      <c r="K5640" s="1" t="s">
        <v>24</v>
      </c>
      <c r="L5640" s="1">
        <v>5358458</v>
      </c>
      <c r="M5640" s="2">
        <v>42682</v>
      </c>
      <c r="N5640" s="1" t="s">
        <v>8</v>
      </c>
      <c r="O5640" s="2">
        <v>43777</v>
      </c>
    </row>
    <row r="5641" spans="1:15" ht="43.2" x14ac:dyDescent="0.3">
      <c r="A5641" s="1" t="s">
        <v>4809</v>
      </c>
      <c r="B5641" s="1" t="str">
        <f>"balkan parts ltd"</f>
        <v>balkan parts ltd</v>
      </c>
      <c r="C5641" s="1" t="s">
        <v>4810</v>
      </c>
      <c r="D5641" s="1" t="s">
        <v>4811</v>
      </c>
      <c r="E5641" s="1" t="s">
        <v>4812</v>
      </c>
      <c r="F5641" s="1" t="s">
        <v>4813</v>
      </c>
      <c r="H5641" s="1" t="s">
        <v>4814</v>
      </c>
      <c r="I5641" s="1" t="s">
        <v>19</v>
      </c>
      <c r="J5641" s="1" t="s">
        <v>67</v>
      </c>
      <c r="K5641" s="1" t="s">
        <v>14</v>
      </c>
      <c r="M5641" s="2">
        <v>42682</v>
      </c>
      <c r="N5641" s="1" t="s">
        <v>8</v>
      </c>
      <c r="O5641" s="1" t="s">
        <v>68</v>
      </c>
    </row>
    <row r="5642" spans="1:15" ht="43.2" x14ac:dyDescent="0.3">
      <c r="A5642" s="1" t="s">
        <v>4815</v>
      </c>
      <c r="B5642" s="1" t="str">
        <f>"Monolith Brick and Stone"</f>
        <v>Monolith Brick and Stone</v>
      </c>
      <c r="C5642" s="1" t="s">
        <v>4816</v>
      </c>
      <c r="D5642" s="1" t="s">
        <v>896</v>
      </c>
      <c r="F5642" s="1" t="s">
        <v>4731</v>
      </c>
      <c r="H5642" s="1" t="s">
        <v>898</v>
      </c>
      <c r="I5642" s="1" t="s">
        <v>19</v>
      </c>
      <c r="J5642" s="1" t="s">
        <v>67</v>
      </c>
      <c r="K5642" s="1" t="s">
        <v>24</v>
      </c>
      <c r="L5642" s="1">
        <v>9876675</v>
      </c>
      <c r="M5642" s="2">
        <v>42682</v>
      </c>
      <c r="N5642" s="1" t="s">
        <v>8</v>
      </c>
      <c r="O5642" s="1" t="s">
        <v>68</v>
      </c>
    </row>
    <row r="5643" spans="1:15" ht="43.2" x14ac:dyDescent="0.3">
      <c r="A5643" s="1" t="s">
        <v>4817</v>
      </c>
      <c r="B5643" s="1" t="str">
        <f>"Flint Ink UK"</f>
        <v>Flint Ink UK</v>
      </c>
      <c r="C5643" s="1" t="s">
        <v>4818</v>
      </c>
      <c r="F5643" s="1" t="s">
        <v>198</v>
      </c>
      <c r="H5643" s="1" t="s">
        <v>4819</v>
      </c>
      <c r="I5643" s="1" t="s">
        <v>19</v>
      </c>
      <c r="J5643" s="1" t="s">
        <v>67</v>
      </c>
      <c r="K5643" s="1" t="s">
        <v>14</v>
      </c>
      <c r="M5643" s="2">
        <v>42682</v>
      </c>
      <c r="N5643" s="1" t="s">
        <v>8</v>
      </c>
      <c r="O5643" s="1" t="s">
        <v>68</v>
      </c>
    </row>
    <row r="5644" spans="1:15" ht="43.2" x14ac:dyDescent="0.3">
      <c r="A5644" s="1" t="s">
        <v>4820</v>
      </c>
      <c r="B5644" s="1" t="str">
        <f>"Snappy Sales"</f>
        <v>Snappy Sales</v>
      </c>
      <c r="C5644" s="1" t="s">
        <v>4821</v>
      </c>
      <c r="F5644" s="1" t="s">
        <v>2711</v>
      </c>
      <c r="H5644" s="1" t="s">
        <v>4822</v>
      </c>
      <c r="I5644" s="1" t="s">
        <v>125</v>
      </c>
      <c r="J5644" s="1" t="s">
        <v>67</v>
      </c>
      <c r="K5644" s="1" t="s">
        <v>14</v>
      </c>
      <c r="M5644" s="2">
        <v>42682</v>
      </c>
      <c r="N5644" s="1" t="s">
        <v>8</v>
      </c>
      <c r="O5644" s="1" t="s">
        <v>68</v>
      </c>
    </row>
    <row r="5645" spans="1:15" ht="28.8" x14ac:dyDescent="0.3">
      <c r="A5645" s="1" t="s">
        <v>4823</v>
      </c>
      <c r="B5645" s="1" t="str">
        <f>"Caernarfon Commercials"</f>
        <v>Caernarfon Commercials</v>
      </c>
      <c r="C5645" s="1" t="s">
        <v>4824</v>
      </c>
      <c r="F5645" s="1" t="s">
        <v>1880</v>
      </c>
      <c r="H5645" s="1" t="s">
        <v>1881</v>
      </c>
      <c r="I5645" s="1" t="s">
        <v>125</v>
      </c>
      <c r="J5645" s="1" t="s">
        <v>6</v>
      </c>
      <c r="K5645" s="1" t="s">
        <v>24</v>
      </c>
      <c r="M5645" s="2">
        <v>42682</v>
      </c>
      <c r="N5645" s="1" t="s">
        <v>8</v>
      </c>
      <c r="O5645" s="2">
        <v>43777</v>
      </c>
    </row>
    <row r="5646" spans="1:15" ht="43.2" x14ac:dyDescent="0.3">
      <c r="A5646" s="1" t="s">
        <v>4825</v>
      </c>
      <c r="B5646" s="1" t="str">
        <f>"Party World Cardiff LTD"</f>
        <v>Party World Cardiff LTD</v>
      </c>
      <c r="C5646" s="1" t="s">
        <v>4826</v>
      </c>
      <c r="F5646" s="1" t="s">
        <v>27</v>
      </c>
      <c r="H5646" s="1" t="s">
        <v>4827</v>
      </c>
      <c r="I5646" s="1" t="s">
        <v>19</v>
      </c>
      <c r="J5646" s="1" t="s">
        <v>67</v>
      </c>
      <c r="K5646" s="1" t="s">
        <v>14</v>
      </c>
      <c r="M5646" s="2">
        <v>42682</v>
      </c>
      <c r="N5646" s="1" t="s">
        <v>8</v>
      </c>
      <c r="O5646" s="1" t="s">
        <v>68</v>
      </c>
    </row>
    <row r="5647" spans="1:15" ht="28.8" x14ac:dyDescent="0.3">
      <c r="A5647" s="1" t="s">
        <v>4828</v>
      </c>
      <c r="B5647" s="1" t="str">
        <f>"greenham construction ltd"</f>
        <v>greenham construction ltd</v>
      </c>
      <c r="C5647" s="1" t="s">
        <v>4829</v>
      </c>
      <c r="D5647" s="1" t="s">
        <v>4830</v>
      </c>
      <c r="F5647" s="1" t="s">
        <v>4831</v>
      </c>
      <c r="H5647" s="1" t="s">
        <v>4832</v>
      </c>
      <c r="I5647" s="1" t="s">
        <v>19</v>
      </c>
      <c r="J5647" s="1" t="s">
        <v>6</v>
      </c>
      <c r="K5647" s="1" t="s">
        <v>24</v>
      </c>
      <c r="L5647" s="1">
        <v>4458126</v>
      </c>
      <c r="M5647" s="2">
        <v>42682</v>
      </c>
      <c r="N5647" s="1" t="s">
        <v>8</v>
      </c>
      <c r="O5647" s="2">
        <v>43777</v>
      </c>
    </row>
    <row r="5648" spans="1:15" ht="28.8" x14ac:dyDescent="0.3">
      <c r="A5648" s="1" t="s">
        <v>5954</v>
      </c>
      <c r="B5648" s="1" t="str">
        <f>"West Coast Haulage Ltd."</f>
        <v>West Coast Haulage Ltd.</v>
      </c>
      <c r="C5648" s="1" t="s">
        <v>5955</v>
      </c>
      <c r="D5648" s="1" t="s">
        <v>364</v>
      </c>
      <c r="F5648" s="1" t="s">
        <v>1486</v>
      </c>
      <c r="H5648" s="1" t="s">
        <v>295</v>
      </c>
      <c r="I5648" s="1" t="s">
        <v>19</v>
      </c>
      <c r="J5648" s="1" t="s">
        <v>6</v>
      </c>
      <c r="K5648" s="1" t="s">
        <v>24</v>
      </c>
      <c r="L5648" s="1">
        <v>3409290</v>
      </c>
      <c r="M5648" s="2">
        <v>42682</v>
      </c>
      <c r="N5648" s="1" t="s">
        <v>8</v>
      </c>
      <c r="O5648" s="2">
        <v>43777</v>
      </c>
    </row>
    <row r="5649" spans="1:15" ht="28.8" x14ac:dyDescent="0.3">
      <c r="A5649" s="1" t="s">
        <v>5956</v>
      </c>
      <c r="B5649" s="1" t="str">
        <f>"Cartrefi Ffosaron Homes Ltd"</f>
        <v>Cartrefi Ffosaron Homes Ltd</v>
      </c>
      <c r="C5649" s="1" t="s">
        <v>5957</v>
      </c>
      <c r="F5649" s="1" t="s">
        <v>5958</v>
      </c>
      <c r="H5649" s="1" t="s">
        <v>5959</v>
      </c>
      <c r="I5649" s="1" t="s">
        <v>19</v>
      </c>
      <c r="J5649" s="1" t="s">
        <v>6</v>
      </c>
      <c r="K5649" s="1" t="s">
        <v>34</v>
      </c>
      <c r="L5649" s="1">
        <v>4581473</v>
      </c>
      <c r="M5649" s="2">
        <v>42682</v>
      </c>
      <c r="N5649" s="1" t="s">
        <v>8</v>
      </c>
      <c r="O5649" s="2">
        <v>43777</v>
      </c>
    </row>
    <row r="5650" spans="1:15" ht="28.8" x14ac:dyDescent="0.3">
      <c r="A5650" s="1" t="s">
        <v>5960</v>
      </c>
      <c r="B5650" s="1" t="str">
        <f>"cardiff metal merchants ltd"</f>
        <v>cardiff metal merchants ltd</v>
      </c>
      <c r="C5650" s="1" t="s">
        <v>5961</v>
      </c>
      <c r="D5650" s="1" t="s">
        <v>5962</v>
      </c>
      <c r="F5650" s="1" t="s">
        <v>5963</v>
      </c>
      <c r="H5650" s="1" t="s">
        <v>5964</v>
      </c>
      <c r="I5650" s="1" t="s">
        <v>19</v>
      </c>
      <c r="J5650" s="1" t="s">
        <v>6</v>
      </c>
      <c r="K5650" s="1" t="s">
        <v>34</v>
      </c>
      <c r="L5650" s="1">
        <v>6596430</v>
      </c>
      <c r="M5650" s="2">
        <v>42682</v>
      </c>
      <c r="N5650" s="1" t="s">
        <v>8</v>
      </c>
      <c r="O5650" s="2">
        <v>43778</v>
      </c>
    </row>
    <row r="5651" spans="1:15" ht="43.2" x14ac:dyDescent="0.3">
      <c r="A5651" s="1" t="s">
        <v>5965</v>
      </c>
      <c r="B5651" s="1" t="str">
        <f>"G A P Electrical &amp; Mechanical Services Ltd."</f>
        <v>G A P Electrical &amp; Mechanical Services Ltd.</v>
      </c>
      <c r="C5651" s="1" t="s">
        <v>5966</v>
      </c>
      <c r="D5651" s="1" t="s">
        <v>5967</v>
      </c>
      <c r="F5651" s="1" t="s">
        <v>1260</v>
      </c>
      <c r="H5651" s="1" t="s">
        <v>5968</v>
      </c>
      <c r="I5651" s="1" t="s">
        <v>19</v>
      </c>
      <c r="J5651" s="1" t="s">
        <v>6</v>
      </c>
      <c r="K5651" s="1" t="s">
        <v>34</v>
      </c>
      <c r="L5651" s="1">
        <v>4976977</v>
      </c>
      <c r="M5651" s="2">
        <v>42682</v>
      </c>
      <c r="N5651" s="1" t="s">
        <v>8</v>
      </c>
      <c r="O5651" s="2">
        <v>43777</v>
      </c>
    </row>
    <row r="5652" spans="1:15" ht="28.8" x14ac:dyDescent="0.3">
      <c r="A5652" s="1" t="s">
        <v>20534</v>
      </c>
      <c r="B5652" s="1" t="str">
        <f>"Mathew  Clark  Be gone rubbish removal"</f>
        <v>Mathew  Clark  Be gone rubbish removal</v>
      </c>
      <c r="C5652" s="1" t="s">
        <v>20535</v>
      </c>
      <c r="F5652" s="1" t="s">
        <v>1351</v>
      </c>
      <c r="H5652" s="1" t="s">
        <v>20536</v>
      </c>
      <c r="I5652" s="1" t="s">
        <v>5</v>
      </c>
      <c r="J5652" s="1" t="s">
        <v>6</v>
      </c>
      <c r="K5652" s="1" t="s">
        <v>34</v>
      </c>
      <c r="M5652" s="2">
        <v>42682</v>
      </c>
      <c r="N5652" s="1" t="s">
        <v>8</v>
      </c>
      <c r="O5652" s="2">
        <v>43777</v>
      </c>
    </row>
    <row r="5653" spans="1:15" ht="28.8" x14ac:dyDescent="0.3">
      <c r="A5653" s="1" t="s">
        <v>3689</v>
      </c>
      <c r="B5653" s="1" t="str">
        <f>"DEFLO LTD"</f>
        <v>DEFLO LTD</v>
      </c>
      <c r="C5653" s="1" t="s">
        <v>3690</v>
      </c>
      <c r="D5653" s="1" t="s">
        <v>839</v>
      </c>
      <c r="F5653" s="1" t="s">
        <v>3691</v>
      </c>
      <c r="H5653" s="1" t="s">
        <v>3692</v>
      </c>
      <c r="I5653" s="1" t="s">
        <v>19</v>
      </c>
      <c r="J5653" s="1" t="s">
        <v>6</v>
      </c>
      <c r="K5653" s="1" t="s">
        <v>34</v>
      </c>
      <c r="L5653" s="1">
        <v>7195925</v>
      </c>
      <c r="M5653" s="2">
        <v>42681</v>
      </c>
      <c r="N5653" s="1" t="s">
        <v>8</v>
      </c>
      <c r="O5653" s="2">
        <v>43776</v>
      </c>
    </row>
    <row r="5654" spans="1:15" ht="28.8" x14ac:dyDescent="0.3">
      <c r="A5654" s="1" t="s">
        <v>3693</v>
      </c>
      <c r="B5654" s="1" t="str">
        <f>"SALDO Pipe &amp; Construction Services"</f>
        <v>SALDO Pipe &amp; Construction Services</v>
      </c>
      <c r="C5654" s="1" t="s">
        <v>3694</v>
      </c>
      <c r="D5654" s="1" t="s">
        <v>3695</v>
      </c>
      <c r="F5654" s="1" t="s">
        <v>156</v>
      </c>
      <c r="H5654" s="1" t="s">
        <v>3696</v>
      </c>
      <c r="I5654" s="1" t="s">
        <v>19</v>
      </c>
      <c r="J5654" s="1" t="s">
        <v>6</v>
      </c>
      <c r="K5654" s="1" t="s">
        <v>34</v>
      </c>
      <c r="L5654" s="1">
        <v>3369328</v>
      </c>
      <c r="M5654" s="2">
        <v>42681</v>
      </c>
      <c r="N5654" s="1" t="s">
        <v>8</v>
      </c>
      <c r="O5654" s="2">
        <v>43776</v>
      </c>
    </row>
    <row r="5655" spans="1:15" ht="43.2" x14ac:dyDescent="0.3">
      <c r="A5655" s="1" t="s">
        <v>3697</v>
      </c>
      <c r="B5655" s="1" t="str">
        <f>"FIBRAX LTD"</f>
        <v>FIBRAX LTD</v>
      </c>
      <c r="C5655" s="1" t="s">
        <v>3698</v>
      </c>
      <c r="F5655" s="1" t="s">
        <v>198</v>
      </c>
      <c r="H5655" s="1" t="s">
        <v>3699</v>
      </c>
      <c r="I5655" s="1" t="s">
        <v>19</v>
      </c>
      <c r="J5655" s="1" t="s">
        <v>67</v>
      </c>
      <c r="K5655" s="1" t="s">
        <v>1859</v>
      </c>
      <c r="L5655" s="1">
        <v>117971</v>
      </c>
      <c r="M5655" s="2">
        <v>42681</v>
      </c>
      <c r="N5655" s="1" t="s">
        <v>8</v>
      </c>
      <c r="O5655" s="1" t="s">
        <v>68</v>
      </c>
    </row>
    <row r="5656" spans="1:15" ht="28.8" x14ac:dyDescent="0.3">
      <c r="A5656" s="1" t="s">
        <v>3700</v>
      </c>
      <c r="B5656" s="1" t="str">
        <f>"David Davies"</f>
        <v>David Davies</v>
      </c>
      <c r="C5656" s="1" t="s">
        <v>3701</v>
      </c>
      <c r="F5656" s="1" t="s">
        <v>12</v>
      </c>
      <c r="H5656" s="1" t="s">
        <v>3702</v>
      </c>
      <c r="I5656" s="1" t="s">
        <v>125</v>
      </c>
      <c r="J5656" s="1" t="s">
        <v>6</v>
      </c>
      <c r="K5656" s="1" t="s">
        <v>24</v>
      </c>
      <c r="M5656" s="2">
        <v>42681</v>
      </c>
      <c r="N5656" s="1" t="s">
        <v>8</v>
      </c>
      <c r="O5656" s="2">
        <v>43776</v>
      </c>
    </row>
    <row r="5657" spans="1:15" ht="28.8" x14ac:dyDescent="0.3">
      <c r="A5657" s="1" t="s">
        <v>3703</v>
      </c>
      <c r="B5657" s="1" t="str">
        <f>"Fourland LTD"</f>
        <v>Fourland LTD</v>
      </c>
      <c r="C5657" s="1" t="s">
        <v>3704</v>
      </c>
      <c r="D5657" s="1" t="s">
        <v>3705</v>
      </c>
      <c r="F5657" s="1" t="s">
        <v>1696</v>
      </c>
      <c r="H5657" s="1" t="s">
        <v>1697</v>
      </c>
      <c r="I5657" s="1" t="s">
        <v>19</v>
      </c>
      <c r="J5657" s="1" t="s">
        <v>6</v>
      </c>
      <c r="K5657" s="1" t="s">
        <v>34</v>
      </c>
      <c r="L5657" s="1">
        <v>6294413</v>
      </c>
      <c r="M5657" s="2">
        <v>42681</v>
      </c>
      <c r="N5657" s="1" t="s">
        <v>8</v>
      </c>
      <c r="O5657" s="2">
        <v>43776</v>
      </c>
    </row>
    <row r="5658" spans="1:15" ht="43.2" x14ac:dyDescent="0.3">
      <c r="A5658" s="1" t="s">
        <v>3706</v>
      </c>
      <c r="B5658" s="1" t="str">
        <f>"jdj vending services ltd"</f>
        <v>jdj vending services ltd</v>
      </c>
      <c r="C5658" s="1" t="s">
        <v>3707</v>
      </c>
      <c r="D5658" s="1" t="s">
        <v>1457</v>
      </c>
      <c r="F5658" s="1" t="s">
        <v>380</v>
      </c>
      <c r="H5658" s="1" t="s">
        <v>3708</v>
      </c>
      <c r="I5658" s="1" t="s">
        <v>19</v>
      </c>
      <c r="J5658" s="1" t="s">
        <v>67</v>
      </c>
      <c r="K5658" s="1" t="s">
        <v>14</v>
      </c>
      <c r="M5658" s="2">
        <v>42681</v>
      </c>
      <c r="N5658" s="1" t="s">
        <v>8</v>
      </c>
      <c r="O5658" s="1" t="s">
        <v>68</v>
      </c>
    </row>
    <row r="5659" spans="1:15" ht="43.2" x14ac:dyDescent="0.3">
      <c r="A5659" s="1" t="s">
        <v>3709</v>
      </c>
      <c r="B5659" s="1" t="str">
        <f>"Benerik Painting &amp; Decorating Services Ltd."</f>
        <v>Benerik Painting &amp; Decorating Services Ltd.</v>
      </c>
      <c r="C5659" s="1" t="s">
        <v>3710</v>
      </c>
      <c r="F5659" s="1" t="s">
        <v>1175</v>
      </c>
      <c r="H5659" s="1" t="s">
        <v>3711</v>
      </c>
      <c r="I5659" s="1" t="s">
        <v>19</v>
      </c>
      <c r="J5659" s="1" t="s">
        <v>67</v>
      </c>
      <c r="K5659" s="1" t="s">
        <v>24</v>
      </c>
      <c r="L5659" s="1">
        <v>5618193</v>
      </c>
      <c r="M5659" s="2">
        <v>42681</v>
      </c>
      <c r="N5659" s="1" t="s">
        <v>8</v>
      </c>
      <c r="O5659" s="1" t="s">
        <v>68</v>
      </c>
    </row>
    <row r="5660" spans="1:15" ht="28.8" x14ac:dyDescent="0.3">
      <c r="A5660" s="1" t="s">
        <v>4796</v>
      </c>
      <c r="B5660" s="1" t="str">
        <f>"E &amp; V Griffiths"</f>
        <v>E &amp; V Griffiths</v>
      </c>
      <c r="C5660" s="1" t="s">
        <v>4797</v>
      </c>
      <c r="F5660" s="1" t="s">
        <v>4798</v>
      </c>
      <c r="H5660" s="1" t="s">
        <v>4799</v>
      </c>
      <c r="I5660" s="1" t="s">
        <v>125</v>
      </c>
      <c r="J5660" s="1" t="s">
        <v>6</v>
      </c>
      <c r="K5660" s="1" t="s">
        <v>34</v>
      </c>
      <c r="M5660" s="2">
        <v>42681</v>
      </c>
      <c r="N5660" s="1" t="s">
        <v>8</v>
      </c>
      <c r="O5660" s="2">
        <v>43776</v>
      </c>
    </row>
    <row r="5661" spans="1:15" ht="43.2" x14ac:dyDescent="0.3">
      <c r="A5661" s="1" t="s">
        <v>18934</v>
      </c>
      <c r="B5661" s="1" t="str">
        <f>"Thomas O'Hara"</f>
        <v>Thomas O'Hara</v>
      </c>
      <c r="C5661" s="1" t="s">
        <v>18935</v>
      </c>
      <c r="F5661" s="1" t="s">
        <v>65</v>
      </c>
      <c r="H5661" s="1" t="s">
        <v>18936</v>
      </c>
      <c r="I5661" s="1" t="s">
        <v>5</v>
      </c>
      <c r="J5661" s="1" t="s">
        <v>67</v>
      </c>
      <c r="K5661" s="1" t="s">
        <v>14</v>
      </c>
      <c r="M5661" s="2">
        <v>42681</v>
      </c>
      <c r="N5661" s="1" t="s">
        <v>8</v>
      </c>
      <c r="O5661" s="1" t="s">
        <v>68</v>
      </c>
    </row>
    <row r="5662" spans="1:15" ht="28.8" x14ac:dyDescent="0.3">
      <c r="A5662" s="1" t="s">
        <v>18937</v>
      </c>
      <c r="B5662" s="1" t="str">
        <f>"Iwan Griffith Crefftwyr Cymreig"</f>
        <v>Iwan Griffith Crefftwyr Cymreig</v>
      </c>
      <c r="C5662" s="1" t="s">
        <v>18938</v>
      </c>
      <c r="F5662" s="1" t="s">
        <v>710</v>
      </c>
      <c r="H5662" s="1" t="s">
        <v>18727</v>
      </c>
      <c r="I5662" s="1" t="s">
        <v>5</v>
      </c>
      <c r="J5662" s="1" t="s">
        <v>6</v>
      </c>
      <c r="K5662" s="1" t="s">
        <v>24</v>
      </c>
      <c r="M5662" s="2">
        <v>42681</v>
      </c>
      <c r="N5662" s="1" t="s">
        <v>8</v>
      </c>
      <c r="O5662" s="2">
        <v>43776</v>
      </c>
    </row>
    <row r="5663" spans="1:15" ht="28.8" x14ac:dyDescent="0.3">
      <c r="A5663" s="1" t="s">
        <v>18939</v>
      </c>
      <c r="B5663" s="1" t="str">
        <f>"Kerril William Hardiman"</f>
        <v>Kerril William Hardiman</v>
      </c>
      <c r="C5663" s="1" t="s">
        <v>18940</v>
      </c>
      <c r="F5663" s="1" t="s">
        <v>27</v>
      </c>
      <c r="H5663" s="1" t="s">
        <v>9670</v>
      </c>
      <c r="I5663" s="1" t="s">
        <v>5</v>
      </c>
      <c r="J5663" s="1" t="s">
        <v>6</v>
      </c>
      <c r="K5663" s="1" t="s">
        <v>34</v>
      </c>
      <c r="M5663" s="2">
        <v>42681</v>
      </c>
      <c r="N5663" s="1" t="s">
        <v>8</v>
      </c>
      <c r="O5663" s="2">
        <v>43776</v>
      </c>
    </row>
    <row r="5664" spans="1:15" ht="43.2" x14ac:dyDescent="0.3">
      <c r="A5664" s="1" t="s">
        <v>18941</v>
      </c>
      <c r="B5664" s="1" t="str">
        <f>"Toby Hamilton"</f>
        <v>Toby Hamilton</v>
      </c>
      <c r="C5664" s="1" t="s">
        <v>18942</v>
      </c>
      <c r="F5664" s="1" t="s">
        <v>1818</v>
      </c>
      <c r="H5664" s="1" t="s">
        <v>18943</v>
      </c>
      <c r="I5664" s="1" t="s">
        <v>5</v>
      </c>
      <c r="J5664" s="1" t="s">
        <v>67</v>
      </c>
      <c r="K5664" s="1" t="s">
        <v>14</v>
      </c>
      <c r="M5664" s="2">
        <v>42681</v>
      </c>
      <c r="N5664" s="1" t="s">
        <v>8</v>
      </c>
      <c r="O5664" s="1" t="s">
        <v>68</v>
      </c>
    </row>
    <row r="5665" spans="1:15" ht="28.8" x14ac:dyDescent="0.3">
      <c r="A5665" s="1" t="s">
        <v>19762</v>
      </c>
      <c r="B5665" s="1" t="str">
        <f>"Dylan Parry D W Parry Haulage"</f>
        <v>Dylan Parry D W Parry Haulage</v>
      </c>
      <c r="C5665" s="1" t="s">
        <v>19763</v>
      </c>
      <c r="F5665" s="1" t="s">
        <v>328</v>
      </c>
      <c r="H5665" s="1" t="s">
        <v>19764</v>
      </c>
      <c r="I5665" s="1" t="s">
        <v>5</v>
      </c>
      <c r="J5665" s="1" t="s">
        <v>6</v>
      </c>
      <c r="K5665" s="1" t="s">
        <v>24</v>
      </c>
      <c r="M5665" s="2">
        <v>42681</v>
      </c>
      <c r="N5665" s="1" t="s">
        <v>8</v>
      </c>
      <c r="O5665" s="2">
        <v>43776</v>
      </c>
    </row>
    <row r="5666" spans="1:15" ht="43.2" x14ac:dyDescent="0.3">
      <c r="A5666" s="1" t="s">
        <v>29976</v>
      </c>
      <c r="B5666" s="1" t="str">
        <f>"Gerald Williams Gerald Williams Haulage"</f>
        <v>Gerald Williams Gerald Williams Haulage</v>
      </c>
      <c r="C5666" s="1" t="s">
        <v>29977</v>
      </c>
      <c r="F5666" s="1" t="s">
        <v>865</v>
      </c>
      <c r="H5666" s="1" t="s">
        <v>19295</v>
      </c>
      <c r="I5666" s="1" t="s">
        <v>5</v>
      </c>
      <c r="J5666" s="1" t="s">
        <v>67</v>
      </c>
      <c r="K5666" s="1" t="s">
        <v>24</v>
      </c>
      <c r="M5666" s="2">
        <v>42680</v>
      </c>
      <c r="N5666" s="1" t="s">
        <v>8</v>
      </c>
      <c r="O5666" s="1" t="s">
        <v>68</v>
      </c>
    </row>
    <row r="5667" spans="1:15" ht="28.8" x14ac:dyDescent="0.3">
      <c r="A5667" s="1" t="s">
        <v>18372</v>
      </c>
      <c r="B5667" s="1" t="str">
        <f>"Duraseal Ltd."</f>
        <v>Duraseal Ltd.</v>
      </c>
      <c r="C5667" s="1" t="s">
        <v>18373</v>
      </c>
      <c r="F5667" s="1" t="s">
        <v>996</v>
      </c>
      <c r="H5667" s="1" t="s">
        <v>18374</v>
      </c>
      <c r="I5667" s="1" t="s">
        <v>19</v>
      </c>
      <c r="J5667" s="1" t="s">
        <v>6</v>
      </c>
      <c r="K5667" s="1" t="s">
        <v>24</v>
      </c>
      <c r="L5667" s="1">
        <v>4298012</v>
      </c>
      <c r="M5667" s="2">
        <v>42679</v>
      </c>
      <c r="N5667" s="1" t="s">
        <v>8</v>
      </c>
      <c r="O5667" s="2">
        <v>43774</v>
      </c>
    </row>
    <row r="5668" spans="1:15" ht="28.8" x14ac:dyDescent="0.3">
      <c r="A5668" s="1" t="s">
        <v>29967</v>
      </c>
      <c r="B5668" s="1" t="str">
        <f>"colin jones teiars cymru tyres"</f>
        <v>colin jones teiars cymru tyres</v>
      </c>
      <c r="C5668" s="1" t="s">
        <v>29968</v>
      </c>
      <c r="F5668" s="1" t="s">
        <v>710</v>
      </c>
      <c r="H5668" s="1" t="s">
        <v>29969</v>
      </c>
      <c r="I5668" s="1" t="s">
        <v>5</v>
      </c>
      <c r="J5668" s="1" t="s">
        <v>6</v>
      </c>
      <c r="K5668" s="1" t="s">
        <v>24</v>
      </c>
      <c r="M5668" s="2">
        <v>42679</v>
      </c>
      <c r="N5668" s="1" t="s">
        <v>8</v>
      </c>
      <c r="O5668" s="2">
        <v>43774</v>
      </c>
    </row>
    <row r="5669" spans="1:15" ht="43.2" x14ac:dyDescent="0.3">
      <c r="A5669" s="1" t="s">
        <v>29970</v>
      </c>
      <c r="B5669" s="1" t="str">
        <f>"Noel  Hammond "</f>
        <v xml:space="preserve">Noel  Hammond </v>
      </c>
      <c r="C5669" s="1" t="s">
        <v>29971</v>
      </c>
      <c r="F5669" s="1" t="s">
        <v>328</v>
      </c>
      <c r="H5669" s="1" t="s">
        <v>29972</v>
      </c>
      <c r="I5669" s="1" t="s">
        <v>5</v>
      </c>
      <c r="J5669" s="1" t="s">
        <v>67</v>
      </c>
      <c r="K5669" s="1" t="s">
        <v>14</v>
      </c>
      <c r="M5669" s="2">
        <v>42679</v>
      </c>
      <c r="N5669" s="1" t="s">
        <v>8</v>
      </c>
      <c r="O5669" s="1" t="s">
        <v>68</v>
      </c>
    </row>
    <row r="5670" spans="1:15" ht="43.2" x14ac:dyDescent="0.3">
      <c r="A5670" s="1" t="s">
        <v>29973</v>
      </c>
      <c r="B5670" s="1" t="str">
        <f>"Aled Roberts A roberts E roberts and AW roberts"</f>
        <v>Aled Roberts A roberts E roberts and AW roberts</v>
      </c>
      <c r="C5670" s="1" t="s">
        <v>29974</v>
      </c>
      <c r="F5670" s="1" t="s">
        <v>790</v>
      </c>
      <c r="H5670" s="1" t="s">
        <v>29975</v>
      </c>
      <c r="I5670" s="1" t="s">
        <v>5</v>
      </c>
      <c r="J5670" s="1" t="s">
        <v>6</v>
      </c>
      <c r="K5670" s="1" t="s">
        <v>34</v>
      </c>
      <c r="M5670" s="2">
        <v>42679</v>
      </c>
      <c r="N5670" s="1" t="s">
        <v>8</v>
      </c>
      <c r="O5670" s="2">
        <v>43774</v>
      </c>
    </row>
    <row r="5671" spans="1:15" ht="28.8" x14ac:dyDescent="0.3">
      <c r="A5671" s="1" t="s">
        <v>17432</v>
      </c>
      <c r="B5671" s="1" t="str">
        <f>"PKL CLEANING CONTRACTORS LTD"</f>
        <v>PKL CLEANING CONTRACTORS LTD</v>
      </c>
      <c r="C5671" s="1" t="s">
        <v>17433</v>
      </c>
      <c r="F5671" s="1" t="s">
        <v>277</v>
      </c>
      <c r="H5671" s="1" t="s">
        <v>17434</v>
      </c>
      <c r="I5671" s="1" t="s">
        <v>19</v>
      </c>
      <c r="J5671" s="1" t="s">
        <v>6</v>
      </c>
      <c r="K5671" s="1" t="s">
        <v>24</v>
      </c>
      <c r="L5671" s="1">
        <v>4696856</v>
      </c>
      <c r="M5671" s="2">
        <v>42678</v>
      </c>
      <c r="N5671" s="1" t="s">
        <v>8</v>
      </c>
      <c r="O5671" s="2">
        <v>43773</v>
      </c>
    </row>
    <row r="5672" spans="1:15" ht="28.8" x14ac:dyDescent="0.3">
      <c r="A5672" s="1" t="s">
        <v>17435</v>
      </c>
      <c r="B5672" s="1" t="str">
        <f>"Dee Tech Services Limited"</f>
        <v>Dee Tech Services Limited</v>
      </c>
      <c r="C5672" s="1" t="s">
        <v>17436</v>
      </c>
      <c r="D5672" s="1" t="s">
        <v>8626</v>
      </c>
      <c r="E5672" s="1" t="s">
        <v>14407</v>
      </c>
      <c r="F5672" s="1" t="s">
        <v>1346</v>
      </c>
      <c r="H5672" s="1" t="s">
        <v>6490</v>
      </c>
      <c r="I5672" s="1" t="s">
        <v>19</v>
      </c>
      <c r="J5672" s="1" t="s">
        <v>6</v>
      </c>
      <c r="K5672" s="1" t="s">
        <v>24</v>
      </c>
      <c r="L5672" s="1">
        <v>3592571</v>
      </c>
      <c r="M5672" s="2">
        <v>42678</v>
      </c>
      <c r="N5672" s="1" t="s">
        <v>8</v>
      </c>
      <c r="O5672" s="2">
        <v>43773</v>
      </c>
    </row>
    <row r="5673" spans="1:15" x14ac:dyDescent="0.3">
      <c r="A5673" s="1" t="s">
        <v>17437</v>
      </c>
      <c r="B5673" s="1" t="str">
        <f>"R J Developers Limited"</f>
        <v>R J Developers Limited</v>
      </c>
      <c r="C5673" s="1" t="s">
        <v>17438</v>
      </c>
      <c r="F5673" s="1" t="s">
        <v>4536</v>
      </c>
      <c r="H5673" s="1" t="s">
        <v>17439</v>
      </c>
      <c r="I5673" s="1" t="s">
        <v>19</v>
      </c>
      <c r="J5673" s="1" t="s">
        <v>6</v>
      </c>
      <c r="K5673" s="1" t="s">
        <v>24</v>
      </c>
      <c r="L5673" s="1">
        <v>3948669</v>
      </c>
      <c r="M5673" s="2">
        <v>42678</v>
      </c>
      <c r="N5673" s="1" t="s">
        <v>8</v>
      </c>
      <c r="O5673" s="2">
        <v>43773</v>
      </c>
    </row>
    <row r="5674" spans="1:15" ht="43.2" x14ac:dyDescent="0.3">
      <c r="A5674" s="1" t="s">
        <v>17440</v>
      </c>
      <c r="B5674" s="1" t="str">
        <f>"savage garden services"</f>
        <v>savage garden services</v>
      </c>
      <c r="C5674" s="1" t="s">
        <v>17441</v>
      </c>
      <c r="F5674" s="1" t="s">
        <v>17442</v>
      </c>
      <c r="H5674" s="1" t="s">
        <v>17443</v>
      </c>
      <c r="I5674" s="1" t="s">
        <v>125</v>
      </c>
      <c r="J5674" s="1" t="s">
        <v>67</v>
      </c>
      <c r="K5674" s="1" t="s">
        <v>14</v>
      </c>
      <c r="M5674" s="2">
        <v>42678</v>
      </c>
      <c r="N5674" s="1" t="s">
        <v>8</v>
      </c>
      <c r="O5674" s="1" t="s">
        <v>68</v>
      </c>
    </row>
    <row r="5675" spans="1:15" x14ac:dyDescent="0.3">
      <c r="A5675" s="1" t="s">
        <v>17444</v>
      </c>
      <c r="B5675" s="1" t="str">
        <f>"Davies Transport"</f>
        <v>Davies Transport</v>
      </c>
      <c r="C5675" s="1" t="s">
        <v>17445</v>
      </c>
      <c r="F5675" s="1" t="s">
        <v>865</v>
      </c>
      <c r="H5675" s="1" t="s">
        <v>17446</v>
      </c>
      <c r="I5675" s="1" t="s">
        <v>125</v>
      </c>
      <c r="J5675" s="1" t="s">
        <v>6</v>
      </c>
      <c r="K5675" s="1" t="s">
        <v>24</v>
      </c>
      <c r="M5675" s="2">
        <v>42678</v>
      </c>
      <c r="N5675" s="1" t="s">
        <v>8</v>
      </c>
      <c r="O5675" s="2">
        <v>43773</v>
      </c>
    </row>
    <row r="5676" spans="1:15" ht="43.2" x14ac:dyDescent="0.3">
      <c r="A5676" s="1" t="s">
        <v>18366</v>
      </c>
      <c r="B5676" s="1" t="str">
        <f>"P.W. Halse and Sons"</f>
        <v>P.W. Halse and Sons</v>
      </c>
      <c r="C5676" s="1" t="s">
        <v>18367</v>
      </c>
      <c r="D5676" s="1" t="s">
        <v>757</v>
      </c>
      <c r="F5676" s="1" t="s">
        <v>91</v>
      </c>
      <c r="H5676" s="1" t="s">
        <v>18368</v>
      </c>
      <c r="I5676" s="1" t="s">
        <v>125</v>
      </c>
      <c r="J5676" s="1" t="s">
        <v>67</v>
      </c>
      <c r="K5676" s="1" t="s">
        <v>14</v>
      </c>
      <c r="M5676" s="2">
        <v>42678</v>
      </c>
      <c r="N5676" s="1" t="s">
        <v>8</v>
      </c>
      <c r="O5676" s="1" t="s">
        <v>68</v>
      </c>
    </row>
    <row r="5677" spans="1:15" x14ac:dyDescent="0.3">
      <c r="A5677" s="1" t="s">
        <v>18369</v>
      </c>
      <c r="B5677" s="1" t="str">
        <f>"Greenfield Contractors"</f>
        <v>Greenfield Contractors</v>
      </c>
      <c r="C5677" s="1" t="s">
        <v>18370</v>
      </c>
      <c r="F5677" s="1" t="s">
        <v>27</v>
      </c>
      <c r="H5677" s="1" t="s">
        <v>18371</v>
      </c>
      <c r="I5677" s="1" t="s">
        <v>19</v>
      </c>
      <c r="J5677" s="1" t="s">
        <v>6</v>
      </c>
      <c r="K5677" s="1" t="s">
        <v>24</v>
      </c>
      <c r="L5677" s="1">
        <v>8043985</v>
      </c>
      <c r="M5677" s="2">
        <v>42678</v>
      </c>
      <c r="N5677" s="1" t="s">
        <v>8</v>
      </c>
      <c r="O5677" s="2">
        <v>43773</v>
      </c>
    </row>
    <row r="5678" spans="1:15" ht="28.8" x14ac:dyDescent="0.3">
      <c r="A5678" s="1" t="s">
        <v>29234</v>
      </c>
      <c r="B5678" s="1" t="str">
        <f>"David Hayball Davlee Contractors"</f>
        <v>David Hayball Davlee Contractors</v>
      </c>
      <c r="C5678" s="1" t="s">
        <v>29235</v>
      </c>
      <c r="F5678" s="1" t="s">
        <v>865</v>
      </c>
      <c r="H5678" s="1" t="s">
        <v>29236</v>
      </c>
      <c r="I5678" s="1" t="s">
        <v>5</v>
      </c>
      <c r="J5678" s="1" t="s">
        <v>6</v>
      </c>
      <c r="K5678" s="1" t="s">
        <v>34</v>
      </c>
      <c r="M5678" s="2">
        <v>42678</v>
      </c>
      <c r="N5678" s="1" t="s">
        <v>8</v>
      </c>
      <c r="O5678" s="2">
        <v>43773</v>
      </c>
    </row>
    <row r="5679" spans="1:15" ht="28.8" x14ac:dyDescent="0.3">
      <c r="A5679" s="1" t="s">
        <v>29957</v>
      </c>
      <c r="B5679" s="1" t="str">
        <f>"Glyn Jones Glyn Jones"</f>
        <v>Glyn Jones Glyn Jones</v>
      </c>
      <c r="C5679" s="1" t="s">
        <v>26833</v>
      </c>
      <c r="F5679" s="1" t="s">
        <v>1419</v>
      </c>
      <c r="H5679" s="1" t="s">
        <v>272</v>
      </c>
      <c r="I5679" s="1" t="s">
        <v>5</v>
      </c>
      <c r="J5679" s="1" t="s">
        <v>6</v>
      </c>
      <c r="K5679" s="1" t="s">
        <v>34</v>
      </c>
      <c r="M5679" s="2">
        <v>42678</v>
      </c>
      <c r="N5679" s="1" t="s">
        <v>8</v>
      </c>
      <c r="O5679" s="2">
        <v>43773</v>
      </c>
    </row>
    <row r="5680" spans="1:15" ht="28.8" x14ac:dyDescent="0.3">
      <c r="A5680" s="1" t="s">
        <v>29958</v>
      </c>
      <c r="B5680" s="1" t="str">
        <f>"Robert Trigg Robert Trigg"</f>
        <v>Robert Trigg Robert Trigg</v>
      </c>
      <c r="C5680" s="1" t="s">
        <v>29959</v>
      </c>
      <c r="F5680" s="1" t="s">
        <v>1341</v>
      </c>
      <c r="G5680" s="1" t="s">
        <v>103</v>
      </c>
      <c r="H5680" s="1" t="s">
        <v>29960</v>
      </c>
      <c r="I5680" s="1" t="s">
        <v>5</v>
      </c>
      <c r="J5680" s="1" t="s">
        <v>6</v>
      </c>
      <c r="K5680" s="1" t="s">
        <v>24</v>
      </c>
      <c r="M5680" s="2">
        <v>42678</v>
      </c>
      <c r="N5680" s="1" t="s">
        <v>8</v>
      </c>
      <c r="O5680" s="2">
        <v>43772</v>
      </c>
    </row>
    <row r="5681" spans="1:15" ht="43.2" x14ac:dyDescent="0.3">
      <c r="A5681" s="1" t="s">
        <v>29961</v>
      </c>
      <c r="B5681" s="1" t="str">
        <f>"John Donnelly JRD Building and Home Maintenance"</f>
        <v>John Donnelly JRD Building and Home Maintenance</v>
      </c>
      <c r="C5681" s="1" t="s">
        <v>29962</v>
      </c>
      <c r="F5681" s="1" t="s">
        <v>3415</v>
      </c>
      <c r="H5681" s="1" t="s">
        <v>29963</v>
      </c>
      <c r="I5681" s="1" t="s">
        <v>5</v>
      </c>
      <c r="J5681" s="1" t="s">
        <v>6</v>
      </c>
      <c r="K5681" s="1" t="s">
        <v>24</v>
      </c>
      <c r="M5681" s="2">
        <v>42678</v>
      </c>
      <c r="N5681" s="1" t="s">
        <v>8</v>
      </c>
      <c r="O5681" s="2">
        <v>43773</v>
      </c>
    </row>
    <row r="5682" spans="1:15" ht="43.2" x14ac:dyDescent="0.3">
      <c r="A5682" s="1" t="s">
        <v>29964</v>
      </c>
      <c r="B5682" s="1" t="str">
        <f>"Grenville James G James Building Contractors"</f>
        <v>Grenville James G James Building Contractors</v>
      </c>
      <c r="C5682" s="1" t="s">
        <v>29965</v>
      </c>
      <c r="F5682" s="1" t="s">
        <v>2277</v>
      </c>
      <c r="H5682" s="1" t="s">
        <v>29966</v>
      </c>
      <c r="I5682" s="1" t="s">
        <v>5</v>
      </c>
      <c r="J5682" s="1" t="s">
        <v>6</v>
      </c>
      <c r="K5682" s="1" t="s">
        <v>34</v>
      </c>
      <c r="M5682" s="2">
        <v>42678</v>
      </c>
      <c r="N5682" s="1" t="s">
        <v>8</v>
      </c>
      <c r="O5682" s="2">
        <v>43773</v>
      </c>
    </row>
    <row r="5683" spans="1:15" ht="28.8" x14ac:dyDescent="0.3">
      <c r="A5683" s="1" t="s">
        <v>17413</v>
      </c>
      <c r="B5683" s="1" t="str">
        <f>"valley building services (neath)ltd"</f>
        <v>valley building services (neath)ltd</v>
      </c>
      <c r="C5683" s="1" t="s">
        <v>17414</v>
      </c>
      <c r="F5683" s="1" t="s">
        <v>174</v>
      </c>
      <c r="H5683" s="1" t="s">
        <v>17415</v>
      </c>
      <c r="I5683" s="1" t="s">
        <v>19</v>
      </c>
      <c r="J5683" s="1" t="s">
        <v>6</v>
      </c>
      <c r="K5683" s="1" t="s">
        <v>24</v>
      </c>
      <c r="L5683" s="1">
        <v>9765913</v>
      </c>
      <c r="M5683" s="2">
        <v>42677</v>
      </c>
      <c r="N5683" s="1" t="s">
        <v>8</v>
      </c>
      <c r="O5683" s="2">
        <v>43772</v>
      </c>
    </row>
    <row r="5684" spans="1:15" ht="28.8" x14ac:dyDescent="0.3">
      <c r="A5684" s="1" t="s">
        <v>17416</v>
      </c>
      <c r="B5684" s="1" t="str">
        <f>"ZENITH LOGISTICS SERVICES (UK) LTD"</f>
        <v>ZENITH LOGISTICS SERVICES (UK) LTD</v>
      </c>
      <c r="C5684" s="1" t="s">
        <v>17417</v>
      </c>
      <c r="F5684" s="1" t="s">
        <v>243</v>
      </c>
      <c r="H5684" s="1" t="s">
        <v>17418</v>
      </c>
      <c r="I5684" s="1" t="s">
        <v>19</v>
      </c>
      <c r="J5684" s="1" t="s">
        <v>6</v>
      </c>
      <c r="K5684" s="1" t="s">
        <v>24</v>
      </c>
      <c r="L5684" s="1">
        <v>7234185</v>
      </c>
      <c r="M5684" s="2">
        <v>42677</v>
      </c>
      <c r="N5684" s="1" t="s">
        <v>8</v>
      </c>
      <c r="O5684" s="2">
        <v>43771</v>
      </c>
    </row>
    <row r="5685" spans="1:15" ht="28.8" x14ac:dyDescent="0.3">
      <c r="A5685" s="1" t="s">
        <v>17419</v>
      </c>
      <c r="B5685" s="1" t="str">
        <f>"Beacon Building Contractors Ltd"</f>
        <v>Beacon Building Contractors Ltd</v>
      </c>
      <c r="C5685" s="1" t="s">
        <v>17420</v>
      </c>
      <c r="F5685" s="1" t="s">
        <v>27</v>
      </c>
      <c r="H5685" s="1" t="s">
        <v>17421</v>
      </c>
      <c r="I5685" s="1" t="s">
        <v>19</v>
      </c>
      <c r="J5685" s="1" t="s">
        <v>6</v>
      </c>
      <c r="K5685" s="1" t="s">
        <v>34</v>
      </c>
      <c r="L5685" s="1">
        <v>9197255</v>
      </c>
      <c r="M5685" s="2">
        <v>42677</v>
      </c>
      <c r="N5685" s="1" t="s">
        <v>8</v>
      </c>
      <c r="O5685" s="2">
        <v>43772</v>
      </c>
    </row>
    <row r="5686" spans="1:15" ht="28.8" x14ac:dyDescent="0.3">
      <c r="A5686" s="1" t="s">
        <v>17422</v>
      </c>
      <c r="B5686" s="1" t="str">
        <f>"Wright and Phillips Carpentry and B"</f>
        <v>Wright and Phillips Carpentry and B</v>
      </c>
      <c r="C5686" s="1" t="s">
        <v>17423</v>
      </c>
      <c r="F5686" s="1" t="s">
        <v>65</v>
      </c>
      <c r="H5686" s="1" t="s">
        <v>17424</v>
      </c>
      <c r="I5686" s="1" t="s">
        <v>19</v>
      </c>
      <c r="J5686" s="1" t="s">
        <v>6</v>
      </c>
      <c r="K5686" s="1" t="s">
        <v>34</v>
      </c>
      <c r="L5686" s="1">
        <v>8276075</v>
      </c>
      <c r="M5686" s="2">
        <v>42677</v>
      </c>
      <c r="N5686" s="1" t="s">
        <v>8</v>
      </c>
      <c r="O5686" s="2">
        <v>43772</v>
      </c>
    </row>
    <row r="5687" spans="1:15" ht="28.8" x14ac:dyDescent="0.3">
      <c r="A5687" s="1" t="s">
        <v>17425</v>
      </c>
      <c r="B5687" s="1" t="str">
        <f>"SWR Construction Ltd"</f>
        <v>SWR Construction Ltd</v>
      </c>
      <c r="C5687" s="1" t="s">
        <v>17426</v>
      </c>
      <c r="F5687" s="1" t="s">
        <v>8319</v>
      </c>
      <c r="H5687" s="1" t="s">
        <v>17427</v>
      </c>
      <c r="I5687" s="1" t="s">
        <v>19</v>
      </c>
      <c r="J5687" s="1" t="s">
        <v>6</v>
      </c>
      <c r="K5687" s="1" t="s">
        <v>24</v>
      </c>
      <c r="L5687" s="1">
        <v>10457860</v>
      </c>
      <c r="M5687" s="2">
        <v>42677</v>
      </c>
      <c r="N5687" s="1" t="s">
        <v>8</v>
      </c>
      <c r="O5687" s="2">
        <v>43772</v>
      </c>
    </row>
    <row r="5688" spans="1:15" ht="28.8" x14ac:dyDescent="0.3">
      <c r="A5688" s="1" t="s">
        <v>17428</v>
      </c>
      <c r="B5688" s="1" t="str">
        <f>"Carmarthenshire County Council"</f>
        <v>Carmarthenshire County Council</v>
      </c>
      <c r="C5688" s="1" t="s">
        <v>17429</v>
      </c>
      <c r="D5688" s="1" t="s">
        <v>17430</v>
      </c>
      <c r="F5688" s="1" t="s">
        <v>666</v>
      </c>
      <c r="H5688" s="1" t="s">
        <v>17431</v>
      </c>
      <c r="I5688" s="1" t="s">
        <v>188</v>
      </c>
      <c r="J5688" s="1" t="s">
        <v>6</v>
      </c>
      <c r="K5688" s="1" t="s">
        <v>24</v>
      </c>
      <c r="M5688" s="2">
        <v>42677</v>
      </c>
      <c r="N5688" s="1" t="s">
        <v>8</v>
      </c>
      <c r="O5688" s="2">
        <v>43772</v>
      </c>
    </row>
    <row r="5689" spans="1:15" ht="28.8" x14ac:dyDescent="0.3">
      <c r="A5689" s="1" t="s">
        <v>29219</v>
      </c>
      <c r="B5689" s="1" t="str">
        <f>"Tim Hill Tim Hill"</f>
        <v>Tim Hill Tim Hill</v>
      </c>
      <c r="C5689" s="1" t="s">
        <v>29220</v>
      </c>
      <c r="F5689" s="1" t="s">
        <v>146</v>
      </c>
      <c r="H5689" s="1" t="s">
        <v>29221</v>
      </c>
      <c r="I5689" s="1" t="s">
        <v>5</v>
      </c>
      <c r="J5689" s="1" t="s">
        <v>6</v>
      </c>
      <c r="K5689" s="1" t="s">
        <v>24</v>
      </c>
      <c r="M5689" s="2">
        <v>42677</v>
      </c>
      <c r="N5689" s="1" t="s">
        <v>8</v>
      </c>
      <c r="O5689" s="2">
        <v>43772</v>
      </c>
    </row>
    <row r="5690" spans="1:15" ht="43.2" x14ac:dyDescent="0.3">
      <c r="A5690" s="1" t="s">
        <v>29222</v>
      </c>
      <c r="B5690" s="1" t="str">
        <f>"Eamonn greenwood Me Eamonn J Greenwood"</f>
        <v>Eamonn greenwood Me Eamonn J Greenwood</v>
      </c>
      <c r="C5690" s="1" t="s">
        <v>29223</v>
      </c>
      <c r="F5690" s="1" t="s">
        <v>29224</v>
      </c>
      <c r="H5690" s="1" t="s">
        <v>29225</v>
      </c>
      <c r="I5690" s="1" t="s">
        <v>5</v>
      </c>
      <c r="J5690" s="1" t="s">
        <v>6</v>
      </c>
      <c r="K5690" s="1" t="s">
        <v>24</v>
      </c>
      <c r="M5690" s="2">
        <v>42677</v>
      </c>
      <c r="N5690" s="1" t="s">
        <v>8</v>
      </c>
      <c r="O5690" s="2">
        <v>43772</v>
      </c>
    </row>
    <row r="5691" spans="1:15" ht="43.2" x14ac:dyDescent="0.3">
      <c r="A5691" s="1" t="s">
        <v>29226</v>
      </c>
      <c r="B5691" s="1" t="str">
        <f>"Bharrat Putel"</f>
        <v>Bharrat Putel</v>
      </c>
      <c r="C5691" s="1" t="s">
        <v>29227</v>
      </c>
      <c r="F5691" s="1" t="s">
        <v>1175</v>
      </c>
      <c r="H5691" s="1" t="s">
        <v>21568</v>
      </c>
      <c r="I5691" s="1" t="s">
        <v>5</v>
      </c>
      <c r="J5691" s="1" t="s">
        <v>67</v>
      </c>
      <c r="K5691" s="1" t="s">
        <v>14</v>
      </c>
      <c r="M5691" s="2">
        <v>42677</v>
      </c>
      <c r="N5691" s="1" t="s">
        <v>8</v>
      </c>
      <c r="O5691" s="1" t="s">
        <v>68</v>
      </c>
    </row>
    <row r="5692" spans="1:15" ht="43.2" x14ac:dyDescent="0.3">
      <c r="A5692" s="1" t="s">
        <v>29228</v>
      </c>
      <c r="B5692" s="1" t="str">
        <f>"Clayton Gifford"</f>
        <v>Clayton Gifford</v>
      </c>
      <c r="C5692" s="1" t="s">
        <v>29229</v>
      </c>
      <c r="F5692" s="1" t="s">
        <v>7218</v>
      </c>
      <c r="H5692" s="1" t="s">
        <v>29230</v>
      </c>
      <c r="I5692" s="1" t="s">
        <v>5</v>
      </c>
      <c r="J5692" s="1" t="s">
        <v>67</v>
      </c>
      <c r="K5692" s="1" t="s">
        <v>14</v>
      </c>
      <c r="M5692" s="2">
        <v>42677</v>
      </c>
      <c r="N5692" s="1" t="s">
        <v>8</v>
      </c>
      <c r="O5692" s="1" t="s">
        <v>68</v>
      </c>
    </row>
    <row r="5693" spans="1:15" ht="43.2" x14ac:dyDescent="0.3">
      <c r="A5693" s="1" t="s">
        <v>29231</v>
      </c>
      <c r="B5693" s="1" t="str">
        <f>"William Hall"</f>
        <v>William Hall</v>
      </c>
      <c r="C5693" s="1" t="s">
        <v>29232</v>
      </c>
      <c r="F5693" s="1" t="s">
        <v>1610</v>
      </c>
      <c r="H5693" s="1" t="s">
        <v>29233</v>
      </c>
      <c r="I5693" s="1" t="s">
        <v>5</v>
      </c>
      <c r="J5693" s="1" t="s">
        <v>67</v>
      </c>
      <c r="K5693" s="1" t="s">
        <v>14</v>
      </c>
      <c r="M5693" s="2">
        <v>42677</v>
      </c>
      <c r="N5693" s="1" t="s">
        <v>8</v>
      </c>
      <c r="O5693" s="1" t="s">
        <v>68</v>
      </c>
    </row>
    <row r="5694" spans="1:15" ht="28.8" x14ac:dyDescent="0.3">
      <c r="A5694" s="1" t="s">
        <v>16436</v>
      </c>
      <c r="B5694" s="1" t="str">
        <f>"CREAMSIDE HOMES LTD"</f>
        <v>CREAMSIDE HOMES LTD</v>
      </c>
      <c r="C5694" s="1" t="s">
        <v>16437</v>
      </c>
      <c r="D5694" s="1" t="s">
        <v>3181</v>
      </c>
      <c r="F5694" s="1" t="s">
        <v>513</v>
      </c>
      <c r="H5694" s="1" t="s">
        <v>3182</v>
      </c>
      <c r="I5694" s="1" t="s">
        <v>19</v>
      </c>
      <c r="J5694" s="1" t="s">
        <v>6</v>
      </c>
      <c r="K5694" s="1" t="s">
        <v>34</v>
      </c>
      <c r="L5694" s="1">
        <v>4048059</v>
      </c>
      <c r="M5694" s="2">
        <v>42676</v>
      </c>
      <c r="N5694" s="1" t="s">
        <v>8</v>
      </c>
      <c r="O5694" s="2">
        <v>43771</v>
      </c>
    </row>
    <row r="5695" spans="1:15" ht="28.8" x14ac:dyDescent="0.3">
      <c r="A5695" s="1" t="s">
        <v>16438</v>
      </c>
      <c r="B5695" s="1" t="str">
        <f>"Lee Poole and Sons Ltd"</f>
        <v>Lee Poole and Sons Ltd</v>
      </c>
      <c r="C5695" s="1" t="s">
        <v>16439</v>
      </c>
      <c r="F5695" s="1" t="s">
        <v>1511</v>
      </c>
      <c r="H5695" s="1" t="s">
        <v>16440</v>
      </c>
      <c r="I5695" s="1" t="s">
        <v>19</v>
      </c>
      <c r="J5695" s="1" t="s">
        <v>6</v>
      </c>
      <c r="K5695" s="1" t="s">
        <v>34</v>
      </c>
      <c r="L5695" s="1">
        <v>7380698</v>
      </c>
      <c r="M5695" s="2">
        <v>42676</v>
      </c>
      <c r="N5695" s="1" t="s">
        <v>8</v>
      </c>
      <c r="O5695" s="2">
        <v>43771</v>
      </c>
    </row>
    <row r="5696" spans="1:15" ht="28.8" x14ac:dyDescent="0.3">
      <c r="A5696" s="1" t="s">
        <v>16441</v>
      </c>
      <c r="B5696" s="1" t="str">
        <f>"M Thomas Water Services Ltd."</f>
        <v>M Thomas Water Services Ltd.</v>
      </c>
      <c r="C5696" s="1" t="s">
        <v>16442</v>
      </c>
      <c r="D5696" s="1" t="s">
        <v>9422</v>
      </c>
      <c r="F5696" s="1" t="s">
        <v>27</v>
      </c>
      <c r="H5696" s="1" t="s">
        <v>9423</v>
      </c>
      <c r="I5696" s="1" t="s">
        <v>19</v>
      </c>
      <c r="J5696" s="1" t="s">
        <v>6</v>
      </c>
      <c r="K5696" s="1" t="s">
        <v>24</v>
      </c>
      <c r="L5696" s="1">
        <v>4034298</v>
      </c>
      <c r="M5696" s="2">
        <v>42676</v>
      </c>
      <c r="N5696" s="1" t="s">
        <v>8</v>
      </c>
      <c r="O5696" s="2">
        <v>43771</v>
      </c>
    </row>
    <row r="5697" spans="1:15" ht="28.8" x14ac:dyDescent="0.3">
      <c r="A5697" s="1" t="s">
        <v>16443</v>
      </c>
      <c r="B5697" s="1" t="str">
        <f>"P V Groom Ltd."</f>
        <v>P V Groom Ltd.</v>
      </c>
      <c r="C5697" s="1" t="s">
        <v>16444</v>
      </c>
      <c r="D5697" s="1" t="s">
        <v>5884</v>
      </c>
      <c r="F5697" s="1" t="s">
        <v>198</v>
      </c>
      <c r="H5697" s="1" t="s">
        <v>12879</v>
      </c>
      <c r="I5697" s="1" t="s">
        <v>19</v>
      </c>
      <c r="J5697" s="1" t="s">
        <v>6</v>
      </c>
      <c r="K5697" s="1" t="s">
        <v>24</v>
      </c>
      <c r="L5697" s="1">
        <v>4800172</v>
      </c>
      <c r="M5697" s="2">
        <v>42676</v>
      </c>
      <c r="N5697" s="1" t="s">
        <v>8</v>
      </c>
      <c r="O5697" s="2">
        <v>43771</v>
      </c>
    </row>
    <row r="5698" spans="1:15" ht="28.8" x14ac:dyDescent="0.3">
      <c r="A5698" s="1" t="s">
        <v>16445</v>
      </c>
      <c r="B5698" s="1" t="str">
        <f>"Verde Recreo Limited"</f>
        <v>Verde Recreo Limited</v>
      </c>
      <c r="C5698" s="1" t="s">
        <v>16446</v>
      </c>
      <c r="D5698" s="1" t="s">
        <v>16447</v>
      </c>
      <c r="E5698" s="1" t="s">
        <v>16448</v>
      </c>
      <c r="F5698" s="1" t="s">
        <v>5459</v>
      </c>
      <c r="H5698" s="1" t="s">
        <v>16449</v>
      </c>
      <c r="I5698" s="1" t="s">
        <v>19</v>
      </c>
      <c r="J5698" s="1" t="s">
        <v>6</v>
      </c>
      <c r="K5698" s="1" t="s">
        <v>34</v>
      </c>
      <c r="L5698" s="1">
        <v>5922842</v>
      </c>
      <c r="M5698" s="2">
        <v>42676</v>
      </c>
      <c r="N5698" s="1" t="s">
        <v>8</v>
      </c>
      <c r="O5698" s="2">
        <v>43771</v>
      </c>
    </row>
    <row r="5699" spans="1:15" ht="28.8" x14ac:dyDescent="0.3">
      <c r="A5699" s="1" t="s">
        <v>16450</v>
      </c>
      <c r="B5699" s="1" t="str">
        <f>"K &amp; GC Morgan Properties"</f>
        <v>K &amp; GC Morgan Properties</v>
      </c>
      <c r="C5699" s="1" t="s">
        <v>16451</v>
      </c>
      <c r="D5699" s="1" t="s">
        <v>726</v>
      </c>
      <c r="F5699" s="1" t="s">
        <v>174</v>
      </c>
      <c r="H5699" s="1" t="s">
        <v>16452</v>
      </c>
      <c r="I5699" s="1" t="s">
        <v>125</v>
      </c>
      <c r="J5699" s="1" t="s">
        <v>6</v>
      </c>
      <c r="K5699" s="1" t="s">
        <v>24</v>
      </c>
      <c r="M5699" s="2">
        <v>42676</v>
      </c>
      <c r="N5699" s="1" t="s">
        <v>8</v>
      </c>
      <c r="O5699" s="2">
        <v>43771</v>
      </c>
    </row>
    <row r="5700" spans="1:15" ht="28.8" x14ac:dyDescent="0.3">
      <c r="A5700" s="1" t="s">
        <v>17411</v>
      </c>
      <c r="B5700" s="1" t="str">
        <f>"RDS (Cardiff) Limited"</f>
        <v>RDS (Cardiff) Limited</v>
      </c>
      <c r="C5700" s="1" t="s">
        <v>17412</v>
      </c>
      <c r="F5700" s="1" t="s">
        <v>27</v>
      </c>
      <c r="H5700" s="1" t="s">
        <v>2827</v>
      </c>
      <c r="I5700" s="1" t="s">
        <v>19</v>
      </c>
      <c r="J5700" s="1" t="s">
        <v>6</v>
      </c>
      <c r="K5700" s="1" t="s">
        <v>24</v>
      </c>
      <c r="L5700" s="1">
        <v>10385452</v>
      </c>
      <c r="M5700" s="2">
        <v>42676</v>
      </c>
      <c r="N5700" s="1" t="s">
        <v>8</v>
      </c>
      <c r="O5700" s="2">
        <v>43771</v>
      </c>
    </row>
    <row r="5701" spans="1:15" ht="28.8" x14ac:dyDescent="0.3">
      <c r="A5701" s="1" t="s">
        <v>28499</v>
      </c>
      <c r="B5701" s="1" t="str">
        <f>"Artro Davies A Davies Contractors"</f>
        <v>Artro Davies A Davies Contractors</v>
      </c>
      <c r="C5701" s="1" t="s">
        <v>21358</v>
      </c>
      <c r="F5701" s="1" t="s">
        <v>710</v>
      </c>
      <c r="H5701" s="1" t="s">
        <v>21359</v>
      </c>
      <c r="I5701" s="1" t="s">
        <v>5</v>
      </c>
      <c r="J5701" s="1" t="s">
        <v>6</v>
      </c>
      <c r="K5701" s="1" t="s">
        <v>24</v>
      </c>
      <c r="M5701" s="2">
        <v>42676</v>
      </c>
      <c r="N5701" s="1" t="s">
        <v>8</v>
      </c>
      <c r="O5701" s="2">
        <v>43771</v>
      </c>
    </row>
    <row r="5702" spans="1:15" ht="43.2" x14ac:dyDescent="0.3">
      <c r="A5702" s="1" t="s">
        <v>28500</v>
      </c>
      <c r="B5702" s="1" t="str">
        <f>"Neil  Jones "</f>
        <v xml:space="preserve">Neil  Jones </v>
      </c>
      <c r="C5702" s="1" t="s">
        <v>28501</v>
      </c>
      <c r="F5702" s="1" t="s">
        <v>22</v>
      </c>
      <c r="H5702" s="1" t="s">
        <v>28502</v>
      </c>
      <c r="I5702" s="1" t="s">
        <v>5</v>
      </c>
      <c r="J5702" s="1" t="s">
        <v>67</v>
      </c>
      <c r="K5702" s="1" t="s">
        <v>14</v>
      </c>
      <c r="M5702" s="2">
        <v>42676</v>
      </c>
      <c r="N5702" s="1" t="s">
        <v>8</v>
      </c>
      <c r="O5702" s="1" t="s">
        <v>68</v>
      </c>
    </row>
    <row r="5703" spans="1:15" ht="43.2" x14ac:dyDescent="0.3">
      <c r="A5703" s="1" t="s">
        <v>28503</v>
      </c>
      <c r="B5703" s="1" t="str">
        <f>"Sharad Rajani"</f>
        <v>Sharad Rajani</v>
      </c>
      <c r="C5703" s="1" t="s">
        <v>28504</v>
      </c>
      <c r="F5703" s="1" t="s">
        <v>1175</v>
      </c>
      <c r="H5703" s="1" t="s">
        <v>28505</v>
      </c>
      <c r="I5703" s="1" t="s">
        <v>5</v>
      </c>
      <c r="J5703" s="1" t="s">
        <v>67</v>
      </c>
      <c r="K5703" s="1" t="s">
        <v>14</v>
      </c>
      <c r="M5703" s="2">
        <v>42676</v>
      </c>
      <c r="N5703" s="1" t="s">
        <v>8</v>
      </c>
      <c r="O5703" s="1" t="s">
        <v>68</v>
      </c>
    </row>
    <row r="5704" spans="1:15" ht="28.8" x14ac:dyDescent="0.3">
      <c r="A5704" s="1" t="s">
        <v>28506</v>
      </c>
      <c r="B5704" s="1" t="str">
        <f>"Stephen Palmer Cardiff House Clearance"</f>
        <v>Stephen Palmer Cardiff House Clearance</v>
      </c>
      <c r="C5704" s="1" t="s">
        <v>28507</v>
      </c>
      <c r="D5704" s="1" t="s">
        <v>28508</v>
      </c>
      <c r="E5704" s="1" t="s">
        <v>13091</v>
      </c>
      <c r="F5704" s="1" t="s">
        <v>123</v>
      </c>
      <c r="G5704" s="1" t="s">
        <v>27</v>
      </c>
      <c r="H5704" s="1" t="s">
        <v>28509</v>
      </c>
      <c r="I5704" s="1" t="s">
        <v>5</v>
      </c>
      <c r="J5704" s="1" t="s">
        <v>6</v>
      </c>
      <c r="K5704" s="1" t="s">
        <v>24</v>
      </c>
      <c r="M5704" s="2">
        <v>42676</v>
      </c>
      <c r="N5704" s="1" t="s">
        <v>8</v>
      </c>
      <c r="O5704" s="2">
        <v>43770</v>
      </c>
    </row>
    <row r="5705" spans="1:15" ht="28.8" x14ac:dyDescent="0.3">
      <c r="A5705" s="1" t="s">
        <v>29216</v>
      </c>
      <c r="B5705" s="1" t="str">
        <f>"Kenny Anderson K J Roofing Services"</f>
        <v>Kenny Anderson K J Roofing Services</v>
      </c>
      <c r="C5705" s="1" t="s">
        <v>29217</v>
      </c>
      <c r="F5705" s="1" t="s">
        <v>37</v>
      </c>
      <c r="H5705" s="1" t="s">
        <v>29218</v>
      </c>
      <c r="I5705" s="1" t="s">
        <v>5</v>
      </c>
      <c r="J5705" s="1" t="s">
        <v>6</v>
      </c>
      <c r="K5705" s="1" t="s">
        <v>24</v>
      </c>
      <c r="M5705" s="2">
        <v>42676</v>
      </c>
      <c r="N5705" s="1" t="s">
        <v>8</v>
      </c>
      <c r="O5705" s="2">
        <v>43771</v>
      </c>
    </row>
    <row r="5706" spans="1:15" ht="28.8" x14ac:dyDescent="0.3">
      <c r="A5706" s="1" t="s">
        <v>15389</v>
      </c>
      <c r="B5706" s="1" t="str">
        <f>"Gentles Construction ltd"</f>
        <v>Gentles Construction ltd</v>
      </c>
      <c r="C5706" s="1" t="s">
        <v>15390</v>
      </c>
      <c r="F5706" s="1" t="s">
        <v>27</v>
      </c>
      <c r="H5706" s="1" t="s">
        <v>15391</v>
      </c>
      <c r="I5706" s="1" t="s">
        <v>19</v>
      </c>
      <c r="J5706" s="1" t="s">
        <v>6</v>
      </c>
      <c r="K5706" s="1" t="s">
        <v>34</v>
      </c>
      <c r="L5706" s="1">
        <v>6819668</v>
      </c>
      <c r="M5706" s="2">
        <v>42675</v>
      </c>
      <c r="N5706" s="1" t="s">
        <v>8</v>
      </c>
      <c r="O5706" s="2">
        <v>43770</v>
      </c>
    </row>
    <row r="5707" spans="1:15" ht="28.8" x14ac:dyDescent="0.3">
      <c r="A5707" s="1" t="s">
        <v>15392</v>
      </c>
      <c r="B5707" s="1" t="str">
        <f>"The Secret Ingredient (swansea) ltd"</f>
        <v>The Secret Ingredient (swansea) ltd</v>
      </c>
      <c r="C5707" s="1" t="s">
        <v>15393</v>
      </c>
      <c r="F5707" s="1" t="s">
        <v>65</v>
      </c>
      <c r="H5707" s="1" t="s">
        <v>15394</v>
      </c>
      <c r="I5707" s="1" t="s">
        <v>19</v>
      </c>
      <c r="J5707" s="1" t="s">
        <v>6</v>
      </c>
      <c r="K5707" s="1" t="s">
        <v>34</v>
      </c>
      <c r="L5707" s="1">
        <v>7648779</v>
      </c>
      <c r="M5707" s="2">
        <v>42675</v>
      </c>
      <c r="N5707" s="1" t="s">
        <v>8</v>
      </c>
      <c r="O5707" s="2">
        <v>43770</v>
      </c>
    </row>
    <row r="5708" spans="1:15" ht="28.8" x14ac:dyDescent="0.3">
      <c r="A5708" s="1" t="s">
        <v>15395</v>
      </c>
      <c r="B5708" s="1" t="str">
        <f>"PORT ENGINEERING LTD"</f>
        <v>PORT ENGINEERING LTD</v>
      </c>
      <c r="C5708" s="1" t="s">
        <v>15396</v>
      </c>
      <c r="F5708" s="1" t="s">
        <v>134</v>
      </c>
      <c r="H5708" s="1" t="s">
        <v>15397</v>
      </c>
      <c r="I5708" s="1" t="s">
        <v>19</v>
      </c>
      <c r="J5708" s="1" t="s">
        <v>6</v>
      </c>
      <c r="K5708" s="1" t="s">
        <v>24</v>
      </c>
      <c r="L5708" s="1">
        <v>5349016</v>
      </c>
      <c r="M5708" s="2">
        <v>42675</v>
      </c>
      <c r="N5708" s="1" t="s">
        <v>8</v>
      </c>
      <c r="O5708" s="2">
        <v>43770</v>
      </c>
    </row>
    <row r="5709" spans="1:15" ht="28.8" x14ac:dyDescent="0.3">
      <c r="A5709" s="1" t="s">
        <v>15398</v>
      </c>
      <c r="B5709" s="1" t="str">
        <f>"Belmount Products Ltd."</f>
        <v>Belmount Products Ltd.</v>
      </c>
      <c r="C5709" s="1" t="s">
        <v>15399</v>
      </c>
      <c r="F5709" s="1" t="s">
        <v>27</v>
      </c>
      <c r="H5709" s="1" t="s">
        <v>15400</v>
      </c>
      <c r="I5709" s="1" t="s">
        <v>19</v>
      </c>
      <c r="J5709" s="1" t="s">
        <v>6</v>
      </c>
      <c r="K5709" s="1" t="s">
        <v>24</v>
      </c>
      <c r="L5709" s="1">
        <v>4338833</v>
      </c>
      <c r="M5709" s="2">
        <v>42675</v>
      </c>
      <c r="N5709" s="1" t="s">
        <v>8</v>
      </c>
      <c r="O5709" s="2">
        <v>43770</v>
      </c>
    </row>
    <row r="5710" spans="1:15" ht="28.8" x14ac:dyDescent="0.3">
      <c r="A5710" s="1" t="s">
        <v>16419</v>
      </c>
      <c r="B5710" s="1" t="str">
        <f>"J.S Davies &amp; Son 2011 LTD"</f>
        <v>J.S Davies &amp; Son 2011 LTD</v>
      </c>
      <c r="C5710" s="1" t="s">
        <v>16420</v>
      </c>
      <c r="F5710" s="1" t="s">
        <v>5291</v>
      </c>
      <c r="H5710" s="1" t="s">
        <v>16421</v>
      </c>
      <c r="I5710" s="1" t="s">
        <v>19</v>
      </c>
      <c r="J5710" s="1" t="s">
        <v>6</v>
      </c>
      <c r="K5710" s="1" t="s">
        <v>24</v>
      </c>
      <c r="L5710" s="1">
        <v>7791472</v>
      </c>
      <c r="M5710" s="2">
        <v>42675</v>
      </c>
      <c r="N5710" s="1" t="s">
        <v>8</v>
      </c>
      <c r="O5710" s="2">
        <v>43770</v>
      </c>
    </row>
    <row r="5711" spans="1:15" ht="43.2" x14ac:dyDescent="0.3">
      <c r="A5711" s="1" t="s">
        <v>16422</v>
      </c>
      <c r="B5711" s="1" t="str">
        <f>"Hamilton  supa save"</f>
        <v>Hamilton  supa save</v>
      </c>
      <c r="C5711" s="1" t="s">
        <v>16423</v>
      </c>
      <c r="D5711" s="1" t="s">
        <v>16424</v>
      </c>
      <c r="F5711" s="1" t="s">
        <v>9039</v>
      </c>
      <c r="H5711" s="1" t="s">
        <v>16425</v>
      </c>
      <c r="I5711" s="1" t="s">
        <v>19</v>
      </c>
      <c r="J5711" s="1" t="s">
        <v>67</v>
      </c>
      <c r="K5711" s="1" t="s">
        <v>14</v>
      </c>
      <c r="M5711" s="2">
        <v>42675</v>
      </c>
      <c r="N5711" s="1" t="s">
        <v>8</v>
      </c>
      <c r="O5711" s="1" t="s">
        <v>68</v>
      </c>
    </row>
    <row r="5712" spans="1:15" ht="28.8" x14ac:dyDescent="0.3">
      <c r="A5712" s="1" t="s">
        <v>16426</v>
      </c>
      <c r="B5712" s="1" t="str">
        <f>"A. Trevor &amp; Son"</f>
        <v>A. Trevor &amp; Son</v>
      </c>
      <c r="C5712" s="1" t="s">
        <v>16427</v>
      </c>
      <c r="F5712" s="1" t="s">
        <v>2277</v>
      </c>
      <c r="H5712" s="1" t="s">
        <v>16428</v>
      </c>
      <c r="I5712" s="1" t="s">
        <v>125</v>
      </c>
      <c r="J5712" s="1" t="s">
        <v>6</v>
      </c>
      <c r="K5712" s="1" t="s">
        <v>34</v>
      </c>
      <c r="M5712" s="2">
        <v>42675</v>
      </c>
      <c r="N5712" s="1" t="s">
        <v>8</v>
      </c>
      <c r="O5712" s="2">
        <v>43770</v>
      </c>
    </row>
    <row r="5713" spans="1:15" ht="28.8" x14ac:dyDescent="0.3">
      <c r="A5713" s="1" t="s">
        <v>16429</v>
      </c>
      <c r="B5713" s="1" t="str">
        <f>"Artisan Conservatories &amp; Windows Ltd."</f>
        <v>Artisan Conservatories &amp; Windows Ltd.</v>
      </c>
      <c r="C5713" s="1" t="s">
        <v>16430</v>
      </c>
      <c r="F5713" s="1" t="s">
        <v>1169</v>
      </c>
      <c r="H5713" s="1" t="s">
        <v>16431</v>
      </c>
      <c r="I5713" s="1" t="s">
        <v>19</v>
      </c>
      <c r="J5713" s="1" t="s">
        <v>6</v>
      </c>
      <c r="K5713" s="1" t="s">
        <v>34</v>
      </c>
      <c r="L5713" s="1">
        <v>5376227</v>
      </c>
      <c r="M5713" s="2">
        <v>42675</v>
      </c>
      <c r="N5713" s="1" t="s">
        <v>8</v>
      </c>
      <c r="O5713" s="2">
        <v>43770</v>
      </c>
    </row>
    <row r="5714" spans="1:15" ht="43.2" x14ac:dyDescent="0.3">
      <c r="A5714" s="1" t="s">
        <v>16432</v>
      </c>
      <c r="B5714" s="1" t="str">
        <f>"COITY ENGINEERING &amp; SITE SERVICES LTD"</f>
        <v>COITY ENGINEERING &amp; SITE SERVICES LTD</v>
      </c>
      <c r="C5714" s="1" t="s">
        <v>16433</v>
      </c>
      <c r="F5714" s="1" t="s">
        <v>865</v>
      </c>
      <c r="H5714" s="1" t="s">
        <v>4843</v>
      </c>
      <c r="I5714" s="1" t="s">
        <v>19</v>
      </c>
      <c r="J5714" s="1" t="s">
        <v>6</v>
      </c>
      <c r="K5714" s="1" t="s">
        <v>24</v>
      </c>
      <c r="L5714" s="1">
        <v>7173055</v>
      </c>
      <c r="M5714" s="2">
        <v>42675</v>
      </c>
      <c r="N5714" s="1" t="s">
        <v>8</v>
      </c>
      <c r="O5714" s="2">
        <v>43770</v>
      </c>
    </row>
    <row r="5715" spans="1:15" ht="28.8" x14ac:dyDescent="0.3">
      <c r="A5715" s="1" t="s">
        <v>16434</v>
      </c>
      <c r="B5715" s="1" t="str">
        <f>"Gorman Glass Ltd"</f>
        <v>Gorman Glass Ltd</v>
      </c>
      <c r="C5715" s="1" t="s">
        <v>16435</v>
      </c>
      <c r="F5715" s="1" t="s">
        <v>174</v>
      </c>
      <c r="H5715" s="1" t="s">
        <v>3135</v>
      </c>
      <c r="I5715" s="1" t="s">
        <v>19</v>
      </c>
      <c r="J5715" s="1" t="s">
        <v>6</v>
      </c>
      <c r="K5715" s="1" t="s">
        <v>34</v>
      </c>
      <c r="L5715" s="1">
        <v>1245577</v>
      </c>
      <c r="M5715" s="2">
        <v>42675</v>
      </c>
      <c r="N5715" s="1" t="s">
        <v>8</v>
      </c>
      <c r="O5715" s="2">
        <v>43770</v>
      </c>
    </row>
    <row r="5716" spans="1:15" ht="28.8" x14ac:dyDescent="0.3">
      <c r="A5716" s="1" t="s">
        <v>28478</v>
      </c>
      <c r="B5716" s="1" t="str">
        <f>"paul palmer paul palmer"</f>
        <v>paul palmer paul palmer</v>
      </c>
      <c r="C5716" s="1" t="s">
        <v>28479</v>
      </c>
      <c r="F5716" s="1" t="s">
        <v>83</v>
      </c>
      <c r="H5716" s="1" t="s">
        <v>28480</v>
      </c>
      <c r="I5716" s="1" t="s">
        <v>5</v>
      </c>
      <c r="J5716" s="1" t="s">
        <v>6</v>
      </c>
      <c r="K5716" s="1" t="s">
        <v>24</v>
      </c>
      <c r="M5716" s="2">
        <v>42675</v>
      </c>
      <c r="N5716" s="1" t="s">
        <v>8</v>
      </c>
      <c r="O5716" s="2">
        <v>43770</v>
      </c>
    </row>
    <row r="5717" spans="1:15" ht="43.2" x14ac:dyDescent="0.3">
      <c r="A5717" s="1" t="s">
        <v>28481</v>
      </c>
      <c r="B5717" s="1" t="str">
        <f>"Aaron Humphreys A&amp;J Humphreys property and garden m"</f>
        <v>Aaron Humphreys A&amp;J Humphreys property and garden m</v>
      </c>
      <c r="C5717" s="1" t="s">
        <v>28482</v>
      </c>
      <c r="F5717" s="1" t="s">
        <v>65</v>
      </c>
      <c r="H5717" s="1" t="s">
        <v>28483</v>
      </c>
      <c r="I5717" s="1" t="s">
        <v>5</v>
      </c>
      <c r="J5717" s="1" t="s">
        <v>6</v>
      </c>
      <c r="K5717" s="1" t="s">
        <v>24</v>
      </c>
      <c r="M5717" s="2">
        <v>42675</v>
      </c>
      <c r="N5717" s="1" t="s">
        <v>8</v>
      </c>
      <c r="O5717" s="2">
        <v>43770</v>
      </c>
    </row>
    <row r="5718" spans="1:15" ht="43.2" x14ac:dyDescent="0.3">
      <c r="A5718" s="1" t="s">
        <v>28484</v>
      </c>
      <c r="B5718" s="1" t="str">
        <f>"Hugh Storey"</f>
        <v>Hugh Storey</v>
      </c>
      <c r="C5718" s="1" t="s">
        <v>28485</v>
      </c>
      <c r="F5718" s="1" t="s">
        <v>3251</v>
      </c>
      <c r="H5718" s="1" t="s">
        <v>28486</v>
      </c>
      <c r="I5718" s="1" t="s">
        <v>5</v>
      </c>
      <c r="J5718" s="1" t="s">
        <v>67</v>
      </c>
      <c r="K5718" s="1" t="s">
        <v>14</v>
      </c>
      <c r="M5718" s="2">
        <v>42675</v>
      </c>
      <c r="N5718" s="1" t="s">
        <v>8</v>
      </c>
      <c r="O5718" s="1" t="s">
        <v>68</v>
      </c>
    </row>
    <row r="5719" spans="1:15" ht="43.2" x14ac:dyDescent="0.3">
      <c r="A5719" s="1" t="s">
        <v>28487</v>
      </c>
      <c r="B5719" s="1" t="str">
        <f>"Alan Wylde"</f>
        <v>Alan Wylde</v>
      </c>
      <c r="C5719" s="1" t="s">
        <v>28488</v>
      </c>
      <c r="F5719" s="1" t="s">
        <v>1169</v>
      </c>
      <c r="H5719" s="1" t="s">
        <v>28489</v>
      </c>
      <c r="I5719" s="1" t="s">
        <v>5</v>
      </c>
      <c r="J5719" s="1" t="s">
        <v>67</v>
      </c>
      <c r="K5719" s="1" t="s">
        <v>14</v>
      </c>
      <c r="M5719" s="2">
        <v>42675</v>
      </c>
      <c r="N5719" s="1" t="s">
        <v>8</v>
      </c>
      <c r="O5719" s="1" t="s">
        <v>68</v>
      </c>
    </row>
    <row r="5720" spans="1:15" x14ac:dyDescent="0.3">
      <c r="A5720" s="1" t="s">
        <v>28490</v>
      </c>
      <c r="B5720" s="1" t="str">
        <f>"Michael Stuart Nelms"</f>
        <v>Michael Stuart Nelms</v>
      </c>
      <c r="C5720" s="1" t="s">
        <v>28491</v>
      </c>
      <c r="F5720" s="1" t="s">
        <v>27</v>
      </c>
      <c r="H5720" s="1" t="s">
        <v>28492</v>
      </c>
      <c r="I5720" s="1" t="s">
        <v>5</v>
      </c>
      <c r="J5720" s="1" t="s">
        <v>6</v>
      </c>
      <c r="K5720" s="1" t="s">
        <v>24</v>
      </c>
      <c r="M5720" s="2">
        <v>42675</v>
      </c>
      <c r="N5720" s="1" t="s">
        <v>8</v>
      </c>
      <c r="O5720" s="2">
        <v>43770</v>
      </c>
    </row>
    <row r="5721" spans="1:15" x14ac:dyDescent="0.3">
      <c r="A5721" s="1" t="s">
        <v>28493</v>
      </c>
      <c r="B5721" s="1" t="str">
        <f>"john rhys williams"</f>
        <v>john rhys williams</v>
      </c>
      <c r="C5721" s="1" t="s">
        <v>28494</v>
      </c>
      <c r="F5721" s="1" t="s">
        <v>1696</v>
      </c>
      <c r="H5721" s="1" t="s">
        <v>28495</v>
      </c>
      <c r="I5721" s="1" t="s">
        <v>5</v>
      </c>
      <c r="J5721" s="1" t="s">
        <v>6</v>
      </c>
      <c r="K5721" s="1" t="s">
        <v>24</v>
      </c>
      <c r="M5721" s="2">
        <v>42675</v>
      </c>
      <c r="N5721" s="1" t="s">
        <v>8</v>
      </c>
      <c r="O5721" s="2">
        <v>43770</v>
      </c>
    </row>
    <row r="5722" spans="1:15" ht="28.8" x14ac:dyDescent="0.3">
      <c r="A5722" s="1" t="s">
        <v>28496</v>
      </c>
      <c r="B5722" s="1" t="str">
        <f>"paul way P W Builder &amp; Groundwork's"</f>
        <v>paul way P W Builder &amp; Groundwork's</v>
      </c>
      <c r="C5722" s="1" t="s">
        <v>28497</v>
      </c>
      <c r="D5722" s="1" t="s">
        <v>108</v>
      </c>
      <c r="F5722" s="1" t="s">
        <v>65</v>
      </c>
      <c r="H5722" s="1" t="s">
        <v>28498</v>
      </c>
      <c r="I5722" s="1" t="s">
        <v>5</v>
      </c>
      <c r="J5722" s="1" t="s">
        <v>6</v>
      </c>
      <c r="K5722" s="1" t="s">
        <v>34</v>
      </c>
      <c r="M5722" s="2">
        <v>42675</v>
      </c>
      <c r="N5722" s="1" t="s">
        <v>8</v>
      </c>
      <c r="O5722" s="2">
        <v>43770</v>
      </c>
    </row>
    <row r="5723" spans="1:15" ht="43.2" x14ac:dyDescent="0.3">
      <c r="A5723" s="1" t="s">
        <v>15371</v>
      </c>
      <c r="B5723" s="1" t="str">
        <f>"TOM DAVIES &amp; SON (COAL MERCHANTS) LTD"</f>
        <v>TOM DAVIES &amp; SON (COAL MERCHANTS) LTD</v>
      </c>
      <c r="C5723" s="1" t="s">
        <v>15372</v>
      </c>
      <c r="F5723" s="1" t="s">
        <v>457</v>
      </c>
      <c r="H5723" s="1" t="s">
        <v>15373</v>
      </c>
      <c r="I5723" s="1" t="s">
        <v>19</v>
      </c>
      <c r="J5723" s="1" t="s">
        <v>6</v>
      </c>
      <c r="K5723" s="1" t="s">
        <v>34</v>
      </c>
      <c r="L5723" s="1">
        <v>561198</v>
      </c>
      <c r="M5723" s="2">
        <v>42674</v>
      </c>
      <c r="N5723" s="1" t="s">
        <v>8</v>
      </c>
      <c r="O5723" s="2">
        <v>43769</v>
      </c>
    </row>
    <row r="5724" spans="1:15" x14ac:dyDescent="0.3">
      <c r="A5724" s="1" t="s">
        <v>15374</v>
      </c>
      <c r="B5724" s="1" t="str">
        <f>"Darranlas Ltd"</f>
        <v>Darranlas Ltd</v>
      </c>
      <c r="C5724" s="1" t="s">
        <v>7455</v>
      </c>
      <c r="F5724" s="1" t="s">
        <v>996</v>
      </c>
      <c r="H5724" s="1" t="s">
        <v>3101</v>
      </c>
      <c r="I5724" s="1" t="s">
        <v>19</v>
      </c>
      <c r="J5724" s="1" t="s">
        <v>6</v>
      </c>
      <c r="K5724" s="1" t="s">
        <v>24</v>
      </c>
      <c r="L5724" s="1">
        <v>6750506</v>
      </c>
      <c r="M5724" s="2">
        <v>42674</v>
      </c>
      <c r="N5724" s="1" t="s">
        <v>8</v>
      </c>
      <c r="O5724" s="2">
        <v>43769</v>
      </c>
    </row>
    <row r="5725" spans="1:15" ht="28.8" x14ac:dyDescent="0.3">
      <c r="A5725" s="1" t="s">
        <v>15375</v>
      </c>
      <c r="B5725" s="1" t="str">
        <f>"Pobl Group Limited"</f>
        <v>Pobl Group Limited</v>
      </c>
      <c r="C5725" s="1" t="s">
        <v>15376</v>
      </c>
      <c r="D5725" s="1" t="s">
        <v>1010</v>
      </c>
      <c r="F5725" s="1" t="s">
        <v>91</v>
      </c>
      <c r="H5725" s="1" t="s">
        <v>13266</v>
      </c>
      <c r="I5725" s="1" t="s">
        <v>125</v>
      </c>
      <c r="J5725" s="1" t="s">
        <v>6</v>
      </c>
      <c r="K5725" s="1" t="s">
        <v>24</v>
      </c>
      <c r="L5725" s="1" t="s">
        <v>15377</v>
      </c>
      <c r="M5725" s="2">
        <v>42674</v>
      </c>
      <c r="N5725" s="1" t="s">
        <v>8</v>
      </c>
      <c r="O5725" s="2">
        <v>43769</v>
      </c>
    </row>
    <row r="5726" spans="1:15" x14ac:dyDescent="0.3">
      <c r="A5726" s="1" t="s">
        <v>15378</v>
      </c>
      <c r="B5726" s="1" t="str">
        <f>"D J Decorators Ltd."</f>
        <v>D J Decorators Ltd.</v>
      </c>
      <c r="C5726" s="1" t="s">
        <v>15379</v>
      </c>
      <c r="F5726" s="1" t="s">
        <v>380</v>
      </c>
      <c r="H5726" s="1" t="s">
        <v>15380</v>
      </c>
      <c r="I5726" s="1" t="s">
        <v>19</v>
      </c>
      <c r="J5726" s="1" t="s">
        <v>6</v>
      </c>
      <c r="K5726" s="1" t="s">
        <v>24</v>
      </c>
      <c r="L5726" s="1">
        <v>4504203</v>
      </c>
      <c r="M5726" s="2">
        <v>42674</v>
      </c>
      <c r="N5726" s="1" t="s">
        <v>8</v>
      </c>
      <c r="O5726" s="2">
        <v>43769</v>
      </c>
    </row>
    <row r="5727" spans="1:15" x14ac:dyDescent="0.3">
      <c r="A5727" s="1" t="s">
        <v>15381</v>
      </c>
      <c r="B5727" s="1" t="str">
        <f>"H&amp;R Roberts and Sons"</f>
        <v>H&amp;R Roberts and Sons</v>
      </c>
      <c r="C5727" s="1" t="s">
        <v>15382</v>
      </c>
      <c r="F5727" s="1" t="s">
        <v>2277</v>
      </c>
      <c r="H5727" s="1" t="s">
        <v>15383</v>
      </c>
      <c r="I5727" s="1" t="s">
        <v>125</v>
      </c>
      <c r="J5727" s="1" t="s">
        <v>6</v>
      </c>
      <c r="K5727" s="1" t="s">
        <v>24</v>
      </c>
      <c r="M5727" s="2">
        <v>42674</v>
      </c>
      <c r="N5727" s="1" t="s">
        <v>8</v>
      </c>
      <c r="O5727" s="2">
        <v>43769</v>
      </c>
    </row>
    <row r="5728" spans="1:15" ht="43.2" x14ac:dyDescent="0.3">
      <c r="A5728" s="1" t="s">
        <v>15384</v>
      </c>
      <c r="B5728" s="1" t="str">
        <f>"Beach Guardian"</f>
        <v>Beach Guardian</v>
      </c>
      <c r="C5728" s="1" t="s">
        <v>15385</v>
      </c>
      <c r="F5728" s="1" t="s">
        <v>27</v>
      </c>
      <c r="H5728" s="1" t="s">
        <v>15386</v>
      </c>
      <c r="I5728" s="1" t="s">
        <v>1872</v>
      </c>
      <c r="J5728" s="1" t="s">
        <v>67</v>
      </c>
      <c r="K5728" s="1" t="s">
        <v>14</v>
      </c>
      <c r="M5728" s="2">
        <v>42674</v>
      </c>
      <c r="N5728" s="1" t="s">
        <v>8</v>
      </c>
      <c r="O5728" s="1" t="s">
        <v>68</v>
      </c>
    </row>
    <row r="5729" spans="1:15" ht="43.2" x14ac:dyDescent="0.3">
      <c r="A5729" s="1" t="s">
        <v>15387</v>
      </c>
      <c r="B5729" s="1" t="str">
        <f>"jamie wiliamson "</f>
        <v xml:space="preserve">jamie wiliamson </v>
      </c>
      <c r="C5729" s="1" t="s">
        <v>15388</v>
      </c>
      <c r="D5729" s="1" t="s">
        <v>7111</v>
      </c>
      <c r="E5729" s="1" t="s">
        <v>95</v>
      </c>
      <c r="F5729" s="1" t="s">
        <v>96</v>
      </c>
      <c r="H5729" s="1" t="s">
        <v>1270</v>
      </c>
      <c r="I5729" s="1" t="s">
        <v>188</v>
      </c>
      <c r="J5729" s="1" t="s">
        <v>67</v>
      </c>
      <c r="K5729" s="1" t="s">
        <v>14</v>
      </c>
      <c r="M5729" s="2">
        <v>42674</v>
      </c>
      <c r="N5729" s="1" t="s">
        <v>8</v>
      </c>
      <c r="O5729" s="1" t="s">
        <v>68</v>
      </c>
    </row>
    <row r="5730" spans="1:15" x14ac:dyDescent="0.3">
      <c r="A5730" s="1" t="s">
        <v>27694</v>
      </c>
      <c r="B5730" s="1" t="str">
        <f>"Paul Thomas Dampaid"</f>
        <v>Paul Thomas Dampaid</v>
      </c>
      <c r="C5730" s="1" t="s">
        <v>27695</v>
      </c>
      <c r="F5730" s="1" t="s">
        <v>1184</v>
      </c>
      <c r="H5730" s="1" t="s">
        <v>27696</v>
      </c>
      <c r="I5730" s="1" t="s">
        <v>5</v>
      </c>
      <c r="J5730" s="1" t="s">
        <v>6</v>
      </c>
      <c r="K5730" s="1" t="s">
        <v>24</v>
      </c>
      <c r="M5730" s="2">
        <v>42674</v>
      </c>
      <c r="N5730" s="1" t="s">
        <v>8</v>
      </c>
      <c r="O5730" s="2">
        <v>43769</v>
      </c>
    </row>
    <row r="5731" spans="1:15" ht="28.8" x14ac:dyDescent="0.3">
      <c r="A5731" s="1" t="s">
        <v>27697</v>
      </c>
      <c r="B5731" s="1" t="str">
        <f>"Peter Hopkin P W Hopkin"</f>
        <v>Peter Hopkin P W Hopkin</v>
      </c>
      <c r="C5731" s="1" t="s">
        <v>27698</v>
      </c>
      <c r="D5731" s="1" t="s">
        <v>14237</v>
      </c>
      <c r="F5731" s="1" t="s">
        <v>65</v>
      </c>
      <c r="H5731" s="1" t="s">
        <v>27699</v>
      </c>
      <c r="I5731" s="1" t="s">
        <v>5</v>
      </c>
      <c r="J5731" s="1" t="s">
        <v>6</v>
      </c>
      <c r="K5731" s="1" t="s">
        <v>24</v>
      </c>
      <c r="M5731" s="2">
        <v>42674</v>
      </c>
      <c r="N5731" s="1" t="s">
        <v>8</v>
      </c>
      <c r="O5731" s="2">
        <v>43769</v>
      </c>
    </row>
    <row r="5732" spans="1:15" ht="28.8" x14ac:dyDescent="0.3">
      <c r="A5732" s="1" t="s">
        <v>15368</v>
      </c>
      <c r="B5732" s="1" t="str">
        <f>"Buildcare 247 Ltd."</f>
        <v>Buildcare 247 Ltd.</v>
      </c>
      <c r="C5732" s="1" t="s">
        <v>15369</v>
      </c>
      <c r="F5732" s="1" t="s">
        <v>865</v>
      </c>
      <c r="H5732" s="1" t="s">
        <v>15370</v>
      </c>
      <c r="I5732" s="1" t="s">
        <v>19</v>
      </c>
      <c r="J5732" s="1" t="s">
        <v>6</v>
      </c>
      <c r="K5732" s="1" t="s">
        <v>24</v>
      </c>
      <c r="L5732" s="1">
        <v>4928875</v>
      </c>
      <c r="M5732" s="2">
        <v>42673</v>
      </c>
      <c r="N5732" s="1" t="s">
        <v>8</v>
      </c>
      <c r="O5732" s="2">
        <v>43768</v>
      </c>
    </row>
    <row r="5733" spans="1:15" ht="43.2" x14ac:dyDescent="0.3">
      <c r="A5733" s="1" t="s">
        <v>26832</v>
      </c>
      <c r="B5733" s="1" t="str">
        <f>"Glyn Jones"</f>
        <v>Glyn Jones</v>
      </c>
      <c r="C5733" s="1" t="s">
        <v>26833</v>
      </c>
      <c r="F5733" s="1" t="s">
        <v>1419</v>
      </c>
      <c r="H5733" s="1" t="s">
        <v>272</v>
      </c>
      <c r="I5733" s="1" t="s">
        <v>5</v>
      </c>
      <c r="J5733" s="1" t="s">
        <v>67</v>
      </c>
      <c r="K5733" s="1" t="s">
        <v>24</v>
      </c>
      <c r="M5733" s="2">
        <v>42673</v>
      </c>
      <c r="N5733" s="1" t="s">
        <v>8</v>
      </c>
      <c r="O5733" s="1" t="s">
        <v>68</v>
      </c>
    </row>
    <row r="5734" spans="1:15" ht="28.8" x14ac:dyDescent="0.3">
      <c r="A5734" s="1" t="s">
        <v>26834</v>
      </c>
      <c r="B5734" s="1" t="str">
        <f>"Bernard Hughes Bhughes"</f>
        <v>Bernard Hughes Bhughes</v>
      </c>
      <c r="C5734" s="1" t="s">
        <v>26835</v>
      </c>
      <c r="F5734" s="1" t="s">
        <v>1321</v>
      </c>
      <c r="H5734" s="1" t="s">
        <v>26836</v>
      </c>
      <c r="I5734" s="1" t="s">
        <v>5</v>
      </c>
      <c r="J5734" s="1" t="s">
        <v>6</v>
      </c>
      <c r="K5734" s="1" t="s">
        <v>24</v>
      </c>
      <c r="M5734" s="2">
        <v>42673</v>
      </c>
      <c r="N5734" s="1" t="s">
        <v>8</v>
      </c>
      <c r="O5734" s="2">
        <v>43768</v>
      </c>
    </row>
    <row r="5735" spans="1:15" ht="28.8" x14ac:dyDescent="0.3">
      <c r="A5735" s="1" t="s">
        <v>14492</v>
      </c>
      <c r="B5735" s="1" t="str">
        <f>"dp jenkins and son ltd"</f>
        <v>dp jenkins and son ltd</v>
      </c>
      <c r="C5735" s="1" t="s">
        <v>14493</v>
      </c>
      <c r="F5735" s="1" t="s">
        <v>65</v>
      </c>
      <c r="H5735" s="1" t="s">
        <v>14494</v>
      </c>
      <c r="I5735" s="1" t="s">
        <v>19</v>
      </c>
      <c r="J5735" s="1" t="s">
        <v>6</v>
      </c>
      <c r="K5735" s="1" t="s">
        <v>34</v>
      </c>
      <c r="L5735" s="1">
        <v>4569465</v>
      </c>
      <c r="M5735" s="2">
        <v>42672</v>
      </c>
      <c r="N5735" s="1" t="s">
        <v>8</v>
      </c>
      <c r="O5735" s="2">
        <v>43767</v>
      </c>
    </row>
    <row r="5736" spans="1:15" ht="43.2" x14ac:dyDescent="0.3">
      <c r="A5736" s="1" t="s">
        <v>14482</v>
      </c>
      <c r="B5736" s="1" t="str">
        <f>"Newport Furnishers Ltd"</f>
        <v>Newport Furnishers Ltd</v>
      </c>
      <c r="C5736" s="1" t="s">
        <v>14483</v>
      </c>
      <c r="F5736" s="1" t="s">
        <v>91</v>
      </c>
      <c r="H5736" s="1" t="s">
        <v>14484</v>
      </c>
      <c r="I5736" s="1" t="s">
        <v>19</v>
      </c>
      <c r="J5736" s="1" t="s">
        <v>67</v>
      </c>
      <c r="K5736" s="1" t="s">
        <v>14</v>
      </c>
      <c r="M5736" s="2">
        <v>42671</v>
      </c>
      <c r="N5736" s="1" t="s">
        <v>8</v>
      </c>
      <c r="O5736" s="1" t="s">
        <v>68</v>
      </c>
    </row>
    <row r="5737" spans="1:15" ht="43.2" x14ac:dyDescent="0.3">
      <c r="A5737" s="1" t="s">
        <v>14485</v>
      </c>
      <c r="B5737" s="1" t="str">
        <f>"Timbersgreen Garden Care ltd"</f>
        <v>Timbersgreen Garden Care ltd</v>
      </c>
      <c r="C5737" s="1" t="s">
        <v>14486</v>
      </c>
      <c r="F5737" s="1" t="s">
        <v>786</v>
      </c>
      <c r="H5737" s="1" t="s">
        <v>14487</v>
      </c>
      <c r="I5737" s="1" t="s">
        <v>19</v>
      </c>
      <c r="J5737" s="1" t="s">
        <v>67</v>
      </c>
      <c r="K5737" s="1" t="s">
        <v>14</v>
      </c>
      <c r="M5737" s="2">
        <v>42671</v>
      </c>
      <c r="N5737" s="1" t="s">
        <v>8</v>
      </c>
      <c r="O5737" s="1" t="s">
        <v>68</v>
      </c>
    </row>
    <row r="5738" spans="1:15" ht="28.8" x14ac:dyDescent="0.3">
      <c r="A5738" s="1" t="s">
        <v>14488</v>
      </c>
      <c r="B5738" s="1" t="str">
        <f>"D Wynne Evans &amp; Sons Ltd"</f>
        <v>D Wynne Evans &amp; Sons Ltd</v>
      </c>
      <c r="C5738" s="1" t="s">
        <v>14489</v>
      </c>
      <c r="F5738" s="1" t="s">
        <v>12</v>
      </c>
      <c r="H5738" s="1" t="s">
        <v>14490</v>
      </c>
      <c r="I5738" s="1" t="s">
        <v>19</v>
      </c>
      <c r="J5738" s="1" t="s">
        <v>6</v>
      </c>
      <c r="K5738" s="1" t="s">
        <v>34</v>
      </c>
      <c r="L5738" s="1">
        <v>4169237</v>
      </c>
      <c r="M5738" s="2">
        <v>42671</v>
      </c>
      <c r="N5738" s="1" t="s">
        <v>8</v>
      </c>
      <c r="O5738" s="2">
        <v>43766</v>
      </c>
    </row>
    <row r="5739" spans="1:15" ht="28.8" x14ac:dyDescent="0.3">
      <c r="A5739" s="1" t="s">
        <v>14491</v>
      </c>
      <c r="B5739" s="1" t="str">
        <f>"William Hughes (Civil Engineering) Ltd."</f>
        <v>William Hughes (Civil Engineering) Ltd.</v>
      </c>
      <c r="C5739" s="1" t="s">
        <v>3530</v>
      </c>
      <c r="F5739" s="1" t="s">
        <v>678</v>
      </c>
      <c r="H5739" s="1" t="s">
        <v>3531</v>
      </c>
      <c r="I5739" s="1" t="s">
        <v>19</v>
      </c>
      <c r="J5739" s="1" t="s">
        <v>6</v>
      </c>
      <c r="K5739" s="1" t="s">
        <v>24</v>
      </c>
      <c r="L5739" s="1">
        <v>1112626</v>
      </c>
      <c r="M5739" s="2">
        <v>42671</v>
      </c>
      <c r="N5739" s="1" t="s">
        <v>8</v>
      </c>
      <c r="O5739" s="2">
        <v>43766</v>
      </c>
    </row>
    <row r="5740" spans="1:15" ht="43.2" x14ac:dyDescent="0.3">
      <c r="A5740" s="1" t="s">
        <v>26821</v>
      </c>
      <c r="B5740" s="1" t="str">
        <f>"Bongo Brian Kays"</f>
        <v>Bongo Brian Kays</v>
      </c>
      <c r="C5740" s="1" t="s">
        <v>26822</v>
      </c>
      <c r="F5740" s="1" t="s">
        <v>65</v>
      </c>
      <c r="H5740" s="1" t="s">
        <v>26823</v>
      </c>
      <c r="I5740" s="1" t="s">
        <v>5</v>
      </c>
      <c r="J5740" s="1" t="s">
        <v>67</v>
      </c>
      <c r="K5740" s="1" t="s">
        <v>14</v>
      </c>
      <c r="M5740" s="2">
        <v>42671</v>
      </c>
      <c r="N5740" s="1" t="s">
        <v>8</v>
      </c>
      <c r="O5740" s="1" t="s">
        <v>68</v>
      </c>
    </row>
    <row r="5741" spans="1:15" ht="28.8" x14ac:dyDescent="0.3">
      <c r="A5741" s="1" t="s">
        <v>26824</v>
      </c>
      <c r="B5741" s="1" t="str">
        <f>"Keith Taylor Keith Taylor"</f>
        <v>Keith Taylor Keith Taylor</v>
      </c>
      <c r="C5741" s="1" t="s">
        <v>26825</v>
      </c>
      <c r="F5741" s="1" t="s">
        <v>739</v>
      </c>
      <c r="H5741" s="1" t="s">
        <v>26826</v>
      </c>
      <c r="I5741" s="1" t="s">
        <v>5</v>
      </c>
      <c r="J5741" s="1" t="s">
        <v>6</v>
      </c>
      <c r="K5741" s="1" t="s">
        <v>34</v>
      </c>
      <c r="M5741" s="2">
        <v>42671</v>
      </c>
      <c r="N5741" s="1" t="s">
        <v>8</v>
      </c>
      <c r="O5741" s="2">
        <v>43766</v>
      </c>
    </row>
    <row r="5742" spans="1:15" ht="28.8" x14ac:dyDescent="0.3">
      <c r="A5742" s="1" t="s">
        <v>26827</v>
      </c>
      <c r="B5742" s="1" t="str">
        <f>"Mark Thomas Mark Thomas"</f>
        <v>Mark Thomas Mark Thomas</v>
      </c>
      <c r="C5742" s="1" t="s">
        <v>26828</v>
      </c>
      <c r="F5742" s="1" t="s">
        <v>174</v>
      </c>
      <c r="H5742" s="1" t="s">
        <v>26829</v>
      </c>
      <c r="I5742" s="1" t="s">
        <v>5</v>
      </c>
      <c r="J5742" s="1" t="s">
        <v>6</v>
      </c>
      <c r="K5742" s="1" t="s">
        <v>24</v>
      </c>
      <c r="M5742" s="2">
        <v>42671</v>
      </c>
      <c r="N5742" s="1" t="s">
        <v>8</v>
      </c>
      <c r="O5742" s="2">
        <v>43766</v>
      </c>
    </row>
    <row r="5743" spans="1:15" ht="43.2" x14ac:dyDescent="0.3">
      <c r="A5743" s="1" t="s">
        <v>26830</v>
      </c>
      <c r="B5743" s="1" t="str">
        <f>"Ian Hardway Orchard Homes Property Developments"</f>
        <v>Ian Hardway Orchard Homes Property Developments</v>
      </c>
      <c r="C5743" s="1" t="s">
        <v>26831</v>
      </c>
      <c r="F5743" s="1" t="s">
        <v>374</v>
      </c>
      <c r="H5743" s="1" t="s">
        <v>16584</v>
      </c>
      <c r="I5743" s="1" t="s">
        <v>5</v>
      </c>
      <c r="J5743" s="1" t="s">
        <v>6</v>
      </c>
      <c r="K5743" s="1" t="s">
        <v>24</v>
      </c>
      <c r="M5743" s="2">
        <v>42671</v>
      </c>
      <c r="N5743" s="1" t="s">
        <v>8</v>
      </c>
      <c r="O5743" s="2">
        <v>43766</v>
      </c>
    </row>
    <row r="5744" spans="1:15" ht="43.2" x14ac:dyDescent="0.3">
      <c r="A5744" s="1" t="s">
        <v>13644</v>
      </c>
      <c r="B5744" s="1" t="str">
        <f>"MAS Heating Systems Ltd"</f>
        <v>MAS Heating Systems Ltd</v>
      </c>
      <c r="C5744" s="1" t="s">
        <v>13645</v>
      </c>
      <c r="D5744" s="1" t="s">
        <v>13646</v>
      </c>
      <c r="F5744" s="1" t="s">
        <v>13647</v>
      </c>
      <c r="H5744" s="1" t="s">
        <v>13648</v>
      </c>
      <c r="I5744" s="1" t="s">
        <v>19</v>
      </c>
      <c r="J5744" s="1" t="s">
        <v>67</v>
      </c>
      <c r="K5744" s="1" t="s">
        <v>14</v>
      </c>
      <c r="M5744" s="2">
        <v>42670</v>
      </c>
      <c r="N5744" s="1" t="s">
        <v>8</v>
      </c>
      <c r="O5744" s="1" t="s">
        <v>68</v>
      </c>
    </row>
    <row r="5745" spans="1:15" ht="28.8" x14ac:dyDescent="0.3">
      <c r="A5745" s="1" t="s">
        <v>13649</v>
      </c>
      <c r="B5745" s="1" t="str">
        <f>"PMW Property Services Ltd"</f>
        <v>PMW Property Services Ltd</v>
      </c>
      <c r="C5745" s="1" t="s">
        <v>13650</v>
      </c>
      <c r="F5745" s="1" t="s">
        <v>91</v>
      </c>
      <c r="H5745" s="1" t="s">
        <v>13651</v>
      </c>
      <c r="I5745" s="1" t="s">
        <v>19</v>
      </c>
      <c r="J5745" s="1" t="s">
        <v>6</v>
      </c>
      <c r="K5745" s="1" t="s">
        <v>34</v>
      </c>
      <c r="L5745" s="1">
        <v>8256239</v>
      </c>
      <c r="M5745" s="2">
        <v>42670</v>
      </c>
      <c r="N5745" s="1" t="s">
        <v>8</v>
      </c>
      <c r="O5745" s="2">
        <v>43765</v>
      </c>
    </row>
    <row r="5746" spans="1:15" ht="43.2" x14ac:dyDescent="0.3">
      <c r="A5746" s="1" t="s">
        <v>13652</v>
      </c>
      <c r="B5746" s="1" t="str">
        <f>"Autocare Centre Chepstow"</f>
        <v>Autocare Centre Chepstow</v>
      </c>
      <c r="C5746" s="1" t="s">
        <v>13653</v>
      </c>
      <c r="D5746" s="1" t="s">
        <v>8396</v>
      </c>
      <c r="F5746" s="1" t="s">
        <v>243</v>
      </c>
      <c r="H5746" s="1" t="s">
        <v>8397</v>
      </c>
      <c r="I5746" s="1" t="s">
        <v>125</v>
      </c>
      <c r="J5746" s="1" t="s">
        <v>67</v>
      </c>
      <c r="K5746" s="1" t="s">
        <v>24</v>
      </c>
      <c r="M5746" s="2">
        <v>42670</v>
      </c>
      <c r="N5746" s="1" t="s">
        <v>8</v>
      </c>
      <c r="O5746" s="1" t="s">
        <v>68</v>
      </c>
    </row>
    <row r="5747" spans="1:15" ht="28.8" x14ac:dyDescent="0.3">
      <c r="A5747" s="1" t="s">
        <v>13654</v>
      </c>
      <c r="B5747" s="1" t="str">
        <f>"CHS property services wales"</f>
        <v>CHS property services wales</v>
      </c>
      <c r="C5747" s="1" t="s">
        <v>13655</v>
      </c>
      <c r="F5747" s="1" t="s">
        <v>91</v>
      </c>
      <c r="H5747" s="1" t="s">
        <v>13656</v>
      </c>
      <c r="I5747" s="1" t="s">
        <v>125</v>
      </c>
      <c r="J5747" s="1" t="s">
        <v>6</v>
      </c>
      <c r="K5747" s="1" t="s">
        <v>34</v>
      </c>
      <c r="M5747" s="2">
        <v>42670</v>
      </c>
      <c r="N5747" s="1" t="s">
        <v>8</v>
      </c>
      <c r="O5747" s="2">
        <v>43765</v>
      </c>
    </row>
    <row r="5748" spans="1:15" ht="43.2" x14ac:dyDescent="0.3">
      <c r="A5748" s="1" t="s">
        <v>13657</v>
      </c>
      <c r="B5748" s="1" t="str">
        <f>"Cedar distribution ltd"</f>
        <v>Cedar distribution ltd</v>
      </c>
      <c r="C5748" s="1" t="s">
        <v>13658</v>
      </c>
      <c r="F5748" s="1" t="s">
        <v>13659</v>
      </c>
      <c r="H5748" s="1" t="s">
        <v>13660</v>
      </c>
      <c r="I5748" s="1" t="s">
        <v>19</v>
      </c>
      <c r="J5748" s="1" t="s">
        <v>67</v>
      </c>
      <c r="K5748" s="1" t="s">
        <v>14</v>
      </c>
      <c r="M5748" s="2">
        <v>42670</v>
      </c>
      <c r="N5748" s="1" t="s">
        <v>8</v>
      </c>
      <c r="O5748" s="1" t="s">
        <v>68</v>
      </c>
    </row>
    <row r="5749" spans="1:15" ht="28.8" x14ac:dyDescent="0.3">
      <c r="A5749" s="1" t="s">
        <v>13661</v>
      </c>
      <c r="B5749" s="1" t="str">
        <f>"Adeiladwr Mon Cyf"</f>
        <v>Adeiladwr Mon Cyf</v>
      </c>
      <c r="C5749" s="1" t="s">
        <v>13662</v>
      </c>
      <c r="F5749" s="1" t="s">
        <v>1696</v>
      </c>
      <c r="H5749" s="1" t="s">
        <v>13663</v>
      </c>
      <c r="I5749" s="1" t="s">
        <v>19</v>
      </c>
      <c r="J5749" s="1" t="s">
        <v>6</v>
      </c>
      <c r="K5749" s="1" t="s">
        <v>34</v>
      </c>
      <c r="L5749" s="1">
        <v>9915615</v>
      </c>
      <c r="M5749" s="2">
        <v>42670</v>
      </c>
      <c r="N5749" s="1" t="s">
        <v>8</v>
      </c>
      <c r="O5749" s="2">
        <v>43765</v>
      </c>
    </row>
    <row r="5750" spans="1:15" ht="28.8" x14ac:dyDescent="0.3">
      <c r="A5750" s="1" t="s">
        <v>14476</v>
      </c>
      <c r="B5750" s="1" t="str">
        <f>"Edge Transport Limited"</f>
        <v>Edge Transport Limited</v>
      </c>
      <c r="C5750" s="1" t="s">
        <v>14477</v>
      </c>
      <c r="F5750" s="1" t="s">
        <v>1346</v>
      </c>
      <c r="H5750" s="1" t="s">
        <v>14478</v>
      </c>
      <c r="I5750" s="1" t="s">
        <v>19</v>
      </c>
      <c r="J5750" s="1" t="s">
        <v>6</v>
      </c>
      <c r="K5750" s="1" t="s">
        <v>34</v>
      </c>
      <c r="L5750" s="1">
        <v>1919980</v>
      </c>
      <c r="M5750" s="2">
        <v>42670</v>
      </c>
      <c r="N5750" s="1" t="s">
        <v>8</v>
      </c>
      <c r="O5750" s="2">
        <v>43765</v>
      </c>
    </row>
    <row r="5751" spans="1:15" ht="43.2" x14ac:dyDescent="0.3">
      <c r="A5751" s="1" t="s">
        <v>14479</v>
      </c>
      <c r="B5751" s="1" t="str">
        <f>"Langdon Owens &amp; Morgan Building Services Ltd."</f>
        <v>Langdon Owens &amp; Morgan Building Services Ltd.</v>
      </c>
      <c r="C5751" s="1" t="s">
        <v>14480</v>
      </c>
      <c r="F5751" s="1" t="s">
        <v>298</v>
      </c>
      <c r="H5751" s="1" t="s">
        <v>14481</v>
      </c>
      <c r="I5751" s="1" t="s">
        <v>19</v>
      </c>
      <c r="J5751" s="1" t="s">
        <v>6</v>
      </c>
      <c r="K5751" s="1" t="s">
        <v>34</v>
      </c>
      <c r="L5751" s="1">
        <v>2549781</v>
      </c>
      <c r="M5751" s="2">
        <v>42670</v>
      </c>
      <c r="N5751" s="1" t="s">
        <v>8</v>
      </c>
      <c r="O5751" s="2">
        <v>43765</v>
      </c>
    </row>
    <row r="5752" spans="1:15" ht="43.2" x14ac:dyDescent="0.3">
      <c r="A5752" s="1" t="s">
        <v>26126</v>
      </c>
      <c r="B5752" s="1" t="str">
        <f>"Martyn Adams"</f>
        <v>Martyn Adams</v>
      </c>
      <c r="C5752" s="1" t="s">
        <v>10567</v>
      </c>
      <c r="D5752" s="1" t="s">
        <v>10568</v>
      </c>
      <c r="F5752" s="1" t="s">
        <v>10569</v>
      </c>
      <c r="H5752" s="1" t="s">
        <v>10570</v>
      </c>
      <c r="I5752" s="1" t="s">
        <v>5</v>
      </c>
      <c r="J5752" s="1" t="s">
        <v>67</v>
      </c>
      <c r="K5752" s="1" t="s">
        <v>14</v>
      </c>
      <c r="M5752" s="2">
        <v>42670</v>
      </c>
      <c r="N5752" s="1" t="s">
        <v>8</v>
      </c>
      <c r="O5752" s="1" t="s">
        <v>68</v>
      </c>
    </row>
    <row r="5753" spans="1:15" ht="43.2" x14ac:dyDescent="0.3">
      <c r="A5753" s="1" t="s">
        <v>26127</v>
      </c>
      <c r="B5753" s="1" t="str">
        <f>"Michael Graddock "</f>
        <v xml:space="preserve">Michael Graddock </v>
      </c>
      <c r="C5753" s="1" t="s">
        <v>26128</v>
      </c>
      <c r="F5753" s="1" t="s">
        <v>19636</v>
      </c>
      <c r="H5753" s="1" t="s">
        <v>26129</v>
      </c>
      <c r="I5753" s="1" t="s">
        <v>5</v>
      </c>
      <c r="J5753" s="1" t="s">
        <v>67</v>
      </c>
      <c r="K5753" s="1" t="s">
        <v>14</v>
      </c>
      <c r="M5753" s="2">
        <v>42670</v>
      </c>
      <c r="N5753" s="1" t="s">
        <v>8</v>
      </c>
      <c r="O5753" s="1" t="s">
        <v>68</v>
      </c>
    </row>
    <row r="5754" spans="1:15" x14ac:dyDescent="0.3">
      <c r="A5754" s="1" t="s">
        <v>26130</v>
      </c>
      <c r="B5754" s="1" t="str">
        <f>"Malcolm Lloyd"</f>
        <v>Malcolm Lloyd</v>
      </c>
      <c r="C5754" s="1" t="s">
        <v>26131</v>
      </c>
      <c r="D5754" s="1" t="s">
        <v>26132</v>
      </c>
      <c r="F5754" s="1" t="s">
        <v>323</v>
      </c>
      <c r="H5754" s="1" t="s">
        <v>26133</v>
      </c>
      <c r="I5754" s="1" t="s">
        <v>5</v>
      </c>
      <c r="J5754" s="1" t="s">
        <v>6</v>
      </c>
      <c r="K5754" s="1" t="s">
        <v>24</v>
      </c>
      <c r="M5754" s="2">
        <v>42670</v>
      </c>
      <c r="N5754" s="1" t="s">
        <v>8</v>
      </c>
      <c r="O5754" s="2">
        <v>43765</v>
      </c>
    </row>
    <row r="5755" spans="1:15" ht="28.8" x14ac:dyDescent="0.3">
      <c r="A5755" s="1" t="s">
        <v>26134</v>
      </c>
      <c r="B5755" s="1" t="str">
        <f>"William Colin Price"</f>
        <v>William Colin Price</v>
      </c>
      <c r="C5755" s="1" t="s">
        <v>26135</v>
      </c>
      <c r="D5755" s="1" t="s">
        <v>26136</v>
      </c>
      <c r="F5755" s="1" t="s">
        <v>174</v>
      </c>
      <c r="H5755" s="1" t="s">
        <v>26137</v>
      </c>
      <c r="I5755" s="1" t="s">
        <v>5</v>
      </c>
      <c r="J5755" s="1" t="s">
        <v>6</v>
      </c>
      <c r="K5755" s="1" t="s">
        <v>34</v>
      </c>
      <c r="M5755" s="2">
        <v>42670</v>
      </c>
      <c r="N5755" s="1" t="s">
        <v>8</v>
      </c>
      <c r="O5755" s="2">
        <v>43765</v>
      </c>
    </row>
    <row r="5756" spans="1:15" ht="43.2" x14ac:dyDescent="0.3">
      <c r="A5756" s="1" t="s">
        <v>26818</v>
      </c>
      <c r="B5756" s="1" t="str">
        <f>"Danny Ross"</f>
        <v>Danny Ross</v>
      </c>
      <c r="C5756" s="1" t="s">
        <v>26819</v>
      </c>
      <c r="F5756" s="1" t="s">
        <v>710</v>
      </c>
      <c r="H5756" s="1" t="s">
        <v>26820</v>
      </c>
      <c r="I5756" s="1" t="s">
        <v>5</v>
      </c>
      <c r="J5756" s="1" t="s">
        <v>67</v>
      </c>
      <c r="K5756" s="1" t="s">
        <v>14</v>
      </c>
      <c r="M5756" s="2">
        <v>42670</v>
      </c>
      <c r="N5756" s="1" t="s">
        <v>8</v>
      </c>
      <c r="O5756" s="1" t="s">
        <v>68</v>
      </c>
    </row>
    <row r="5757" spans="1:15" ht="28.8" x14ac:dyDescent="0.3">
      <c r="A5757" s="1" t="s">
        <v>12506</v>
      </c>
      <c r="B5757" s="1" t="str">
        <f>"BESSENT AND BESSENT lIMITED"</f>
        <v>BESSENT AND BESSENT lIMITED</v>
      </c>
      <c r="C5757" s="1" t="s">
        <v>12507</v>
      </c>
      <c r="F5757" s="1" t="s">
        <v>65</v>
      </c>
      <c r="H5757" s="1" t="s">
        <v>12508</v>
      </c>
      <c r="I5757" s="1" t="s">
        <v>19</v>
      </c>
      <c r="J5757" s="1" t="s">
        <v>6</v>
      </c>
      <c r="K5757" s="1" t="s">
        <v>34</v>
      </c>
      <c r="L5757" s="1">
        <v>9498822</v>
      </c>
      <c r="M5757" s="2">
        <v>42669</v>
      </c>
      <c r="N5757" s="1" t="s">
        <v>8</v>
      </c>
      <c r="O5757" s="2">
        <v>43779</v>
      </c>
    </row>
    <row r="5758" spans="1:15" ht="43.2" x14ac:dyDescent="0.3">
      <c r="A5758" s="1" t="s">
        <v>12509</v>
      </c>
      <c r="B5758" s="1" t="str">
        <f>"CWA LTD"</f>
        <v>CWA LTD</v>
      </c>
      <c r="C5758" s="1" t="s">
        <v>12510</v>
      </c>
      <c r="F5758" s="1" t="s">
        <v>4327</v>
      </c>
      <c r="H5758" s="1" t="s">
        <v>12511</v>
      </c>
      <c r="I5758" s="1" t="s">
        <v>19</v>
      </c>
      <c r="J5758" s="1" t="s">
        <v>67</v>
      </c>
      <c r="K5758" s="1" t="s">
        <v>14</v>
      </c>
      <c r="M5758" s="2">
        <v>42669</v>
      </c>
      <c r="N5758" s="1" t="s">
        <v>8</v>
      </c>
      <c r="O5758" s="1" t="s">
        <v>68</v>
      </c>
    </row>
    <row r="5759" spans="1:15" ht="43.2" x14ac:dyDescent="0.3">
      <c r="A5759" s="1" t="s">
        <v>12512</v>
      </c>
      <c r="B5759" s="1" t="str">
        <f>"Ceri Environmental Consulting Ltd"</f>
        <v>Ceri Environmental Consulting Ltd</v>
      </c>
      <c r="C5759" s="1" t="s">
        <v>12513</v>
      </c>
      <c r="D5759" s="1" t="s">
        <v>9153</v>
      </c>
      <c r="F5759" s="1" t="s">
        <v>445</v>
      </c>
      <c r="H5759" s="1" t="s">
        <v>12514</v>
      </c>
      <c r="I5759" s="1" t="s">
        <v>19</v>
      </c>
      <c r="J5759" s="1" t="s">
        <v>67</v>
      </c>
      <c r="K5759" s="1" t="s">
        <v>14</v>
      </c>
      <c r="M5759" s="2">
        <v>42669</v>
      </c>
      <c r="N5759" s="1" t="s">
        <v>8</v>
      </c>
      <c r="O5759" s="1" t="s">
        <v>68</v>
      </c>
    </row>
    <row r="5760" spans="1:15" ht="28.8" x14ac:dyDescent="0.3">
      <c r="A5760" s="1" t="s">
        <v>12515</v>
      </c>
      <c r="B5760" s="1" t="str">
        <f>"4 Seasons Beer &amp; Tent Co Ltd"</f>
        <v>4 Seasons Beer &amp; Tent Co Ltd</v>
      </c>
      <c r="C5760" s="1" t="s">
        <v>12516</v>
      </c>
      <c r="F5760" s="1" t="s">
        <v>12517</v>
      </c>
      <c r="H5760" s="1" t="s">
        <v>12518</v>
      </c>
      <c r="I5760" s="1" t="s">
        <v>19</v>
      </c>
      <c r="J5760" s="1" t="s">
        <v>6</v>
      </c>
      <c r="K5760" s="1" t="s">
        <v>24</v>
      </c>
      <c r="L5760" s="1">
        <v>2998826</v>
      </c>
      <c r="M5760" s="2">
        <v>42669</v>
      </c>
      <c r="N5760" s="1" t="s">
        <v>8</v>
      </c>
      <c r="O5760" s="2">
        <v>43764</v>
      </c>
    </row>
    <row r="5761" spans="1:15" ht="28.8" x14ac:dyDescent="0.3">
      <c r="A5761" s="1" t="s">
        <v>12519</v>
      </c>
      <c r="B5761" s="1" t="str">
        <f>"MEDICAL GAS SOLUTIONS LTD"</f>
        <v>MEDICAL GAS SOLUTIONS LTD</v>
      </c>
      <c r="C5761" s="1" t="s">
        <v>12520</v>
      </c>
      <c r="F5761" s="1" t="s">
        <v>4507</v>
      </c>
      <c r="H5761" s="1" t="s">
        <v>6014</v>
      </c>
      <c r="I5761" s="1" t="s">
        <v>19</v>
      </c>
      <c r="J5761" s="1" t="s">
        <v>6</v>
      </c>
      <c r="K5761" s="1" t="s">
        <v>34</v>
      </c>
      <c r="L5761" s="1">
        <v>4967365</v>
      </c>
      <c r="M5761" s="2">
        <v>42669</v>
      </c>
      <c r="N5761" s="1" t="s">
        <v>8</v>
      </c>
      <c r="O5761" s="2">
        <v>43764</v>
      </c>
    </row>
    <row r="5762" spans="1:15" ht="28.8" x14ac:dyDescent="0.3">
      <c r="A5762" s="1" t="s">
        <v>12521</v>
      </c>
      <c r="B5762" s="1" t="str">
        <f>"M D Ponton &amp; Son Ltd."</f>
        <v>M D Ponton &amp; Son Ltd.</v>
      </c>
      <c r="C5762" s="1" t="s">
        <v>12522</v>
      </c>
      <c r="D5762" s="1" t="s">
        <v>12523</v>
      </c>
      <c r="F5762" s="1" t="s">
        <v>1278</v>
      </c>
      <c r="H5762" s="1" t="s">
        <v>12524</v>
      </c>
      <c r="I5762" s="1" t="s">
        <v>19</v>
      </c>
      <c r="J5762" s="1" t="s">
        <v>6</v>
      </c>
      <c r="K5762" s="1" t="s">
        <v>24</v>
      </c>
      <c r="L5762" s="1">
        <v>6104916</v>
      </c>
      <c r="M5762" s="2">
        <v>42669</v>
      </c>
      <c r="N5762" s="1" t="s">
        <v>8</v>
      </c>
      <c r="O5762" s="2">
        <v>43764</v>
      </c>
    </row>
    <row r="5763" spans="1:15" x14ac:dyDescent="0.3">
      <c r="A5763" s="1" t="s">
        <v>12525</v>
      </c>
      <c r="B5763" s="1" t="str">
        <f>"M &amp; A Roofing "</f>
        <v xml:space="preserve">M &amp; A Roofing </v>
      </c>
      <c r="C5763" s="1" t="s">
        <v>12526</v>
      </c>
      <c r="F5763" s="1" t="s">
        <v>1351</v>
      </c>
      <c r="H5763" s="1" t="s">
        <v>12527</v>
      </c>
      <c r="I5763" s="1" t="s">
        <v>125</v>
      </c>
      <c r="J5763" s="1" t="s">
        <v>6</v>
      </c>
      <c r="K5763" s="1" t="s">
        <v>24</v>
      </c>
      <c r="M5763" s="2">
        <v>42669</v>
      </c>
      <c r="N5763" s="1" t="s">
        <v>8</v>
      </c>
      <c r="O5763" s="2">
        <v>43773</v>
      </c>
    </row>
    <row r="5764" spans="1:15" ht="43.2" x14ac:dyDescent="0.3">
      <c r="A5764" s="1" t="s">
        <v>13638</v>
      </c>
      <c r="B5764" s="1" t="str">
        <f>"Den Clothing Company Limited"</f>
        <v>Den Clothing Company Limited</v>
      </c>
      <c r="C5764" s="1" t="s">
        <v>13639</v>
      </c>
      <c r="F5764" s="1" t="s">
        <v>179</v>
      </c>
      <c r="H5764" s="1" t="s">
        <v>13640</v>
      </c>
      <c r="I5764" s="1" t="s">
        <v>19</v>
      </c>
      <c r="J5764" s="1" t="s">
        <v>67</v>
      </c>
      <c r="K5764" s="1" t="s">
        <v>14</v>
      </c>
      <c r="M5764" s="2">
        <v>42669</v>
      </c>
      <c r="N5764" s="1" t="s">
        <v>8</v>
      </c>
      <c r="O5764" s="1" t="s">
        <v>68</v>
      </c>
    </row>
    <row r="5765" spans="1:15" ht="28.8" x14ac:dyDescent="0.3">
      <c r="A5765" s="1" t="s">
        <v>13641</v>
      </c>
      <c r="B5765" s="1" t="str">
        <f>"T E ANDREW &amp; SON"</f>
        <v>T E ANDREW &amp; SON</v>
      </c>
      <c r="C5765" s="1" t="s">
        <v>13642</v>
      </c>
      <c r="F5765" s="1" t="s">
        <v>1230</v>
      </c>
      <c r="H5765" s="1" t="s">
        <v>13643</v>
      </c>
      <c r="I5765" s="1" t="s">
        <v>125</v>
      </c>
      <c r="J5765" s="1" t="s">
        <v>6</v>
      </c>
      <c r="K5765" s="1" t="s">
        <v>34</v>
      </c>
      <c r="M5765" s="2">
        <v>42669</v>
      </c>
      <c r="N5765" s="1" t="s">
        <v>8</v>
      </c>
      <c r="O5765" s="2">
        <v>43764</v>
      </c>
    </row>
    <row r="5766" spans="1:15" ht="28.8" x14ac:dyDescent="0.3">
      <c r="A5766" s="1" t="s">
        <v>26123</v>
      </c>
      <c r="B5766" s="1" t="str">
        <f>"colin norris colin norris"</f>
        <v>colin norris colin norris</v>
      </c>
      <c r="C5766" s="1" t="s">
        <v>26124</v>
      </c>
      <c r="F5766" s="1" t="s">
        <v>12237</v>
      </c>
      <c r="H5766" s="1" t="s">
        <v>26125</v>
      </c>
      <c r="I5766" s="1" t="s">
        <v>5</v>
      </c>
      <c r="J5766" s="1" t="s">
        <v>6</v>
      </c>
      <c r="K5766" s="1" t="s">
        <v>24</v>
      </c>
      <c r="M5766" s="2">
        <v>42669</v>
      </c>
      <c r="N5766" s="1" t="s">
        <v>8</v>
      </c>
      <c r="O5766" s="2">
        <v>43764</v>
      </c>
    </row>
    <row r="5767" spans="1:15" ht="43.2" x14ac:dyDescent="0.3">
      <c r="A5767" s="1" t="s">
        <v>12487</v>
      </c>
      <c r="B5767" s="1" t="str">
        <f>"RUSSELL FRANCIS HAULAGE lIMITED"</f>
        <v>RUSSELL FRANCIS HAULAGE lIMITED</v>
      </c>
      <c r="C5767" s="1" t="s">
        <v>12488</v>
      </c>
      <c r="F5767" s="1" t="s">
        <v>445</v>
      </c>
      <c r="H5767" s="1" t="s">
        <v>11593</v>
      </c>
      <c r="I5767" s="1" t="s">
        <v>19</v>
      </c>
      <c r="J5767" s="1" t="s">
        <v>67</v>
      </c>
      <c r="K5767" s="1" t="s">
        <v>14</v>
      </c>
      <c r="M5767" s="2">
        <v>42668</v>
      </c>
      <c r="N5767" s="1" t="s">
        <v>8</v>
      </c>
      <c r="O5767" s="1" t="s">
        <v>68</v>
      </c>
    </row>
    <row r="5768" spans="1:15" ht="28.8" x14ac:dyDescent="0.3">
      <c r="A5768" s="1" t="s">
        <v>12489</v>
      </c>
      <c r="B5768" s="1" t="str">
        <f>"RUSSELL FRANCIS HAULAGE LIMITED"</f>
        <v>RUSSELL FRANCIS HAULAGE LIMITED</v>
      </c>
      <c r="C5768" s="1" t="s">
        <v>12488</v>
      </c>
      <c r="F5768" s="1" t="s">
        <v>445</v>
      </c>
      <c r="H5768" s="1" t="s">
        <v>11593</v>
      </c>
      <c r="I5768" s="1" t="s">
        <v>19</v>
      </c>
      <c r="J5768" s="1" t="s">
        <v>6</v>
      </c>
      <c r="K5768" s="1" t="s">
        <v>24</v>
      </c>
      <c r="L5768" s="1">
        <v>9272352</v>
      </c>
      <c r="M5768" s="2">
        <v>42668</v>
      </c>
      <c r="N5768" s="1" t="s">
        <v>8</v>
      </c>
      <c r="O5768" s="2">
        <v>43914</v>
      </c>
    </row>
    <row r="5769" spans="1:15" ht="28.8" x14ac:dyDescent="0.3">
      <c r="A5769" s="1" t="s">
        <v>12490</v>
      </c>
      <c r="B5769" s="1" t="str">
        <f>"C Moses Roofing Ltd."</f>
        <v>C Moses Roofing Ltd.</v>
      </c>
      <c r="C5769" s="1" t="s">
        <v>12491</v>
      </c>
      <c r="F5769" s="1" t="s">
        <v>174</v>
      </c>
      <c r="H5769" s="1" t="s">
        <v>12492</v>
      </c>
      <c r="I5769" s="1" t="s">
        <v>19</v>
      </c>
      <c r="J5769" s="1" t="s">
        <v>6</v>
      </c>
      <c r="K5769" s="1" t="s">
        <v>34</v>
      </c>
      <c r="L5769" s="1">
        <v>1622321</v>
      </c>
      <c r="M5769" s="2">
        <v>42668</v>
      </c>
      <c r="N5769" s="1" t="s">
        <v>8</v>
      </c>
      <c r="O5769" s="2">
        <v>43763</v>
      </c>
    </row>
    <row r="5770" spans="1:15" ht="28.8" x14ac:dyDescent="0.3">
      <c r="A5770" s="1" t="s">
        <v>12493</v>
      </c>
      <c r="B5770" s="1" t="str">
        <f>"J R Roberts Slurry Sealing Ltd."</f>
        <v>J R Roberts Slurry Sealing Ltd.</v>
      </c>
      <c r="C5770" s="1" t="s">
        <v>12494</v>
      </c>
      <c r="D5770" s="1" t="s">
        <v>12495</v>
      </c>
      <c r="F5770" s="1" t="s">
        <v>1278</v>
      </c>
      <c r="H5770" s="1" t="s">
        <v>12496</v>
      </c>
      <c r="I5770" s="1" t="s">
        <v>19</v>
      </c>
      <c r="J5770" s="1" t="s">
        <v>6</v>
      </c>
      <c r="K5770" s="1" t="s">
        <v>24</v>
      </c>
      <c r="L5770" s="1">
        <v>4633057</v>
      </c>
      <c r="M5770" s="2">
        <v>42668</v>
      </c>
      <c r="N5770" s="1" t="s">
        <v>8</v>
      </c>
      <c r="O5770" s="2">
        <v>43763</v>
      </c>
    </row>
    <row r="5771" spans="1:15" ht="43.2" x14ac:dyDescent="0.3">
      <c r="A5771" s="1" t="s">
        <v>12497</v>
      </c>
      <c r="B5771" s="1" t="str">
        <f>"G&amp;J HIRE LTD"</f>
        <v>G&amp;J HIRE LTD</v>
      </c>
      <c r="C5771" s="1" t="s">
        <v>12498</v>
      </c>
      <c r="F5771" s="1" t="s">
        <v>27</v>
      </c>
      <c r="H5771" s="1" t="s">
        <v>12499</v>
      </c>
      <c r="I5771" s="1" t="s">
        <v>19</v>
      </c>
      <c r="J5771" s="1" t="s">
        <v>67</v>
      </c>
      <c r="K5771" s="1" t="s">
        <v>14</v>
      </c>
      <c r="M5771" s="2">
        <v>42668</v>
      </c>
      <c r="N5771" s="1" t="s">
        <v>8</v>
      </c>
      <c r="O5771" s="1" t="s">
        <v>68</v>
      </c>
    </row>
    <row r="5772" spans="1:15" ht="28.8" x14ac:dyDescent="0.3">
      <c r="A5772" s="1" t="s">
        <v>12500</v>
      </c>
      <c r="B5772" s="1" t="str">
        <f>"Ace plastering and building service"</f>
        <v>Ace plastering and building service</v>
      </c>
      <c r="C5772" s="1" t="s">
        <v>12501</v>
      </c>
      <c r="F5772" s="1" t="s">
        <v>298</v>
      </c>
      <c r="H5772" s="1" t="s">
        <v>12502</v>
      </c>
      <c r="I5772" s="1" t="s">
        <v>19</v>
      </c>
      <c r="J5772" s="1" t="s">
        <v>6</v>
      </c>
      <c r="K5772" s="1" t="s">
        <v>34</v>
      </c>
      <c r="L5772" s="1">
        <v>9936720</v>
      </c>
      <c r="M5772" s="2">
        <v>42668</v>
      </c>
      <c r="N5772" s="1" t="s">
        <v>8</v>
      </c>
      <c r="O5772" s="2">
        <v>43763</v>
      </c>
    </row>
    <row r="5773" spans="1:15" x14ac:dyDescent="0.3">
      <c r="A5773" s="1" t="s">
        <v>12503</v>
      </c>
      <c r="B5773" s="1" t="str">
        <f>"South Wales Stairlifts"</f>
        <v>South Wales Stairlifts</v>
      </c>
      <c r="C5773" s="1" t="s">
        <v>12504</v>
      </c>
      <c r="F5773" s="1" t="s">
        <v>27</v>
      </c>
      <c r="H5773" s="1" t="s">
        <v>12505</v>
      </c>
      <c r="I5773" s="1" t="s">
        <v>19</v>
      </c>
      <c r="J5773" s="1" t="s">
        <v>6</v>
      </c>
      <c r="K5773" s="1" t="s">
        <v>24</v>
      </c>
      <c r="L5773" s="1">
        <v>7586000</v>
      </c>
      <c r="M5773" s="2">
        <v>42668</v>
      </c>
      <c r="N5773" s="1" t="s">
        <v>8</v>
      </c>
      <c r="O5773" s="2">
        <v>43763</v>
      </c>
    </row>
    <row r="5774" spans="1:15" ht="43.2" x14ac:dyDescent="0.3">
      <c r="A5774" s="1" t="s">
        <v>25385</v>
      </c>
      <c r="B5774" s="1" t="str">
        <f>"Anthony  Brook"</f>
        <v>Anthony  Brook</v>
      </c>
      <c r="C5774" s="1" t="s">
        <v>25386</v>
      </c>
      <c r="F5774" s="1" t="s">
        <v>3415</v>
      </c>
      <c r="H5774" s="1" t="s">
        <v>25387</v>
      </c>
      <c r="I5774" s="1" t="s">
        <v>5</v>
      </c>
      <c r="J5774" s="1" t="s">
        <v>67</v>
      </c>
      <c r="K5774" s="1" t="s">
        <v>14</v>
      </c>
      <c r="M5774" s="2">
        <v>42668</v>
      </c>
      <c r="N5774" s="1" t="s">
        <v>8</v>
      </c>
      <c r="O5774" s="1" t="s">
        <v>68</v>
      </c>
    </row>
    <row r="5775" spans="1:15" ht="28.8" x14ac:dyDescent="0.3">
      <c r="A5775" s="1" t="s">
        <v>25388</v>
      </c>
      <c r="B5775" s="1" t="str">
        <f>"Mark white Mark white"</f>
        <v>Mark white Mark white</v>
      </c>
      <c r="C5775" s="1" t="s">
        <v>25389</v>
      </c>
      <c r="F5775" s="1" t="s">
        <v>3415</v>
      </c>
      <c r="H5775" s="1" t="s">
        <v>25390</v>
      </c>
      <c r="I5775" s="1" t="s">
        <v>5</v>
      </c>
      <c r="J5775" s="1" t="s">
        <v>6</v>
      </c>
      <c r="K5775" s="1" t="s">
        <v>24</v>
      </c>
      <c r="M5775" s="2">
        <v>42668</v>
      </c>
      <c r="N5775" s="1" t="s">
        <v>8</v>
      </c>
      <c r="O5775" s="2">
        <v>43763</v>
      </c>
    </row>
    <row r="5776" spans="1:15" ht="28.8" x14ac:dyDescent="0.3">
      <c r="A5776" s="1" t="s">
        <v>10553</v>
      </c>
      <c r="B5776" s="1" t="str">
        <f>"Bromley house clearance"</f>
        <v>Bromley house clearance</v>
      </c>
      <c r="C5776" s="1" t="s">
        <v>10554</v>
      </c>
      <c r="F5776" s="1" t="s">
        <v>10555</v>
      </c>
      <c r="H5776" s="1" t="s">
        <v>10556</v>
      </c>
      <c r="I5776" s="1" t="s">
        <v>125</v>
      </c>
      <c r="J5776" s="1" t="s">
        <v>6</v>
      </c>
      <c r="K5776" s="1" t="s">
        <v>24</v>
      </c>
      <c r="M5776" s="2">
        <v>42667</v>
      </c>
      <c r="N5776" s="1" t="s">
        <v>8</v>
      </c>
      <c r="O5776" s="2">
        <v>43762</v>
      </c>
    </row>
    <row r="5777" spans="1:15" ht="28.8" x14ac:dyDescent="0.3">
      <c r="A5777" s="1" t="s">
        <v>10557</v>
      </c>
      <c r="B5777" s="1" t="str">
        <f>"W W  Bowen Ltd."</f>
        <v>W W  Bowen Ltd.</v>
      </c>
      <c r="C5777" s="1" t="s">
        <v>10558</v>
      </c>
      <c r="F5777" s="1" t="s">
        <v>3415</v>
      </c>
      <c r="H5777" s="1" t="s">
        <v>10559</v>
      </c>
      <c r="I5777" s="1" t="s">
        <v>19</v>
      </c>
      <c r="J5777" s="1" t="s">
        <v>6</v>
      </c>
      <c r="K5777" s="1" t="s">
        <v>34</v>
      </c>
      <c r="L5777" s="1">
        <v>6529439</v>
      </c>
      <c r="M5777" s="2">
        <v>42667</v>
      </c>
      <c r="N5777" s="1" t="s">
        <v>8</v>
      </c>
      <c r="O5777" s="2">
        <v>43762</v>
      </c>
    </row>
    <row r="5778" spans="1:15" ht="43.2" x14ac:dyDescent="0.3">
      <c r="A5778" s="1" t="s">
        <v>10560</v>
      </c>
      <c r="B5778" s="1" t="str">
        <f>"J Kennedy Demolition Ltd"</f>
        <v>J Kennedy Demolition Ltd</v>
      </c>
      <c r="C5778" s="1" t="s">
        <v>10561</v>
      </c>
      <c r="F5778" s="1" t="s">
        <v>5491</v>
      </c>
      <c r="H5778" s="1" t="s">
        <v>10562</v>
      </c>
      <c r="I5778" s="1" t="s">
        <v>19</v>
      </c>
      <c r="J5778" s="1" t="s">
        <v>6</v>
      </c>
      <c r="K5778" s="1" t="s">
        <v>24</v>
      </c>
      <c r="L5778" s="1">
        <v>10097831</v>
      </c>
      <c r="M5778" s="2">
        <v>42667</v>
      </c>
      <c r="N5778" s="1" t="s">
        <v>8</v>
      </c>
      <c r="O5778" s="2">
        <v>43762</v>
      </c>
    </row>
    <row r="5779" spans="1:15" ht="28.8" x14ac:dyDescent="0.3">
      <c r="A5779" s="1" t="s">
        <v>11587</v>
      </c>
      <c r="B5779" s="1" t="str">
        <f>"A. DUFFIN HAULAGE LTD"</f>
        <v>A. DUFFIN HAULAGE LTD</v>
      </c>
      <c r="C5779" s="1" t="s">
        <v>11588</v>
      </c>
      <c r="F5779" s="1" t="s">
        <v>12</v>
      </c>
      <c r="H5779" s="1" t="s">
        <v>11589</v>
      </c>
      <c r="I5779" s="1" t="s">
        <v>19</v>
      </c>
      <c r="J5779" s="1" t="s">
        <v>6</v>
      </c>
      <c r="K5779" s="1" t="s">
        <v>24</v>
      </c>
      <c r="L5779" s="1">
        <v>5187192</v>
      </c>
      <c r="M5779" s="2">
        <v>42667</v>
      </c>
      <c r="N5779" s="1" t="s">
        <v>8</v>
      </c>
      <c r="O5779" s="2">
        <v>43762</v>
      </c>
    </row>
    <row r="5780" spans="1:15" ht="43.2" x14ac:dyDescent="0.3">
      <c r="A5780" s="1" t="s">
        <v>11590</v>
      </c>
      <c r="B5780" s="1" t="str">
        <f>"Russell Francis Haulage ltd"</f>
        <v>Russell Francis Haulage ltd</v>
      </c>
      <c r="C5780" s="1" t="s">
        <v>11591</v>
      </c>
      <c r="D5780" s="1" t="s">
        <v>3237</v>
      </c>
      <c r="F5780" s="1" t="s">
        <v>11592</v>
      </c>
      <c r="H5780" s="1" t="s">
        <v>11593</v>
      </c>
      <c r="I5780" s="1" t="s">
        <v>19</v>
      </c>
      <c r="J5780" s="1" t="s">
        <v>67</v>
      </c>
      <c r="K5780" s="1" t="s">
        <v>24</v>
      </c>
      <c r="M5780" s="2">
        <v>42667</v>
      </c>
      <c r="N5780" s="1" t="s">
        <v>8</v>
      </c>
      <c r="O5780" s="1" t="s">
        <v>68</v>
      </c>
    </row>
    <row r="5781" spans="1:15" ht="28.8" x14ac:dyDescent="0.3">
      <c r="A5781" s="1" t="s">
        <v>11594</v>
      </c>
      <c r="B5781" s="1" t="str">
        <f>"Mini Muckshift Ltd."</f>
        <v>Mini Muckshift Ltd.</v>
      </c>
      <c r="C5781" s="1" t="s">
        <v>11595</v>
      </c>
      <c r="F5781" s="1" t="s">
        <v>4731</v>
      </c>
      <c r="H5781" s="1" t="s">
        <v>11596</v>
      </c>
      <c r="I5781" s="1" t="s">
        <v>19</v>
      </c>
      <c r="J5781" s="1" t="s">
        <v>6</v>
      </c>
      <c r="K5781" s="1" t="s">
        <v>24</v>
      </c>
      <c r="L5781" s="1">
        <v>5369179</v>
      </c>
      <c r="M5781" s="2">
        <v>42667</v>
      </c>
      <c r="N5781" s="1" t="s">
        <v>8</v>
      </c>
      <c r="O5781" s="2">
        <v>43762</v>
      </c>
    </row>
    <row r="5782" spans="1:15" ht="28.8" x14ac:dyDescent="0.3">
      <c r="A5782" s="1" t="s">
        <v>23673</v>
      </c>
      <c r="B5782" s="1" t="str">
        <f>"MARK EASTON RLF SERVICES"</f>
        <v>MARK EASTON RLF SERVICES</v>
      </c>
      <c r="C5782" s="1" t="s">
        <v>23674</v>
      </c>
      <c r="F5782" s="1" t="s">
        <v>174</v>
      </c>
      <c r="H5782" s="1" t="s">
        <v>23675</v>
      </c>
      <c r="I5782" s="1" t="s">
        <v>5</v>
      </c>
      <c r="J5782" s="1" t="s">
        <v>6</v>
      </c>
      <c r="K5782" s="1" t="s">
        <v>24</v>
      </c>
      <c r="M5782" s="2">
        <v>42667</v>
      </c>
      <c r="N5782" s="1" t="s">
        <v>8</v>
      </c>
      <c r="O5782" s="2">
        <v>43762</v>
      </c>
    </row>
    <row r="5783" spans="1:15" ht="43.2" x14ac:dyDescent="0.3">
      <c r="A5783" s="1" t="s">
        <v>24525</v>
      </c>
      <c r="B5783" s="1" t="str">
        <f>"Jacob Hardware  L&amp; H Building and Groundwork "</f>
        <v xml:space="preserve">Jacob Hardware  L&amp; H Building and Groundwork </v>
      </c>
      <c r="C5783" s="1" t="s">
        <v>24526</v>
      </c>
      <c r="F5783" s="1" t="s">
        <v>17241</v>
      </c>
      <c r="H5783" s="1" t="s">
        <v>24527</v>
      </c>
      <c r="I5783" s="1" t="s">
        <v>5</v>
      </c>
      <c r="J5783" s="1" t="s">
        <v>6</v>
      </c>
      <c r="K5783" s="1" t="s">
        <v>34</v>
      </c>
      <c r="M5783" s="2">
        <v>42667</v>
      </c>
      <c r="N5783" s="1" t="s">
        <v>8</v>
      </c>
      <c r="O5783" s="2">
        <v>43762</v>
      </c>
    </row>
    <row r="5784" spans="1:15" ht="28.8" x14ac:dyDescent="0.3">
      <c r="A5784" s="1" t="s">
        <v>24528</v>
      </c>
      <c r="B5784" s="1" t="str">
        <f>"John Anthony"</f>
        <v>John Anthony</v>
      </c>
      <c r="C5784" s="1" t="s">
        <v>24529</v>
      </c>
      <c r="F5784" s="1" t="s">
        <v>1351</v>
      </c>
      <c r="H5784" s="1" t="s">
        <v>24530</v>
      </c>
      <c r="I5784" s="1" t="s">
        <v>5</v>
      </c>
      <c r="J5784" s="1" t="s">
        <v>6</v>
      </c>
      <c r="K5784" s="1" t="s">
        <v>24</v>
      </c>
      <c r="M5784" s="2">
        <v>42667</v>
      </c>
      <c r="N5784" s="1" t="s">
        <v>8</v>
      </c>
      <c r="O5784" s="2">
        <v>43762</v>
      </c>
    </row>
    <row r="5785" spans="1:15" ht="28.8" x14ac:dyDescent="0.3">
      <c r="A5785" s="1" t="s">
        <v>24531</v>
      </c>
      <c r="B5785" s="1" t="str">
        <f>"Timothy Madeley T.E Madeley"</f>
        <v>Timothy Madeley T.E Madeley</v>
      </c>
      <c r="C5785" s="1" t="s">
        <v>24532</v>
      </c>
      <c r="F5785" s="1" t="s">
        <v>146</v>
      </c>
      <c r="H5785" s="1" t="s">
        <v>24533</v>
      </c>
      <c r="I5785" s="1" t="s">
        <v>5</v>
      </c>
      <c r="J5785" s="1" t="s">
        <v>6</v>
      </c>
      <c r="K5785" s="1" t="s">
        <v>24</v>
      </c>
      <c r="M5785" s="2">
        <v>42667</v>
      </c>
      <c r="N5785" s="1" t="s">
        <v>8</v>
      </c>
      <c r="O5785" s="2">
        <v>43762</v>
      </c>
    </row>
    <row r="5786" spans="1:15" ht="43.2" x14ac:dyDescent="0.3">
      <c r="A5786" s="1" t="s">
        <v>24534</v>
      </c>
      <c r="B5786" s="1" t="str">
        <f>"Arulnishanthini Ketheswaran"</f>
        <v>Arulnishanthini Ketheswaran</v>
      </c>
      <c r="C5786" s="1" t="s">
        <v>24535</v>
      </c>
      <c r="F5786" s="1" t="s">
        <v>607</v>
      </c>
      <c r="H5786" s="1" t="s">
        <v>24536</v>
      </c>
      <c r="I5786" s="1" t="s">
        <v>5</v>
      </c>
      <c r="J5786" s="1" t="s">
        <v>67</v>
      </c>
      <c r="K5786" s="1" t="s">
        <v>14</v>
      </c>
      <c r="M5786" s="2">
        <v>42667</v>
      </c>
      <c r="N5786" s="1" t="s">
        <v>8</v>
      </c>
      <c r="O5786" s="1" t="s">
        <v>68</v>
      </c>
    </row>
    <row r="5787" spans="1:15" x14ac:dyDescent="0.3">
      <c r="A5787" s="1" t="s">
        <v>24537</v>
      </c>
      <c r="B5787" s="1" t="str">
        <f>"James David Pearce"</f>
        <v>James David Pearce</v>
      </c>
      <c r="C5787" s="1" t="s">
        <v>24538</v>
      </c>
      <c r="F5787" s="1" t="s">
        <v>96</v>
      </c>
      <c r="H5787" s="1" t="s">
        <v>24539</v>
      </c>
      <c r="I5787" s="1" t="s">
        <v>5</v>
      </c>
      <c r="J5787" s="1" t="s">
        <v>6</v>
      </c>
      <c r="K5787" s="1" t="s">
        <v>24</v>
      </c>
      <c r="M5787" s="2">
        <v>42667</v>
      </c>
      <c r="N5787" s="1" t="s">
        <v>8</v>
      </c>
      <c r="O5787" s="2">
        <v>43762</v>
      </c>
    </row>
    <row r="5788" spans="1:15" ht="43.2" x14ac:dyDescent="0.3">
      <c r="A5788" s="1" t="s">
        <v>24540</v>
      </c>
      <c r="B5788" s="1" t="str">
        <f>"Jonathan Davies"</f>
        <v>Jonathan Davies</v>
      </c>
      <c r="C5788" s="1" t="s">
        <v>24541</v>
      </c>
      <c r="F5788" s="1" t="s">
        <v>11618</v>
      </c>
      <c r="H5788" s="1" t="s">
        <v>23694</v>
      </c>
      <c r="I5788" s="1" t="s">
        <v>5</v>
      </c>
      <c r="J5788" s="1" t="s">
        <v>67</v>
      </c>
      <c r="K5788" s="1" t="s">
        <v>14</v>
      </c>
      <c r="M5788" s="2">
        <v>42667</v>
      </c>
      <c r="N5788" s="1" t="s">
        <v>8</v>
      </c>
      <c r="O5788" s="1" t="s">
        <v>68</v>
      </c>
    </row>
    <row r="5789" spans="1:15" ht="43.2" x14ac:dyDescent="0.3">
      <c r="A5789" s="1" t="s">
        <v>24542</v>
      </c>
      <c r="B5789" s="1" t="str">
        <f>"Gwyn Williams"</f>
        <v>Gwyn Williams</v>
      </c>
      <c r="C5789" s="1" t="s">
        <v>24543</v>
      </c>
      <c r="F5789" s="1" t="s">
        <v>1321</v>
      </c>
      <c r="H5789" s="1" t="s">
        <v>24544</v>
      </c>
      <c r="I5789" s="1" t="s">
        <v>5</v>
      </c>
      <c r="J5789" s="1" t="s">
        <v>67</v>
      </c>
      <c r="K5789" s="1" t="s">
        <v>14</v>
      </c>
      <c r="M5789" s="2">
        <v>42667</v>
      </c>
      <c r="N5789" s="1" t="s">
        <v>8</v>
      </c>
      <c r="O5789" s="1" t="s">
        <v>68</v>
      </c>
    </row>
    <row r="5790" spans="1:15" ht="43.2" x14ac:dyDescent="0.3">
      <c r="A5790" s="1" t="s">
        <v>23668</v>
      </c>
      <c r="B5790" s="1" t="str">
        <f>"John Caiger"</f>
        <v>John Caiger</v>
      </c>
      <c r="C5790" s="1" t="s">
        <v>23669</v>
      </c>
      <c r="D5790" s="1" t="s">
        <v>23670</v>
      </c>
      <c r="F5790" s="1" t="s">
        <v>23671</v>
      </c>
      <c r="H5790" s="1" t="s">
        <v>23672</v>
      </c>
      <c r="I5790" s="1" t="s">
        <v>5</v>
      </c>
      <c r="J5790" s="1" t="s">
        <v>67</v>
      </c>
      <c r="K5790" s="1" t="s">
        <v>14</v>
      </c>
      <c r="M5790" s="2">
        <v>42666</v>
      </c>
      <c r="N5790" s="1" t="s">
        <v>8</v>
      </c>
      <c r="O5790" s="1" t="s">
        <v>68</v>
      </c>
    </row>
    <row r="5791" spans="1:15" ht="28.8" x14ac:dyDescent="0.3">
      <c r="A5791" s="1" t="s">
        <v>9462</v>
      </c>
      <c r="B5791" s="1" t="str">
        <f>"EPSOM LOGISTICS 15 LONDON LIMITED"</f>
        <v>EPSOM LOGISTICS 15 LONDON LIMITED</v>
      </c>
      <c r="C5791" s="1" t="s">
        <v>9463</v>
      </c>
      <c r="F5791" s="1" t="s">
        <v>9464</v>
      </c>
      <c r="H5791" s="1" t="s">
        <v>9465</v>
      </c>
      <c r="I5791" s="1" t="s">
        <v>19</v>
      </c>
      <c r="J5791" s="1" t="s">
        <v>6</v>
      </c>
      <c r="K5791" s="1" t="s">
        <v>34</v>
      </c>
      <c r="L5791" s="1">
        <v>10392572</v>
      </c>
      <c r="M5791" s="2">
        <v>42664</v>
      </c>
      <c r="N5791" s="1" t="s">
        <v>8</v>
      </c>
      <c r="O5791" s="2">
        <v>43759</v>
      </c>
    </row>
    <row r="5792" spans="1:15" ht="28.8" x14ac:dyDescent="0.3">
      <c r="A5792" s="1" t="s">
        <v>9466</v>
      </c>
      <c r="B5792" s="1" t="str">
        <f>"Wales Air Ambulance"</f>
        <v>Wales Air Ambulance</v>
      </c>
      <c r="C5792" s="1" t="s">
        <v>9467</v>
      </c>
      <c r="D5792" s="1" t="s">
        <v>2130</v>
      </c>
      <c r="F5792" s="1" t="s">
        <v>42</v>
      </c>
      <c r="H5792" s="1" t="s">
        <v>2131</v>
      </c>
      <c r="I5792" s="1" t="s">
        <v>125</v>
      </c>
      <c r="J5792" s="1" t="s">
        <v>6</v>
      </c>
      <c r="K5792" s="1" t="s">
        <v>34</v>
      </c>
      <c r="L5792" s="1">
        <v>1083645</v>
      </c>
      <c r="M5792" s="2">
        <v>42664</v>
      </c>
      <c r="N5792" s="1" t="s">
        <v>8</v>
      </c>
      <c r="O5792" s="2">
        <v>43759</v>
      </c>
    </row>
    <row r="5793" spans="1:15" ht="43.2" x14ac:dyDescent="0.3">
      <c r="A5793" s="1" t="s">
        <v>10546</v>
      </c>
      <c r="B5793" s="1" t="str">
        <f>"PINACL SOLUTIONS UK LTD."</f>
        <v>PINACL SOLUTIONS UK LTD.</v>
      </c>
      <c r="C5793" s="1" t="s">
        <v>10547</v>
      </c>
      <c r="D5793" s="1" t="s">
        <v>10548</v>
      </c>
      <c r="E5793" s="1" t="s">
        <v>896</v>
      </c>
      <c r="F5793" s="1" t="s">
        <v>4731</v>
      </c>
      <c r="H5793" s="1" t="s">
        <v>10549</v>
      </c>
      <c r="I5793" s="1" t="s">
        <v>19</v>
      </c>
      <c r="J5793" s="1" t="s">
        <v>67</v>
      </c>
      <c r="K5793" s="1" t="s">
        <v>24</v>
      </c>
      <c r="L5793" s="1">
        <v>5217343</v>
      </c>
      <c r="M5793" s="2">
        <v>42664</v>
      </c>
      <c r="N5793" s="1" t="s">
        <v>8</v>
      </c>
      <c r="O5793" s="1" t="s">
        <v>68</v>
      </c>
    </row>
    <row r="5794" spans="1:15" ht="28.8" x14ac:dyDescent="0.3">
      <c r="A5794" s="1" t="s">
        <v>10550</v>
      </c>
      <c r="B5794" s="1" t="str">
        <f>"Mervyn Watkins Associates Ltd."</f>
        <v>Mervyn Watkins Associates Ltd.</v>
      </c>
      <c r="C5794" s="1" t="s">
        <v>10551</v>
      </c>
      <c r="F5794" s="1" t="s">
        <v>27</v>
      </c>
      <c r="H5794" s="1" t="s">
        <v>10552</v>
      </c>
      <c r="I5794" s="1" t="s">
        <v>19</v>
      </c>
      <c r="J5794" s="1" t="s">
        <v>6</v>
      </c>
      <c r="K5794" s="1" t="s">
        <v>24</v>
      </c>
      <c r="L5794" s="1">
        <v>4189650</v>
      </c>
      <c r="M5794" s="2">
        <v>42664</v>
      </c>
      <c r="N5794" s="1" t="s">
        <v>8</v>
      </c>
      <c r="O5794" s="2">
        <v>43759</v>
      </c>
    </row>
    <row r="5795" spans="1:15" ht="28.8" x14ac:dyDescent="0.3">
      <c r="A5795" s="1" t="s">
        <v>22896</v>
      </c>
      <c r="B5795" s="1" t="str">
        <f>"reginald  camps  Camps Transport"</f>
        <v>reginald  camps  Camps Transport</v>
      </c>
      <c r="C5795" s="1" t="s">
        <v>22897</v>
      </c>
      <c r="F5795" s="1" t="s">
        <v>1351</v>
      </c>
      <c r="H5795" s="1" t="s">
        <v>22898</v>
      </c>
      <c r="I5795" s="1" t="s">
        <v>5</v>
      </c>
      <c r="J5795" s="1" t="s">
        <v>6</v>
      </c>
      <c r="K5795" s="1" t="s">
        <v>24</v>
      </c>
      <c r="M5795" s="2">
        <v>42664</v>
      </c>
      <c r="N5795" s="1" t="s">
        <v>8</v>
      </c>
      <c r="O5795" s="2">
        <v>43759</v>
      </c>
    </row>
    <row r="5796" spans="1:15" ht="28.8" x14ac:dyDescent="0.3">
      <c r="A5796" s="1" t="s">
        <v>22899</v>
      </c>
      <c r="B5796" s="1" t="str">
        <f>"Daniel Radcliffe"</f>
        <v>Daniel Radcliffe</v>
      </c>
      <c r="C5796" s="1" t="s">
        <v>22900</v>
      </c>
      <c r="F5796" s="1" t="s">
        <v>786</v>
      </c>
      <c r="H5796" s="1" t="s">
        <v>22901</v>
      </c>
      <c r="I5796" s="1" t="s">
        <v>5</v>
      </c>
      <c r="J5796" s="1" t="s">
        <v>6</v>
      </c>
      <c r="K5796" s="1" t="s">
        <v>24</v>
      </c>
      <c r="M5796" s="2">
        <v>42664</v>
      </c>
      <c r="N5796" s="1" t="s">
        <v>8</v>
      </c>
      <c r="O5796" s="2">
        <v>43759</v>
      </c>
    </row>
    <row r="5797" spans="1:15" ht="28.8" x14ac:dyDescent="0.3">
      <c r="A5797" s="1" t="s">
        <v>22902</v>
      </c>
      <c r="B5797" s="1" t="str">
        <f>"Russell Weblin-Grimsley RWG Auctions"</f>
        <v>Russell Weblin-Grimsley RWG Auctions</v>
      </c>
      <c r="C5797" s="1" t="s">
        <v>22903</v>
      </c>
      <c r="D5797" s="1" t="s">
        <v>289</v>
      </c>
      <c r="F5797" s="1" t="s">
        <v>290</v>
      </c>
      <c r="H5797" s="1" t="s">
        <v>22904</v>
      </c>
      <c r="I5797" s="1" t="s">
        <v>5</v>
      </c>
      <c r="J5797" s="1" t="s">
        <v>6</v>
      </c>
      <c r="K5797" s="1" t="s">
        <v>34</v>
      </c>
      <c r="M5797" s="2">
        <v>42664</v>
      </c>
      <c r="N5797" s="1" t="s">
        <v>8</v>
      </c>
      <c r="O5797" s="2">
        <v>43759</v>
      </c>
    </row>
    <row r="5798" spans="1:15" ht="28.8" x14ac:dyDescent="0.3">
      <c r="A5798" s="1" t="s">
        <v>23662</v>
      </c>
      <c r="B5798" s="1" t="str">
        <f>"Stuart Clayfield SRC Planthire"</f>
        <v>Stuart Clayfield SRC Planthire</v>
      </c>
      <c r="C5798" s="1" t="s">
        <v>23663</v>
      </c>
      <c r="F5798" s="1" t="s">
        <v>65</v>
      </c>
      <c r="H5798" s="1" t="s">
        <v>23664</v>
      </c>
      <c r="I5798" s="1" t="s">
        <v>5</v>
      </c>
      <c r="J5798" s="1" t="s">
        <v>6</v>
      </c>
      <c r="K5798" s="1" t="s">
        <v>34</v>
      </c>
      <c r="M5798" s="2">
        <v>42664</v>
      </c>
      <c r="N5798" s="1" t="s">
        <v>8</v>
      </c>
      <c r="O5798" s="2">
        <v>43759</v>
      </c>
    </row>
    <row r="5799" spans="1:15" ht="28.8" x14ac:dyDescent="0.3">
      <c r="A5799" s="1" t="s">
        <v>23665</v>
      </c>
      <c r="B5799" s="1" t="str">
        <f>"David Plester David plester"</f>
        <v>David Plester David plester</v>
      </c>
      <c r="C5799" s="1" t="s">
        <v>23666</v>
      </c>
      <c r="F5799" s="1" t="s">
        <v>6080</v>
      </c>
      <c r="H5799" s="1" t="s">
        <v>23667</v>
      </c>
      <c r="I5799" s="1" t="s">
        <v>5</v>
      </c>
      <c r="J5799" s="1" t="s">
        <v>6</v>
      </c>
      <c r="K5799" s="1" t="s">
        <v>24</v>
      </c>
      <c r="M5799" s="2">
        <v>42664</v>
      </c>
      <c r="N5799" s="1" t="s">
        <v>8</v>
      </c>
      <c r="O5799" s="2">
        <v>43759</v>
      </c>
    </row>
    <row r="5800" spans="1:15" ht="43.2" x14ac:dyDescent="0.3">
      <c r="A5800" s="1" t="s">
        <v>9445</v>
      </c>
      <c r="B5800" s="1" t="str">
        <f>"BILL WAY &amp; CO.LTD"</f>
        <v>BILL WAY &amp; CO.LTD</v>
      </c>
      <c r="C5800" s="1" t="s">
        <v>9446</v>
      </c>
      <c r="D5800" s="1" t="s">
        <v>9447</v>
      </c>
      <c r="E5800" s="1" t="s">
        <v>9448</v>
      </c>
      <c r="F5800" s="1" t="s">
        <v>27</v>
      </c>
      <c r="H5800" s="1" t="s">
        <v>9449</v>
      </c>
      <c r="I5800" s="1" t="s">
        <v>19</v>
      </c>
      <c r="J5800" s="1" t="s">
        <v>67</v>
      </c>
      <c r="K5800" s="1" t="s">
        <v>24</v>
      </c>
      <c r="L5800" s="1">
        <v>515224</v>
      </c>
      <c r="M5800" s="2">
        <v>42663</v>
      </c>
      <c r="N5800" s="1" t="s">
        <v>8</v>
      </c>
      <c r="O5800" s="1" t="s">
        <v>68</v>
      </c>
    </row>
    <row r="5801" spans="1:15" ht="28.8" x14ac:dyDescent="0.3">
      <c r="A5801" s="1" t="s">
        <v>9450</v>
      </c>
      <c r="B5801" s="1" t="str">
        <f>"MSM PARTITIONING LTD"</f>
        <v>MSM PARTITIONING LTD</v>
      </c>
      <c r="C5801" s="1" t="s">
        <v>8715</v>
      </c>
      <c r="D5801" s="1" t="s">
        <v>1174</v>
      </c>
      <c r="F5801" s="1" t="s">
        <v>1175</v>
      </c>
      <c r="H5801" s="1" t="s">
        <v>3001</v>
      </c>
      <c r="I5801" s="1" t="s">
        <v>19</v>
      </c>
      <c r="J5801" s="1" t="s">
        <v>6</v>
      </c>
      <c r="K5801" s="1" t="s">
        <v>34</v>
      </c>
      <c r="L5801" s="1">
        <v>5914576</v>
      </c>
      <c r="M5801" s="2">
        <v>42663</v>
      </c>
      <c r="N5801" s="1" t="s">
        <v>8</v>
      </c>
      <c r="O5801" s="2">
        <v>43758</v>
      </c>
    </row>
    <row r="5802" spans="1:15" ht="43.2" x14ac:dyDescent="0.3">
      <c r="A5802" s="1" t="s">
        <v>9451</v>
      </c>
      <c r="B5802" s="1" t="str">
        <f>"St Kentigern Hospice"</f>
        <v>St Kentigern Hospice</v>
      </c>
      <c r="C5802" s="1" t="s">
        <v>9452</v>
      </c>
      <c r="F5802" s="1" t="s">
        <v>2434</v>
      </c>
      <c r="H5802" s="1" t="s">
        <v>9139</v>
      </c>
      <c r="I5802" s="1" t="s">
        <v>1872</v>
      </c>
      <c r="J5802" s="1" t="s">
        <v>67</v>
      </c>
      <c r="K5802" s="1" t="s">
        <v>14</v>
      </c>
      <c r="M5802" s="2">
        <v>42663</v>
      </c>
      <c r="N5802" s="1" t="s">
        <v>8</v>
      </c>
      <c r="O5802" s="1" t="s">
        <v>68</v>
      </c>
    </row>
    <row r="5803" spans="1:15" ht="28.8" x14ac:dyDescent="0.3">
      <c r="A5803" s="1" t="s">
        <v>9453</v>
      </c>
      <c r="B5803" s="1" t="str">
        <f>"D.T. &amp; D.J.Peacock"</f>
        <v>D.T. &amp; D.J.Peacock</v>
      </c>
      <c r="C5803" s="1" t="s">
        <v>9454</v>
      </c>
      <c r="F5803" s="1" t="s">
        <v>2589</v>
      </c>
      <c r="H5803" s="1" t="s">
        <v>9455</v>
      </c>
      <c r="I5803" s="1" t="s">
        <v>125</v>
      </c>
      <c r="J5803" s="1" t="s">
        <v>6</v>
      </c>
      <c r="K5803" s="1" t="s">
        <v>34</v>
      </c>
      <c r="M5803" s="2">
        <v>42663</v>
      </c>
      <c r="N5803" s="1" t="s">
        <v>8</v>
      </c>
      <c r="O5803" s="2">
        <v>43758</v>
      </c>
    </row>
    <row r="5804" spans="1:15" ht="43.2" x14ac:dyDescent="0.3">
      <c r="A5804" s="1" t="s">
        <v>9456</v>
      </c>
      <c r="B5804" s="1" t="str">
        <f>"Rickson Store"</f>
        <v>Rickson Store</v>
      </c>
      <c r="C5804" s="1" t="s">
        <v>9457</v>
      </c>
      <c r="F5804" s="1" t="s">
        <v>205</v>
      </c>
      <c r="H5804" s="1" t="s">
        <v>9458</v>
      </c>
      <c r="I5804" s="1" t="s">
        <v>125</v>
      </c>
      <c r="J5804" s="1" t="s">
        <v>67</v>
      </c>
      <c r="K5804" s="1" t="s">
        <v>14</v>
      </c>
      <c r="M5804" s="2">
        <v>42663</v>
      </c>
      <c r="N5804" s="1" t="s">
        <v>8</v>
      </c>
      <c r="O5804" s="1" t="s">
        <v>68</v>
      </c>
    </row>
    <row r="5805" spans="1:15" ht="43.2" x14ac:dyDescent="0.3">
      <c r="A5805" s="1" t="s">
        <v>9459</v>
      </c>
      <c r="B5805" s="1" t="str">
        <f>"Mike's newsagents"</f>
        <v>Mike's newsagents</v>
      </c>
      <c r="C5805" s="1" t="s">
        <v>9460</v>
      </c>
      <c r="F5805" s="1" t="s">
        <v>174</v>
      </c>
      <c r="H5805" s="1" t="s">
        <v>9461</v>
      </c>
      <c r="I5805" s="1" t="s">
        <v>125</v>
      </c>
      <c r="J5805" s="1" t="s">
        <v>67</v>
      </c>
      <c r="K5805" s="1" t="s">
        <v>14</v>
      </c>
      <c r="M5805" s="2">
        <v>42663</v>
      </c>
      <c r="N5805" s="1" t="s">
        <v>8</v>
      </c>
      <c r="O5805" s="1" t="s">
        <v>68</v>
      </c>
    </row>
    <row r="5806" spans="1:15" ht="43.2" x14ac:dyDescent="0.3">
      <c r="A5806" s="1" t="s">
        <v>22892</v>
      </c>
      <c r="B5806" s="1" t="str">
        <f>"BEVERLEY ANDREW"</f>
        <v>BEVERLEY ANDREW</v>
      </c>
      <c r="C5806" s="1" t="s">
        <v>22893</v>
      </c>
      <c r="F5806" s="1" t="s">
        <v>22894</v>
      </c>
      <c r="H5806" s="1" t="s">
        <v>22895</v>
      </c>
      <c r="I5806" s="1" t="s">
        <v>5</v>
      </c>
      <c r="J5806" s="1" t="s">
        <v>67</v>
      </c>
      <c r="K5806" s="1" t="s">
        <v>14</v>
      </c>
      <c r="M5806" s="2">
        <v>42663</v>
      </c>
      <c r="N5806" s="1" t="s">
        <v>8</v>
      </c>
      <c r="O5806" s="1" t="s">
        <v>68</v>
      </c>
    </row>
    <row r="5807" spans="1:15" ht="43.2" x14ac:dyDescent="0.3">
      <c r="A5807" s="1" t="s">
        <v>7116</v>
      </c>
      <c r="B5807" s="1" t="str">
        <f>"A J Pest Control Ltd"</f>
        <v>A J Pest Control Ltd</v>
      </c>
      <c r="C5807" s="1" t="s">
        <v>7117</v>
      </c>
      <c r="D5807" s="1" t="s">
        <v>7118</v>
      </c>
      <c r="F5807" s="1" t="s">
        <v>5330</v>
      </c>
      <c r="H5807" s="1" t="s">
        <v>7119</v>
      </c>
      <c r="I5807" s="1" t="s">
        <v>19</v>
      </c>
      <c r="J5807" s="1" t="s">
        <v>67</v>
      </c>
      <c r="K5807" s="1" t="s">
        <v>14</v>
      </c>
      <c r="M5807" s="2">
        <v>42662</v>
      </c>
      <c r="N5807" s="1" t="s">
        <v>8</v>
      </c>
      <c r="O5807" s="1" t="s">
        <v>68</v>
      </c>
    </row>
    <row r="5808" spans="1:15" ht="28.8" x14ac:dyDescent="0.3">
      <c r="A5808" s="1" t="s">
        <v>7120</v>
      </c>
      <c r="B5808" s="1" t="str">
        <f>"H Durber Ltd"</f>
        <v>H Durber Ltd</v>
      </c>
      <c r="C5808" s="1" t="s">
        <v>7121</v>
      </c>
      <c r="F5808" s="1" t="s">
        <v>64</v>
      </c>
      <c r="H5808" s="1" t="s">
        <v>7122</v>
      </c>
      <c r="I5808" s="1" t="s">
        <v>19</v>
      </c>
      <c r="J5808" s="1" t="s">
        <v>6</v>
      </c>
      <c r="K5808" s="1" t="s">
        <v>34</v>
      </c>
      <c r="L5808" s="1">
        <v>7484407</v>
      </c>
      <c r="M5808" s="2">
        <v>42662</v>
      </c>
      <c r="N5808" s="1" t="s">
        <v>8</v>
      </c>
      <c r="O5808" s="2">
        <v>43757</v>
      </c>
    </row>
    <row r="5809" spans="1:15" ht="28.8" x14ac:dyDescent="0.3">
      <c r="A5809" s="1" t="s">
        <v>8266</v>
      </c>
      <c r="B5809" s="1" t="str">
        <f>"Delyn Metals Ltd."</f>
        <v>Delyn Metals Ltd.</v>
      </c>
      <c r="C5809" s="1" t="s">
        <v>8267</v>
      </c>
      <c r="F5809" s="1" t="s">
        <v>476</v>
      </c>
      <c r="H5809" s="1" t="s">
        <v>8268</v>
      </c>
      <c r="I5809" s="1" t="s">
        <v>19</v>
      </c>
      <c r="J5809" s="1" t="s">
        <v>6</v>
      </c>
      <c r="K5809" s="1" t="s">
        <v>24</v>
      </c>
      <c r="L5809" s="1">
        <v>2151741</v>
      </c>
      <c r="M5809" s="2">
        <v>42662</v>
      </c>
      <c r="N5809" s="1" t="s">
        <v>8</v>
      </c>
      <c r="O5809" s="2">
        <v>43757</v>
      </c>
    </row>
    <row r="5810" spans="1:15" ht="28.8" x14ac:dyDescent="0.3">
      <c r="A5810" s="1" t="s">
        <v>8269</v>
      </c>
      <c r="B5810" s="1" t="str">
        <f>"JH Jones &amp; Sons"</f>
        <v>JH Jones &amp; Sons</v>
      </c>
      <c r="C5810" s="1" t="s">
        <v>8270</v>
      </c>
      <c r="F5810" s="1" t="s">
        <v>65</v>
      </c>
      <c r="H5810" s="1" t="s">
        <v>8271</v>
      </c>
      <c r="I5810" s="1" t="s">
        <v>125</v>
      </c>
      <c r="J5810" s="1" t="s">
        <v>6</v>
      </c>
      <c r="K5810" s="1" t="s">
        <v>24</v>
      </c>
      <c r="M5810" s="2">
        <v>42662</v>
      </c>
      <c r="N5810" s="1" t="s">
        <v>8</v>
      </c>
      <c r="O5810" s="2">
        <v>43757</v>
      </c>
    </row>
    <row r="5811" spans="1:15" ht="28.8" x14ac:dyDescent="0.3">
      <c r="A5811" s="1" t="s">
        <v>8272</v>
      </c>
      <c r="B5811" s="1" t="str">
        <f>"Redcliff Demolition Limited "</f>
        <v xml:space="preserve">Redcliff Demolition Limited </v>
      </c>
      <c r="C5811" s="1" t="s">
        <v>8273</v>
      </c>
      <c r="F5811" s="1" t="s">
        <v>65</v>
      </c>
      <c r="H5811" s="1" t="s">
        <v>8274</v>
      </c>
      <c r="I5811" s="1" t="s">
        <v>19</v>
      </c>
      <c r="J5811" s="1" t="s">
        <v>6</v>
      </c>
      <c r="K5811" s="1" t="s">
        <v>34</v>
      </c>
      <c r="L5811" s="1">
        <v>10202137</v>
      </c>
      <c r="M5811" s="2">
        <v>42662</v>
      </c>
      <c r="N5811" s="1" t="s">
        <v>8</v>
      </c>
      <c r="O5811" s="2">
        <v>43757</v>
      </c>
    </row>
    <row r="5812" spans="1:15" ht="28.8" x14ac:dyDescent="0.3">
      <c r="A5812" s="1" t="s">
        <v>8275</v>
      </c>
      <c r="B5812" s="1" t="str">
        <f>"Dwr Cymru Welsh Water"</f>
        <v>Dwr Cymru Welsh Water</v>
      </c>
      <c r="C5812" s="1" t="s">
        <v>8276</v>
      </c>
      <c r="F5812" s="1" t="s">
        <v>555</v>
      </c>
      <c r="H5812" s="1" t="s">
        <v>8277</v>
      </c>
      <c r="I5812" s="1" t="s">
        <v>19</v>
      </c>
      <c r="J5812" s="1" t="s">
        <v>6</v>
      </c>
      <c r="K5812" s="1" t="s">
        <v>34</v>
      </c>
      <c r="L5812" s="1">
        <v>2366777</v>
      </c>
      <c r="M5812" s="2">
        <v>42662</v>
      </c>
      <c r="N5812" s="1" t="s">
        <v>8</v>
      </c>
      <c r="O5812" s="2">
        <v>43757</v>
      </c>
    </row>
    <row r="5813" spans="1:15" ht="43.2" x14ac:dyDescent="0.3">
      <c r="A5813" s="1" t="s">
        <v>8278</v>
      </c>
      <c r="B5813" s="1" t="str">
        <f>"Enquin Environmental Limited"</f>
        <v>Enquin Environmental Limited</v>
      </c>
      <c r="C5813" s="1" t="s">
        <v>8279</v>
      </c>
      <c r="D5813" s="1" t="s">
        <v>8280</v>
      </c>
      <c r="E5813" s="1" t="s">
        <v>500</v>
      </c>
      <c r="F5813" s="1" t="s">
        <v>27</v>
      </c>
      <c r="H5813" s="1" t="s">
        <v>8281</v>
      </c>
      <c r="I5813" s="1" t="s">
        <v>19</v>
      </c>
      <c r="J5813" s="1" t="s">
        <v>67</v>
      </c>
      <c r="K5813" s="1" t="s">
        <v>14</v>
      </c>
      <c r="M5813" s="2">
        <v>42662</v>
      </c>
      <c r="N5813" s="1" t="s">
        <v>8</v>
      </c>
      <c r="O5813" s="1" t="s">
        <v>68</v>
      </c>
    </row>
    <row r="5814" spans="1:15" ht="43.2" x14ac:dyDescent="0.3">
      <c r="A5814" s="1" t="s">
        <v>8282</v>
      </c>
      <c r="B5814" s="1" t="str">
        <f>"DYFED STEELS LTD"</f>
        <v>DYFED STEELS LTD</v>
      </c>
      <c r="C5814" s="1" t="s">
        <v>8283</v>
      </c>
      <c r="D5814" s="1" t="s">
        <v>2130</v>
      </c>
      <c r="F5814" s="1" t="s">
        <v>42</v>
      </c>
      <c r="H5814" s="1" t="s">
        <v>8284</v>
      </c>
      <c r="I5814" s="1" t="s">
        <v>19</v>
      </c>
      <c r="J5814" s="1" t="s">
        <v>67</v>
      </c>
      <c r="K5814" s="1" t="s">
        <v>24</v>
      </c>
      <c r="L5814" s="1">
        <v>1287461</v>
      </c>
      <c r="M5814" s="2">
        <v>42662</v>
      </c>
      <c r="N5814" s="1" t="s">
        <v>8</v>
      </c>
      <c r="O5814" s="1" t="s">
        <v>68</v>
      </c>
    </row>
    <row r="5815" spans="1:15" ht="43.2" x14ac:dyDescent="0.3">
      <c r="A5815" s="1" t="s">
        <v>8285</v>
      </c>
      <c r="B5815" s="1" t="str">
        <f>"Glow green ltd"</f>
        <v>Glow green ltd</v>
      </c>
      <c r="C5815" s="1" t="s">
        <v>8286</v>
      </c>
      <c r="F5815" s="1" t="s">
        <v>6637</v>
      </c>
      <c r="H5815" s="1" t="s">
        <v>8287</v>
      </c>
      <c r="I5815" s="1" t="s">
        <v>19</v>
      </c>
      <c r="J5815" s="1" t="s">
        <v>67</v>
      </c>
      <c r="K5815" s="1" t="s">
        <v>14</v>
      </c>
      <c r="M5815" s="2">
        <v>42662</v>
      </c>
      <c r="N5815" s="1" t="s">
        <v>8</v>
      </c>
      <c r="O5815" s="1" t="s">
        <v>68</v>
      </c>
    </row>
    <row r="5816" spans="1:15" ht="43.2" x14ac:dyDescent="0.3">
      <c r="A5816" s="1" t="s">
        <v>22123</v>
      </c>
      <c r="B5816" s="1" t="str">
        <f>"Simon Haines"</f>
        <v>Simon Haines</v>
      </c>
      <c r="C5816" s="1" t="s">
        <v>22124</v>
      </c>
      <c r="D5816" s="1" t="s">
        <v>22125</v>
      </c>
      <c r="F5816" s="1" t="s">
        <v>91</v>
      </c>
      <c r="H5816" s="1" t="s">
        <v>22126</v>
      </c>
      <c r="I5816" s="1" t="s">
        <v>5</v>
      </c>
      <c r="J5816" s="1" t="s">
        <v>67</v>
      </c>
      <c r="K5816" s="1" t="s">
        <v>14</v>
      </c>
      <c r="M5816" s="2">
        <v>42662</v>
      </c>
      <c r="N5816" s="1" t="s">
        <v>8</v>
      </c>
      <c r="O5816" s="1" t="s">
        <v>68</v>
      </c>
    </row>
    <row r="5817" spans="1:15" ht="43.2" x14ac:dyDescent="0.3">
      <c r="A5817" s="1" t="s">
        <v>22127</v>
      </c>
      <c r="B5817" s="1" t="str">
        <f>"Gerry Tudor"</f>
        <v>Gerry Tudor</v>
      </c>
      <c r="C5817" s="1" t="s">
        <v>22128</v>
      </c>
      <c r="F5817" s="1" t="s">
        <v>27</v>
      </c>
      <c r="H5817" s="1" t="s">
        <v>22129</v>
      </c>
      <c r="I5817" s="1" t="s">
        <v>5</v>
      </c>
      <c r="J5817" s="1" t="s">
        <v>67</v>
      </c>
      <c r="K5817" s="1" t="s">
        <v>14</v>
      </c>
      <c r="M5817" s="2">
        <v>42662</v>
      </c>
      <c r="N5817" s="1" t="s">
        <v>8</v>
      </c>
      <c r="O5817" s="1" t="s">
        <v>68</v>
      </c>
    </row>
    <row r="5818" spans="1:15" ht="43.2" x14ac:dyDescent="0.3">
      <c r="A5818" s="1" t="s">
        <v>22130</v>
      </c>
      <c r="B5818" s="1" t="str">
        <f>"Jason Hughes"</f>
        <v>Jason Hughes</v>
      </c>
      <c r="C5818" s="1" t="s">
        <v>22131</v>
      </c>
      <c r="F5818" s="1" t="s">
        <v>370</v>
      </c>
      <c r="H5818" s="1" t="s">
        <v>22132</v>
      </c>
      <c r="I5818" s="1" t="s">
        <v>5</v>
      </c>
      <c r="J5818" s="1" t="s">
        <v>67</v>
      </c>
      <c r="K5818" s="1" t="s">
        <v>14</v>
      </c>
      <c r="M5818" s="2">
        <v>42662</v>
      </c>
      <c r="N5818" s="1" t="s">
        <v>8</v>
      </c>
      <c r="O5818" s="1" t="s">
        <v>68</v>
      </c>
    </row>
    <row r="5819" spans="1:15" ht="28.8" x14ac:dyDescent="0.3">
      <c r="A5819" s="1" t="s">
        <v>22133</v>
      </c>
      <c r="B5819" s="1" t="str">
        <f>"peter fulton Greenfield Removals"</f>
        <v>peter fulton Greenfield Removals</v>
      </c>
      <c r="C5819" s="1" t="s">
        <v>22134</v>
      </c>
      <c r="D5819" s="1" t="s">
        <v>12495</v>
      </c>
      <c r="F5819" s="1" t="s">
        <v>1278</v>
      </c>
      <c r="H5819" s="1" t="s">
        <v>22135</v>
      </c>
      <c r="I5819" s="1" t="s">
        <v>5</v>
      </c>
      <c r="J5819" s="1" t="s">
        <v>6</v>
      </c>
      <c r="K5819" s="1" t="s">
        <v>24</v>
      </c>
      <c r="M5819" s="2">
        <v>42662</v>
      </c>
      <c r="N5819" s="1" t="s">
        <v>8</v>
      </c>
      <c r="O5819" s="2">
        <v>43798</v>
      </c>
    </row>
    <row r="5820" spans="1:15" ht="43.2" x14ac:dyDescent="0.3">
      <c r="A5820" s="1" t="s">
        <v>5948</v>
      </c>
      <c r="B5820" s="1" t="str">
        <f>"t l t penrhos"</f>
        <v>t l t penrhos</v>
      </c>
      <c r="C5820" s="1" t="s">
        <v>5949</v>
      </c>
      <c r="F5820" s="1" t="s">
        <v>65</v>
      </c>
      <c r="H5820" s="1" t="s">
        <v>5950</v>
      </c>
      <c r="I5820" s="1" t="s">
        <v>125</v>
      </c>
      <c r="J5820" s="1" t="s">
        <v>67</v>
      </c>
      <c r="K5820" s="1" t="s">
        <v>14</v>
      </c>
      <c r="M5820" s="2">
        <v>42661</v>
      </c>
      <c r="N5820" s="1" t="s">
        <v>8</v>
      </c>
      <c r="O5820" s="1" t="s">
        <v>68</v>
      </c>
    </row>
    <row r="5821" spans="1:15" ht="28.8" x14ac:dyDescent="0.3">
      <c r="A5821" s="1" t="s">
        <v>5951</v>
      </c>
      <c r="B5821" s="1" t="str">
        <f>"South Wales Contractors Ltd."</f>
        <v>South Wales Contractors Ltd.</v>
      </c>
      <c r="C5821" s="1" t="s">
        <v>5952</v>
      </c>
      <c r="F5821" s="1" t="s">
        <v>865</v>
      </c>
      <c r="H5821" s="1" t="s">
        <v>5953</v>
      </c>
      <c r="I5821" s="1" t="s">
        <v>19</v>
      </c>
      <c r="J5821" s="1" t="s">
        <v>6</v>
      </c>
      <c r="K5821" s="1" t="s">
        <v>34</v>
      </c>
      <c r="L5821" s="1">
        <v>6206365</v>
      </c>
      <c r="M5821" s="2">
        <v>42661</v>
      </c>
      <c r="N5821" s="1" t="s">
        <v>8</v>
      </c>
      <c r="O5821" s="2">
        <v>43756</v>
      </c>
    </row>
    <row r="5822" spans="1:15" ht="28.8" x14ac:dyDescent="0.3">
      <c r="A5822" s="1" t="s">
        <v>7102</v>
      </c>
      <c r="B5822" s="1" t="str">
        <f>"A and N Plumbing and Heating Ltd"</f>
        <v>A and N Plumbing and Heating Ltd</v>
      </c>
      <c r="C5822" s="1" t="s">
        <v>7103</v>
      </c>
      <c r="F5822" s="1" t="s">
        <v>91</v>
      </c>
      <c r="H5822" s="1" t="s">
        <v>7104</v>
      </c>
      <c r="I5822" s="1" t="s">
        <v>19</v>
      </c>
      <c r="J5822" s="1" t="s">
        <v>6</v>
      </c>
      <c r="K5822" s="1" t="s">
        <v>34</v>
      </c>
      <c r="L5822" s="1">
        <v>5273471</v>
      </c>
      <c r="M5822" s="2">
        <v>42661</v>
      </c>
      <c r="N5822" s="1" t="s">
        <v>8</v>
      </c>
      <c r="O5822" s="2">
        <v>43756</v>
      </c>
    </row>
    <row r="5823" spans="1:15" ht="28.8" x14ac:dyDescent="0.3">
      <c r="A5823" s="1" t="s">
        <v>7105</v>
      </c>
      <c r="B5823" s="1" t="str">
        <f>"ABBA SCRAP METALS LTD"</f>
        <v>ABBA SCRAP METALS LTD</v>
      </c>
      <c r="C5823" s="1" t="s">
        <v>6956</v>
      </c>
      <c r="F5823" s="1" t="s">
        <v>739</v>
      </c>
      <c r="H5823" s="1" t="s">
        <v>6957</v>
      </c>
      <c r="I5823" s="1" t="s">
        <v>19</v>
      </c>
      <c r="J5823" s="1" t="s">
        <v>6</v>
      </c>
      <c r="K5823" s="1" t="s">
        <v>34</v>
      </c>
      <c r="L5823" s="1">
        <v>6030263</v>
      </c>
      <c r="M5823" s="2">
        <v>42661</v>
      </c>
      <c r="N5823" s="1" t="s">
        <v>8</v>
      </c>
      <c r="O5823" s="2">
        <v>43756</v>
      </c>
    </row>
    <row r="5824" spans="1:15" ht="28.8" x14ac:dyDescent="0.3">
      <c r="A5824" s="1" t="s">
        <v>7106</v>
      </c>
      <c r="B5824" s="1" t="str">
        <f>"ROBERTS ELECTRICALNW LTD"</f>
        <v>ROBERTS ELECTRICALNW LTD</v>
      </c>
      <c r="C5824" s="1" t="s">
        <v>7107</v>
      </c>
      <c r="D5824" s="1" t="s">
        <v>475</v>
      </c>
      <c r="F5824" s="1" t="s">
        <v>83</v>
      </c>
      <c r="H5824" s="1" t="s">
        <v>7108</v>
      </c>
      <c r="I5824" s="1" t="s">
        <v>19</v>
      </c>
      <c r="J5824" s="1" t="s">
        <v>6</v>
      </c>
      <c r="K5824" s="1" t="s">
        <v>24</v>
      </c>
      <c r="L5824" s="1">
        <v>4665799</v>
      </c>
      <c r="M5824" s="2">
        <v>42661</v>
      </c>
      <c r="N5824" s="1" t="s">
        <v>8</v>
      </c>
      <c r="O5824" s="2">
        <v>43756</v>
      </c>
    </row>
    <row r="5825" spans="1:15" ht="43.2" x14ac:dyDescent="0.3">
      <c r="A5825" s="1" t="s">
        <v>7109</v>
      </c>
      <c r="B5825" s="1" t="str">
        <f>"Carmarthen Refrigeration Ltd."</f>
        <v>Carmarthen Refrigeration Ltd.</v>
      </c>
      <c r="C5825" s="1" t="s">
        <v>7110</v>
      </c>
      <c r="D5825" s="1" t="s">
        <v>7111</v>
      </c>
      <c r="E5825" s="1" t="s">
        <v>95</v>
      </c>
      <c r="F5825" s="1" t="s">
        <v>96</v>
      </c>
      <c r="H5825" s="1" t="s">
        <v>7112</v>
      </c>
      <c r="I5825" s="1" t="s">
        <v>19</v>
      </c>
      <c r="J5825" s="1" t="s">
        <v>67</v>
      </c>
      <c r="K5825" s="1" t="s">
        <v>24</v>
      </c>
      <c r="L5825" s="1">
        <v>4690487</v>
      </c>
      <c r="M5825" s="2">
        <v>42661</v>
      </c>
      <c r="N5825" s="1" t="s">
        <v>8</v>
      </c>
      <c r="O5825" s="1" t="s">
        <v>68</v>
      </c>
    </row>
    <row r="5826" spans="1:15" ht="28.8" x14ac:dyDescent="0.3">
      <c r="A5826" s="1" t="s">
        <v>7113</v>
      </c>
      <c r="B5826" s="1" t="str">
        <f>"Zwanny Ltd"</f>
        <v>Zwanny Ltd</v>
      </c>
      <c r="C5826" s="1" t="s">
        <v>7114</v>
      </c>
      <c r="F5826" s="1" t="s">
        <v>380</v>
      </c>
      <c r="H5826" s="1" t="s">
        <v>7115</v>
      </c>
      <c r="I5826" s="1" t="s">
        <v>19</v>
      </c>
      <c r="J5826" s="1" t="s">
        <v>6</v>
      </c>
      <c r="K5826" s="1" t="s">
        <v>1859</v>
      </c>
      <c r="L5826" s="1">
        <v>8631138</v>
      </c>
      <c r="M5826" s="2">
        <v>42661</v>
      </c>
      <c r="N5826" s="1" t="s">
        <v>8</v>
      </c>
      <c r="O5826" s="2">
        <v>43756</v>
      </c>
    </row>
    <row r="5827" spans="1:15" ht="28.8" x14ac:dyDescent="0.3">
      <c r="A5827" s="1" t="s">
        <v>20528</v>
      </c>
      <c r="B5827" s="1" t="str">
        <f>"Stephen Giddings SG Environmental Services"</f>
        <v>Stephen Giddings SG Environmental Services</v>
      </c>
      <c r="C5827" s="1" t="s">
        <v>20529</v>
      </c>
      <c r="F5827" s="1" t="s">
        <v>65</v>
      </c>
      <c r="H5827" s="1" t="s">
        <v>20530</v>
      </c>
      <c r="I5827" s="1" t="s">
        <v>5</v>
      </c>
      <c r="J5827" s="1" t="s">
        <v>6</v>
      </c>
      <c r="K5827" s="1" t="s">
        <v>34</v>
      </c>
      <c r="M5827" s="2">
        <v>42661</v>
      </c>
      <c r="N5827" s="1" t="s">
        <v>8</v>
      </c>
      <c r="O5827" s="2">
        <v>43756</v>
      </c>
    </row>
    <row r="5828" spans="1:15" ht="43.2" x14ac:dyDescent="0.3">
      <c r="A5828" s="1" t="s">
        <v>20531</v>
      </c>
      <c r="B5828" s="1" t="str">
        <f>"Michael OHagan"</f>
        <v>Michael OHagan</v>
      </c>
      <c r="C5828" s="1" t="s">
        <v>20532</v>
      </c>
      <c r="F5828" s="1" t="s">
        <v>65</v>
      </c>
      <c r="H5828" s="1" t="s">
        <v>20533</v>
      </c>
      <c r="I5828" s="1" t="s">
        <v>5</v>
      </c>
      <c r="J5828" s="1" t="s">
        <v>67</v>
      </c>
      <c r="K5828" s="1" t="s">
        <v>14</v>
      </c>
      <c r="M5828" s="2">
        <v>42661</v>
      </c>
      <c r="N5828" s="1" t="s">
        <v>8</v>
      </c>
      <c r="O5828" s="1" t="s">
        <v>68</v>
      </c>
    </row>
    <row r="5829" spans="1:15" ht="43.2" x14ac:dyDescent="0.3">
      <c r="A5829" s="1" t="s">
        <v>21308</v>
      </c>
      <c r="B5829" s="1" t="str">
        <f>"cemlyn williams "</f>
        <v xml:space="preserve">cemlyn williams </v>
      </c>
      <c r="C5829" s="1" t="s">
        <v>21309</v>
      </c>
      <c r="F5829" s="1" t="s">
        <v>710</v>
      </c>
      <c r="H5829" s="1" t="s">
        <v>21310</v>
      </c>
      <c r="I5829" s="1" t="s">
        <v>5</v>
      </c>
      <c r="J5829" s="1" t="s">
        <v>67</v>
      </c>
      <c r="K5829" s="1" t="s">
        <v>34</v>
      </c>
      <c r="M5829" s="2">
        <v>42661</v>
      </c>
      <c r="N5829" s="1" t="s">
        <v>8</v>
      </c>
      <c r="O5829" s="1" t="s">
        <v>68</v>
      </c>
    </row>
    <row r="5830" spans="1:15" ht="43.2" x14ac:dyDescent="0.3">
      <c r="A5830" s="1" t="s">
        <v>21311</v>
      </c>
      <c r="B5830" s="1" t="str">
        <f>"Bryn Evans"</f>
        <v>Bryn Evans</v>
      </c>
      <c r="C5830" s="1" t="s">
        <v>21312</v>
      </c>
      <c r="F5830" s="1" t="s">
        <v>710</v>
      </c>
      <c r="H5830" s="1" t="s">
        <v>21313</v>
      </c>
      <c r="I5830" s="1" t="s">
        <v>5</v>
      </c>
      <c r="J5830" s="1" t="s">
        <v>67</v>
      </c>
      <c r="K5830" s="1" t="s">
        <v>24</v>
      </c>
      <c r="M5830" s="2">
        <v>42661</v>
      </c>
      <c r="N5830" s="1" t="s">
        <v>8</v>
      </c>
      <c r="O5830" s="1" t="s">
        <v>68</v>
      </c>
    </row>
    <row r="5831" spans="1:15" ht="43.2" x14ac:dyDescent="0.3">
      <c r="A5831" s="1" t="s">
        <v>21314</v>
      </c>
      <c r="B5831" s="1" t="str">
        <f>"David Forrester"</f>
        <v>David Forrester</v>
      </c>
      <c r="C5831" s="1" t="s">
        <v>21315</v>
      </c>
      <c r="F5831" s="1" t="s">
        <v>323</v>
      </c>
      <c r="H5831" s="1" t="s">
        <v>10720</v>
      </c>
      <c r="I5831" s="1" t="s">
        <v>5</v>
      </c>
      <c r="J5831" s="1" t="s">
        <v>67</v>
      </c>
      <c r="K5831" s="1" t="s">
        <v>24</v>
      </c>
      <c r="M5831" s="2">
        <v>42661</v>
      </c>
      <c r="N5831" s="1" t="s">
        <v>8</v>
      </c>
      <c r="O5831" s="1" t="s">
        <v>68</v>
      </c>
    </row>
    <row r="5832" spans="1:15" ht="43.2" x14ac:dyDescent="0.3">
      <c r="A5832" s="1" t="s">
        <v>21316</v>
      </c>
      <c r="B5832" s="1" t="str">
        <f>"Christopher Mee"</f>
        <v>Christopher Mee</v>
      </c>
      <c r="C5832" s="1" t="s">
        <v>21317</v>
      </c>
      <c r="F5832" s="1" t="s">
        <v>21318</v>
      </c>
      <c r="H5832" s="1" t="s">
        <v>21319</v>
      </c>
      <c r="I5832" s="1" t="s">
        <v>5</v>
      </c>
      <c r="J5832" s="1" t="s">
        <v>67</v>
      </c>
      <c r="K5832" s="1" t="s">
        <v>14</v>
      </c>
      <c r="M5832" s="2">
        <v>42661</v>
      </c>
      <c r="N5832" s="1" t="s">
        <v>8</v>
      </c>
      <c r="O5832" s="1" t="s">
        <v>68</v>
      </c>
    </row>
    <row r="5833" spans="1:15" ht="43.2" x14ac:dyDescent="0.3">
      <c r="A5833" s="1" t="s">
        <v>21320</v>
      </c>
      <c r="B5833" s="1" t="str">
        <f>"Robert Stone"</f>
        <v>Robert Stone</v>
      </c>
      <c r="C5833" s="1" t="s">
        <v>21321</v>
      </c>
      <c r="F5833" s="1" t="s">
        <v>65</v>
      </c>
      <c r="H5833" s="1" t="s">
        <v>21322</v>
      </c>
      <c r="I5833" s="1" t="s">
        <v>5</v>
      </c>
      <c r="J5833" s="1" t="s">
        <v>67</v>
      </c>
      <c r="K5833" s="1" t="s">
        <v>24</v>
      </c>
      <c r="M5833" s="2">
        <v>42661</v>
      </c>
      <c r="N5833" s="1" t="s">
        <v>8</v>
      </c>
      <c r="O5833" s="1" t="s">
        <v>68</v>
      </c>
    </row>
    <row r="5834" spans="1:15" ht="28.8" x14ac:dyDescent="0.3">
      <c r="A5834" s="1" t="s">
        <v>4789</v>
      </c>
      <c r="B5834" s="1" t="str">
        <f>"Gareth Shipley Acs Ltd."</f>
        <v>Gareth Shipley Acs Ltd.</v>
      </c>
      <c r="C5834" s="1" t="s">
        <v>4790</v>
      </c>
      <c r="D5834" s="1" t="s">
        <v>3176</v>
      </c>
      <c r="E5834" s="1" t="s">
        <v>285</v>
      </c>
      <c r="F5834" s="1" t="s">
        <v>198</v>
      </c>
      <c r="H5834" s="1" t="s">
        <v>3177</v>
      </c>
      <c r="I5834" s="1" t="s">
        <v>19</v>
      </c>
      <c r="J5834" s="1" t="s">
        <v>6</v>
      </c>
      <c r="K5834" s="1" t="s">
        <v>24</v>
      </c>
      <c r="L5834" s="1">
        <v>5262031</v>
      </c>
      <c r="M5834" s="2">
        <v>42660</v>
      </c>
      <c r="N5834" s="1" t="s">
        <v>8</v>
      </c>
      <c r="O5834" s="2">
        <v>43755</v>
      </c>
    </row>
    <row r="5835" spans="1:15" ht="28.8" x14ac:dyDescent="0.3">
      <c r="A5835" s="1" t="s">
        <v>4791</v>
      </c>
      <c r="B5835" s="1" t="str">
        <f>"CENTAFRAME PVCU SYSTEMS LTD"</f>
        <v>CENTAFRAME PVCU SYSTEMS LTD</v>
      </c>
      <c r="C5835" s="1" t="s">
        <v>4792</v>
      </c>
      <c r="F5835" s="1" t="s">
        <v>2200</v>
      </c>
      <c r="H5835" s="1" t="s">
        <v>3723</v>
      </c>
      <c r="I5835" s="1" t="s">
        <v>19</v>
      </c>
      <c r="J5835" s="1" t="s">
        <v>6</v>
      </c>
      <c r="K5835" s="1" t="s">
        <v>24</v>
      </c>
      <c r="L5835" s="1">
        <v>5236182</v>
      </c>
      <c r="M5835" s="2">
        <v>42660</v>
      </c>
      <c r="N5835" s="1" t="s">
        <v>8</v>
      </c>
      <c r="O5835" s="2">
        <v>43861</v>
      </c>
    </row>
    <row r="5836" spans="1:15" ht="43.2" x14ac:dyDescent="0.3">
      <c r="A5836" s="1" t="s">
        <v>4793</v>
      </c>
      <c r="B5836" s="1" t="str">
        <f>"Cardigan Sand &amp; Gravel Co. Ltd."</f>
        <v>Cardigan Sand &amp; Gravel Co. Ltd.</v>
      </c>
      <c r="C5836" s="1" t="s">
        <v>4794</v>
      </c>
      <c r="F5836" s="1" t="s">
        <v>1511</v>
      </c>
      <c r="H5836" s="1" t="s">
        <v>4795</v>
      </c>
      <c r="I5836" s="1" t="s">
        <v>19</v>
      </c>
      <c r="J5836" s="1" t="s">
        <v>67</v>
      </c>
      <c r="K5836" s="1" t="s">
        <v>34</v>
      </c>
      <c r="L5836" s="1">
        <v>631623</v>
      </c>
      <c r="M5836" s="2">
        <v>42660</v>
      </c>
      <c r="N5836" s="1" t="s">
        <v>8</v>
      </c>
      <c r="O5836" s="1" t="s">
        <v>68</v>
      </c>
    </row>
    <row r="5837" spans="1:15" ht="43.2" x14ac:dyDescent="0.3">
      <c r="A5837" s="1" t="s">
        <v>5935</v>
      </c>
      <c r="B5837" s="1" t="str">
        <f>"Classic Carpets &amp; Beds Ltd"</f>
        <v>Classic Carpets &amp; Beds Ltd</v>
      </c>
      <c r="C5837" s="1" t="s">
        <v>5936</v>
      </c>
      <c r="F5837" s="1" t="s">
        <v>290</v>
      </c>
      <c r="H5837" s="1" t="s">
        <v>5937</v>
      </c>
      <c r="I5837" s="1" t="s">
        <v>19</v>
      </c>
      <c r="J5837" s="1" t="s">
        <v>67</v>
      </c>
      <c r="K5837" s="1" t="s">
        <v>14</v>
      </c>
      <c r="M5837" s="2">
        <v>42660</v>
      </c>
      <c r="N5837" s="1" t="s">
        <v>8</v>
      </c>
      <c r="O5837" s="1" t="s">
        <v>68</v>
      </c>
    </row>
    <row r="5838" spans="1:15" ht="28.8" x14ac:dyDescent="0.3">
      <c r="A5838" s="1" t="s">
        <v>5938</v>
      </c>
      <c r="B5838" s="1" t="str">
        <f>"G and G Pembs Electrical Ltd"</f>
        <v>G and G Pembs Electrical Ltd</v>
      </c>
      <c r="C5838" s="1" t="s">
        <v>5939</v>
      </c>
      <c r="F5838" s="1" t="s">
        <v>438</v>
      </c>
      <c r="H5838" s="1" t="s">
        <v>5940</v>
      </c>
      <c r="I5838" s="1" t="s">
        <v>19</v>
      </c>
      <c r="J5838" s="1" t="s">
        <v>6</v>
      </c>
      <c r="K5838" s="1" t="s">
        <v>24</v>
      </c>
      <c r="L5838" s="1">
        <v>9949790</v>
      </c>
      <c r="M5838" s="2">
        <v>42660</v>
      </c>
      <c r="N5838" s="1" t="s">
        <v>8</v>
      </c>
      <c r="O5838" s="2">
        <v>43755</v>
      </c>
    </row>
    <row r="5839" spans="1:15" ht="28.8" x14ac:dyDescent="0.3">
      <c r="A5839" s="1" t="s">
        <v>5941</v>
      </c>
      <c r="B5839" s="1" t="str">
        <f>"C. W. Pugh &amp; Sons"</f>
        <v>C. W. Pugh &amp; Sons</v>
      </c>
      <c r="C5839" s="1" t="s">
        <v>5942</v>
      </c>
      <c r="F5839" s="1" t="s">
        <v>5943</v>
      </c>
      <c r="H5839" s="1" t="s">
        <v>5944</v>
      </c>
      <c r="I5839" s="1" t="s">
        <v>125</v>
      </c>
      <c r="J5839" s="1" t="s">
        <v>6</v>
      </c>
      <c r="K5839" s="1" t="s">
        <v>34</v>
      </c>
      <c r="M5839" s="2">
        <v>42660</v>
      </c>
      <c r="N5839" s="1" t="s">
        <v>8</v>
      </c>
      <c r="O5839" s="2">
        <v>43771</v>
      </c>
    </row>
    <row r="5840" spans="1:15" ht="28.8" x14ac:dyDescent="0.3">
      <c r="A5840" s="1" t="s">
        <v>5945</v>
      </c>
      <c r="B5840" s="1" t="str">
        <f>"Uk Maintenance Wales"</f>
        <v>Uk Maintenance Wales</v>
      </c>
      <c r="C5840" s="1" t="s">
        <v>5946</v>
      </c>
      <c r="F5840" s="1" t="s">
        <v>1175</v>
      </c>
      <c r="H5840" s="1" t="s">
        <v>5947</v>
      </c>
      <c r="I5840" s="1" t="s">
        <v>125</v>
      </c>
      <c r="J5840" s="1" t="s">
        <v>6</v>
      </c>
      <c r="K5840" s="1" t="s">
        <v>24</v>
      </c>
      <c r="M5840" s="2">
        <v>42660</v>
      </c>
      <c r="N5840" s="1" t="s">
        <v>8</v>
      </c>
      <c r="O5840" s="2">
        <v>43755</v>
      </c>
    </row>
    <row r="5841" spans="1:15" ht="28.8" x14ac:dyDescent="0.3">
      <c r="A5841" s="1" t="s">
        <v>19754</v>
      </c>
      <c r="B5841" s="1" t="str">
        <f>"Anthony Phillips Haven Gardens"</f>
        <v>Anthony Phillips Haven Gardens</v>
      </c>
      <c r="C5841" s="1" t="s">
        <v>19755</v>
      </c>
      <c r="D5841" s="1" t="s">
        <v>6131</v>
      </c>
      <c r="F5841" s="1" t="s">
        <v>1278</v>
      </c>
      <c r="H5841" s="1" t="s">
        <v>6132</v>
      </c>
      <c r="I5841" s="1" t="s">
        <v>5</v>
      </c>
      <c r="J5841" s="1" t="s">
        <v>6</v>
      </c>
      <c r="K5841" s="1" t="s">
        <v>34</v>
      </c>
      <c r="M5841" s="2">
        <v>42660</v>
      </c>
      <c r="N5841" s="1" t="s">
        <v>8</v>
      </c>
      <c r="O5841" s="2">
        <v>43755</v>
      </c>
    </row>
    <row r="5842" spans="1:15" ht="28.8" x14ac:dyDescent="0.3">
      <c r="A5842" s="1" t="s">
        <v>19756</v>
      </c>
      <c r="B5842" s="1" t="str">
        <f>"Philippa  Thorne  Philippa Thorne "</f>
        <v xml:space="preserve">Philippa  Thorne  Philippa Thorne </v>
      </c>
      <c r="C5842" s="1" t="s">
        <v>19757</v>
      </c>
      <c r="F5842" s="1" t="s">
        <v>214</v>
      </c>
      <c r="H5842" s="1" t="s">
        <v>19758</v>
      </c>
      <c r="I5842" s="1" t="s">
        <v>5</v>
      </c>
      <c r="J5842" s="1" t="s">
        <v>6</v>
      </c>
      <c r="K5842" s="1" t="s">
        <v>34</v>
      </c>
      <c r="M5842" s="2">
        <v>42660</v>
      </c>
      <c r="N5842" s="1" t="s">
        <v>8</v>
      </c>
      <c r="O5842" s="2">
        <v>43755</v>
      </c>
    </row>
    <row r="5843" spans="1:15" ht="28.8" x14ac:dyDescent="0.3">
      <c r="A5843" s="1" t="s">
        <v>19759</v>
      </c>
      <c r="B5843" s="1" t="str">
        <f>"Russell Howells RWH Roofing"</f>
        <v>Russell Howells RWH Roofing</v>
      </c>
      <c r="C5843" s="1" t="s">
        <v>19760</v>
      </c>
      <c r="F5843" s="1" t="s">
        <v>380</v>
      </c>
      <c r="H5843" s="1" t="s">
        <v>19761</v>
      </c>
      <c r="I5843" s="1" t="s">
        <v>5</v>
      </c>
      <c r="J5843" s="1" t="s">
        <v>6</v>
      </c>
      <c r="K5843" s="1" t="s">
        <v>24</v>
      </c>
      <c r="M5843" s="2">
        <v>42660</v>
      </c>
      <c r="N5843" s="1" t="s">
        <v>8</v>
      </c>
      <c r="O5843" s="2">
        <v>43755</v>
      </c>
    </row>
    <row r="5844" spans="1:15" ht="28.8" x14ac:dyDescent="0.3">
      <c r="A5844" s="1" t="s">
        <v>20516</v>
      </c>
      <c r="B5844" s="1" t="str">
        <f>"Philip Janes"</f>
        <v>Philip Janes</v>
      </c>
      <c r="C5844" s="1" t="s">
        <v>20517</v>
      </c>
      <c r="D5844" s="1" t="s">
        <v>20518</v>
      </c>
      <c r="F5844" s="1" t="s">
        <v>27</v>
      </c>
      <c r="H5844" s="1" t="s">
        <v>20519</v>
      </c>
      <c r="I5844" s="1" t="s">
        <v>5</v>
      </c>
      <c r="J5844" s="1" t="s">
        <v>6</v>
      </c>
      <c r="K5844" s="1" t="s">
        <v>24</v>
      </c>
      <c r="M5844" s="2">
        <v>42660</v>
      </c>
      <c r="N5844" s="1" t="s">
        <v>8</v>
      </c>
      <c r="O5844" s="2">
        <v>43755</v>
      </c>
    </row>
    <row r="5845" spans="1:15" ht="28.8" x14ac:dyDescent="0.3">
      <c r="A5845" s="1" t="s">
        <v>20520</v>
      </c>
      <c r="B5845" s="1" t="str">
        <f>"Adrian  Gibbs Adrian Gibbs Roofing"</f>
        <v>Adrian  Gibbs Adrian Gibbs Roofing</v>
      </c>
      <c r="C5845" s="1" t="s">
        <v>20521</v>
      </c>
      <c r="F5845" s="1" t="s">
        <v>1175</v>
      </c>
      <c r="H5845" s="1" t="s">
        <v>20522</v>
      </c>
      <c r="I5845" s="1" t="s">
        <v>5</v>
      </c>
      <c r="J5845" s="1" t="s">
        <v>6</v>
      </c>
      <c r="K5845" s="1" t="s">
        <v>24</v>
      </c>
      <c r="M5845" s="2">
        <v>42660</v>
      </c>
      <c r="N5845" s="1" t="s">
        <v>8</v>
      </c>
      <c r="O5845" s="2">
        <v>43755</v>
      </c>
    </row>
    <row r="5846" spans="1:15" ht="43.2" x14ac:dyDescent="0.3">
      <c r="A5846" s="1" t="s">
        <v>20523</v>
      </c>
      <c r="B5846" s="1" t="str">
        <f>"Tony  Bromley"</f>
        <v>Tony  Bromley</v>
      </c>
      <c r="C5846" s="1" t="s">
        <v>20524</v>
      </c>
      <c r="D5846" s="1" t="s">
        <v>10090</v>
      </c>
      <c r="F5846" s="1" t="s">
        <v>4645</v>
      </c>
      <c r="H5846" s="1" t="s">
        <v>20525</v>
      </c>
      <c r="I5846" s="1" t="s">
        <v>5</v>
      </c>
      <c r="J5846" s="1" t="s">
        <v>67</v>
      </c>
      <c r="K5846" s="1" t="s">
        <v>14</v>
      </c>
      <c r="M5846" s="2">
        <v>42660</v>
      </c>
      <c r="N5846" s="1" t="s">
        <v>8</v>
      </c>
      <c r="O5846" s="1" t="s">
        <v>68</v>
      </c>
    </row>
    <row r="5847" spans="1:15" ht="28.8" x14ac:dyDescent="0.3">
      <c r="A5847" s="1" t="s">
        <v>20526</v>
      </c>
      <c r="B5847" s="1" t="str">
        <f>"Craig Gee Craig G"</f>
        <v>Craig Gee Craig G</v>
      </c>
      <c r="C5847" s="1" t="s">
        <v>20527</v>
      </c>
      <c r="F5847" s="1" t="s">
        <v>42</v>
      </c>
      <c r="H5847" s="1" t="s">
        <v>9784</v>
      </c>
      <c r="I5847" s="1" t="s">
        <v>5</v>
      </c>
      <c r="J5847" s="1" t="s">
        <v>6</v>
      </c>
      <c r="K5847" s="1" t="s">
        <v>24</v>
      </c>
      <c r="M5847" s="2">
        <v>42660</v>
      </c>
      <c r="N5847" s="1" t="s">
        <v>8</v>
      </c>
      <c r="O5847" s="2">
        <v>43755</v>
      </c>
    </row>
    <row r="5848" spans="1:15" ht="28.8" x14ac:dyDescent="0.3">
      <c r="A5848" s="1" t="s">
        <v>4786</v>
      </c>
      <c r="B5848" s="1" t="str">
        <f>"Harts building maintenance services"</f>
        <v>Harts building maintenance services</v>
      </c>
      <c r="C5848" s="1" t="s">
        <v>4787</v>
      </c>
      <c r="F5848" s="1" t="s">
        <v>96</v>
      </c>
      <c r="H5848" s="1" t="s">
        <v>4788</v>
      </c>
      <c r="I5848" s="1" t="s">
        <v>125</v>
      </c>
      <c r="J5848" s="1" t="s">
        <v>6</v>
      </c>
      <c r="K5848" s="1" t="s">
        <v>24</v>
      </c>
      <c r="M5848" s="2">
        <v>42659</v>
      </c>
      <c r="N5848" s="1" t="s">
        <v>8</v>
      </c>
      <c r="O5848" s="2">
        <v>43754</v>
      </c>
    </row>
    <row r="5849" spans="1:15" ht="43.2" x14ac:dyDescent="0.3">
      <c r="A5849" s="1" t="s">
        <v>19737</v>
      </c>
      <c r="B5849" s="1" t="str">
        <f>"ramanathan sureshkumar"</f>
        <v>ramanathan sureshkumar</v>
      </c>
      <c r="C5849" s="1" t="s">
        <v>19738</v>
      </c>
      <c r="F5849" s="1" t="s">
        <v>19739</v>
      </c>
      <c r="H5849" s="1" t="s">
        <v>19740</v>
      </c>
      <c r="I5849" s="1" t="s">
        <v>5</v>
      </c>
      <c r="J5849" s="1" t="s">
        <v>67</v>
      </c>
      <c r="K5849" s="1" t="s">
        <v>14</v>
      </c>
      <c r="M5849" s="2">
        <v>42659</v>
      </c>
      <c r="N5849" s="1" t="s">
        <v>8</v>
      </c>
      <c r="O5849" s="1" t="s">
        <v>68</v>
      </c>
    </row>
    <row r="5850" spans="1:15" ht="28.8" x14ac:dyDescent="0.3">
      <c r="A5850" s="1" t="s">
        <v>19741</v>
      </c>
      <c r="B5850" s="1" t="str">
        <f>"Wendy Williams"</f>
        <v>Wendy Williams</v>
      </c>
      <c r="C5850" s="1" t="s">
        <v>19742</v>
      </c>
      <c r="F5850" s="1" t="s">
        <v>6647</v>
      </c>
      <c r="H5850" s="1" t="s">
        <v>19743</v>
      </c>
      <c r="I5850" s="1" t="s">
        <v>5</v>
      </c>
      <c r="J5850" s="1" t="s">
        <v>6</v>
      </c>
      <c r="K5850" s="1" t="s">
        <v>34</v>
      </c>
      <c r="M5850" s="2">
        <v>42659</v>
      </c>
      <c r="N5850" s="1" t="s">
        <v>8</v>
      </c>
      <c r="O5850" s="2">
        <v>43754</v>
      </c>
    </row>
    <row r="5851" spans="1:15" ht="43.2" x14ac:dyDescent="0.3">
      <c r="A5851" s="1" t="s">
        <v>19744</v>
      </c>
      <c r="B5851" s="1" t="str">
        <f>"Richard Williams"</f>
        <v>Richard Williams</v>
      </c>
      <c r="C5851" s="1" t="s">
        <v>19745</v>
      </c>
      <c r="D5851" s="1" t="s">
        <v>19746</v>
      </c>
      <c r="F5851" s="1" t="s">
        <v>3316</v>
      </c>
      <c r="H5851" s="1" t="s">
        <v>19747</v>
      </c>
      <c r="I5851" s="1" t="s">
        <v>5</v>
      </c>
      <c r="J5851" s="1" t="s">
        <v>67</v>
      </c>
      <c r="K5851" s="1" t="s">
        <v>14</v>
      </c>
      <c r="M5851" s="2">
        <v>42659</v>
      </c>
      <c r="N5851" s="1" t="s">
        <v>8</v>
      </c>
      <c r="O5851" s="1" t="s">
        <v>68</v>
      </c>
    </row>
    <row r="5852" spans="1:15" ht="43.2" x14ac:dyDescent="0.3">
      <c r="A5852" s="1" t="s">
        <v>19748</v>
      </c>
      <c r="B5852" s="1" t="str">
        <f>"Greg Knott"</f>
        <v>Greg Knott</v>
      </c>
      <c r="C5852" s="1" t="s">
        <v>19749</v>
      </c>
      <c r="F5852" s="1" t="s">
        <v>621</v>
      </c>
      <c r="H5852" s="1" t="s">
        <v>19750</v>
      </c>
      <c r="I5852" s="1" t="s">
        <v>5</v>
      </c>
      <c r="J5852" s="1" t="s">
        <v>67</v>
      </c>
      <c r="K5852" s="1" t="s">
        <v>14</v>
      </c>
      <c r="M5852" s="2">
        <v>42659</v>
      </c>
      <c r="N5852" s="1" t="s">
        <v>8</v>
      </c>
      <c r="O5852" s="1" t="s">
        <v>68</v>
      </c>
    </row>
    <row r="5853" spans="1:15" ht="43.2" x14ac:dyDescent="0.3">
      <c r="A5853" s="1" t="s">
        <v>19751</v>
      </c>
      <c r="B5853" s="1" t="str">
        <f>"Mark Richter"</f>
        <v>Mark Richter</v>
      </c>
      <c r="C5853" s="1" t="s">
        <v>19752</v>
      </c>
      <c r="F5853" s="1" t="s">
        <v>1184</v>
      </c>
      <c r="H5853" s="1" t="s">
        <v>19753</v>
      </c>
      <c r="I5853" s="1" t="s">
        <v>5</v>
      </c>
      <c r="J5853" s="1" t="s">
        <v>67</v>
      </c>
      <c r="K5853" s="1" t="s">
        <v>14</v>
      </c>
      <c r="M5853" s="2">
        <v>42659</v>
      </c>
      <c r="N5853" s="1" t="s">
        <v>8</v>
      </c>
      <c r="O5853" s="1" t="s">
        <v>68</v>
      </c>
    </row>
    <row r="5854" spans="1:15" ht="43.2" x14ac:dyDescent="0.3">
      <c r="A5854" s="1" t="s">
        <v>19731</v>
      </c>
      <c r="B5854" s="1" t="str">
        <f>"Helder  Marques "</f>
        <v xml:space="preserve">Helder  Marques </v>
      </c>
      <c r="C5854" s="1" t="s">
        <v>19732</v>
      </c>
      <c r="F5854" s="1" t="s">
        <v>7434</v>
      </c>
      <c r="H5854" s="1" t="s">
        <v>19733</v>
      </c>
      <c r="I5854" s="1" t="s">
        <v>5</v>
      </c>
      <c r="J5854" s="1" t="s">
        <v>67</v>
      </c>
      <c r="K5854" s="1" t="s">
        <v>14</v>
      </c>
      <c r="M5854" s="2">
        <v>42658</v>
      </c>
      <c r="N5854" s="1" t="s">
        <v>8</v>
      </c>
      <c r="O5854" s="1" t="s">
        <v>68</v>
      </c>
    </row>
    <row r="5855" spans="1:15" ht="28.8" x14ac:dyDescent="0.3">
      <c r="A5855" s="1" t="s">
        <v>19734</v>
      </c>
      <c r="B5855" s="1" t="str">
        <f>"David Rowan Williams"</f>
        <v>David Rowan Williams</v>
      </c>
      <c r="C5855" s="1" t="s">
        <v>19735</v>
      </c>
      <c r="F5855" s="1" t="s">
        <v>65</v>
      </c>
      <c r="H5855" s="1" t="s">
        <v>19736</v>
      </c>
      <c r="I5855" s="1" t="s">
        <v>5</v>
      </c>
      <c r="J5855" s="1" t="s">
        <v>6</v>
      </c>
      <c r="K5855" s="1" t="s">
        <v>34</v>
      </c>
      <c r="M5855" s="2">
        <v>42658</v>
      </c>
      <c r="N5855" s="1" t="s">
        <v>8</v>
      </c>
      <c r="O5855" s="2">
        <v>44078</v>
      </c>
    </row>
    <row r="5856" spans="1:15" ht="28.8" x14ac:dyDescent="0.3">
      <c r="A5856" s="1" t="s">
        <v>3663</v>
      </c>
      <c r="B5856" s="1" t="str">
        <f>"P &amp; H Builders"</f>
        <v>P &amp; H Builders</v>
      </c>
      <c r="C5856" s="1" t="s">
        <v>3664</v>
      </c>
      <c r="F5856" s="1" t="s">
        <v>3665</v>
      </c>
      <c r="H5856" s="1" t="s">
        <v>3666</v>
      </c>
      <c r="I5856" s="1" t="s">
        <v>19</v>
      </c>
      <c r="J5856" s="1" t="s">
        <v>6</v>
      </c>
      <c r="K5856" s="1" t="s">
        <v>24</v>
      </c>
      <c r="L5856" s="1">
        <v>9560775</v>
      </c>
      <c r="M5856" s="2">
        <v>42657</v>
      </c>
      <c r="N5856" s="1" t="s">
        <v>8</v>
      </c>
      <c r="O5856" s="2">
        <v>43752</v>
      </c>
    </row>
    <row r="5857" spans="1:15" ht="28.8" x14ac:dyDescent="0.3">
      <c r="A5857" s="1" t="s">
        <v>3667</v>
      </c>
      <c r="B5857" s="1" t="str">
        <f>"HAULWELLS TRANSPORT LIMITED"</f>
        <v>HAULWELLS TRANSPORT LIMITED</v>
      </c>
      <c r="C5857" s="1" t="s">
        <v>3668</v>
      </c>
      <c r="D5857" s="1" t="s">
        <v>746</v>
      </c>
      <c r="F5857" s="1" t="s">
        <v>1346</v>
      </c>
      <c r="H5857" s="1" t="s">
        <v>960</v>
      </c>
      <c r="I5857" s="1" t="s">
        <v>19</v>
      </c>
      <c r="J5857" s="1" t="s">
        <v>6</v>
      </c>
      <c r="K5857" s="1" t="s">
        <v>24</v>
      </c>
      <c r="L5857" s="1">
        <v>8302867</v>
      </c>
      <c r="M5857" s="2">
        <v>42657</v>
      </c>
      <c r="N5857" s="1" t="s">
        <v>8</v>
      </c>
      <c r="O5857" s="2">
        <v>43752</v>
      </c>
    </row>
    <row r="5858" spans="1:15" ht="28.8" x14ac:dyDescent="0.3">
      <c r="A5858" s="1" t="s">
        <v>3669</v>
      </c>
      <c r="B5858" s="1" t="str">
        <f>"HAULWELLS TRANSPORT LIMITED"</f>
        <v>HAULWELLS TRANSPORT LIMITED</v>
      </c>
      <c r="C5858" s="1" t="s">
        <v>3668</v>
      </c>
      <c r="D5858" s="1" t="s">
        <v>746</v>
      </c>
      <c r="F5858" s="1" t="s">
        <v>1346</v>
      </c>
      <c r="H5858" s="1" t="s">
        <v>960</v>
      </c>
      <c r="I5858" s="1" t="s">
        <v>19</v>
      </c>
      <c r="J5858" s="1" t="s">
        <v>6</v>
      </c>
      <c r="K5858" s="1" t="s">
        <v>24</v>
      </c>
      <c r="L5858" s="1">
        <v>8302867</v>
      </c>
      <c r="M5858" s="2">
        <v>42657</v>
      </c>
      <c r="N5858" s="1" t="s">
        <v>8</v>
      </c>
      <c r="O5858" s="2">
        <v>43752</v>
      </c>
    </row>
    <row r="5859" spans="1:15" ht="43.2" x14ac:dyDescent="0.3">
      <c r="A5859" s="1" t="s">
        <v>3670</v>
      </c>
      <c r="B5859" s="1" t="str">
        <f>"Hughes Specialist Transport Ltd."</f>
        <v>Hughes Specialist Transport Ltd.</v>
      </c>
      <c r="C5859" s="1" t="s">
        <v>3671</v>
      </c>
      <c r="F5859" s="1" t="s">
        <v>370</v>
      </c>
      <c r="H5859" s="1" t="s">
        <v>3672</v>
      </c>
      <c r="I5859" s="1" t="s">
        <v>19</v>
      </c>
      <c r="J5859" s="1" t="s">
        <v>67</v>
      </c>
      <c r="K5859" s="1" t="s">
        <v>24</v>
      </c>
      <c r="L5859" s="1">
        <v>4912799</v>
      </c>
      <c r="M5859" s="2">
        <v>42657</v>
      </c>
      <c r="N5859" s="1" t="s">
        <v>8</v>
      </c>
      <c r="O5859" s="1" t="s">
        <v>68</v>
      </c>
    </row>
    <row r="5860" spans="1:15" ht="43.2" x14ac:dyDescent="0.3">
      <c r="A5860" s="1" t="s">
        <v>3673</v>
      </c>
      <c r="B5860" s="1" t="str">
        <f>"gchflooring"</f>
        <v>gchflooring</v>
      </c>
      <c r="C5860" s="1" t="s">
        <v>3674</v>
      </c>
      <c r="F5860" s="1" t="s">
        <v>706</v>
      </c>
      <c r="H5860" s="1" t="s">
        <v>3675</v>
      </c>
      <c r="I5860" s="1" t="s">
        <v>19</v>
      </c>
      <c r="J5860" s="1" t="s">
        <v>67</v>
      </c>
      <c r="K5860" s="1" t="s">
        <v>24</v>
      </c>
      <c r="M5860" s="2">
        <v>42657</v>
      </c>
      <c r="N5860" s="1" t="s">
        <v>8</v>
      </c>
      <c r="O5860" s="1" t="s">
        <v>68</v>
      </c>
    </row>
    <row r="5861" spans="1:15" ht="28.8" x14ac:dyDescent="0.3">
      <c r="A5861" s="1" t="s">
        <v>3676</v>
      </c>
      <c r="B5861" s="1" t="str">
        <f>"Hughes Specialist Transport Ltd"</f>
        <v>Hughes Specialist Transport Ltd</v>
      </c>
      <c r="C5861" s="1" t="s">
        <v>3671</v>
      </c>
      <c r="F5861" s="1" t="s">
        <v>370</v>
      </c>
      <c r="H5861" s="1" t="s">
        <v>3672</v>
      </c>
      <c r="I5861" s="1" t="s">
        <v>19</v>
      </c>
      <c r="J5861" s="1" t="s">
        <v>6</v>
      </c>
      <c r="K5861" s="1" t="s">
        <v>34</v>
      </c>
      <c r="L5861" s="1">
        <v>4912799</v>
      </c>
      <c r="M5861" s="2">
        <v>42657</v>
      </c>
      <c r="N5861" s="1" t="s">
        <v>8</v>
      </c>
      <c r="O5861" s="2">
        <v>43752</v>
      </c>
    </row>
    <row r="5862" spans="1:15" ht="43.2" x14ac:dyDescent="0.3">
      <c r="A5862" s="1" t="s">
        <v>3677</v>
      </c>
      <c r="B5862" s="1" t="str">
        <f>"Transport For Life ltd"</f>
        <v>Transport For Life ltd</v>
      </c>
      <c r="C5862" s="1" t="s">
        <v>3678</v>
      </c>
      <c r="D5862" s="1" t="s">
        <v>3679</v>
      </c>
      <c r="F5862" s="1" t="s">
        <v>179</v>
      </c>
      <c r="H5862" s="1" t="s">
        <v>3680</v>
      </c>
      <c r="I5862" s="1" t="s">
        <v>19</v>
      </c>
      <c r="J5862" s="1" t="s">
        <v>67</v>
      </c>
      <c r="K5862" s="1" t="s">
        <v>14</v>
      </c>
      <c r="M5862" s="2">
        <v>42657</v>
      </c>
      <c r="N5862" s="1" t="s">
        <v>8</v>
      </c>
      <c r="O5862" s="1" t="s">
        <v>68</v>
      </c>
    </row>
    <row r="5863" spans="1:15" ht="28.8" x14ac:dyDescent="0.3">
      <c r="A5863" s="1" t="s">
        <v>3681</v>
      </c>
      <c r="B5863" s="1" t="str">
        <f>"MEM OFF ROAD LTD"</f>
        <v>MEM OFF ROAD LTD</v>
      </c>
      <c r="C5863" s="1" t="s">
        <v>3682</v>
      </c>
      <c r="D5863" s="1" t="s">
        <v>3683</v>
      </c>
      <c r="F5863" s="1" t="s">
        <v>3684</v>
      </c>
      <c r="H5863" s="1" t="s">
        <v>3685</v>
      </c>
      <c r="I5863" s="1" t="s">
        <v>19</v>
      </c>
      <c r="J5863" s="1" t="s">
        <v>6</v>
      </c>
      <c r="K5863" s="1" t="s">
        <v>34</v>
      </c>
      <c r="L5863" s="1">
        <v>4747525</v>
      </c>
      <c r="M5863" s="2">
        <v>42657</v>
      </c>
      <c r="N5863" s="1" t="s">
        <v>8</v>
      </c>
      <c r="O5863" s="2">
        <v>43752</v>
      </c>
    </row>
    <row r="5864" spans="1:15" ht="28.8" x14ac:dyDescent="0.3">
      <c r="A5864" s="1" t="s">
        <v>3686</v>
      </c>
      <c r="B5864" s="1" t="str">
        <f>"Relics"</f>
        <v>Relics</v>
      </c>
      <c r="C5864" s="1" t="s">
        <v>3687</v>
      </c>
      <c r="F5864" s="1" t="s">
        <v>1184</v>
      </c>
      <c r="H5864" s="1" t="s">
        <v>3688</v>
      </c>
      <c r="I5864" s="1" t="s">
        <v>125</v>
      </c>
      <c r="J5864" s="1" t="s">
        <v>6</v>
      </c>
      <c r="K5864" s="1" t="s">
        <v>34</v>
      </c>
      <c r="M5864" s="2">
        <v>42657</v>
      </c>
      <c r="N5864" s="1" t="s">
        <v>8</v>
      </c>
      <c r="O5864" s="2">
        <v>43752</v>
      </c>
    </row>
    <row r="5865" spans="1:15" ht="28.8" x14ac:dyDescent="0.3">
      <c r="A5865" s="1" t="s">
        <v>18921</v>
      </c>
      <c r="B5865" s="1" t="str">
        <f>"Rhian Mann"</f>
        <v>Rhian Mann</v>
      </c>
      <c r="C5865" s="1" t="s">
        <v>18922</v>
      </c>
      <c r="D5865" s="1" t="s">
        <v>6076</v>
      </c>
      <c r="F5865" s="1" t="s">
        <v>42</v>
      </c>
      <c r="H5865" s="1" t="s">
        <v>18923</v>
      </c>
      <c r="I5865" s="1" t="s">
        <v>5</v>
      </c>
      <c r="J5865" s="1" t="s">
        <v>6</v>
      </c>
      <c r="K5865" s="1" t="s">
        <v>24</v>
      </c>
      <c r="M5865" s="2">
        <v>42657</v>
      </c>
      <c r="N5865" s="1" t="s">
        <v>8</v>
      </c>
      <c r="O5865" s="2">
        <v>43752</v>
      </c>
    </row>
    <row r="5866" spans="1:15" ht="43.2" x14ac:dyDescent="0.3">
      <c r="A5866" s="1" t="s">
        <v>18924</v>
      </c>
      <c r="B5866" s="1" t="str">
        <f>"Ghulam Akhtar"</f>
        <v>Ghulam Akhtar</v>
      </c>
      <c r="C5866" s="1" t="s">
        <v>18925</v>
      </c>
      <c r="F5866" s="1" t="s">
        <v>91</v>
      </c>
      <c r="H5866" s="1" t="s">
        <v>18926</v>
      </c>
      <c r="I5866" s="1" t="s">
        <v>5</v>
      </c>
      <c r="J5866" s="1" t="s">
        <v>67</v>
      </c>
      <c r="K5866" s="1" t="s">
        <v>14</v>
      </c>
      <c r="M5866" s="2">
        <v>42657</v>
      </c>
      <c r="N5866" s="1" t="s">
        <v>8</v>
      </c>
      <c r="O5866" s="1" t="s">
        <v>68</v>
      </c>
    </row>
    <row r="5867" spans="1:15" ht="28.8" x14ac:dyDescent="0.3">
      <c r="A5867" s="1" t="s">
        <v>18927</v>
      </c>
      <c r="B5867" s="1" t="str">
        <f>"RUSSEL ANTHONY EVANS"</f>
        <v>RUSSEL ANTHONY EVANS</v>
      </c>
      <c r="C5867" s="1" t="s">
        <v>18928</v>
      </c>
      <c r="F5867" s="1" t="s">
        <v>198</v>
      </c>
      <c r="H5867" s="1" t="s">
        <v>18929</v>
      </c>
      <c r="I5867" s="1" t="s">
        <v>5</v>
      </c>
      <c r="J5867" s="1" t="s">
        <v>6</v>
      </c>
      <c r="K5867" s="1" t="s">
        <v>24</v>
      </c>
      <c r="M5867" s="2">
        <v>42657</v>
      </c>
      <c r="N5867" s="1" t="s">
        <v>8</v>
      </c>
      <c r="O5867" s="2">
        <v>43752</v>
      </c>
    </row>
    <row r="5868" spans="1:15" ht="43.2" x14ac:dyDescent="0.3">
      <c r="A5868" s="1" t="s">
        <v>18930</v>
      </c>
      <c r="B5868" s="1" t="str">
        <f>"Asam Arif"</f>
        <v>Asam Arif</v>
      </c>
      <c r="C5868" s="1" t="s">
        <v>18931</v>
      </c>
      <c r="D5868" s="1" t="s">
        <v>18932</v>
      </c>
      <c r="F5868" s="1" t="s">
        <v>123</v>
      </c>
      <c r="H5868" s="1" t="s">
        <v>18933</v>
      </c>
      <c r="I5868" s="1" t="s">
        <v>5</v>
      </c>
      <c r="J5868" s="1" t="s">
        <v>67</v>
      </c>
      <c r="K5868" s="1" t="s">
        <v>14</v>
      </c>
      <c r="M5868" s="2">
        <v>42657</v>
      </c>
      <c r="N5868" s="1" t="s">
        <v>8</v>
      </c>
      <c r="O5868" s="1" t="s">
        <v>68</v>
      </c>
    </row>
    <row r="5869" spans="1:15" ht="43.2" x14ac:dyDescent="0.3">
      <c r="A5869" s="1" t="s">
        <v>19728</v>
      </c>
      <c r="B5869" s="1" t="str">
        <f>"Helen Vaughan"</f>
        <v>Helen Vaughan</v>
      </c>
      <c r="C5869" s="1" t="s">
        <v>19729</v>
      </c>
      <c r="F5869" s="1" t="s">
        <v>1818</v>
      </c>
      <c r="H5869" s="1" t="s">
        <v>19730</v>
      </c>
      <c r="I5869" s="1" t="s">
        <v>5</v>
      </c>
      <c r="J5869" s="1" t="s">
        <v>67</v>
      </c>
      <c r="K5869" s="1" t="s">
        <v>14</v>
      </c>
      <c r="M5869" s="2">
        <v>42657</v>
      </c>
      <c r="N5869" s="1" t="s">
        <v>8</v>
      </c>
      <c r="O5869" s="1" t="s">
        <v>68</v>
      </c>
    </row>
    <row r="5870" spans="1:15" ht="43.2" x14ac:dyDescent="0.3">
      <c r="A5870" s="1" t="s">
        <v>3653</v>
      </c>
      <c r="B5870" s="1" t="str">
        <f>"RVW Pugh Ltd"</f>
        <v>RVW Pugh Ltd</v>
      </c>
      <c r="C5870" s="1" t="s">
        <v>3654</v>
      </c>
      <c r="D5870" s="1" t="s">
        <v>3655</v>
      </c>
      <c r="F5870" s="1" t="s">
        <v>162</v>
      </c>
      <c r="H5870" s="1" t="s">
        <v>3656</v>
      </c>
      <c r="I5870" s="1" t="s">
        <v>19</v>
      </c>
      <c r="J5870" s="1" t="s">
        <v>67</v>
      </c>
      <c r="K5870" s="1" t="s">
        <v>14</v>
      </c>
      <c r="M5870" s="2">
        <v>42656</v>
      </c>
      <c r="N5870" s="1" t="s">
        <v>8</v>
      </c>
      <c r="O5870" s="1" t="s">
        <v>68</v>
      </c>
    </row>
    <row r="5871" spans="1:15" ht="28.8" x14ac:dyDescent="0.3">
      <c r="A5871" s="1" t="s">
        <v>3657</v>
      </c>
      <c r="B5871" s="1" t="str">
        <f>"Alfie Price - Gardening R Us"</f>
        <v>Alfie Price - Gardening R Us</v>
      </c>
      <c r="C5871" s="1" t="s">
        <v>3658</v>
      </c>
      <c r="F5871" s="1" t="s">
        <v>3337</v>
      </c>
      <c r="H5871" s="1" t="s">
        <v>3659</v>
      </c>
      <c r="I5871" s="1" t="s">
        <v>125</v>
      </c>
      <c r="J5871" s="1" t="s">
        <v>6</v>
      </c>
      <c r="K5871" s="1" t="s">
        <v>24</v>
      </c>
      <c r="M5871" s="2">
        <v>42656</v>
      </c>
      <c r="N5871" s="1" t="s">
        <v>8</v>
      </c>
      <c r="O5871" s="2">
        <v>43751</v>
      </c>
    </row>
    <row r="5872" spans="1:15" ht="28.8" x14ac:dyDescent="0.3">
      <c r="A5872" s="1" t="s">
        <v>3660</v>
      </c>
      <c r="B5872" s="1" t="str">
        <f>"D Lewis Transport"</f>
        <v>D Lewis Transport</v>
      </c>
      <c r="C5872" s="1" t="s">
        <v>3661</v>
      </c>
      <c r="D5872" s="1" t="s">
        <v>2751</v>
      </c>
      <c r="F5872" s="1" t="s">
        <v>710</v>
      </c>
      <c r="H5872" s="1" t="s">
        <v>3662</v>
      </c>
      <c r="I5872" s="1" t="s">
        <v>125</v>
      </c>
      <c r="J5872" s="1" t="s">
        <v>6</v>
      </c>
      <c r="K5872" s="1" t="s">
        <v>34</v>
      </c>
      <c r="M5872" s="2">
        <v>42656</v>
      </c>
      <c r="N5872" s="1" t="s">
        <v>8</v>
      </c>
      <c r="O5872" s="2">
        <v>43751</v>
      </c>
    </row>
    <row r="5873" spans="1:15" ht="28.8" x14ac:dyDescent="0.3">
      <c r="A5873" s="1" t="s">
        <v>18398</v>
      </c>
      <c r="B5873" s="1" t="str">
        <f>"Halifax home solutions"</f>
        <v>Halifax home solutions</v>
      </c>
      <c r="C5873" s="1" t="s">
        <v>18399</v>
      </c>
      <c r="F5873" s="1" t="s">
        <v>18400</v>
      </c>
      <c r="H5873" s="1" t="s">
        <v>18401</v>
      </c>
      <c r="I5873" s="1" t="s">
        <v>125</v>
      </c>
      <c r="J5873" s="1" t="s">
        <v>6</v>
      </c>
      <c r="K5873" s="1" t="s">
        <v>34</v>
      </c>
      <c r="M5873" s="2">
        <v>42656</v>
      </c>
      <c r="N5873" s="1" t="s">
        <v>8</v>
      </c>
      <c r="O5873" s="2">
        <v>43750</v>
      </c>
    </row>
    <row r="5874" spans="1:15" ht="43.2" x14ac:dyDescent="0.3">
      <c r="A5874" s="1" t="s">
        <v>18402</v>
      </c>
      <c r="B5874" s="1" t="str">
        <f>"ELECTROIMPACT UK LTD"</f>
        <v>ELECTROIMPACT UK LTD</v>
      </c>
      <c r="C5874" s="1" t="s">
        <v>18403</v>
      </c>
      <c r="D5874" s="1" t="s">
        <v>14407</v>
      </c>
      <c r="F5874" s="1" t="s">
        <v>1346</v>
      </c>
      <c r="H5874" s="1" t="s">
        <v>18404</v>
      </c>
      <c r="I5874" s="1" t="s">
        <v>19</v>
      </c>
      <c r="J5874" s="1" t="s">
        <v>6</v>
      </c>
      <c r="K5874" s="1" t="s">
        <v>34</v>
      </c>
      <c r="L5874" s="1">
        <v>4008853</v>
      </c>
      <c r="M5874" s="2">
        <v>42656</v>
      </c>
      <c r="N5874" s="1" t="s">
        <v>8</v>
      </c>
      <c r="O5874" s="2">
        <v>43751</v>
      </c>
    </row>
    <row r="5875" spans="1:15" ht="28.8" x14ac:dyDescent="0.3">
      <c r="A5875" s="1" t="s">
        <v>18405</v>
      </c>
      <c r="B5875" s="1" t="str">
        <f>"Roland Young Ltd."</f>
        <v>Roland Young Ltd.</v>
      </c>
      <c r="C5875" s="1" t="s">
        <v>18406</v>
      </c>
      <c r="F5875" s="1" t="s">
        <v>1260</v>
      </c>
      <c r="H5875" s="1" t="s">
        <v>18407</v>
      </c>
      <c r="I5875" s="1" t="s">
        <v>19</v>
      </c>
      <c r="J5875" s="1" t="s">
        <v>6</v>
      </c>
      <c r="K5875" s="1" t="s">
        <v>24</v>
      </c>
      <c r="L5875" s="1">
        <v>2133551</v>
      </c>
      <c r="M5875" s="2">
        <v>42656</v>
      </c>
      <c r="N5875" s="1" t="s">
        <v>8</v>
      </c>
      <c r="O5875" s="2">
        <v>43756</v>
      </c>
    </row>
    <row r="5876" spans="1:15" ht="43.2" x14ac:dyDescent="0.3">
      <c r="A5876" s="1" t="s">
        <v>29986</v>
      </c>
      <c r="B5876" s="1" t="str">
        <f>"David Vaughan"</f>
        <v>David Vaughan</v>
      </c>
      <c r="C5876" s="1" t="s">
        <v>18942</v>
      </c>
      <c r="F5876" s="1" t="s">
        <v>1818</v>
      </c>
      <c r="H5876" s="1" t="s">
        <v>18943</v>
      </c>
      <c r="I5876" s="1" t="s">
        <v>5</v>
      </c>
      <c r="J5876" s="1" t="s">
        <v>67</v>
      </c>
      <c r="K5876" s="1" t="s">
        <v>14</v>
      </c>
      <c r="M5876" s="2">
        <v>42656</v>
      </c>
      <c r="N5876" s="1" t="s">
        <v>8</v>
      </c>
      <c r="O5876" s="1" t="s">
        <v>68</v>
      </c>
    </row>
    <row r="5877" spans="1:15" ht="43.2" x14ac:dyDescent="0.3">
      <c r="A5877" s="1" t="s">
        <v>29987</v>
      </c>
      <c r="B5877" s="1" t="str">
        <f>"Michael Murphy Michael Anthony Murphy"</f>
        <v>Michael Murphy Michael Anthony Murphy</v>
      </c>
      <c r="C5877" s="1" t="s">
        <v>29988</v>
      </c>
      <c r="F5877" s="1" t="s">
        <v>42</v>
      </c>
      <c r="H5877" s="1" t="s">
        <v>22117</v>
      </c>
      <c r="I5877" s="1" t="s">
        <v>5</v>
      </c>
      <c r="J5877" s="1" t="s">
        <v>6</v>
      </c>
      <c r="K5877" s="1" t="s">
        <v>24</v>
      </c>
      <c r="M5877" s="2">
        <v>42656</v>
      </c>
      <c r="N5877" s="1" t="s">
        <v>8</v>
      </c>
      <c r="O5877" s="2">
        <v>43751</v>
      </c>
    </row>
    <row r="5878" spans="1:15" ht="43.2" x14ac:dyDescent="0.3">
      <c r="A5878" s="1" t="s">
        <v>29989</v>
      </c>
      <c r="B5878" s="1" t="str">
        <f>"James Boardman"</f>
        <v>James Boardman</v>
      </c>
      <c r="C5878" s="1" t="s">
        <v>2185</v>
      </c>
      <c r="D5878" s="1" t="s">
        <v>2186</v>
      </c>
      <c r="E5878" s="1" t="s">
        <v>2187</v>
      </c>
      <c r="F5878" s="1" t="s">
        <v>198</v>
      </c>
      <c r="H5878" s="1" t="s">
        <v>2188</v>
      </c>
      <c r="I5878" s="1" t="s">
        <v>5</v>
      </c>
      <c r="J5878" s="1" t="s">
        <v>67</v>
      </c>
      <c r="K5878" s="1" t="s">
        <v>14</v>
      </c>
      <c r="M5878" s="2">
        <v>42656</v>
      </c>
      <c r="N5878" s="1" t="s">
        <v>8</v>
      </c>
      <c r="O5878" s="1" t="s">
        <v>68</v>
      </c>
    </row>
    <row r="5879" spans="1:15" ht="28.8" x14ac:dyDescent="0.3">
      <c r="A5879" s="1" t="s">
        <v>18375</v>
      </c>
      <c r="B5879" s="1" t="str">
        <f>"A P Waters Building Contractors Ltd."</f>
        <v>A P Waters Building Contractors Ltd.</v>
      </c>
      <c r="C5879" s="1" t="s">
        <v>18376</v>
      </c>
      <c r="F5879" s="1" t="s">
        <v>1175</v>
      </c>
      <c r="H5879" s="1" t="s">
        <v>18377</v>
      </c>
      <c r="I5879" s="1" t="s">
        <v>19</v>
      </c>
      <c r="J5879" s="1" t="s">
        <v>6</v>
      </c>
      <c r="K5879" s="1" t="s">
        <v>34</v>
      </c>
      <c r="L5879" s="1">
        <v>6186817</v>
      </c>
      <c r="M5879" s="2">
        <v>42655</v>
      </c>
      <c r="N5879" s="1" t="s">
        <v>8</v>
      </c>
      <c r="O5879" s="2">
        <v>43750</v>
      </c>
    </row>
    <row r="5880" spans="1:15" ht="28.8" x14ac:dyDescent="0.3">
      <c r="A5880" s="1" t="s">
        <v>18378</v>
      </c>
      <c r="B5880" s="1" t="str">
        <f>"TRUE WASHROOMS LTD"</f>
        <v>TRUE WASHROOMS LTD</v>
      </c>
      <c r="C5880" s="1" t="s">
        <v>11932</v>
      </c>
      <c r="F5880" s="1" t="s">
        <v>1556</v>
      </c>
      <c r="H5880" s="1" t="s">
        <v>11933</v>
      </c>
      <c r="I5880" s="1" t="s">
        <v>19</v>
      </c>
      <c r="J5880" s="1" t="s">
        <v>6</v>
      </c>
      <c r="K5880" s="1" t="s">
        <v>24</v>
      </c>
      <c r="L5880" s="1">
        <v>7378857</v>
      </c>
      <c r="M5880" s="2">
        <v>42655</v>
      </c>
      <c r="N5880" s="1" t="s">
        <v>8</v>
      </c>
      <c r="O5880" s="2">
        <v>43750</v>
      </c>
    </row>
    <row r="5881" spans="1:15" x14ac:dyDescent="0.3">
      <c r="A5881" s="1" t="s">
        <v>18379</v>
      </c>
      <c r="B5881" s="1" t="str">
        <f>"K and M roofing "</f>
        <v xml:space="preserve">K and M roofing </v>
      </c>
      <c r="C5881" s="1" t="s">
        <v>18380</v>
      </c>
      <c r="F5881" s="1" t="s">
        <v>27</v>
      </c>
      <c r="H5881" s="1" t="s">
        <v>18381</v>
      </c>
      <c r="I5881" s="1" t="s">
        <v>125</v>
      </c>
      <c r="J5881" s="1" t="s">
        <v>6</v>
      </c>
      <c r="K5881" s="1" t="s">
        <v>24</v>
      </c>
      <c r="M5881" s="2">
        <v>42655</v>
      </c>
      <c r="N5881" s="1" t="s">
        <v>8</v>
      </c>
      <c r="O5881" s="2">
        <v>43750</v>
      </c>
    </row>
    <row r="5882" spans="1:15" ht="43.2" x14ac:dyDescent="0.3">
      <c r="A5882" s="1" t="s">
        <v>18382</v>
      </c>
      <c r="B5882" s="1" t="str">
        <f>"Gem Discounts Ltd"</f>
        <v>Gem Discounts Ltd</v>
      </c>
      <c r="C5882" s="1" t="s">
        <v>2276</v>
      </c>
      <c r="F5882" s="1" t="s">
        <v>2277</v>
      </c>
      <c r="H5882" s="1" t="s">
        <v>2278</v>
      </c>
      <c r="I5882" s="1" t="s">
        <v>19</v>
      </c>
      <c r="J5882" s="1" t="s">
        <v>67</v>
      </c>
      <c r="K5882" s="1" t="s">
        <v>14</v>
      </c>
      <c r="M5882" s="2">
        <v>42655</v>
      </c>
      <c r="N5882" s="1" t="s">
        <v>8</v>
      </c>
      <c r="O5882" s="1" t="s">
        <v>68</v>
      </c>
    </row>
    <row r="5883" spans="1:15" ht="28.8" x14ac:dyDescent="0.3">
      <c r="A5883" s="1" t="s">
        <v>18383</v>
      </c>
      <c r="B5883" s="1" t="str">
        <f>"Peter Sheppard Electrical Services "</f>
        <v xml:space="preserve">Peter Sheppard Electrical Services </v>
      </c>
      <c r="C5883" s="1" t="s">
        <v>18384</v>
      </c>
      <c r="F5883" s="1" t="s">
        <v>416</v>
      </c>
      <c r="H5883" s="1" t="s">
        <v>18385</v>
      </c>
      <c r="I5883" s="1" t="s">
        <v>19</v>
      </c>
      <c r="J5883" s="1" t="s">
        <v>6</v>
      </c>
      <c r="K5883" s="1" t="s">
        <v>24</v>
      </c>
      <c r="L5883" s="1">
        <v>8642924</v>
      </c>
      <c r="M5883" s="2">
        <v>42655</v>
      </c>
      <c r="N5883" s="1" t="s">
        <v>8</v>
      </c>
      <c r="O5883" s="2">
        <v>43750</v>
      </c>
    </row>
    <row r="5884" spans="1:15" ht="28.8" x14ac:dyDescent="0.3">
      <c r="A5884" s="1" t="s">
        <v>18386</v>
      </c>
      <c r="B5884" s="1" t="str">
        <f>"D V Containers Ltd"</f>
        <v>D V Containers Ltd</v>
      </c>
      <c r="C5884" s="1" t="s">
        <v>18387</v>
      </c>
      <c r="F5884" s="1" t="s">
        <v>198</v>
      </c>
      <c r="H5884" s="1" t="s">
        <v>18388</v>
      </c>
      <c r="I5884" s="1" t="s">
        <v>19</v>
      </c>
      <c r="J5884" s="1" t="s">
        <v>6</v>
      </c>
      <c r="K5884" s="1" t="s">
        <v>34</v>
      </c>
      <c r="L5884" s="1">
        <v>8446805</v>
      </c>
      <c r="M5884" s="2">
        <v>42655</v>
      </c>
      <c r="N5884" s="1" t="s">
        <v>8</v>
      </c>
      <c r="O5884" s="2">
        <v>43750</v>
      </c>
    </row>
    <row r="5885" spans="1:15" ht="28.8" x14ac:dyDescent="0.3">
      <c r="A5885" s="1" t="s">
        <v>18389</v>
      </c>
      <c r="B5885" s="1" t="str">
        <f>"YOUR BUILDING EXPERT LTD"</f>
        <v>YOUR BUILDING EXPERT LTD</v>
      </c>
      <c r="C5885" s="1" t="s">
        <v>18390</v>
      </c>
      <c r="F5885" s="1" t="s">
        <v>65</v>
      </c>
      <c r="H5885" s="1" t="s">
        <v>18391</v>
      </c>
      <c r="I5885" s="1" t="s">
        <v>19</v>
      </c>
      <c r="J5885" s="1" t="s">
        <v>6</v>
      </c>
      <c r="K5885" s="1" t="s">
        <v>24</v>
      </c>
      <c r="L5885" s="1">
        <v>6950766</v>
      </c>
      <c r="M5885" s="2">
        <v>42655</v>
      </c>
      <c r="N5885" s="1" t="s">
        <v>8</v>
      </c>
      <c r="O5885" s="2">
        <v>43750</v>
      </c>
    </row>
    <row r="5886" spans="1:15" ht="28.8" x14ac:dyDescent="0.3">
      <c r="A5886" s="1" t="s">
        <v>18392</v>
      </c>
      <c r="B5886" s="1" t="str">
        <f>"S G  Partnership Ltd."</f>
        <v>S G  Partnership Ltd.</v>
      </c>
      <c r="C5886" s="1" t="s">
        <v>18393</v>
      </c>
      <c r="F5886" s="1" t="s">
        <v>103</v>
      </c>
      <c r="H5886" s="1" t="s">
        <v>18394</v>
      </c>
      <c r="I5886" s="1" t="s">
        <v>19</v>
      </c>
      <c r="J5886" s="1" t="s">
        <v>6</v>
      </c>
      <c r="K5886" s="1" t="s">
        <v>24</v>
      </c>
      <c r="L5886" s="1">
        <v>5553611</v>
      </c>
      <c r="M5886" s="2">
        <v>42655</v>
      </c>
      <c r="N5886" s="1" t="s">
        <v>8</v>
      </c>
      <c r="O5886" s="2">
        <v>43750</v>
      </c>
    </row>
    <row r="5887" spans="1:15" x14ac:dyDescent="0.3">
      <c r="A5887" s="1" t="s">
        <v>18395</v>
      </c>
      <c r="B5887" s="1" t="str">
        <f>"J &amp; H FLOORING LTD"</f>
        <v>J &amp; H FLOORING LTD</v>
      </c>
      <c r="C5887" s="1" t="s">
        <v>18396</v>
      </c>
      <c r="F5887" s="1" t="s">
        <v>380</v>
      </c>
      <c r="H5887" s="1" t="s">
        <v>18397</v>
      </c>
      <c r="I5887" s="1" t="s">
        <v>19</v>
      </c>
      <c r="J5887" s="1" t="s">
        <v>6</v>
      </c>
      <c r="K5887" s="1" t="s">
        <v>24</v>
      </c>
      <c r="L5887" s="1">
        <v>6442395</v>
      </c>
      <c r="M5887" s="2">
        <v>42655</v>
      </c>
      <c r="N5887" s="1" t="s">
        <v>8</v>
      </c>
      <c r="O5887" s="2">
        <v>43750</v>
      </c>
    </row>
    <row r="5888" spans="1:15" ht="43.2" x14ac:dyDescent="0.3">
      <c r="A5888" s="1" t="s">
        <v>29978</v>
      </c>
      <c r="B5888" s="1" t="str">
        <f>"Kieran Cheverton"</f>
        <v>Kieran Cheverton</v>
      </c>
      <c r="C5888" s="1" t="s">
        <v>29979</v>
      </c>
      <c r="F5888" s="1" t="s">
        <v>3337</v>
      </c>
      <c r="H5888" s="1" t="s">
        <v>3338</v>
      </c>
      <c r="I5888" s="1" t="s">
        <v>5</v>
      </c>
      <c r="J5888" s="1" t="s">
        <v>67</v>
      </c>
      <c r="K5888" s="1" t="s">
        <v>14</v>
      </c>
      <c r="M5888" s="2">
        <v>42655</v>
      </c>
      <c r="N5888" s="1" t="s">
        <v>8</v>
      </c>
      <c r="O5888" s="1" t="s">
        <v>68</v>
      </c>
    </row>
    <row r="5889" spans="1:15" ht="43.2" x14ac:dyDescent="0.3">
      <c r="A5889" s="1" t="s">
        <v>29980</v>
      </c>
      <c r="B5889" s="1" t="str">
        <f>"Thomas Llewelyn Williams"</f>
        <v>Thomas Llewelyn Williams</v>
      </c>
      <c r="C5889" s="1" t="s">
        <v>29981</v>
      </c>
      <c r="F5889" s="1" t="s">
        <v>678</v>
      </c>
      <c r="H5889" s="1" t="s">
        <v>29982</v>
      </c>
      <c r="I5889" s="1" t="s">
        <v>5</v>
      </c>
      <c r="J5889" s="1" t="s">
        <v>67</v>
      </c>
      <c r="K5889" s="1" t="s">
        <v>14</v>
      </c>
      <c r="M5889" s="2">
        <v>42655</v>
      </c>
      <c r="N5889" s="1" t="s">
        <v>8</v>
      </c>
      <c r="O5889" s="1" t="s">
        <v>68</v>
      </c>
    </row>
    <row r="5890" spans="1:15" x14ac:dyDescent="0.3">
      <c r="A5890" s="1" t="s">
        <v>29983</v>
      </c>
      <c r="B5890" s="1" t="str">
        <f>"JAMES HILL JAMES HILL"</f>
        <v>JAMES HILL JAMES HILL</v>
      </c>
      <c r="C5890" s="1" t="s">
        <v>29984</v>
      </c>
      <c r="F5890" s="1" t="s">
        <v>1351</v>
      </c>
      <c r="H5890" s="1" t="s">
        <v>29985</v>
      </c>
      <c r="I5890" s="1" t="s">
        <v>5</v>
      </c>
      <c r="J5890" s="1" t="s">
        <v>6</v>
      </c>
      <c r="K5890" s="1" t="s">
        <v>24</v>
      </c>
      <c r="M5890" s="2">
        <v>42655</v>
      </c>
      <c r="N5890" s="1" t="s">
        <v>8</v>
      </c>
      <c r="O5890" s="2">
        <v>43750</v>
      </c>
    </row>
    <row r="5891" spans="1:15" ht="28.8" x14ac:dyDescent="0.3">
      <c r="A5891" s="1" t="s">
        <v>16457</v>
      </c>
      <c r="B5891" s="1" t="str">
        <f>"R&amp;S Construction Ltd"</f>
        <v>R&amp;S Construction Ltd</v>
      </c>
      <c r="C5891" s="1" t="s">
        <v>8024</v>
      </c>
      <c r="D5891" s="1" t="s">
        <v>8025</v>
      </c>
      <c r="F5891" s="1" t="s">
        <v>198</v>
      </c>
      <c r="H5891" s="1" t="s">
        <v>8026</v>
      </c>
      <c r="I5891" s="1" t="s">
        <v>19</v>
      </c>
      <c r="J5891" s="1" t="s">
        <v>6</v>
      </c>
      <c r="K5891" s="1" t="s">
        <v>34</v>
      </c>
      <c r="L5891" s="1">
        <v>4080477</v>
      </c>
      <c r="M5891" s="2">
        <v>42654</v>
      </c>
      <c r="N5891" s="1" t="s">
        <v>8</v>
      </c>
      <c r="O5891" s="2">
        <v>43749</v>
      </c>
    </row>
    <row r="5892" spans="1:15" ht="28.8" x14ac:dyDescent="0.3">
      <c r="A5892" s="1" t="s">
        <v>16458</v>
      </c>
      <c r="B5892" s="1" t="str">
        <f>"Cool Heat Engineering LTD"</f>
        <v>Cool Heat Engineering LTD</v>
      </c>
      <c r="C5892" s="1" t="s">
        <v>16459</v>
      </c>
      <c r="F5892" s="1" t="s">
        <v>621</v>
      </c>
      <c r="H5892" s="1" t="s">
        <v>16460</v>
      </c>
      <c r="I5892" s="1" t="s">
        <v>19</v>
      </c>
      <c r="J5892" s="1" t="s">
        <v>6</v>
      </c>
      <c r="K5892" s="1" t="s">
        <v>24</v>
      </c>
      <c r="L5892" s="1">
        <v>8571097</v>
      </c>
      <c r="M5892" s="2">
        <v>42654</v>
      </c>
      <c r="N5892" s="1" t="s">
        <v>8</v>
      </c>
      <c r="O5892" s="2">
        <v>43749</v>
      </c>
    </row>
    <row r="5893" spans="1:15" ht="28.8" x14ac:dyDescent="0.3">
      <c r="A5893" s="1" t="s">
        <v>16461</v>
      </c>
      <c r="B5893" s="1" t="str">
        <f>"CRISTAL WASHROOM SERVICES LTD"</f>
        <v>CRISTAL WASHROOM SERVICES LTD</v>
      </c>
      <c r="C5893" s="1" t="s">
        <v>16462</v>
      </c>
      <c r="F5893" s="1" t="s">
        <v>873</v>
      </c>
      <c r="H5893" s="1" t="s">
        <v>16463</v>
      </c>
      <c r="I5893" s="1" t="s">
        <v>19</v>
      </c>
      <c r="J5893" s="1" t="s">
        <v>6</v>
      </c>
      <c r="K5893" s="1" t="s">
        <v>34</v>
      </c>
      <c r="L5893" s="1">
        <v>7359949</v>
      </c>
      <c r="M5893" s="2">
        <v>42654</v>
      </c>
      <c r="N5893" s="1" t="s">
        <v>8</v>
      </c>
      <c r="O5893" s="2">
        <v>43749</v>
      </c>
    </row>
    <row r="5894" spans="1:15" ht="43.2" x14ac:dyDescent="0.3">
      <c r="A5894" s="1" t="s">
        <v>16464</v>
      </c>
      <c r="B5894" s="1" t="str">
        <f>"Lewis Forecourts LTD"</f>
        <v>Lewis Forecourts LTD</v>
      </c>
      <c r="C5894" s="1" t="s">
        <v>16465</v>
      </c>
      <c r="F5894" s="1" t="s">
        <v>5534</v>
      </c>
      <c r="H5894" s="1" t="s">
        <v>16466</v>
      </c>
      <c r="I5894" s="1" t="s">
        <v>19</v>
      </c>
      <c r="J5894" s="1" t="s">
        <v>67</v>
      </c>
      <c r="K5894" s="1" t="s">
        <v>14</v>
      </c>
      <c r="M5894" s="2">
        <v>42654</v>
      </c>
      <c r="N5894" s="1" t="s">
        <v>8</v>
      </c>
      <c r="O5894" s="1" t="s">
        <v>68</v>
      </c>
    </row>
    <row r="5895" spans="1:15" ht="43.2" x14ac:dyDescent="0.3">
      <c r="A5895" s="1" t="s">
        <v>16467</v>
      </c>
      <c r="B5895" s="1" t="str">
        <f>"All Moves Uk Ltd"</f>
        <v>All Moves Uk Ltd</v>
      </c>
      <c r="C5895" s="1" t="s">
        <v>16468</v>
      </c>
      <c r="D5895" s="1" t="s">
        <v>16469</v>
      </c>
      <c r="F5895" s="1" t="s">
        <v>3472</v>
      </c>
      <c r="H5895" s="1" t="s">
        <v>16470</v>
      </c>
      <c r="I5895" s="1" t="s">
        <v>19</v>
      </c>
      <c r="J5895" s="1" t="s">
        <v>67</v>
      </c>
      <c r="K5895" s="1" t="s">
        <v>14</v>
      </c>
      <c r="M5895" s="2">
        <v>42654</v>
      </c>
      <c r="N5895" s="1" t="s">
        <v>8</v>
      </c>
      <c r="O5895" s="1" t="s">
        <v>68</v>
      </c>
    </row>
    <row r="5896" spans="1:15" ht="28.8" x14ac:dyDescent="0.3">
      <c r="A5896" s="1" t="s">
        <v>16471</v>
      </c>
      <c r="B5896" s="1" t="str">
        <f>"All Moves Uk Ltd "</f>
        <v xml:space="preserve">All Moves Uk Ltd </v>
      </c>
      <c r="C5896" s="1" t="s">
        <v>16468</v>
      </c>
      <c r="D5896" s="1" t="s">
        <v>16469</v>
      </c>
      <c r="F5896" s="1" t="s">
        <v>3472</v>
      </c>
      <c r="H5896" s="1" t="s">
        <v>16470</v>
      </c>
      <c r="I5896" s="1" t="s">
        <v>19</v>
      </c>
      <c r="J5896" s="1" t="s">
        <v>6</v>
      </c>
      <c r="K5896" s="1" t="s">
        <v>24</v>
      </c>
      <c r="L5896" s="1">
        <v>6720415</v>
      </c>
      <c r="M5896" s="2">
        <v>42654</v>
      </c>
      <c r="N5896" s="1" t="s">
        <v>8</v>
      </c>
      <c r="O5896" s="2">
        <v>43749</v>
      </c>
    </row>
    <row r="5897" spans="1:15" ht="28.8" x14ac:dyDescent="0.3">
      <c r="A5897" s="1" t="s">
        <v>16472</v>
      </c>
      <c r="B5897" s="1" t="str">
        <f>"CAWM ( Waste Management) Ltd"</f>
        <v>CAWM ( Waste Management) Ltd</v>
      </c>
      <c r="C5897" s="1" t="s">
        <v>16473</v>
      </c>
      <c r="F5897" s="1" t="s">
        <v>27</v>
      </c>
      <c r="H5897" s="1" t="s">
        <v>28</v>
      </c>
      <c r="I5897" s="1" t="s">
        <v>19</v>
      </c>
      <c r="J5897" s="1" t="s">
        <v>6</v>
      </c>
      <c r="K5897" s="1" t="s">
        <v>34</v>
      </c>
      <c r="L5897" s="1">
        <v>8458023</v>
      </c>
      <c r="M5897" s="2">
        <v>42654</v>
      </c>
      <c r="N5897" s="1" t="s">
        <v>8</v>
      </c>
      <c r="O5897" s="2">
        <v>43749</v>
      </c>
    </row>
    <row r="5898" spans="1:15" ht="28.8" x14ac:dyDescent="0.3">
      <c r="A5898" s="1" t="s">
        <v>17447</v>
      </c>
      <c r="B5898" s="1" t="str">
        <f>"G &amp; JA Jones"</f>
        <v>G &amp; JA Jones</v>
      </c>
      <c r="C5898" s="1" t="s">
        <v>17448</v>
      </c>
      <c r="D5898" s="1" t="s">
        <v>3161</v>
      </c>
      <c r="F5898" s="1" t="s">
        <v>17449</v>
      </c>
      <c r="H5898" s="1" t="s">
        <v>17450</v>
      </c>
      <c r="I5898" s="1" t="s">
        <v>125</v>
      </c>
      <c r="J5898" s="1" t="s">
        <v>6</v>
      </c>
      <c r="K5898" s="1" t="s">
        <v>34</v>
      </c>
      <c r="M5898" s="2">
        <v>42654</v>
      </c>
      <c r="N5898" s="1" t="s">
        <v>8</v>
      </c>
      <c r="O5898" s="2">
        <v>43749</v>
      </c>
    </row>
    <row r="5899" spans="1:15" ht="43.2" x14ac:dyDescent="0.3">
      <c r="A5899" s="1" t="s">
        <v>17451</v>
      </c>
      <c r="B5899" s="1" t="str">
        <f>"Caring Practice North West Ltd"</f>
        <v>Caring Practice North West Ltd</v>
      </c>
      <c r="C5899" s="1" t="s">
        <v>17452</v>
      </c>
      <c r="F5899" s="1" t="s">
        <v>17453</v>
      </c>
      <c r="H5899" s="1" t="s">
        <v>17454</v>
      </c>
      <c r="I5899" s="1" t="s">
        <v>19</v>
      </c>
      <c r="J5899" s="1" t="s">
        <v>67</v>
      </c>
      <c r="K5899" s="1" t="s">
        <v>14</v>
      </c>
      <c r="M5899" s="2">
        <v>42654</v>
      </c>
      <c r="N5899" s="1" t="s">
        <v>8</v>
      </c>
      <c r="O5899" s="1" t="s">
        <v>68</v>
      </c>
    </row>
    <row r="5900" spans="1:15" ht="28.8" x14ac:dyDescent="0.3">
      <c r="A5900" s="1" t="s">
        <v>17455</v>
      </c>
      <c r="B5900" s="1" t="str">
        <f>"Leekes Ltd."</f>
        <v>Leekes Ltd.</v>
      </c>
      <c r="C5900" s="1" t="s">
        <v>17456</v>
      </c>
      <c r="F5900" s="1" t="s">
        <v>873</v>
      </c>
      <c r="H5900" s="1" t="s">
        <v>10706</v>
      </c>
      <c r="I5900" s="1" t="s">
        <v>19</v>
      </c>
      <c r="J5900" s="1" t="s">
        <v>6</v>
      </c>
      <c r="K5900" s="1" t="s">
        <v>24</v>
      </c>
      <c r="L5900" s="1">
        <v>563751</v>
      </c>
      <c r="M5900" s="2">
        <v>42654</v>
      </c>
      <c r="N5900" s="1" t="s">
        <v>8</v>
      </c>
      <c r="O5900" s="2">
        <v>43882</v>
      </c>
    </row>
    <row r="5901" spans="1:15" ht="28.8" x14ac:dyDescent="0.3">
      <c r="A5901" s="1" t="s">
        <v>17457</v>
      </c>
      <c r="B5901" s="1" t="str">
        <f>"Snowdonia National Park Authority"</f>
        <v>Snowdonia National Park Authority</v>
      </c>
      <c r="C5901" s="1" t="s">
        <v>17458</v>
      </c>
      <c r="F5901" s="1" t="s">
        <v>4033</v>
      </c>
      <c r="H5901" s="1" t="s">
        <v>17459</v>
      </c>
      <c r="I5901" s="1" t="s">
        <v>188</v>
      </c>
      <c r="J5901" s="1" t="s">
        <v>6</v>
      </c>
      <c r="K5901" s="1" t="s">
        <v>34</v>
      </c>
      <c r="M5901" s="2">
        <v>42654</v>
      </c>
      <c r="N5901" s="1" t="s">
        <v>8</v>
      </c>
      <c r="O5901" s="2">
        <v>43794</v>
      </c>
    </row>
    <row r="5902" spans="1:15" ht="43.2" x14ac:dyDescent="0.3">
      <c r="A5902" s="1" t="s">
        <v>17460</v>
      </c>
      <c r="B5902" s="1" t="str">
        <f>"H. &amp; H. CONSTRUCTION (NEATH) LTD"</f>
        <v>H. &amp; H. CONSTRUCTION (NEATH) LTD</v>
      </c>
      <c r="C5902" s="1" t="s">
        <v>17461</v>
      </c>
      <c r="D5902" s="1" t="s">
        <v>17462</v>
      </c>
      <c r="F5902" s="1" t="s">
        <v>17463</v>
      </c>
      <c r="H5902" s="1" t="s">
        <v>17464</v>
      </c>
      <c r="I5902" s="1" t="s">
        <v>19</v>
      </c>
      <c r="J5902" s="1" t="s">
        <v>6</v>
      </c>
      <c r="K5902" s="1" t="s">
        <v>24</v>
      </c>
      <c r="L5902" s="1">
        <v>1511205</v>
      </c>
      <c r="M5902" s="2">
        <v>42654</v>
      </c>
      <c r="N5902" s="1" t="s">
        <v>8</v>
      </c>
      <c r="O5902" s="2">
        <v>43749</v>
      </c>
    </row>
    <row r="5903" spans="1:15" x14ac:dyDescent="0.3">
      <c r="A5903" s="1" t="s">
        <v>28510</v>
      </c>
      <c r="B5903" s="1" t="str">
        <f>"JOHN JONES J.G.JONES"</f>
        <v>JOHN JONES J.G.JONES</v>
      </c>
      <c r="C5903" s="1" t="s">
        <v>28511</v>
      </c>
      <c r="F5903" s="1" t="s">
        <v>2281</v>
      </c>
      <c r="H5903" s="1" t="s">
        <v>28512</v>
      </c>
      <c r="I5903" s="1" t="s">
        <v>5</v>
      </c>
      <c r="J5903" s="1" t="s">
        <v>6</v>
      </c>
      <c r="K5903" s="1" t="s">
        <v>24</v>
      </c>
      <c r="M5903" s="2">
        <v>42654</v>
      </c>
      <c r="N5903" s="1" t="s">
        <v>8</v>
      </c>
      <c r="O5903" s="2">
        <v>43749</v>
      </c>
    </row>
    <row r="5904" spans="1:15" ht="28.8" x14ac:dyDescent="0.3">
      <c r="A5904" s="1" t="s">
        <v>28513</v>
      </c>
      <c r="B5904" s="1" t="str">
        <f>"Meirion Eynon M Eynon Haulage"</f>
        <v>Meirion Eynon M Eynon Haulage</v>
      </c>
      <c r="C5904" s="1" t="s">
        <v>28514</v>
      </c>
      <c r="F5904" s="1" t="s">
        <v>42</v>
      </c>
      <c r="H5904" s="1" t="s">
        <v>28515</v>
      </c>
      <c r="I5904" s="1" t="s">
        <v>5</v>
      </c>
      <c r="J5904" s="1" t="s">
        <v>6</v>
      </c>
      <c r="K5904" s="1" t="s">
        <v>24</v>
      </c>
      <c r="M5904" s="2">
        <v>42654</v>
      </c>
      <c r="N5904" s="1" t="s">
        <v>8</v>
      </c>
      <c r="O5904" s="2">
        <v>43749</v>
      </c>
    </row>
    <row r="5905" spans="1:15" ht="43.2" x14ac:dyDescent="0.3">
      <c r="A5905" s="1" t="s">
        <v>28516</v>
      </c>
      <c r="B5905" s="1" t="str">
        <f>"Kenneth Hughes"</f>
        <v>Kenneth Hughes</v>
      </c>
      <c r="C5905" s="1" t="s">
        <v>28517</v>
      </c>
      <c r="D5905" s="1" t="s">
        <v>28459</v>
      </c>
      <c r="F5905" s="1" t="s">
        <v>32</v>
      </c>
      <c r="H5905" s="1" t="s">
        <v>28518</v>
      </c>
      <c r="I5905" s="1" t="s">
        <v>5</v>
      </c>
      <c r="J5905" s="1" t="s">
        <v>67</v>
      </c>
      <c r="K5905" s="1" t="s">
        <v>14</v>
      </c>
      <c r="M5905" s="2">
        <v>42654</v>
      </c>
      <c r="N5905" s="1" t="s">
        <v>8</v>
      </c>
      <c r="O5905" s="1" t="s">
        <v>68</v>
      </c>
    </row>
    <row r="5906" spans="1:15" ht="28.8" x14ac:dyDescent="0.3">
      <c r="A5906" s="1" t="s">
        <v>28519</v>
      </c>
      <c r="B5906" s="1" t="str">
        <f>"huw jones Building Solutions"</f>
        <v>huw jones Building Solutions</v>
      </c>
      <c r="C5906" s="1" t="s">
        <v>28520</v>
      </c>
      <c r="F5906" s="1" t="s">
        <v>42</v>
      </c>
      <c r="H5906" s="1" t="s">
        <v>28521</v>
      </c>
      <c r="I5906" s="1" t="s">
        <v>5</v>
      </c>
      <c r="J5906" s="1" t="s">
        <v>6</v>
      </c>
      <c r="K5906" s="1" t="s">
        <v>34</v>
      </c>
      <c r="M5906" s="2">
        <v>42654</v>
      </c>
      <c r="N5906" s="1" t="s">
        <v>8</v>
      </c>
      <c r="O5906" s="2">
        <v>43750</v>
      </c>
    </row>
    <row r="5907" spans="1:15" ht="28.8" x14ac:dyDescent="0.3">
      <c r="A5907" s="1" t="s">
        <v>29237</v>
      </c>
      <c r="B5907" s="1" t="str">
        <f>"Rhys  Jones A helping hand"</f>
        <v>Rhys  Jones A helping hand</v>
      </c>
      <c r="C5907" s="1" t="s">
        <v>29238</v>
      </c>
      <c r="F5907" s="1" t="s">
        <v>12</v>
      </c>
      <c r="H5907" s="1" t="s">
        <v>29239</v>
      </c>
      <c r="I5907" s="1" t="s">
        <v>5</v>
      </c>
      <c r="J5907" s="1" t="s">
        <v>6</v>
      </c>
      <c r="K5907" s="1" t="s">
        <v>24</v>
      </c>
      <c r="M5907" s="2">
        <v>42654</v>
      </c>
      <c r="N5907" s="1" t="s">
        <v>8</v>
      </c>
      <c r="O5907" s="2">
        <v>43855</v>
      </c>
    </row>
    <row r="5908" spans="1:15" ht="43.2" x14ac:dyDescent="0.3">
      <c r="A5908" s="1" t="s">
        <v>29240</v>
      </c>
      <c r="B5908" s="1" t="str">
        <f>"MIROSLAW STANOSZ MS MOTOR SERVICES"</f>
        <v>MIROSLAW STANOSZ MS MOTOR SERVICES</v>
      </c>
      <c r="C5908" s="1" t="s">
        <v>29241</v>
      </c>
      <c r="D5908" s="1" t="s">
        <v>29242</v>
      </c>
      <c r="F5908" s="1" t="s">
        <v>7218</v>
      </c>
      <c r="H5908" s="1" t="s">
        <v>29243</v>
      </c>
      <c r="I5908" s="1" t="s">
        <v>5</v>
      </c>
      <c r="J5908" s="1" t="s">
        <v>67</v>
      </c>
      <c r="K5908" s="1" t="s">
        <v>1859</v>
      </c>
      <c r="M5908" s="2">
        <v>42654</v>
      </c>
      <c r="N5908" s="1" t="s">
        <v>8</v>
      </c>
      <c r="O5908" s="1" t="s">
        <v>68</v>
      </c>
    </row>
    <row r="5909" spans="1:15" ht="43.2" x14ac:dyDescent="0.3">
      <c r="A5909" s="1" t="s">
        <v>15416</v>
      </c>
      <c r="B5909" s="1" t="str">
        <f>"Amroc Heating Services Limited "</f>
        <v xml:space="preserve">Amroc Heating Services Limited </v>
      </c>
      <c r="C5909" s="1" t="s">
        <v>15417</v>
      </c>
      <c r="F5909" s="1" t="s">
        <v>5855</v>
      </c>
      <c r="H5909" s="1" t="s">
        <v>8819</v>
      </c>
      <c r="I5909" s="1" t="s">
        <v>19</v>
      </c>
      <c r="J5909" s="1" t="s">
        <v>6</v>
      </c>
      <c r="K5909" s="1" t="s">
        <v>34</v>
      </c>
      <c r="L5909" s="1">
        <v>5684782</v>
      </c>
      <c r="M5909" s="2">
        <v>42653</v>
      </c>
      <c r="N5909" s="1" t="s">
        <v>8</v>
      </c>
      <c r="O5909" s="2">
        <v>43748</v>
      </c>
    </row>
    <row r="5910" spans="1:15" ht="43.2" x14ac:dyDescent="0.3">
      <c r="A5910" s="1" t="s">
        <v>16453</v>
      </c>
      <c r="B5910" s="1" t="str">
        <f>"vgs sales ltd"</f>
        <v>vgs sales ltd</v>
      </c>
      <c r="C5910" s="1" t="s">
        <v>16454</v>
      </c>
      <c r="F5910" s="1" t="s">
        <v>16455</v>
      </c>
      <c r="H5910" s="1" t="s">
        <v>16456</v>
      </c>
      <c r="I5910" s="1" t="s">
        <v>19</v>
      </c>
      <c r="J5910" s="1" t="s">
        <v>6</v>
      </c>
      <c r="K5910" s="1" t="s">
        <v>34</v>
      </c>
      <c r="L5910" s="1">
        <v>10174482</v>
      </c>
      <c r="M5910" s="2">
        <v>42653</v>
      </c>
      <c r="N5910" s="1" t="s">
        <v>8</v>
      </c>
      <c r="O5910" s="2">
        <v>43748</v>
      </c>
    </row>
    <row r="5911" spans="1:15" ht="43.2" x14ac:dyDescent="0.3">
      <c r="A5911" s="1" t="s">
        <v>27713</v>
      </c>
      <c r="B5911" s="1" t="str">
        <f>"Alfie Kirkum"</f>
        <v>Alfie Kirkum</v>
      </c>
      <c r="C5911" s="1" t="s">
        <v>27714</v>
      </c>
      <c r="F5911" s="1" t="s">
        <v>16590</v>
      </c>
      <c r="H5911" s="1" t="s">
        <v>27715</v>
      </c>
      <c r="I5911" s="1" t="s">
        <v>5</v>
      </c>
      <c r="J5911" s="1" t="s">
        <v>67</v>
      </c>
      <c r="K5911" s="1" t="s">
        <v>14</v>
      </c>
      <c r="M5911" s="2">
        <v>42653</v>
      </c>
      <c r="N5911" s="1" t="s">
        <v>8</v>
      </c>
      <c r="O5911" s="1" t="s">
        <v>68</v>
      </c>
    </row>
    <row r="5912" spans="1:15" ht="28.8" x14ac:dyDescent="0.3">
      <c r="A5912" s="1" t="s">
        <v>27716</v>
      </c>
      <c r="B5912" s="1" t="str">
        <f>"Jason Hemsley J D Hemsley Roofing"</f>
        <v>Jason Hemsley J D Hemsley Roofing</v>
      </c>
      <c r="C5912" s="1" t="s">
        <v>27717</v>
      </c>
      <c r="F5912" s="1" t="s">
        <v>1556</v>
      </c>
      <c r="H5912" s="1" t="s">
        <v>20375</v>
      </c>
      <c r="I5912" s="1" t="s">
        <v>5</v>
      </c>
      <c r="J5912" s="1" t="s">
        <v>6</v>
      </c>
      <c r="K5912" s="1" t="s">
        <v>24</v>
      </c>
      <c r="M5912" s="2">
        <v>42653</v>
      </c>
      <c r="N5912" s="1" t="s">
        <v>8</v>
      </c>
      <c r="O5912" s="2">
        <v>43748</v>
      </c>
    </row>
    <row r="5913" spans="1:15" ht="43.2" x14ac:dyDescent="0.3">
      <c r="A5913" s="1" t="s">
        <v>27718</v>
      </c>
      <c r="B5913" s="1" t="str">
        <f>"Edward Hughes"</f>
        <v>Edward Hughes</v>
      </c>
      <c r="C5913" s="1" t="s">
        <v>27719</v>
      </c>
      <c r="D5913" s="1" t="s">
        <v>1408</v>
      </c>
      <c r="F5913" s="1" t="s">
        <v>198</v>
      </c>
      <c r="H5913" s="1" t="s">
        <v>14244</v>
      </c>
      <c r="I5913" s="1" t="s">
        <v>5</v>
      </c>
      <c r="J5913" s="1" t="s">
        <v>67</v>
      </c>
      <c r="K5913" s="1" t="s">
        <v>14</v>
      </c>
      <c r="M5913" s="2">
        <v>42653</v>
      </c>
      <c r="N5913" s="1" t="s">
        <v>8</v>
      </c>
      <c r="O5913" s="1" t="s">
        <v>68</v>
      </c>
    </row>
    <row r="5914" spans="1:15" ht="43.2" x14ac:dyDescent="0.3">
      <c r="A5914" s="1" t="s">
        <v>27720</v>
      </c>
      <c r="B5914" s="1" t="str">
        <f>"John Cowell"</f>
        <v>John Cowell</v>
      </c>
      <c r="C5914" s="1" t="s">
        <v>27721</v>
      </c>
      <c r="F5914" s="1" t="s">
        <v>27722</v>
      </c>
      <c r="H5914" s="1" t="s">
        <v>27723</v>
      </c>
      <c r="I5914" s="1" t="s">
        <v>5</v>
      </c>
      <c r="J5914" s="1" t="s">
        <v>67</v>
      </c>
      <c r="K5914" s="1" t="s">
        <v>14</v>
      </c>
      <c r="M5914" s="2">
        <v>42653</v>
      </c>
      <c r="N5914" s="1" t="s">
        <v>8</v>
      </c>
      <c r="O5914" s="1" t="s">
        <v>68</v>
      </c>
    </row>
    <row r="5915" spans="1:15" ht="43.2" x14ac:dyDescent="0.3">
      <c r="A5915" s="1" t="s">
        <v>27706</v>
      </c>
      <c r="B5915" s="1" t="str">
        <f>"martin crowley Direct Maintenance Contractors"</f>
        <v>martin crowley Direct Maintenance Contractors</v>
      </c>
      <c r="C5915" s="1" t="s">
        <v>27707</v>
      </c>
      <c r="F5915" s="1" t="s">
        <v>27</v>
      </c>
      <c r="H5915" s="1" t="s">
        <v>27708</v>
      </c>
      <c r="I5915" s="1" t="s">
        <v>5</v>
      </c>
      <c r="J5915" s="1" t="s">
        <v>6</v>
      </c>
      <c r="K5915" s="1" t="s">
        <v>34</v>
      </c>
      <c r="M5915" s="2">
        <v>42652</v>
      </c>
      <c r="N5915" s="1" t="s">
        <v>8</v>
      </c>
      <c r="O5915" s="2">
        <v>43747</v>
      </c>
    </row>
    <row r="5916" spans="1:15" ht="43.2" x14ac:dyDescent="0.3">
      <c r="A5916" s="1" t="s">
        <v>27709</v>
      </c>
      <c r="B5916" s="1" t="str">
        <f>"Mark Schofield"</f>
        <v>Mark Schofield</v>
      </c>
      <c r="C5916" s="1" t="s">
        <v>27710</v>
      </c>
      <c r="F5916" s="1" t="s">
        <v>27711</v>
      </c>
      <c r="H5916" s="1" t="s">
        <v>27712</v>
      </c>
      <c r="I5916" s="1" t="s">
        <v>5</v>
      </c>
      <c r="J5916" s="1" t="s">
        <v>67</v>
      </c>
      <c r="K5916" s="1" t="s">
        <v>14</v>
      </c>
      <c r="M5916" s="2">
        <v>42652</v>
      </c>
      <c r="N5916" s="1" t="s">
        <v>8</v>
      </c>
      <c r="O5916" s="1" t="s">
        <v>68</v>
      </c>
    </row>
    <row r="5917" spans="1:15" ht="43.2" x14ac:dyDescent="0.3">
      <c r="A5917" s="1" t="s">
        <v>15410</v>
      </c>
      <c r="B5917" s="1" t="str">
        <f>"K&amp;K Gardening Cymru Cyf"</f>
        <v>K&amp;K Gardening Cymru Cyf</v>
      </c>
      <c r="C5917" s="1" t="s">
        <v>15411</v>
      </c>
      <c r="F5917" s="1" t="s">
        <v>37</v>
      </c>
      <c r="H5917" s="1" t="s">
        <v>15412</v>
      </c>
      <c r="I5917" s="1" t="s">
        <v>19</v>
      </c>
      <c r="J5917" s="1" t="s">
        <v>67</v>
      </c>
      <c r="K5917" s="1" t="s">
        <v>1859</v>
      </c>
      <c r="M5917" s="2">
        <v>42651</v>
      </c>
      <c r="N5917" s="1" t="s">
        <v>8</v>
      </c>
      <c r="O5917" s="1" t="s">
        <v>68</v>
      </c>
    </row>
    <row r="5918" spans="1:15" ht="43.2" x14ac:dyDescent="0.3">
      <c r="A5918" s="1" t="s">
        <v>15413</v>
      </c>
      <c r="B5918" s="1" t="str">
        <f>"Mynydd Timber Service Ltd."</f>
        <v>Mynydd Timber Service Ltd.</v>
      </c>
      <c r="C5918" s="1" t="s">
        <v>15414</v>
      </c>
      <c r="F5918" s="1" t="s">
        <v>1321</v>
      </c>
      <c r="H5918" s="1" t="s">
        <v>15415</v>
      </c>
      <c r="I5918" s="1" t="s">
        <v>19</v>
      </c>
      <c r="J5918" s="1" t="s">
        <v>67</v>
      </c>
      <c r="K5918" s="1" t="s">
        <v>24</v>
      </c>
      <c r="L5918" s="1">
        <v>5250394</v>
      </c>
      <c r="M5918" s="2">
        <v>42651</v>
      </c>
      <c r="N5918" s="1" t="s">
        <v>8</v>
      </c>
      <c r="O5918" s="1" t="s">
        <v>68</v>
      </c>
    </row>
    <row r="5919" spans="1:15" ht="28.8" x14ac:dyDescent="0.3">
      <c r="A5919" s="1" t="s">
        <v>27703</v>
      </c>
      <c r="B5919" s="1" t="str">
        <f>"ROBERT THOMAS atlas building"</f>
        <v>ROBERT THOMAS atlas building</v>
      </c>
      <c r="C5919" s="1" t="s">
        <v>27704</v>
      </c>
      <c r="F5919" s="1" t="s">
        <v>27</v>
      </c>
      <c r="H5919" s="1" t="s">
        <v>27705</v>
      </c>
      <c r="I5919" s="1" t="s">
        <v>5</v>
      </c>
      <c r="J5919" s="1" t="s">
        <v>6</v>
      </c>
      <c r="K5919" s="1" t="s">
        <v>24</v>
      </c>
      <c r="M5919" s="2">
        <v>42651</v>
      </c>
      <c r="N5919" s="1" t="s">
        <v>8</v>
      </c>
      <c r="O5919" s="2">
        <v>43746</v>
      </c>
    </row>
    <row r="5920" spans="1:15" ht="43.2" x14ac:dyDescent="0.3">
      <c r="A5920" s="1" t="s">
        <v>14495</v>
      </c>
      <c r="B5920" s="1" t="str">
        <f>"Bristol Trader"</f>
        <v>Bristol Trader</v>
      </c>
      <c r="C5920" s="1" t="s">
        <v>14496</v>
      </c>
      <c r="F5920" s="1" t="s">
        <v>438</v>
      </c>
      <c r="H5920" s="1" t="s">
        <v>14497</v>
      </c>
      <c r="I5920" s="1" t="s">
        <v>19</v>
      </c>
      <c r="J5920" s="1" t="s">
        <v>67</v>
      </c>
      <c r="K5920" s="1" t="s">
        <v>14</v>
      </c>
      <c r="M5920" s="2">
        <v>42650</v>
      </c>
      <c r="N5920" s="1" t="s">
        <v>8</v>
      </c>
      <c r="O5920" s="1" t="s">
        <v>68</v>
      </c>
    </row>
    <row r="5921" spans="1:15" ht="28.8" x14ac:dyDescent="0.3">
      <c r="A5921" s="1" t="s">
        <v>14498</v>
      </c>
      <c r="B5921" s="1" t="str">
        <f>"C &amp; S Glaziers(North Wales)Ltd."</f>
        <v>C &amp; S Glaziers(North Wales)Ltd.</v>
      </c>
      <c r="C5921" s="1" t="s">
        <v>14499</v>
      </c>
      <c r="D5921" s="1" t="s">
        <v>2596</v>
      </c>
      <c r="F5921" s="1" t="s">
        <v>532</v>
      </c>
      <c r="H5921" s="1" t="s">
        <v>4132</v>
      </c>
      <c r="I5921" s="1" t="s">
        <v>19</v>
      </c>
      <c r="J5921" s="1" t="s">
        <v>6</v>
      </c>
      <c r="K5921" s="1" t="s">
        <v>24</v>
      </c>
      <c r="L5921" s="1">
        <v>955415</v>
      </c>
      <c r="M5921" s="2">
        <v>42650</v>
      </c>
      <c r="N5921" s="1" t="s">
        <v>8</v>
      </c>
      <c r="O5921" s="2">
        <v>43745</v>
      </c>
    </row>
    <row r="5922" spans="1:15" ht="43.2" x14ac:dyDescent="0.3">
      <c r="A5922" s="1" t="s">
        <v>14500</v>
      </c>
      <c r="B5922" s="1" t="str">
        <f>"dalziel ltd"</f>
        <v>dalziel ltd</v>
      </c>
      <c r="C5922" s="1" t="s">
        <v>14501</v>
      </c>
      <c r="D5922" s="1" t="s">
        <v>14502</v>
      </c>
      <c r="F5922" s="1" t="s">
        <v>5149</v>
      </c>
      <c r="H5922" s="1" t="s">
        <v>14503</v>
      </c>
      <c r="I5922" s="1" t="s">
        <v>19</v>
      </c>
      <c r="J5922" s="1" t="s">
        <v>67</v>
      </c>
      <c r="K5922" s="1" t="s">
        <v>14</v>
      </c>
      <c r="M5922" s="2">
        <v>42650</v>
      </c>
      <c r="N5922" s="1" t="s">
        <v>8</v>
      </c>
      <c r="O5922" s="1" t="s">
        <v>68</v>
      </c>
    </row>
    <row r="5923" spans="1:15" ht="43.2" x14ac:dyDescent="0.3">
      <c r="A5923" s="1" t="s">
        <v>14504</v>
      </c>
      <c r="B5923" s="1" t="str">
        <f>"J.W.M. ROBERTS BUILDING &amp; JOINERY CONTRACTORS LTD"</f>
        <v>J.W.M. ROBERTS BUILDING &amp; JOINERY CONTRACTORS LTD</v>
      </c>
      <c r="C5923" s="1" t="s">
        <v>14505</v>
      </c>
      <c r="F5923" s="1" t="s">
        <v>1346</v>
      </c>
      <c r="H5923" s="1" t="s">
        <v>14506</v>
      </c>
      <c r="I5923" s="1" t="s">
        <v>19</v>
      </c>
      <c r="J5923" s="1" t="s">
        <v>6</v>
      </c>
      <c r="K5923" s="1" t="s">
        <v>34</v>
      </c>
      <c r="L5923" s="1">
        <v>4345084</v>
      </c>
      <c r="M5923" s="2">
        <v>42650</v>
      </c>
      <c r="N5923" s="1" t="s">
        <v>8</v>
      </c>
      <c r="O5923" s="2">
        <v>43745</v>
      </c>
    </row>
    <row r="5924" spans="1:15" ht="28.8" x14ac:dyDescent="0.3">
      <c r="A5924" s="1" t="s">
        <v>14507</v>
      </c>
      <c r="B5924" s="1" t="str">
        <f>"WR Davies &amp; Son"</f>
        <v>WR Davies &amp; Son</v>
      </c>
      <c r="C5924" s="1" t="s">
        <v>14508</v>
      </c>
      <c r="D5924" s="1" t="s">
        <v>475</v>
      </c>
      <c r="F5924" s="1" t="s">
        <v>83</v>
      </c>
      <c r="H5924" s="1" t="s">
        <v>14509</v>
      </c>
      <c r="I5924" s="1" t="s">
        <v>125</v>
      </c>
      <c r="J5924" s="1" t="s">
        <v>6</v>
      </c>
      <c r="K5924" s="1" t="s">
        <v>24</v>
      </c>
      <c r="M5924" s="2">
        <v>42650</v>
      </c>
      <c r="N5924" s="1" t="s">
        <v>8</v>
      </c>
      <c r="O5924" s="2">
        <v>43745</v>
      </c>
    </row>
    <row r="5925" spans="1:15" ht="43.2" x14ac:dyDescent="0.3">
      <c r="A5925" s="1" t="s">
        <v>14510</v>
      </c>
      <c r="B5925" s="1" t="str">
        <f>"BARRIE WILLIAMS DEVELOPMENTS LTD"</f>
        <v>BARRIE WILLIAMS DEVELOPMENTS LTD</v>
      </c>
      <c r="C5925" s="1" t="s">
        <v>14511</v>
      </c>
      <c r="F5925" s="1" t="s">
        <v>277</v>
      </c>
      <c r="H5925" s="1" t="s">
        <v>14512</v>
      </c>
      <c r="I5925" s="1" t="s">
        <v>19</v>
      </c>
      <c r="J5925" s="1" t="s">
        <v>67</v>
      </c>
      <c r="K5925" s="1" t="s">
        <v>24</v>
      </c>
      <c r="L5925" s="1">
        <v>2568323</v>
      </c>
      <c r="M5925" s="2">
        <v>42650</v>
      </c>
      <c r="N5925" s="1" t="s">
        <v>8</v>
      </c>
      <c r="O5925" s="1" t="s">
        <v>68</v>
      </c>
    </row>
    <row r="5926" spans="1:15" ht="28.8" x14ac:dyDescent="0.3">
      <c r="A5926" s="1" t="s">
        <v>15401</v>
      </c>
      <c r="B5926" s="1" t="str">
        <f>"RDA Recycling LTD"</f>
        <v>RDA Recycling LTD</v>
      </c>
      <c r="C5926" s="1" t="s">
        <v>15402</v>
      </c>
      <c r="D5926" s="1" t="s">
        <v>155</v>
      </c>
      <c r="F5926" s="1" t="s">
        <v>156</v>
      </c>
      <c r="H5926" s="1" t="s">
        <v>6213</v>
      </c>
      <c r="I5926" s="1" t="s">
        <v>19</v>
      </c>
      <c r="J5926" s="1" t="s">
        <v>6</v>
      </c>
      <c r="K5926" s="1" t="s">
        <v>34</v>
      </c>
      <c r="L5926" s="1">
        <v>9376583</v>
      </c>
      <c r="M5926" s="2">
        <v>42650</v>
      </c>
      <c r="N5926" s="1" t="s">
        <v>8</v>
      </c>
      <c r="O5926" s="2">
        <v>43745</v>
      </c>
    </row>
    <row r="5927" spans="1:15" ht="28.8" x14ac:dyDescent="0.3">
      <c r="A5927" s="1" t="s">
        <v>15403</v>
      </c>
      <c r="B5927" s="1" t="str">
        <f>"THE ADMIN WAREHOUSE LTD"</f>
        <v>THE ADMIN WAREHOUSE LTD</v>
      </c>
      <c r="C5927" s="1" t="s">
        <v>15404</v>
      </c>
      <c r="D5927" s="1" t="s">
        <v>15405</v>
      </c>
      <c r="F5927" s="1" t="s">
        <v>27</v>
      </c>
      <c r="H5927" s="1" t="s">
        <v>15406</v>
      </c>
      <c r="I5927" s="1" t="s">
        <v>19</v>
      </c>
      <c r="J5927" s="1" t="s">
        <v>6</v>
      </c>
      <c r="K5927" s="1" t="s">
        <v>34</v>
      </c>
      <c r="L5927" s="1">
        <v>4456766</v>
      </c>
      <c r="M5927" s="2">
        <v>42650</v>
      </c>
      <c r="N5927" s="1" t="s">
        <v>8</v>
      </c>
      <c r="O5927" s="2">
        <v>43745</v>
      </c>
    </row>
    <row r="5928" spans="1:15" ht="43.2" x14ac:dyDescent="0.3">
      <c r="A5928" s="1" t="s">
        <v>15407</v>
      </c>
      <c r="B5928" s="1" t="str">
        <f>"Complete Clean"</f>
        <v>Complete Clean</v>
      </c>
      <c r="C5928" s="1" t="s">
        <v>15408</v>
      </c>
      <c r="F5928" s="1" t="s">
        <v>1175</v>
      </c>
      <c r="H5928" s="1" t="s">
        <v>15409</v>
      </c>
      <c r="I5928" s="1" t="s">
        <v>19</v>
      </c>
      <c r="J5928" s="1" t="s">
        <v>67</v>
      </c>
      <c r="K5928" s="1" t="s">
        <v>14</v>
      </c>
      <c r="M5928" s="2">
        <v>42650</v>
      </c>
      <c r="N5928" s="1" t="s">
        <v>8</v>
      </c>
      <c r="O5928" s="1" t="s">
        <v>68</v>
      </c>
    </row>
    <row r="5929" spans="1:15" ht="43.2" x14ac:dyDescent="0.3">
      <c r="A5929" s="1" t="s">
        <v>26840</v>
      </c>
      <c r="B5929" s="1" t="str">
        <f>"Marc Thomas"</f>
        <v>Marc Thomas</v>
      </c>
      <c r="C5929" s="1" t="s">
        <v>26841</v>
      </c>
      <c r="F5929" s="1" t="s">
        <v>1511</v>
      </c>
      <c r="H5929" s="1" t="s">
        <v>26842</v>
      </c>
      <c r="I5929" s="1" t="s">
        <v>5</v>
      </c>
      <c r="J5929" s="1" t="s">
        <v>67</v>
      </c>
      <c r="K5929" s="1" t="s">
        <v>14</v>
      </c>
      <c r="M5929" s="2">
        <v>42650</v>
      </c>
      <c r="N5929" s="1" t="s">
        <v>8</v>
      </c>
      <c r="O5929" s="1" t="s">
        <v>68</v>
      </c>
    </row>
    <row r="5930" spans="1:15" ht="43.2" x14ac:dyDescent="0.3">
      <c r="A5930" s="1" t="s">
        <v>26843</v>
      </c>
      <c r="B5930" s="1" t="str">
        <f>"Phillip Symons phillip Symons Playground Installations"</f>
        <v>Phillip Symons phillip Symons Playground Installations</v>
      </c>
      <c r="C5930" s="1" t="s">
        <v>26844</v>
      </c>
      <c r="F5930" s="1" t="s">
        <v>621</v>
      </c>
      <c r="H5930" s="1" t="s">
        <v>26845</v>
      </c>
      <c r="I5930" s="1" t="s">
        <v>5</v>
      </c>
      <c r="J5930" s="1" t="s">
        <v>6</v>
      </c>
      <c r="K5930" s="1" t="s">
        <v>24</v>
      </c>
      <c r="M5930" s="2">
        <v>42650</v>
      </c>
      <c r="N5930" s="1" t="s">
        <v>8</v>
      </c>
      <c r="O5930" s="2">
        <v>43745</v>
      </c>
    </row>
    <row r="5931" spans="1:15" ht="28.8" x14ac:dyDescent="0.3">
      <c r="A5931" s="1" t="s">
        <v>26846</v>
      </c>
      <c r="B5931" s="1" t="str">
        <f>"Stephen Forster Stephen Forster"</f>
        <v>Stephen Forster Stephen Forster</v>
      </c>
      <c r="C5931" s="1" t="s">
        <v>26847</v>
      </c>
      <c r="F5931" s="1" t="s">
        <v>198</v>
      </c>
      <c r="H5931" s="1" t="s">
        <v>26848</v>
      </c>
      <c r="I5931" s="1" t="s">
        <v>5</v>
      </c>
      <c r="J5931" s="1" t="s">
        <v>6</v>
      </c>
      <c r="K5931" s="1" t="s">
        <v>24</v>
      </c>
      <c r="M5931" s="2">
        <v>42650</v>
      </c>
      <c r="N5931" s="1" t="s">
        <v>8</v>
      </c>
      <c r="O5931" s="2">
        <v>43745</v>
      </c>
    </row>
    <row r="5932" spans="1:15" x14ac:dyDescent="0.3">
      <c r="A5932" s="1" t="s">
        <v>26849</v>
      </c>
      <c r="B5932" s="1" t="str">
        <f>"John James Williams"</f>
        <v>John James Williams</v>
      </c>
      <c r="C5932" s="1" t="s">
        <v>26850</v>
      </c>
      <c r="F5932" s="1" t="s">
        <v>1511</v>
      </c>
      <c r="H5932" s="1" t="s">
        <v>26851</v>
      </c>
      <c r="I5932" s="1" t="s">
        <v>5</v>
      </c>
      <c r="J5932" s="1" t="s">
        <v>6</v>
      </c>
      <c r="K5932" s="1" t="s">
        <v>24</v>
      </c>
      <c r="M5932" s="2">
        <v>42650</v>
      </c>
      <c r="N5932" s="1" t="s">
        <v>8</v>
      </c>
      <c r="O5932" s="2">
        <v>43745</v>
      </c>
    </row>
    <row r="5933" spans="1:15" ht="43.2" x14ac:dyDescent="0.3">
      <c r="A5933" s="1" t="s">
        <v>26852</v>
      </c>
      <c r="B5933" s="1" t="str">
        <f>"M Kaur"</f>
        <v>M Kaur</v>
      </c>
      <c r="C5933" s="1" t="s">
        <v>26853</v>
      </c>
      <c r="F5933" s="1" t="s">
        <v>739</v>
      </c>
      <c r="H5933" s="1" t="s">
        <v>26854</v>
      </c>
      <c r="I5933" s="1" t="s">
        <v>5</v>
      </c>
      <c r="J5933" s="1" t="s">
        <v>67</v>
      </c>
      <c r="K5933" s="1" t="s">
        <v>14</v>
      </c>
      <c r="M5933" s="2">
        <v>42650</v>
      </c>
      <c r="N5933" s="1" t="s">
        <v>8</v>
      </c>
      <c r="O5933" s="1" t="s">
        <v>68</v>
      </c>
    </row>
    <row r="5934" spans="1:15" ht="43.2" x14ac:dyDescent="0.3">
      <c r="A5934" s="1" t="s">
        <v>27700</v>
      </c>
      <c r="B5934" s="1" t="str">
        <f>"Stephen Carter"</f>
        <v>Stephen Carter</v>
      </c>
      <c r="C5934" s="1" t="s">
        <v>27701</v>
      </c>
      <c r="D5934" s="1" t="s">
        <v>12553</v>
      </c>
      <c r="F5934" s="1" t="s">
        <v>380</v>
      </c>
      <c r="H5934" s="1" t="s">
        <v>27702</v>
      </c>
      <c r="I5934" s="1" t="s">
        <v>5</v>
      </c>
      <c r="J5934" s="1" t="s">
        <v>67</v>
      </c>
      <c r="K5934" s="1" t="s">
        <v>14</v>
      </c>
      <c r="M5934" s="2">
        <v>42650</v>
      </c>
      <c r="N5934" s="1" t="s">
        <v>8</v>
      </c>
      <c r="O5934" s="1" t="s">
        <v>68</v>
      </c>
    </row>
    <row r="5935" spans="1:15" ht="28.8" x14ac:dyDescent="0.3">
      <c r="A5935" s="1" t="s">
        <v>12538</v>
      </c>
      <c r="B5935" s="1" t="str">
        <f>"Servicetotal Limited"</f>
        <v>Servicetotal Limited</v>
      </c>
      <c r="C5935" s="1" t="s">
        <v>12539</v>
      </c>
      <c r="D5935" s="1" t="s">
        <v>5891</v>
      </c>
      <c r="F5935" s="1" t="s">
        <v>65</v>
      </c>
      <c r="H5935" s="1" t="s">
        <v>5892</v>
      </c>
      <c r="I5935" s="1" t="s">
        <v>19</v>
      </c>
      <c r="J5935" s="1" t="s">
        <v>6</v>
      </c>
      <c r="K5935" s="1" t="s">
        <v>34</v>
      </c>
      <c r="L5935" s="1">
        <v>3019711</v>
      </c>
      <c r="M5935" s="2">
        <v>42649</v>
      </c>
      <c r="N5935" s="1" t="s">
        <v>8</v>
      </c>
      <c r="O5935" s="2">
        <v>43744</v>
      </c>
    </row>
    <row r="5936" spans="1:15" ht="43.2" x14ac:dyDescent="0.3">
      <c r="A5936" s="1" t="s">
        <v>13664</v>
      </c>
      <c r="B5936" s="1" t="str">
        <f>"TXO Systems Ltd"</f>
        <v>TXO Systems Ltd</v>
      </c>
      <c r="C5936" s="1" t="s">
        <v>13665</v>
      </c>
      <c r="D5936" s="1" t="s">
        <v>8020</v>
      </c>
      <c r="E5936" s="1" t="s">
        <v>8021</v>
      </c>
      <c r="F5936" s="1" t="s">
        <v>2906</v>
      </c>
      <c r="H5936" s="1" t="s">
        <v>13666</v>
      </c>
      <c r="I5936" s="1" t="s">
        <v>19</v>
      </c>
      <c r="J5936" s="1" t="s">
        <v>67</v>
      </c>
      <c r="K5936" s="1" t="s">
        <v>14</v>
      </c>
      <c r="M5936" s="2">
        <v>42649</v>
      </c>
      <c r="N5936" s="1" t="s">
        <v>8</v>
      </c>
      <c r="O5936" s="1" t="s">
        <v>68</v>
      </c>
    </row>
    <row r="5937" spans="1:15" ht="28.8" x14ac:dyDescent="0.3">
      <c r="A5937" s="1" t="s">
        <v>13667</v>
      </c>
      <c r="B5937" s="1" t="str">
        <f>"NORTH WALES DOMESTIC APPLIANCE"</f>
        <v>NORTH WALES DOMESTIC APPLIANCE</v>
      </c>
      <c r="C5937" s="1" t="s">
        <v>13668</v>
      </c>
      <c r="F5937" s="1" t="s">
        <v>790</v>
      </c>
      <c r="H5937" s="1" t="s">
        <v>13669</v>
      </c>
      <c r="I5937" s="1" t="s">
        <v>125</v>
      </c>
      <c r="J5937" s="1" t="s">
        <v>6</v>
      </c>
      <c r="K5937" s="1" t="s">
        <v>24</v>
      </c>
      <c r="M5937" s="2">
        <v>42649</v>
      </c>
      <c r="N5937" s="1" t="s">
        <v>8</v>
      </c>
      <c r="O5937" s="2">
        <v>43744</v>
      </c>
    </row>
    <row r="5938" spans="1:15" ht="43.2" x14ac:dyDescent="0.3">
      <c r="A5938" s="1" t="s">
        <v>13670</v>
      </c>
      <c r="B5938" s="1" t="str">
        <f>"Gr Motors Glascoed Ltd."</f>
        <v>Gr Motors Glascoed Ltd.</v>
      </c>
      <c r="C5938" s="1" t="s">
        <v>13671</v>
      </c>
      <c r="F5938" s="1" t="s">
        <v>1175</v>
      </c>
      <c r="H5938" s="1" t="s">
        <v>13672</v>
      </c>
      <c r="I5938" s="1" t="s">
        <v>19</v>
      </c>
      <c r="J5938" s="1" t="s">
        <v>67</v>
      </c>
      <c r="K5938" s="1" t="s">
        <v>34</v>
      </c>
      <c r="L5938" s="1">
        <v>6848680</v>
      </c>
      <c r="M5938" s="2">
        <v>42649</v>
      </c>
      <c r="N5938" s="1" t="s">
        <v>8</v>
      </c>
      <c r="O5938" s="1" t="s">
        <v>68</v>
      </c>
    </row>
    <row r="5939" spans="1:15" ht="28.8" x14ac:dyDescent="0.3">
      <c r="A5939" s="1" t="s">
        <v>13673</v>
      </c>
      <c r="B5939" s="1" t="str">
        <f>"Carmarthen Town Council"</f>
        <v>Carmarthen Town Council</v>
      </c>
      <c r="C5939" s="1" t="s">
        <v>13674</v>
      </c>
      <c r="F5939" s="1" t="s">
        <v>96</v>
      </c>
      <c r="H5939" s="1" t="s">
        <v>13675</v>
      </c>
      <c r="I5939" s="1" t="s">
        <v>188</v>
      </c>
      <c r="J5939" s="1" t="s">
        <v>6</v>
      </c>
      <c r="K5939" s="1" t="s">
        <v>24</v>
      </c>
      <c r="M5939" s="2">
        <v>42649</v>
      </c>
      <c r="N5939" s="1" t="s">
        <v>8</v>
      </c>
      <c r="O5939" s="2">
        <v>43744</v>
      </c>
    </row>
    <row r="5940" spans="1:15" ht="28.8" x14ac:dyDescent="0.3">
      <c r="A5940" s="1" t="s">
        <v>13676</v>
      </c>
      <c r="B5940" s="1" t="str">
        <f>"Dave Cottle Civil Engineering Ltd."</f>
        <v>Dave Cottle Civil Engineering Ltd.</v>
      </c>
      <c r="C5940" s="1" t="s">
        <v>2595</v>
      </c>
      <c r="D5940" s="1" t="s">
        <v>2596</v>
      </c>
      <c r="F5940" s="1" t="s">
        <v>198</v>
      </c>
      <c r="H5940" s="1" t="s">
        <v>2597</v>
      </c>
      <c r="I5940" s="1" t="s">
        <v>19</v>
      </c>
      <c r="J5940" s="1" t="s">
        <v>6</v>
      </c>
      <c r="K5940" s="1" t="s">
        <v>34</v>
      </c>
      <c r="L5940" s="1">
        <v>4606718</v>
      </c>
      <c r="M5940" s="2">
        <v>42649</v>
      </c>
      <c r="N5940" s="1" t="s">
        <v>8</v>
      </c>
      <c r="O5940" s="2">
        <v>43744</v>
      </c>
    </row>
    <row r="5941" spans="1:15" ht="43.2" x14ac:dyDescent="0.3">
      <c r="A5941" s="1" t="s">
        <v>13677</v>
      </c>
      <c r="B5941" s="1" t="str">
        <f>"Delta (Nw) Ltd."</f>
        <v>Delta (Nw) Ltd.</v>
      </c>
      <c r="C5941" s="1" t="s">
        <v>13678</v>
      </c>
      <c r="F5941" s="1" t="s">
        <v>1260</v>
      </c>
      <c r="H5941" s="1" t="s">
        <v>13679</v>
      </c>
      <c r="I5941" s="1" t="s">
        <v>19</v>
      </c>
      <c r="J5941" s="1" t="s">
        <v>67</v>
      </c>
      <c r="K5941" s="1" t="s">
        <v>24</v>
      </c>
      <c r="L5941" s="1">
        <v>5019826</v>
      </c>
      <c r="M5941" s="2">
        <v>42649</v>
      </c>
      <c r="N5941" s="1" t="s">
        <v>8</v>
      </c>
      <c r="O5941" s="1" t="s">
        <v>68</v>
      </c>
    </row>
    <row r="5942" spans="1:15" ht="43.2" x14ac:dyDescent="0.3">
      <c r="A5942" s="1" t="s">
        <v>13680</v>
      </c>
      <c r="B5942" s="1" t="str">
        <f>"ASHLEY'S AUTOS LTD"</f>
        <v>ASHLEY'S AUTOS LTD</v>
      </c>
      <c r="C5942" s="1" t="s">
        <v>13681</v>
      </c>
      <c r="F5942" s="1" t="s">
        <v>42</v>
      </c>
      <c r="H5942" s="1" t="s">
        <v>2366</v>
      </c>
      <c r="I5942" s="1" t="s">
        <v>19</v>
      </c>
      <c r="J5942" s="1" t="s">
        <v>67</v>
      </c>
      <c r="K5942" s="1" t="s">
        <v>24</v>
      </c>
      <c r="L5942" s="1">
        <v>4028335</v>
      </c>
      <c r="M5942" s="2">
        <v>42649</v>
      </c>
      <c r="N5942" s="1" t="s">
        <v>8</v>
      </c>
      <c r="O5942" s="1" t="s">
        <v>68</v>
      </c>
    </row>
    <row r="5943" spans="1:15" ht="43.2" x14ac:dyDescent="0.3">
      <c r="A5943" s="1" t="s">
        <v>26138</v>
      </c>
      <c r="B5943" s="1" t="str">
        <f>"Neil Robjohn"</f>
        <v>Neil Robjohn</v>
      </c>
      <c r="C5943" s="1" t="s">
        <v>26139</v>
      </c>
      <c r="F5943" s="1" t="s">
        <v>27</v>
      </c>
      <c r="H5943" s="1" t="s">
        <v>26140</v>
      </c>
      <c r="I5943" s="1" t="s">
        <v>5</v>
      </c>
      <c r="J5943" s="1" t="s">
        <v>67</v>
      </c>
      <c r="K5943" s="1" t="s">
        <v>14</v>
      </c>
      <c r="M5943" s="2">
        <v>42649</v>
      </c>
      <c r="N5943" s="1" t="s">
        <v>8</v>
      </c>
      <c r="O5943" s="1" t="s">
        <v>68</v>
      </c>
    </row>
    <row r="5944" spans="1:15" x14ac:dyDescent="0.3">
      <c r="A5944" s="1" t="s">
        <v>26141</v>
      </c>
      <c r="B5944" s="1" t="str">
        <f>"Jesse Jones Jesse Jones"</f>
        <v>Jesse Jones Jesse Jones</v>
      </c>
      <c r="C5944" s="1" t="s">
        <v>26142</v>
      </c>
      <c r="F5944" s="1" t="s">
        <v>42</v>
      </c>
      <c r="H5944" s="1" t="s">
        <v>26143</v>
      </c>
      <c r="I5944" s="1" t="s">
        <v>5</v>
      </c>
      <c r="J5944" s="1" t="s">
        <v>6</v>
      </c>
      <c r="K5944" s="1" t="s">
        <v>24</v>
      </c>
      <c r="M5944" s="2">
        <v>42649</v>
      </c>
      <c r="N5944" s="1" t="s">
        <v>8</v>
      </c>
      <c r="O5944" s="2">
        <v>43744</v>
      </c>
    </row>
    <row r="5945" spans="1:15" ht="28.8" x14ac:dyDescent="0.3">
      <c r="A5945" s="1" t="s">
        <v>26837</v>
      </c>
      <c r="B5945" s="1" t="str">
        <f>"Adam  Oprey Adam OPREY"</f>
        <v>Adam  Oprey Adam OPREY</v>
      </c>
      <c r="C5945" s="1" t="s">
        <v>26838</v>
      </c>
      <c r="F5945" s="1" t="s">
        <v>7398</v>
      </c>
      <c r="H5945" s="1" t="s">
        <v>26839</v>
      </c>
      <c r="I5945" s="1" t="s">
        <v>5</v>
      </c>
      <c r="J5945" s="1" t="s">
        <v>6</v>
      </c>
      <c r="K5945" s="1" t="s">
        <v>24</v>
      </c>
      <c r="M5945" s="2">
        <v>42649</v>
      </c>
      <c r="N5945" s="1" t="s">
        <v>8</v>
      </c>
      <c r="O5945" s="2">
        <v>43744</v>
      </c>
    </row>
    <row r="5946" spans="1:15" ht="28.8" x14ac:dyDescent="0.3">
      <c r="A5946" s="1" t="s">
        <v>11631</v>
      </c>
      <c r="B5946" s="1" t="str">
        <f>"WDS Green Energy"</f>
        <v>WDS Green Energy</v>
      </c>
      <c r="C5946" s="1" t="s">
        <v>11632</v>
      </c>
      <c r="F5946" s="1" t="s">
        <v>27</v>
      </c>
      <c r="H5946" s="1" t="s">
        <v>7472</v>
      </c>
      <c r="I5946" s="1" t="s">
        <v>19</v>
      </c>
      <c r="J5946" s="1" t="s">
        <v>6</v>
      </c>
      <c r="K5946" s="1" t="s">
        <v>34</v>
      </c>
      <c r="L5946" s="1">
        <v>7427355</v>
      </c>
      <c r="M5946" s="2">
        <v>42648</v>
      </c>
      <c r="N5946" s="1" t="s">
        <v>8</v>
      </c>
      <c r="O5946" s="2">
        <v>43743</v>
      </c>
    </row>
    <row r="5947" spans="1:15" ht="28.8" x14ac:dyDescent="0.3">
      <c r="A5947" s="1" t="s">
        <v>11633</v>
      </c>
      <c r="B5947" s="1" t="str">
        <f>"ETHERIDGE PLANT HIRE LTD"</f>
        <v>ETHERIDGE PLANT HIRE LTD</v>
      </c>
      <c r="C5947" s="1" t="s">
        <v>11634</v>
      </c>
      <c r="F5947" s="1" t="s">
        <v>380</v>
      </c>
      <c r="H5947" s="1" t="s">
        <v>11635</v>
      </c>
      <c r="I5947" s="1" t="s">
        <v>19</v>
      </c>
      <c r="J5947" s="1" t="s">
        <v>6</v>
      </c>
      <c r="K5947" s="1" t="s">
        <v>34</v>
      </c>
      <c r="L5947" s="1">
        <v>2975901</v>
      </c>
      <c r="M5947" s="2">
        <v>42648</v>
      </c>
      <c r="N5947" s="1" t="s">
        <v>8</v>
      </c>
      <c r="O5947" s="2">
        <v>43758</v>
      </c>
    </row>
    <row r="5948" spans="1:15" ht="28.8" x14ac:dyDescent="0.3">
      <c r="A5948" s="1" t="s">
        <v>11636</v>
      </c>
      <c r="B5948" s="1" t="str">
        <f>"GMEC - Services Limited"</f>
        <v>GMEC - Services Limited</v>
      </c>
      <c r="C5948" s="1" t="s">
        <v>11637</v>
      </c>
      <c r="F5948" s="1" t="s">
        <v>1051</v>
      </c>
      <c r="H5948" s="1" t="s">
        <v>11638</v>
      </c>
      <c r="I5948" s="1" t="s">
        <v>19</v>
      </c>
      <c r="J5948" s="1" t="s">
        <v>6</v>
      </c>
      <c r="K5948" s="1" t="s">
        <v>34</v>
      </c>
      <c r="L5948" s="1">
        <v>7227000</v>
      </c>
      <c r="M5948" s="2">
        <v>42648</v>
      </c>
      <c r="N5948" s="1" t="s">
        <v>8</v>
      </c>
      <c r="O5948" s="2">
        <v>43743</v>
      </c>
    </row>
    <row r="5949" spans="1:15" ht="28.8" x14ac:dyDescent="0.3">
      <c r="A5949" s="1" t="s">
        <v>11639</v>
      </c>
      <c r="B5949" s="1" t="str">
        <f>"KARN Construction Limited"</f>
        <v>KARN Construction Limited</v>
      </c>
      <c r="C5949" s="1" t="s">
        <v>11640</v>
      </c>
      <c r="F5949" s="1" t="s">
        <v>438</v>
      </c>
      <c r="H5949" s="1" t="s">
        <v>11641</v>
      </c>
      <c r="I5949" s="1" t="s">
        <v>19</v>
      </c>
      <c r="J5949" s="1" t="s">
        <v>6</v>
      </c>
      <c r="K5949" s="1" t="s">
        <v>34</v>
      </c>
      <c r="L5949" s="1">
        <v>4800101</v>
      </c>
      <c r="M5949" s="2">
        <v>42648</v>
      </c>
      <c r="N5949" s="1" t="s">
        <v>8</v>
      </c>
      <c r="O5949" s="2">
        <v>43743</v>
      </c>
    </row>
    <row r="5950" spans="1:15" ht="28.8" x14ac:dyDescent="0.3">
      <c r="A5950" s="1" t="s">
        <v>11642</v>
      </c>
      <c r="B5950" s="1" t="str">
        <f>"G.T. WILLIAMS LTD"</f>
        <v>G.T. WILLIAMS LTD</v>
      </c>
      <c r="C5950" s="1" t="s">
        <v>11643</v>
      </c>
      <c r="D5950" s="1" t="s">
        <v>6177</v>
      </c>
      <c r="F5950" s="1" t="s">
        <v>790</v>
      </c>
      <c r="H5950" s="1" t="s">
        <v>11644</v>
      </c>
      <c r="I5950" s="1" t="s">
        <v>19</v>
      </c>
      <c r="J5950" s="1" t="s">
        <v>6</v>
      </c>
      <c r="K5950" s="1" t="s">
        <v>34</v>
      </c>
      <c r="L5950" s="1">
        <v>6036769</v>
      </c>
      <c r="M5950" s="2">
        <v>42648</v>
      </c>
      <c r="N5950" s="1" t="s">
        <v>8</v>
      </c>
      <c r="O5950" s="2">
        <v>43743</v>
      </c>
    </row>
    <row r="5951" spans="1:15" ht="28.8" x14ac:dyDescent="0.3">
      <c r="A5951" s="1" t="s">
        <v>11645</v>
      </c>
      <c r="B5951" s="1" t="str">
        <f>"m j lewis plumbing and heating"</f>
        <v>m j lewis plumbing and heating</v>
      </c>
      <c r="C5951" s="1" t="s">
        <v>11646</v>
      </c>
      <c r="F5951" s="1" t="s">
        <v>2152</v>
      </c>
      <c r="H5951" s="1" t="s">
        <v>11647</v>
      </c>
      <c r="I5951" s="1" t="s">
        <v>19</v>
      </c>
      <c r="J5951" s="1" t="s">
        <v>6</v>
      </c>
      <c r="K5951" s="1" t="s">
        <v>34</v>
      </c>
      <c r="L5951" s="1">
        <v>8978602</v>
      </c>
      <c r="M5951" s="2">
        <v>42648</v>
      </c>
      <c r="N5951" s="1" t="s">
        <v>8</v>
      </c>
      <c r="O5951" s="2">
        <v>43743</v>
      </c>
    </row>
    <row r="5952" spans="1:15" ht="28.8" x14ac:dyDescent="0.3">
      <c r="A5952" s="1" t="s">
        <v>11648</v>
      </c>
      <c r="B5952" s="1" t="str">
        <f>"T J Evans and Son Ltd"</f>
        <v>T J Evans and Son Ltd</v>
      </c>
      <c r="C5952" s="1" t="s">
        <v>11649</v>
      </c>
      <c r="F5952" s="1" t="s">
        <v>65</v>
      </c>
      <c r="H5952" s="1" t="s">
        <v>11650</v>
      </c>
      <c r="I5952" s="1" t="s">
        <v>19</v>
      </c>
      <c r="J5952" s="1" t="s">
        <v>6</v>
      </c>
      <c r="K5952" s="1" t="s">
        <v>24</v>
      </c>
      <c r="L5952" s="1">
        <v>9257097</v>
      </c>
      <c r="M5952" s="2">
        <v>42648</v>
      </c>
      <c r="N5952" s="1" t="s">
        <v>8</v>
      </c>
      <c r="O5952" s="2">
        <v>43743</v>
      </c>
    </row>
    <row r="5953" spans="1:15" ht="28.8" x14ac:dyDescent="0.3">
      <c r="A5953" s="1" t="s">
        <v>12528</v>
      </c>
      <c r="B5953" s="1" t="str">
        <f>"Alisolutions Contemporary glazing"</f>
        <v>Alisolutions Contemporary glazing</v>
      </c>
      <c r="C5953" s="1" t="s">
        <v>12529</v>
      </c>
      <c r="F5953" s="1" t="s">
        <v>6637</v>
      </c>
      <c r="H5953" s="1" t="s">
        <v>12530</v>
      </c>
      <c r="I5953" s="1" t="s">
        <v>19</v>
      </c>
      <c r="J5953" s="1" t="s">
        <v>6</v>
      </c>
      <c r="K5953" s="1" t="s">
        <v>24</v>
      </c>
      <c r="L5953" s="1">
        <v>9908783</v>
      </c>
      <c r="M5953" s="2">
        <v>42648</v>
      </c>
      <c r="N5953" s="1" t="s">
        <v>8</v>
      </c>
      <c r="O5953" s="2">
        <v>43743</v>
      </c>
    </row>
    <row r="5954" spans="1:15" ht="43.2" x14ac:dyDescent="0.3">
      <c r="A5954" s="1" t="s">
        <v>12531</v>
      </c>
      <c r="B5954" s="1" t="str">
        <f>"The Northwood"</f>
        <v>The Northwood</v>
      </c>
      <c r="C5954" s="1" t="s">
        <v>12532</v>
      </c>
      <c r="F5954" s="1" t="s">
        <v>1184</v>
      </c>
      <c r="H5954" s="1" t="s">
        <v>12533</v>
      </c>
      <c r="I5954" s="1" t="s">
        <v>125</v>
      </c>
      <c r="J5954" s="1" t="s">
        <v>67</v>
      </c>
      <c r="K5954" s="1" t="s">
        <v>14</v>
      </c>
      <c r="M5954" s="2">
        <v>42648</v>
      </c>
      <c r="N5954" s="1" t="s">
        <v>8</v>
      </c>
      <c r="O5954" s="1" t="s">
        <v>68</v>
      </c>
    </row>
    <row r="5955" spans="1:15" ht="43.2" x14ac:dyDescent="0.3">
      <c r="A5955" s="1" t="s">
        <v>12534</v>
      </c>
      <c r="B5955" s="1" t="str">
        <f>"Begorras Limited "</f>
        <v xml:space="preserve">Begorras Limited </v>
      </c>
      <c r="C5955" s="1" t="s">
        <v>12535</v>
      </c>
      <c r="F5955" s="1" t="s">
        <v>198</v>
      </c>
      <c r="H5955" s="1" t="s">
        <v>9941</v>
      </c>
      <c r="I5955" s="1" t="s">
        <v>19</v>
      </c>
      <c r="J5955" s="1" t="s">
        <v>67</v>
      </c>
      <c r="K5955" s="1" t="s">
        <v>14</v>
      </c>
      <c r="M5955" s="2">
        <v>42648</v>
      </c>
      <c r="N5955" s="1" t="s">
        <v>8</v>
      </c>
      <c r="O5955" s="1" t="s">
        <v>68</v>
      </c>
    </row>
    <row r="5956" spans="1:15" ht="43.2" x14ac:dyDescent="0.3">
      <c r="A5956" s="1" t="s">
        <v>12536</v>
      </c>
      <c r="B5956" s="1" t="str">
        <f>"Trivallis Ltd"</f>
        <v>Trivallis Ltd</v>
      </c>
      <c r="C5956" s="1" t="s">
        <v>12537</v>
      </c>
      <c r="F5956" s="1" t="s">
        <v>277</v>
      </c>
      <c r="H5956" s="1" t="s">
        <v>5654</v>
      </c>
      <c r="I5956" s="1" t="s">
        <v>1872</v>
      </c>
      <c r="J5956" s="1" t="s">
        <v>67</v>
      </c>
      <c r="K5956" s="1" t="s">
        <v>14</v>
      </c>
      <c r="M5956" s="2">
        <v>42648</v>
      </c>
      <c r="N5956" s="1" t="s">
        <v>8</v>
      </c>
      <c r="O5956" s="1" t="s">
        <v>68</v>
      </c>
    </row>
    <row r="5957" spans="1:15" ht="28.8" x14ac:dyDescent="0.3">
      <c r="A5957" s="1" t="s">
        <v>24581</v>
      </c>
      <c r="B5957" s="1" t="str">
        <f>"Philip Purcell Philip Purcell"</f>
        <v>Philip Purcell Philip Purcell</v>
      </c>
      <c r="C5957" s="1" t="s">
        <v>24582</v>
      </c>
      <c r="F5957" s="1" t="s">
        <v>24583</v>
      </c>
      <c r="H5957" s="1" t="s">
        <v>24584</v>
      </c>
      <c r="I5957" s="1" t="s">
        <v>5</v>
      </c>
      <c r="J5957" s="1" t="s">
        <v>6</v>
      </c>
      <c r="K5957" s="1" t="s">
        <v>24</v>
      </c>
      <c r="M5957" s="2">
        <v>42648</v>
      </c>
      <c r="N5957" s="1" t="s">
        <v>8</v>
      </c>
      <c r="O5957" s="2">
        <v>43743</v>
      </c>
    </row>
    <row r="5958" spans="1:15" ht="28.8" x14ac:dyDescent="0.3">
      <c r="A5958" s="1" t="s">
        <v>25391</v>
      </c>
      <c r="B5958" s="1" t="str">
        <f>"Andrew Howard Low Cost Waste Removals"</f>
        <v>Andrew Howard Low Cost Waste Removals</v>
      </c>
      <c r="C5958" s="1" t="s">
        <v>25392</v>
      </c>
      <c r="D5958" s="1" t="s">
        <v>1350</v>
      </c>
      <c r="F5958" s="1" t="s">
        <v>1351</v>
      </c>
      <c r="H5958" s="1" t="s">
        <v>25393</v>
      </c>
      <c r="I5958" s="1" t="s">
        <v>5</v>
      </c>
      <c r="J5958" s="1" t="s">
        <v>6</v>
      </c>
      <c r="K5958" s="1" t="s">
        <v>24</v>
      </c>
      <c r="M5958" s="2">
        <v>42648</v>
      </c>
      <c r="N5958" s="1" t="s">
        <v>8</v>
      </c>
      <c r="O5958" s="2">
        <v>43743</v>
      </c>
    </row>
    <row r="5959" spans="1:15" ht="28.8" x14ac:dyDescent="0.3">
      <c r="A5959" s="1" t="s">
        <v>25394</v>
      </c>
      <c r="B5959" s="1" t="str">
        <f>"Leslie Bartlett Castlemaintenance"</f>
        <v>Leslie Bartlett Castlemaintenance</v>
      </c>
      <c r="C5959" s="1" t="s">
        <v>25395</v>
      </c>
      <c r="D5959" s="1" t="s">
        <v>25396</v>
      </c>
      <c r="E5959" s="1" t="s">
        <v>25397</v>
      </c>
      <c r="F5959" s="1" t="s">
        <v>4630</v>
      </c>
      <c r="H5959" s="1" t="s">
        <v>25398</v>
      </c>
      <c r="I5959" s="1" t="s">
        <v>5</v>
      </c>
      <c r="J5959" s="1" t="s">
        <v>6</v>
      </c>
      <c r="K5959" s="1" t="s">
        <v>24</v>
      </c>
      <c r="M5959" s="2">
        <v>42648</v>
      </c>
      <c r="N5959" s="1" t="s">
        <v>8</v>
      </c>
      <c r="O5959" s="2">
        <v>43743</v>
      </c>
    </row>
    <row r="5960" spans="1:15" ht="28.8" x14ac:dyDescent="0.3">
      <c r="A5960" s="1" t="s">
        <v>25399</v>
      </c>
      <c r="B5960" s="1" t="str">
        <f>"John Luke John Luke Builders"</f>
        <v>John Luke John Luke Builders</v>
      </c>
      <c r="C5960" s="1" t="s">
        <v>25400</v>
      </c>
      <c r="D5960" s="1" t="s">
        <v>25401</v>
      </c>
      <c r="F5960" s="1" t="s">
        <v>438</v>
      </c>
      <c r="H5960" s="1" t="s">
        <v>25402</v>
      </c>
      <c r="I5960" s="1" t="s">
        <v>5</v>
      </c>
      <c r="J5960" s="1" t="s">
        <v>6</v>
      </c>
      <c r="K5960" s="1" t="s">
        <v>24</v>
      </c>
      <c r="M5960" s="2">
        <v>42648</v>
      </c>
      <c r="N5960" s="1" t="s">
        <v>8</v>
      </c>
      <c r="O5960" s="2">
        <v>43743</v>
      </c>
    </row>
    <row r="5961" spans="1:15" ht="28.8" x14ac:dyDescent="0.3">
      <c r="A5961" s="1" t="s">
        <v>25403</v>
      </c>
      <c r="B5961" s="1" t="str">
        <f>"Andrew Phillips A C Phillips"</f>
        <v>Andrew Phillips A C Phillips</v>
      </c>
      <c r="C5961" s="1" t="s">
        <v>25404</v>
      </c>
      <c r="F5961" s="1" t="s">
        <v>3415</v>
      </c>
      <c r="H5961" s="1" t="s">
        <v>5669</v>
      </c>
      <c r="I5961" s="1" t="s">
        <v>5</v>
      </c>
      <c r="J5961" s="1" t="s">
        <v>6</v>
      </c>
      <c r="K5961" s="1" t="s">
        <v>24</v>
      </c>
      <c r="M5961" s="2">
        <v>42648</v>
      </c>
      <c r="N5961" s="1" t="s">
        <v>8</v>
      </c>
      <c r="O5961" s="2">
        <v>43743</v>
      </c>
    </row>
    <row r="5962" spans="1:15" ht="28.8" x14ac:dyDescent="0.3">
      <c r="A5962" s="1" t="s">
        <v>11608</v>
      </c>
      <c r="B5962" s="1" t="str">
        <f>"Alan Roberts Building and Roofing C"</f>
        <v>Alan Roberts Building and Roofing C</v>
      </c>
      <c r="C5962" s="1" t="s">
        <v>11609</v>
      </c>
      <c r="F5962" s="1" t="s">
        <v>2281</v>
      </c>
      <c r="H5962" s="1" t="s">
        <v>5794</v>
      </c>
      <c r="I5962" s="1" t="s">
        <v>125</v>
      </c>
      <c r="J5962" s="1" t="s">
        <v>6</v>
      </c>
      <c r="K5962" s="1" t="s">
        <v>34</v>
      </c>
      <c r="M5962" s="2">
        <v>42647</v>
      </c>
      <c r="N5962" s="1" t="s">
        <v>8</v>
      </c>
      <c r="O5962" s="2">
        <v>43742</v>
      </c>
    </row>
    <row r="5963" spans="1:15" ht="28.8" x14ac:dyDescent="0.3">
      <c r="A5963" s="1" t="s">
        <v>11610</v>
      </c>
      <c r="B5963" s="1" t="str">
        <f>"JULIAN MOUSLEY &amp; SONS LTD"</f>
        <v>JULIAN MOUSLEY &amp; SONS LTD</v>
      </c>
      <c r="C5963" s="1" t="s">
        <v>11611</v>
      </c>
      <c r="D5963" s="1" t="s">
        <v>3150</v>
      </c>
      <c r="F5963" s="1" t="s">
        <v>96</v>
      </c>
      <c r="H5963" s="1" t="s">
        <v>11612</v>
      </c>
      <c r="I5963" s="1" t="s">
        <v>19</v>
      </c>
      <c r="J5963" s="1" t="s">
        <v>6</v>
      </c>
      <c r="K5963" s="1" t="s">
        <v>24</v>
      </c>
      <c r="L5963" s="1">
        <v>4527185</v>
      </c>
      <c r="M5963" s="2">
        <v>42647</v>
      </c>
      <c r="N5963" s="1" t="s">
        <v>8</v>
      </c>
      <c r="O5963" s="2">
        <v>43847</v>
      </c>
    </row>
    <row r="5964" spans="1:15" ht="28.8" x14ac:dyDescent="0.3">
      <c r="A5964" s="1" t="s">
        <v>11613</v>
      </c>
      <c r="B5964" s="1" t="str">
        <f>"Marton (Civil Engineering) Ltd."</f>
        <v>Marton (Civil Engineering) Ltd.</v>
      </c>
      <c r="C5964" s="1" t="s">
        <v>11614</v>
      </c>
      <c r="D5964" s="1" t="s">
        <v>10958</v>
      </c>
      <c r="F5964" s="1" t="s">
        <v>141</v>
      </c>
      <c r="H5964" s="1" t="s">
        <v>11615</v>
      </c>
      <c r="I5964" s="1" t="s">
        <v>19</v>
      </c>
      <c r="J5964" s="1" t="s">
        <v>6</v>
      </c>
      <c r="K5964" s="1" t="s">
        <v>24</v>
      </c>
      <c r="L5964" s="1">
        <v>1276520</v>
      </c>
      <c r="M5964" s="2">
        <v>42647</v>
      </c>
      <c r="N5964" s="1" t="s">
        <v>8</v>
      </c>
      <c r="O5964" s="2">
        <v>43742</v>
      </c>
    </row>
    <row r="5965" spans="1:15" ht="43.2" x14ac:dyDescent="0.3">
      <c r="A5965" s="1" t="s">
        <v>11616</v>
      </c>
      <c r="B5965" s="1" t="str">
        <f>"autofirma ltd."</f>
        <v>autofirma ltd.</v>
      </c>
      <c r="C5965" s="1" t="s">
        <v>11617</v>
      </c>
      <c r="F5965" s="1" t="s">
        <v>11618</v>
      </c>
      <c r="H5965" s="1" t="s">
        <v>11619</v>
      </c>
      <c r="I5965" s="1" t="s">
        <v>19</v>
      </c>
      <c r="J5965" s="1" t="s">
        <v>67</v>
      </c>
      <c r="K5965" s="1" t="s">
        <v>14</v>
      </c>
      <c r="M5965" s="2">
        <v>42647</v>
      </c>
      <c r="N5965" s="1" t="s">
        <v>8</v>
      </c>
      <c r="O5965" s="1" t="s">
        <v>68</v>
      </c>
    </row>
    <row r="5966" spans="1:15" ht="28.8" x14ac:dyDescent="0.3">
      <c r="A5966" s="1" t="s">
        <v>11620</v>
      </c>
      <c r="B5966" s="1" t="str">
        <f>"LDN Services"</f>
        <v>LDN Services</v>
      </c>
      <c r="C5966" s="1" t="s">
        <v>11621</v>
      </c>
      <c r="F5966" s="1" t="s">
        <v>27</v>
      </c>
      <c r="H5966" s="1" t="s">
        <v>11622</v>
      </c>
      <c r="I5966" s="1" t="s">
        <v>19</v>
      </c>
      <c r="J5966" s="1" t="s">
        <v>6</v>
      </c>
      <c r="K5966" s="1" t="s">
        <v>1859</v>
      </c>
      <c r="L5966" s="1">
        <v>10238068</v>
      </c>
      <c r="M5966" s="2">
        <v>42647</v>
      </c>
      <c r="N5966" s="1" t="s">
        <v>8</v>
      </c>
      <c r="O5966" s="2">
        <v>43742</v>
      </c>
    </row>
    <row r="5967" spans="1:15" ht="28.8" x14ac:dyDescent="0.3">
      <c r="A5967" s="1" t="s">
        <v>11623</v>
      </c>
      <c r="B5967" s="1" t="str">
        <f>"Cirencester property services"</f>
        <v>Cirencester property services</v>
      </c>
      <c r="C5967" s="1" t="s">
        <v>11624</v>
      </c>
      <c r="F5967" s="1" t="s">
        <v>11625</v>
      </c>
      <c r="H5967" s="1" t="s">
        <v>11626</v>
      </c>
      <c r="I5967" s="1" t="s">
        <v>19</v>
      </c>
      <c r="J5967" s="1" t="s">
        <v>6</v>
      </c>
      <c r="K5967" s="1" t="s">
        <v>24</v>
      </c>
      <c r="L5967" s="1">
        <v>7189166</v>
      </c>
      <c r="M5967" s="2">
        <v>42647</v>
      </c>
      <c r="N5967" s="1" t="s">
        <v>8</v>
      </c>
      <c r="O5967" s="2">
        <v>43742</v>
      </c>
    </row>
    <row r="5968" spans="1:15" ht="28.8" x14ac:dyDescent="0.3">
      <c r="A5968" s="1" t="s">
        <v>11627</v>
      </c>
      <c r="B5968" s="1" t="str">
        <f>"AG JAMES &amp; SON (PLANT HIRE) LTD"</f>
        <v>AG JAMES &amp; SON (PLANT HIRE) LTD</v>
      </c>
      <c r="C5968" s="1" t="s">
        <v>11628</v>
      </c>
      <c r="D5968" s="1" t="s">
        <v>11629</v>
      </c>
      <c r="F5968" s="1" t="s">
        <v>621</v>
      </c>
      <c r="H5968" s="1" t="s">
        <v>11630</v>
      </c>
      <c r="I5968" s="1" t="s">
        <v>19</v>
      </c>
      <c r="J5968" s="1" t="s">
        <v>6</v>
      </c>
      <c r="K5968" s="1" t="s">
        <v>24</v>
      </c>
      <c r="L5968" s="1">
        <v>6578975</v>
      </c>
      <c r="M5968" s="2">
        <v>42647</v>
      </c>
      <c r="N5968" s="1" t="s">
        <v>8</v>
      </c>
      <c r="O5968" s="2">
        <v>43742</v>
      </c>
    </row>
    <row r="5969" spans="1:15" ht="28.8" x14ac:dyDescent="0.3">
      <c r="A5969" s="1" t="s">
        <v>23704</v>
      </c>
      <c r="B5969" s="1" t="str">
        <f>"David Nelson A2B Movers Wales"</f>
        <v>David Nelson A2B Movers Wales</v>
      </c>
      <c r="C5969" s="1" t="s">
        <v>23705</v>
      </c>
      <c r="F5969" s="1" t="s">
        <v>1115</v>
      </c>
      <c r="H5969" s="1" t="s">
        <v>23706</v>
      </c>
      <c r="I5969" s="1" t="s">
        <v>5</v>
      </c>
      <c r="J5969" s="1" t="s">
        <v>6</v>
      </c>
      <c r="K5969" s="1" t="s">
        <v>24</v>
      </c>
      <c r="M5969" s="2">
        <v>42647</v>
      </c>
      <c r="N5969" s="1" t="s">
        <v>8</v>
      </c>
      <c r="O5969" s="2">
        <v>43742</v>
      </c>
    </row>
    <row r="5970" spans="1:15" ht="43.2" x14ac:dyDescent="0.3">
      <c r="A5970" s="1" t="s">
        <v>24563</v>
      </c>
      <c r="B5970" s="1" t="str">
        <f>"Peter  John"</f>
        <v>Peter  John</v>
      </c>
      <c r="C5970" s="1" t="s">
        <v>24564</v>
      </c>
      <c r="D5970" s="1" t="s">
        <v>18782</v>
      </c>
      <c r="F5970" s="1" t="s">
        <v>865</v>
      </c>
      <c r="H5970" s="1" t="s">
        <v>24565</v>
      </c>
      <c r="I5970" s="1" t="s">
        <v>5</v>
      </c>
      <c r="J5970" s="1" t="s">
        <v>67</v>
      </c>
      <c r="K5970" s="1" t="s">
        <v>24</v>
      </c>
      <c r="M5970" s="2">
        <v>42647</v>
      </c>
      <c r="N5970" s="1" t="s">
        <v>8</v>
      </c>
      <c r="O5970" s="1" t="s">
        <v>68</v>
      </c>
    </row>
    <row r="5971" spans="1:15" ht="28.8" x14ac:dyDescent="0.3">
      <c r="A5971" s="1" t="s">
        <v>24566</v>
      </c>
      <c r="B5971" s="1" t="str">
        <f>"Keith Walter Barnes"</f>
        <v>Keith Walter Barnes</v>
      </c>
      <c r="C5971" s="1" t="s">
        <v>24567</v>
      </c>
      <c r="F5971" s="1" t="s">
        <v>277</v>
      </c>
      <c r="H5971" s="1" t="s">
        <v>24568</v>
      </c>
      <c r="I5971" s="1" t="s">
        <v>5</v>
      </c>
      <c r="J5971" s="1" t="s">
        <v>6</v>
      </c>
      <c r="K5971" s="1" t="s">
        <v>24</v>
      </c>
      <c r="M5971" s="2">
        <v>42647</v>
      </c>
      <c r="N5971" s="1" t="s">
        <v>8</v>
      </c>
      <c r="O5971" s="2">
        <v>43742</v>
      </c>
    </row>
    <row r="5972" spans="1:15" ht="43.2" x14ac:dyDescent="0.3">
      <c r="A5972" s="1" t="s">
        <v>24569</v>
      </c>
      <c r="B5972" s="1" t="str">
        <f>"harsharan singh"</f>
        <v>harsharan singh</v>
      </c>
      <c r="C5972" s="1" t="s">
        <v>24570</v>
      </c>
      <c r="F5972" s="1" t="s">
        <v>508</v>
      </c>
      <c r="H5972" s="1" t="s">
        <v>24571</v>
      </c>
      <c r="I5972" s="1" t="s">
        <v>5</v>
      </c>
      <c r="J5972" s="1" t="s">
        <v>67</v>
      </c>
      <c r="K5972" s="1" t="s">
        <v>14</v>
      </c>
      <c r="M5972" s="2">
        <v>42647</v>
      </c>
      <c r="N5972" s="1" t="s">
        <v>8</v>
      </c>
      <c r="O5972" s="1" t="s">
        <v>68</v>
      </c>
    </row>
    <row r="5973" spans="1:15" ht="43.2" x14ac:dyDescent="0.3">
      <c r="A5973" s="1" t="s">
        <v>24572</v>
      </c>
      <c r="B5973" s="1" t="str">
        <f>"mike mackay"</f>
        <v>mike mackay</v>
      </c>
      <c r="C5973" s="1" t="s">
        <v>24573</v>
      </c>
      <c r="F5973" s="1" t="s">
        <v>555</v>
      </c>
      <c r="H5973" s="1" t="s">
        <v>24574</v>
      </c>
      <c r="I5973" s="1" t="s">
        <v>5</v>
      </c>
      <c r="J5973" s="1" t="s">
        <v>67</v>
      </c>
      <c r="K5973" s="1" t="s">
        <v>14</v>
      </c>
      <c r="M5973" s="2">
        <v>42647</v>
      </c>
      <c r="N5973" s="1" t="s">
        <v>8</v>
      </c>
      <c r="O5973" s="1" t="s">
        <v>68</v>
      </c>
    </row>
    <row r="5974" spans="1:15" ht="28.8" x14ac:dyDescent="0.3">
      <c r="A5974" s="1" t="s">
        <v>24575</v>
      </c>
      <c r="B5974" s="1" t="str">
        <f>"Sam Mccann S m scrap metals"</f>
        <v>Sam Mccann S m scrap metals</v>
      </c>
      <c r="C5974" s="1" t="s">
        <v>24576</v>
      </c>
      <c r="F5974" s="1" t="s">
        <v>27</v>
      </c>
      <c r="H5974" s="1" t="s">
        <v>24577</v>
      </c>
      <c r="I5974" s="1" t="s">
        <v>5</v>
      </c>
      <c r="J5974" s="1" t="s">
        <v>6</v>
      </c>
      <c r="K5974" s="1" t="s">
        <v>24</v>
      </c>
      <c r="M5974" s="2">
        <v>42647</v>
      </c>
      <c r="N5974" s="1" t="s">
        <v>8</v>
      </c>
      <c r="O5974" s="2">
        <v>43742</v>
      </c>
    </row>
    <row r="5975" spans="1:15" ht="43.2" x14ac:dyDescent="0.3">
      <c r="A5975" s="1" t="s">
        <v>24578</v>
      </c>
      <c r="B5975" s="1" t="str">
        <f>"Jeffrey James Jeff James building contractor"</f>
        <v>Jeffrey James Jeff James building contractor</v>
      </c>
      <c r="C5975" s="1" t="s">
        <v>24579</v>
      </c>
      <c r="D5975" s="1" t="s">
        <v>13380</v>
      </c>
      <c r="E5975" s="1" t="s">
        <v>13381</v>
      </c>
      <c r="F5975" s="1" t="s">
        <v>91</v>
      </c>
      <c r="H5975" s="1" t="s">
        <v>24580</v>
      </c>
      <c r="I5975" s="1" t="s">
        <v>5</v>
      </c>
      <c r="J5975" s="1" t="s">
        <v>6</v>
      </c>
      <c r="K5975" s="1" t="s">
        <v>24</v>
      </c>
      <c r="M5975" s="2">
        <v>42647</v>
      </c>
      <c r="N5975" s="1" t="s">
        <v>8</v>
      </c>
      <c r="O5975" s="2">
        <v>43742</v>
      </c>
    </row>
    <row r="5976" spans="1:15" ht="28.8" x14ac:dyDescent="0.3">
      <c r="A5976" s="1" t="s">
        <v>9490</v>
      </c>
      <c r="B5976" s="1" t="str">
        <f>"Ken Williams Motors LTD"</f>
        <v>Ken Williams Motors LTD</v>
      </c>
      <c r="C5976" s="1" t="s">
        <v>9491</v>
      </c>
      <c r="D5976" s="1" t="s">
        <v>9492</v>
      </c>
      <c r="E5976" s="1" t="s">
        <v>2041</v>
      </c>
      <c r="F5976" s="1" t="s">
        <v>65</v>
      </c>
      <c r="H5976" s="1" t="s">
        <v>8211</v>
      </c>
      <c r="I5976" s="1" t="s">
        <v>19</v>
      </c>
      <c r="J5976" s="1" t="s">
        <v>6</v>
      </c>
      <c r="K5976" s="1" t="s">
        <v>24</v>
      </c>
      <c r="L5976" s="1">
        <v>8010504</v>
      </c>
      <c r="M5976" s="2">
        <v>42646</v>
      </c>
      <c r="N5976" s="1" t="s">
        <v>8</v>
      </c>
      <c r="O5976" s="2">
        <v>43741</v>
      </c>
    </row>
    <row r="5977" spans="1:15" ht="28.8" x14ac:dyDescent="0.3">
      <c r="A5977" s="1" t="s">
        <v>9493</v>
      </c>
      <c r="B5977" s="1" t="str">
        <f>"Central Roofing (South Wales) Ltd."</f>
        <v>Central Roofing (South Wales) Ltd.</v>
      </c>
      <c r="C5977" s="1" t="s">
        <v>5743</v>
      </c>
      <c r="F5977" s="1" t="s">
        <v>865</v>
      </c>
      <c r="H5977" s="1" t="s">
        <v>5744</v>
      </c>
      <c r="I5977" s="1" t="s">
        <v>19</v>
      </c>
      <c r="J5977" s="1" t="s">
        <v>6</v>
      </c>
      <c r="K5977" s="1" t="s">
        <v>34</v>
      </c>
      <c r="L5977" s="1">
        <v>5091693</v>
      </c>
      <c r="M5977" s="2">
        <v>42646</v>
      </c>
      <c r="N5977" s="1" t="s">
        <v>8</v>
      </c>
      <c r="O5977" s="2">
        <v>43741</v>
      </c>
    </row>
    <row r="5978" spans="1:15" ht="28.8" x14ac:dyDescent="0.3">
      <c r="A5978" s="1" t="s">
        <v>9494</v>
      </c>
      <c r="B5978" s="1" t="str">
        <f>"R.E.D Building Services"</f>
        <v>R.E.D Building Services</v>
      </c>
      <c r="C5978" s="1" t="s">
        <v>9495</v>
      </c>
      <c r="F5978" s="1" t="s">
        <v>134</v>
      </c>
      <c r="H5978" s="1" t="s">
        <v>9496</v>
      </c>
      <c r="I5978" s="1" t="s">
        <v>125</v>
      </c>
      <c r="J5978" s="1" t="s">
        <v>6</v>
      </c>
      <c r="K5978" s="1" t="s">
        <v>34</v>
      </c>
      <c r="M5978" s="2">
        <v>42646</v>
      </c>
      <c r="N5978" s="1" t="s">
        <v>8</v>
      </c>
      <c r="O5978" s="2">
        <v>43741</v>
      </c>
    </row>
    <row r="5979" spans="1:15" ht="28.8" x14ac:dyDescent="0.3">
      <c r="A5979" s="1" t="s">
        <v>9497</v>
      </c>
      <c r="B5979" s="1" t="str">
        <f>"Tom Lewis Contracting Ltd"</f>
        <v>Tom Lewis Contracting Ltd</v>
      </c>
      <c r="C5979" s="1" t="s">
        <v>9498</v>
      </c>
      <c r="F5979" s="1" t="s">
        <v>409</v>
      </c>
      <c r="H5979" s="1" t="s">
        <v>9499</v>
      </c>
      <c r="I5979" s="1" t="s">
        <v>19</v>
      </c>
      <c r="J5979" s="1" t="s">
        <v>6</v>
      </c>
      <c r="K5979" s="1" t="s">
        <v>34</v>
      </c>
      <c r="L5979" s="1">
        <v>8460200</v>
      </c>
      <c r="M5979" s="2">
        <v>42646</v>
      </c>
      <c r="N5979" s="1" t="s">
        <v>8</v>
      </c>
      <c r="O5979" s="2">
        <v>43741</v>
      </c>
    </row>
    <row r="5980" spans="1:15" ht="43.2" x14ac:dyDescent="0.3">
      <c r="A5980" s="1" t="s">
        <v>9500</v>
      </c>
      <c r="B5980" s="1" t="str">
        <f>"richards framing"</f>
        <v>richards framing</v>
      </c>
      <c r="C5980" s="1" t="s">
        <v>4826</v>
      </c>
      <c r="F5980" s="1" t="s">
        <v>27</v>
      </c>
      <c r="H5980" s="1" t="s">
        <v>4827</v>
      </c>
      <c r="I5980" s="1" t="s">
        <v>19</v>
      </c>
      <c r="J5980" s="1" t="s">
        <v>67</v>
      </c>
      <c r="K5980" s="1" t="s">
        <v>14</v>
      </c>
      <c r="M5980" s="2">
        <v>42646</v>
      </c>
      <c r="N5980" s="1" t="s">
        <v>8</v>
      </c>
      <c r="O5980" s="1" t="s">
        <v>68</v>
      </c>
    </row>
    <row r="5981" spans="1:15" ht="43.2" x14ac:dyDescent="0.3">
      <c r="A5981" s="1" t="s">
        <v>9501</v>
      </c>
      <c r="B5981" s="1" t="str">
        <f>"G D  Evans Holdings Ltd."</f>
        <v>G D  Evans Holdings Ltd.</v>
      </c>
      <c r="C5981" s="1" t="s">
        <v>9502</v>
      </c>
      <c r="D5981" s="1" t="s">
        <v>934</v>
      </c>
      <c r="F5981" s="1" t="s">
        <v>873</v>
      </c>
      <c r="H5981" s="1" t="s">
        <v>7599</v>
      </c>
      <c r="I5981" s="1" t="s">
        <v>19</v>
      </c>
      <c r="J5981" s="1" t="s">
        <v>6</v>
      </c>
      <c r="K5981" s="1" t="s">
        <v>34</v>
      </c>
      <c r="L5981" s="1">
        <v>1216483</v>
      </c>
      <c r="M5981" s="2">
        <v>42646</v>
      </c>
      <c r="N5981" s="1" t="s">
        <v>8</v>
      </c>
      <c r="O5981" s="2">
        <v>43741</v>
      </c>
    </row>
    <row r="5982" spans="1:15" ht="28.8" x14ac:dyDescent="0.3">
      <c r="A5982" s="1" t="s">
        <v>10586</v>
      </c>
      <c r="B5982" s="1" t="str">
        <f>"DG WINDOW SERVICES LTD"</f>
        <v>DG WINDOW SERVICES LTD</v>
      </c>
      <c r="C5982" s="1" t="s">
        <v>10587</v>
      </c>
      <c r="D5982" s="1" t="s">
        <v>10588</v>
      </c>
      <c r="F5982" s="1" t="s">
        <v>10589</v>
      </c>
      <c r="H5982" s="1" t="s">
        <v>966</v>
      </c>
      <c r="I5982" s="1" t="s">
        <v>19</v>
      </c>
      <c r="J5982" s="1" t="s">
        <v>6</v>
      </c>
      <c r="K5982" s="1" t="s">
        <v>24</v>
      </c>
      <c r="L5982" s="1">
        <v>4837510</v>
      </c>
      <c r="M5982" s="2">
        <v>42646</v>
      </c>
      <c r="N5982" s="1" t="s">
        <v>8</v>
      </c>
      <c r="O5982" s="2">
        <v>43741</v>
      </c>
    </row>
    <row r="5983" spans="1:15" ht="28.8" x14ac:dyDescent="0.3">
      <c r="A5983" s="1" t="s">
        <v>10590</v>
      </c>
      <c r="B5983" s="1" t="str">
        <f>"Pyramid Hygiene Ltd."</f>
        <v>Pyramid Hygiene Ltd.</v>
      </c>
      <c r="C5983" s="1" t="s">
        <v>10591</v>
      </c>
      <c r="D5983" s="1" t="s">
        <v>5722</v>
      </c>
      <c r="F5983" s="1" t="s">
        <v>380</v>
      </c>
      <c r="H5983" s="1" t="s">
        <v>8860</v>
      </c>
      <c r="I5983" s="1" t="s">
        <v>19</v>
      </c>
      <c r="J5983" s="1" t="s">
        <v>6</v>
      </c>
      <c r="K5983" s="1" t="s">
        <v>24</v>
      </c>
      <c r="L5983" s="1">
        <v>3863334</v>
      </c>
      <c r="M5983" s="2">
        <v>42646</v>
      </c>
      <c r="N5983" s="1" t="s">
        <v>8</v>
      </c>
      <c r="O5983" s="2">
        <v>43741</v>
      </c>
    </row>
    <row r="5984" spans="1:15" ht="28.8" x14ac:dyDescent="0.3">
      <c r="A5984" s="1" t="s">
        <v>10592</v>
      </c>
      <c r="B5984" s="1" t="str">
        <f>"GWALIA CYF"</f>
        <v>GWALIA CYF</v>
      </c>
      <c r="C5984" s="1" t="s">
        <v>10593</v>
      </c>
      <c r="F5984" s="1" t="s">
        <v>374</v>
      </c>
      <c r="H5984" s="1" t="s">
        <v>10594</v>
      </c>
      <c r="I5984" s="1" t="s">
        <v>19</v>
      </c>
      <c r="J5984" s="1" t="s">
        <v>6</v>
      </c>
      <c r="K5984" s="1" t="s">
        <v>34</v>
      </c>
      <c r="L5984" s="1">
        <v>8714647</v>
      </c>
      <c r="M5984" s="2">
        <v>42646</v>
      </c>
      <c r="N5984" s="1" t="s">
        <v>8</v>
      </c>
      <c r="O5984" s="2">
        <v>43741</v>
      </c>
    </row>
    <row r="5985" spans="1:15" ht="28.8" x14ac:dyDescent="0.3">
      <c r="A5985" s="1" t="s">
        <v>22921</v>
      </c>
      <c r="B5985" s="1" t="str">
        <f>"Peter Simmons Peter Simmons Construction"</f>
        <v>Peter Simmons Peter Simmons Construction</v>
      </c>
      <c r="C5985" s="1" t="s">
        <v>22922</v>
      </c>
      <c r="D5985" s="1" t="s">
        <v>22923</v>
      </c>
      <c r="F5985" s="1" t="s">
        <v>22</v>
      </c>
      <c r="H5985" s="1" t="s">
        <v>22924</v>
      </c>
      <c r="I5985" s="1" t="s">
        <v>5</v>
      </c>
      <c r="J5985" s="1" t="s">
        <v>6</v>
      </c>
      <c r="K5985" s="1" t="s">
        <v>34</v>
      </c>
      <c r="M5985" s="2">
        <v>42646</v>
      </c>
      <c r="N5985" s="1" t="s">
        <v>8</v>
      </c>
      <c r="O5985" s="2">
        <v>43741</v>
      </c>
    </row>
    <row r="5986" spans="1:15" ht="28.8" x14ac:dyDescent="0.3">
      <c r="A5986" s="1" t="s">
        <v>22925</v>
      </c>
      <c r="B5986" s="1" t="str">
        <f>"michael anderson michael anderson"</f>
        <v>michael anderson michael anderson</v>
      </c>
      <c r="C5986" s="1" t="s">
        <v>22178</v>
      </c>
      <c r="F5986" s="1" t="s">
        <v>27</v>
      </c>
      <c r="H5986" s="1" t="s">
        <v>22179</v>
      </c>
      <c r="I5986" s="1" t="s">
        <v>5</v>
      </c>
      <c r="J5986" s="1" t="s">
        <v>6</v>
      </c>
      <c r="K5986" s="1" t="s">
        <v>34</v>
      </c>
      <c r="M5986" s="2">
        <v>42646</v>
      </c>
      <c r="N5986" s="1" t="s">
        <v>8</v>
      </c>
      <c r="O5986" s="2">
        <v>43741</v>
      </c>
    </row>
    <row r="5987" spans="1:15" ht="43.2" x14ac:dyDescent="0.3">
      <c r="A5987" s="1" t="s">
        <v>22926</v>
      </c>
      <c r="B5987" s="1" t="str">
        <f>"GARETH BELL"</f>
        <v>GARETH BELL</v>
      </c>
      <c r="C5987" s="1" t="s">
        <v>22927</v>
      </c>
      <c r="F5987" s="1" t="s">
        <v>739</v>
      </c>
      <c r="H5987" s="1" t="s">
        <v>22928</v>
      </c>
      <c r="I5987" s="1" t="s">
        <v>5</v>
      </c>
      <c r="J5987" s="1" t="s">
        <v>67</v>
      </c>
      <c r="K5987" s="1" t="s">
        <v>14</v>
      </c>
      <c r="M5987" s="2">
        <v>42646</v>
      </c>
      <c r="N5987" s="1" t="s">
        <v>8</v>
      </c>
      <c r="O5987" s="1" t="s">
        <v>68</v>
      </c>
    </row>
    <row r="5988" spans="1:15" ht="28.8" x14ac:dyDescent="0.3">
      <c r="A5988" s="1" t="s">
        <v>22929</v>
      </c>
      <c r="B5988" s="1" t="str">
        <f>"Brian James Allfit Installations"</f>
        <v>Brian James Allfit Installations</v>
      </c>
      <c r="C5988" s="1" t="s">
        <v>22930</v>
      </c>
      <c r="F5988" s="1" t="s">
        <v>277</v>
      </c>
      <c r="H5988" s="1" t="s">
        <v>22931</v>
      </c>
      <c r="I5988" s="1" t="s">
        <v>5</v>
      </c>
      <c r="J5988" s="1" t="s">
        <v>6</v>
      </c>
      <c r="K5988" s="1" t="s">
        <v>24</v>
      </c>
      <c r="M5988" s="2">
        <v>42646</v>
      </c>
      <c r="N5988" s="1" t="s">
        <v>8</v>
      </c>
      <c r="O5988" s="2">
        <v>43741</v>
      </c>
    </row>
    <row r="5989" spans="1:15" x14ac:dyDescent="0.3">
      <c r="A5989" s="1" t="s">
        <v>22932</v>
      </c>
      <c r="B5989" s="1" t="str">
        <f>"Davied Howell"</f>
        <v>Davied Howell</v>
      </c>
      <c r="C5989" s="1" t="s">
        <v>22933</v>
      </c>
      <c r="F5989" s="1" t="s">
        <v>3242</v>
      </c>
      <c r="H5989" s="1" t="s">
        <v>22934</v>
      </c>
      <c r="I5989" s="1" t="s">
        <v>5</v>
      </c>
      <c r="J5989" s="1" t="s">
        <v>6</v>
      </c>
      <c r="K5989" s="1" t="s">
        <v>24</v>
      </c>
      <c r="M5989" s="2">
        <v>42646</v>
      </c>
      <c r="N5989" s="1" t="s">
        <v>8</v>
      </c>
      <c r="O5989" s="2">
        <v>43741</v>
      </c>
    </row>
    <row r="5990" spans="1:15" ht="43.2" x14ac:dyDescent="0.3">
      <c r="A5990" s="1" t="s">
        <v>22935</v>
      </c>
      <c r="B5990" s="1" t="str">
        <f>"barjesh kumar"</f>
        <v>barjesh kumar</v>
      </c>
      <c r="C5990" s="1" t="s">
        <v>22936</v>
      </c>
      <c r="F5990" s="1" t="s">
        <v>65</v>
      </c>
      <c r="H5990" s="1" t="s">
        <v>22937</v>
      </c>
      <c r="I5990" s="1" t="s">
        <v>5</v>
      </c>
      <c r="J5990" s="1" t="s">
        <v>67</v>
      </c>
      <c r="K5990" s="1" t="s">
        <v>14</v>
      </c>
      <c r="M5990" s="2">
        <v>42646</v>
      </c>
      <c r="N5990" s="1" t="s">
        <v>8</v>
      </c>
      <c r="O5990" s="1" t="s">
        <v>68</v>
      </c>
    </row>
    <row r="5991" spans="1:15" ht="43.2" x14ac:dyDescent="0.3">
      <c r="A5991" s="1" t="s">
        <v>22938</v>
      </c>
      <c r="B5991" s="1" t="str">
        <f>"y kumar"</f>
        <v>y kumar</v>
      </c>
      <c r="C5991" s="1" t="s">
        <v>22939</v>
      </c>
      <c r="F5991" s="1" t="s">
        <v>1351</v>
      </c>
      <c r="H5991" s="1" t="s">
        <v>22940</v>
      </c>
      <c r="I5991" s="1" t="s">
        <v>5</v>
      </c>
      <c r="J5991" s="1" t="s">
        <v>67</v>
      </c>
      <c r="K5991" s="1" t="s">
        <v>14</v>
      </c>
      <c r="M5991" s="2">
        <v>42646</v>
      </c>
      <c r="N5991" s="1" t="s">
        <v>8</v>
      </c>
      <c r="O5991" s="1" t="s">
        <v>68</v>
      </c>
    </row>
    <row r="5992" spans="1:15" ht="28.8" x14ac:dyDescent="0.3">
      <c r="A5992" s="1" t="s">
        <v>23685</v>
      </c>
      <c r="B5992" s="1" t="str">
        <f>"Robert Wood Rob Wood Services"</f>
        <v>Robert Wood Rob Wood Services</v>
      </c>
      <c r="C5992" s="1" t="s">
        <v>23686</v>
      </c>
      <c r="F5992" s="1" t="s">
        <v>5683</v>
      </c>
      <c r="H5992" s="1" t="s">
        <v>19304</v>
      </c>
      <c r="I5992" s="1" t="s">
        <v>5</v>
      </c>
      <c r="J5992" s="1" t="s">
        <v>6</v>
      </c>
      <c r="K5992" s="1" t="s">
        <v>24</v>
      </c>
      <c r="M5992" s="2">
        <v>42646</v>
      </c>
      <c r="N5992" s="1" t="s">
        <v>8</v>
      </c>
      <c r="O5992" s="2">
        <v>43741</v>
      </c>
    </row>
    <row r="5993" spans="1:15" ht="28.8" x14ac:dyDescent="0.3">
      <c r="A5993" s="1" t="s">
        <v>23687</v>
      </c>
      <c r="B5993" s="1" t="str">
        <f>"Luigi Rimonti  Eco services"</f>
        <v>Luigi Rimonti  Eco services</v>
      </c>
      <c r="C5993" s="1" t="s">
        <v>23688</v>
      </c>
      <c r="F5993" s="1" t="s">
        <v>27</v>
      </c>
      <c r="H5993" s="1" t="s">
        <v>23190</v>
      </c>
      <c r="I5993" s="1" t="s">
        <v>5</v>
      </c>
      <c r="J5993" s="1" t="s">
        <v>6</v>
      </c>
      <c r="K5993" s="1" t="s">
        <v>24</v>
      </c>
      <c r="M5993" s="2">
        <v>42646</v>
      </c>
      <c r="N5993" s="1" t="s">
        <v>8</v>
      </c>
      <c r="O5993" s="2">
        <v>43741</v>
      </c>
    </row>
    <row r="5994" spans="1:15" ht="43.2" x14ac:dyDescent="0.3">
      <c r="A5994" s="1" t="s">
        <v>23689</v>
      </c>
      <c r="B5994" s="1" t="str">
        <f>"Jane Capewell"</f>
        <v>Jane Capewell</v>
      </c>
      <c r="C5994" s="1" t="s">
        <v>23690</v>
      </c>
      <c r="F5994" s="1" t="s">
        <v>5506</v>
      </c>
      <c r="H5994" s="1" t="s">
        <v>23691</v>
      </c>
      <c r="I5994" s="1" t="s">
        <v>5</v>
      </c>
      <c r="J5994" s="1" t="s">
        <v>67</v>
      </c>
      <c r="K5994" s="1" t="s">
        <v>14</v>
      </c>
      <c r="M5994" s="2">
        <v>42646</v>
      </c>
      <c r="N5994" s="1" t="s">
        <v>8</v>
      </c>
      <c r="O5994" s="1" t="s">
        <v>68</v>
      </c>
    </row>
    <row r="5995" spans="1:15" ht="43.2" x14ac:dyDescent="0.3">
      <c r="A5995" s="1" t="s">
        <v>23692</v>
      </c>
      <c r="B5995" s="1" t="str">
        <f>"Clive Gale"</f>
        <v>Clive Gale</v>
      </c>
      <c r="C5995" s="1" t="s">
        <v>23693</v>
      </c>
      <c r="F5995" s="1" t="s">
        <v>11618</v>
      </c>
      <c r="H5995" s="1" t="s">
        <v>23694</v>
      </c>
      <c r="I5995" s="1" t="s">
        <v>5</v>
      </c>
      <c r="J5995" s="1" t="s">
        <v>67</v>
      </c>
      <c r="K5995" s="1" t="s">
        <v>14</v>
      </c>
      <c r="M5995" s="2">
        <v>42646</v>
      </c>
      <c r="N5995" s="1" t="s">
        <v>8</v>
      </c>
      <c r="O5995" s="1" t="s">
        <v>68</v>
      </c>
    </row>
    <row r="5996" spans="1:15" ht="43.2" x14ac:dyDescent="0.3">
      <c r="A5996" s="1" t="s">
        <v>23695</v>
      </c>
      <c r="B5996" s="1" t="str">
        <f>"Vicky Jones"</f>
        <v>Vicky Jones</v>
      </c>
      <c r="C5996" s="1" t="s">
        <v>23696</v>
      </c>
      <c r="F5996" s="1" t="s">
        <v>3371</v>
      </c>
      <c r="H5996" s="1" t="s">
        <v>23697</v>
      </c>
      <c r="I5996" s="1" t="s">
        <v>5</v>
      </c>
      <c r="J5996" s="1" t="s">
        <v>67</v>
      </c>
      <c r="K5996" s="1" t="s">
        <v>14</v>
      </c>
      <c r="M5996" s="2">
        <v>42646</v>
      </c>
      <c r="N5996" s="1" t="s">
        <v>8</v>
      </c>
      <c r="O5996" s="1" t="s">
        <v>68</v>
      </c>
    </row>
    <row r="5997" spans="1:15" ht="43.2" x14ac:dyDescent="0.3">
      <c r="A5997" s="1" t="s">
        <v>23698</v>
      </c>
      <c r="B5997" s="1" t="str">
        <f>"Antony Seabourne a seabourne roofing and building"</f>
        <v>Antony Seabourne a seabourne roofing and building</v>
      </c>
      <c r="C5997" s="1" t="s">
        <v>23699</v>
      </c>
      <c r="F5997" s="1" t="s">
        <v>103</v>
      </c>
      <c r="H5997" s="1" t="s">
        <v>23700</v>
      </c>
      <c r="I5997" s="1" t="s">
        <v>5</v>
      </c>
      <c r="J5997" s="1" t="s">
        <v>6</v>
      </c>
      <c r="K5997" s="1" t="s">
        <v>34</v>
      </c>
      <c r="M5997" s="2">
        <v>42646</v>
      </c>
      <c r="N5997" s="1" t="s">
        <v>8</v>
      </c>
      <c r="O5997" s="2">
        <v>43741</v>
      </c>
    </row>
    <row r="5998" spans="1:15" ht="43.2" x14ac:dyDescent="0.3">
      <c r="A5998" s="1" t="s">
        <v>23701</v>
      </c>
      <c r="B5998" s="1" t="str">
        <f>"David Richard Griffiths"</f>
        <v>David Richard Griffiths</v>
      </c>
      <c r="C5998" s="1" t="s">
        <v>23702</v>
      </c>
      <c r="F5998" s="1" t="s">
        <v>96</v>
      </c>
      <c r="H5998" s="1" t="s">
        <v>23703</v>
      </c>
      <c r="I5998" s="1" t="s">
        <v>5</v>
      </c>
      <c r="J5998" s="1" t="s">
        <v>67</v>
      </c>
      <c r="K5998" s="1" t="s">
        <v>34</v>
      </c>
      <c r="M5998" s="2">
        <v>42646</v>
      </c>
      <c r="N5998" s="1" t="s">
        <v>8</v>
      </c>
      <c r="O5998" s="1" t="s">
        <v>68</v>
      </c>
    </row>
    <row r="5999" spans="1:15" ht="43.2" x14ac:dyDescent="0.3">
      <c r="A5999" s="1" t="s">
        <v>8333</v>
      </c>
      <c r="B5999" s="1" t="str">
        <f>"Barnsbury Stores"</f>
        <v>Barnsbury Stores</v>
      </c>
      <c r="C5999" s="1" t="s">
        <v>8334</v>
      </c>
      <c r="F5999" s="1" t="s">
        <v>170</v>
      </c>
      <c r="H5999" s="1" t="s">
        <v>8335</v>
      </c>
      <c r="I5999" s="1" t="s">
        <v>125</v>
      </c>
      <c r="J5999" s="1" t="s">
        <v>67</v>
      </c>
      <c r="K5999" s="1" t="s">
        <v>14</v>
      </c>
      <c r="M5999" s="2">
        <v>42645</v>
      </c>
      <c r="N5999" s="1" t="s">
        <v>8</v>
      </c>
      <c r="O5999" s="1" t="s">
        <v>68</v>
      </c>
    </row>
    <row r="6000" spans="1:15" ht="43.2" x14ac:dyDescent="0.3">
      <c r="A6000" s="1" t="s">
        <v>22177</v>
      </c>
      <c r="B6000" s="1" t="str">
        <f>"Michael Anderson"</f>
        <v>Michael Anderson</v>
      </c>
      <c r="C6000" s="1" t="s">
        <v>22178</v>
      </c>
      <c r="F6000" s="1" t="s">
        <v>27</v>
      </c>
      <c r="H6000" s="1" t="s">
        <v>22179</v>
      </c>
      <c r="I6000" s="1" t="s">
        <v>5</v>
      </c>
      <c r="J6000" s="1" t="s">
        <v>67</v>
      </c>
      <c r="K6000" s="1" t="s">
        <v>34</v>
      </c>
      <c r="M6000" s="2">
        <v>42645</v>
      </c>
      <c r="N6000" s="1" t="s">
        <v>8</v>
      </c>
      <c r="O6000" s="1" t="s">
        <v>68</v>
      </c>
    </row>
    <row r="6001" spans="1:15" ht="28.8" x14ac:dyDescent="0.3">
      <c r="A6001" s="1" t="s">
        <v>22180</v>
      </c>
      <c r="B6001" s="1" t="str">
        <f>"David Bishop Dai digger"</f>
        <v>David Bishop Dai digger</v>
      </c>
      <c r="C6001" s="1" t="s">
        <v>22181</v>
      </c>
      <c r="F6001" s="1" t="s">
        <v>65</v>
      </c>
      <c r="H6001" s="1" t="s">
        <v>22182</v>
      </c>
      <c r="I6001" s="1" t="s">
        <v>5</v>
      </c>
      <c r="J6001" s="1" t="s">
        <v>6</v>
      </c>
      <c r="K6001" s="1" t="s">
        <v>34</v>
      </c>
      <c r="M6001" s="2">
        <v>42645</v>
      </c>
      <c r="N6001" s="1" t="s">
        <v>8</v>
      </c>
      <c r="O6001" s="2">
        <v>43738</v>
      </c>
    </row>
    <row r="6002" spans="1:15" ht="43.2" x14ac:dyDescent="0.3">
      <c r="A6002" s="1" t="s">
        <v>22915</v>
      </c>
      <c r="B6002" s="1" t="str">
        <f>"Dean Wood Dean Wood carpenter and builder"</f>
        <v>Dean Wood Dean Wood carpenter and builder</v>
      </c>
      <c r="C6002" s="1" t="s">
        <v>22916</v>
      </c>
      <c r="F6002" s="1" t="s">
        <v>865</v>
      </c>
      <c r="H6002" s="1" t="s">
        <v>22917</v>
      </c>
      <c r="I6002" s="1" t="s">
        <v>5</v>
      </c>
      <c r="J6002" s="1" t="s">
        <v>6</v>
      </c>
      <c r="K6002" s="1" t="s">
        <v>34</v>
      </c>
      <c r="M6002" s="2">
        <v>42645</v>
      </c>
      <c r="N6002" s="1" t="s">
        <v>8</v>
      </c>
      <c r="O6002" s="2">
        <v>43740</v>
      </c>
    </row>
    <row r="6003" spans="1:15" ht="43.2" x14ac:dyDescent="0.3">
      <c r="A6003" s="1" t="s">
        <v>22918</v>
      </c>
      <c r="B6003" s="1" t="str">
        <f>"faouzi ghodgbani"</f>
        <v>faouzi ghodgbani</v>
      </c>
      <c r="C6003" s="1" t="s">
        <v>22919</v>
      </c>
      <c r="F6003" s="1" t="s">
        <v>21355</v>
      </c>
      <c r="H6003" s="1" t="s">
        <v>22920</v>
      </c>
      <c r="I6003" s="1" t="s">
        <v>5</v>
      </c>
      <c r="J6003" s="1" t="s">
        <v>67</v>
      </c>
      <c r="K6003" s="1" t="s">
        <v>14</v>
      </c>
      <c r="M6003" s="2">
        <v>42645</v>
      </c>
      <c r="N6003" s="1" t="s">
        <v>8</v>
      </c>
      <c r="O6003" s="1" t="s">
        <v>68</v>
      </c>
    </row>
    <row r="6004" spans="1:15" ht="28.8" x14ac:dyDescent="0.3">
      <c r="A6004" s="1" t="s">
        <v>8325</v>
      </c>
      <c r="B6004" s="1" t="str">
        <f>"MATTHEW GREENLAND LTD"</f>
        <v>MATTHEW GREENLAND LTD</v>
      </c>
      <c r="C6004" s="1" t="s">
        <v>8326</v>
      </c>
      <c r="F6004" s="1" t="s">
        <v>1511</v>
      </c>
      <c r="H6004" s="1" t="s">
        <v>8327</v>
      </c>
      <c r="I6004" s="1" t="s">
        <v>19</v>
      </c>
      <c r="J6004" s="1" t="s">
        <v>6</v>
      </c>
      <c r="K6004" s="1" t="s">
        <v>34</v>
      </c>
      <c r="L6004" s="1">
        <v>6259134</v>
      </c>
      <c r="M6004" s="2">
        <v>42644</v>
      </c>
      <c r="N6004" s="1" t="s">
        <v>8</v>
      </c>
      <c r="O6004" s="2">
        <v>43739</v>
      </c>
    </row>
    <row r="6005" spans="1:15" ht="43.2" x14ac:dyDescent="0.3">
      <c r="A6005" s="1" t="s">
        <v>8328</v>
      </c>
      <c r="B6005" s="1" t="str">
        <f>"Alpha Alarms and Electrical Service"</f>
        <v>Alpha Alarms and Electrical Service</v>
      </c>
      <c r="C6005" s="1" t="s">
        <v>8329</v>
      </c>
      <c r="D6005" s="1" t="s">
        <v>8330</v>
      </c>
      <c r="E6005" s="1" t="s">
        <v>8331</v>
      </c>
      <c r="F6005" s="1" t="s">
        <v>91</v>
      </c>
      <c r="H6005" s="1" t="s">
        <v>8332</v>
      </c>
      <c r="I6005" s="1" t="s">
        <v>19</v>
      </c>
      <c r="J6005" s="1" t="s">
        <v>67</v>
      </c>
      <c r="K6005" s="1" t="s">
        <v>14</v>
      </c>
      <c r="M6005" s="2">
        <v>42644</v>
      </c>
      <c r="N6005" s="1" t="s">
        <v>8</v>
      </c>
      <c r="O6005" s="1" t="s">
        <v>68</v>
      </c>
    </row>
    <row r="6006" spans="1:15" ht="28.8" x14ac:dyDescent="0.3">
      <c r="A6006" s="1" t="s">
        <v>8311</v>
      </c>
      <c r="B6006" s="1" t="str">
        <f>"OWEN ENGINEERING LTD"</f>
        <v>OWEN ENGINEERING LTD</v>
      </c>
      <c r="C6006" s="1" t="s">
        <v>8312</v>
      </c>
      <c r="F6006" s="1" t="s">
        <v>27</v>
      </c>
      <c r="H6006" s="1" t="s">
        <v>8313</v>
      </c>
      <c r="I6006" s="1" t="s">
        <v>19</v>
      </c>
      <c r="J6006" s="1" t="s">
        <v>6</v>
      </c>
      <c r="K6006" s="1" t="s">
        <v>24</v>
      </c>
      <c r="L6006" s="1">
        <v>7841566</v>
      </c>
      <c r="M6006" s="2">
        <v>42643</v>
      </c>
      <c r="N6006" s="1" t="s">
        <v>8</v>
      </c>
      <c r="O6006" s="2">
        <v>43738</v>
      </c>
    </row>
    <row r="6007" spans="1:15" x14ac:dyDescent="0.3">
      <c r="A6007" s="1" t="s">
        <v>8314</v>
      </c>
      <c r="B6007" s="1" t="str">
        <f>"D Jones Roofing Ltd "</f>
        <v xml:space="preserve">D Jones Roofing Ltd </v>
      </c>
      <c r="C6007" s="1" t="s">
        <v>8315</v>
      </c>
      <c r="F6007" s="1" t="s">
        <v>710</v>
      </c>
      <c r="H6007" s="1" t="s">
        <v>8316</v>
      </c>
      <c r="I6007" s="1" t="s">
        <v>19</v>
      </c>
      <c r="J6007" s="1" t="s">
        <v>6</v>
      </c>
      <c r="K6007" s="1" t="s">
        <v>24</v>
      </c>
      <c r="L6007" s="1">
        <v>8243552</v>
      </c>
      <c r="M6007" s="2">
        <v>42643</v>
      </c>
      <c r="N6007" s="1" t="s">
        <v>8</v>
      </c>
      <c r="O6007" s="2">
        <v>43752</v>
      </c>
    </row>
    <row r="6008" spans="1:15" ht="28.8" x14ac:dyDescent="0.3">
      <c r="A6008" s="1" t="s">
        <v>8317</v>
      </c>
      <c r="B6008" s="1" t="str">
        <f>"D T Civils Ltd."</f>
        <v>D T Civils Ltd.</v>
      </c>
      <c r="C6008" s="1" t="s">
        <v>8318</v>
      </c>
      <c r="D6008" s="1" t="s">
        <v>2965</v>
      </c>
      <c r="F6008" s="1" t="s">
        <v>8319</v>
      </c>
      <c r="H6008" s="1" t="s">
        <v>8320</v>
      </c>
      <c r="I6008" s="1" t="s">
        <v>19</v>
      </c>
      <c r="J6008" s="1" t="s">
        <v>6</v>
      </c>
      <c r="K6008" s="1" t="s">
        <v>24</v>
      </c>
      <c r="L6008" s="1">
        <v>4569587</v>
      </c>
      <c r="M6008" s="2">
        <v>42643</v>
      </c>
      <c r="N6008" s="1" t="s">
        <v>8</v>
      </c>
      <c r="O6008" s="2">
        <v>43738</v>
      </c>
    </row>
    <row r="6009" spans="1:15" ht="28.8" x14ac:dyDescent="0.3">
      <c r="A6009" s="1" t="s">
        <v>8321</v>
      </c>
      <c r="B6009" s="1" t="str">
        <f>"Ivy Services Ltd"</f>
        <v>Ivy Services Ltd</v>
      </c>
      <c r="C6009" s="1" t="s">
        <v>8322</v>
      </c>
      <c r="F6009" s="1" t="s">
        <v>8323</v>
      </c>
      <c r="H6009" s="1" t="s">
        <v>8324</v>
      </c>
      <c r="I6009" s="1" t="s">
        <v>19</v>
      </c>
      <c r="J6009" s="1" t="s">
        <v>6</v>
      </c>
      <c r="K6009" s="1" t="s">
        <v>34</v>
      </c>
      <c r="L6009" s="1">
        <v>6183683</v>
      </c>
      <c r="M6009" s="2">
        <v>42643</v>
      </c>
      <c r="N6009" s="1" t="s">
        <v>8</v>
      </c>
      <c r="O6009" s="2">
        <v>43738</v>
      </c>
    </row>
    <row r="6010" spans="1:15" ht="28.8" x14ac:dyDescent="0.3">
      <c r="A6010" s="1" t="s">
        <v>22168</v>
      </c>
      <c r="B6010" s="1" t="str">
        <f>"andrew sharples SHARPLES ROOFING"</f>
        <v>andrew sharples SHARPLES ROOFING</v>
      </c>
      <c r="C6010" s="1" t="s">
        <v>22169</v>
      </c>
      <c r="F6010" s="1" t="s">
        <v>6637</v>
      </c>
      <c r="H6010" s="1" t="s">
        <v>22170</v>
      </c>
      <c r="I6010" s="1" t="s">
        <v>5</v>
      </c>
      <c r="J6010" s="1" t="s">
        <v>6</v>
      </c>
      <c r="K6010" s="1" t="s">
        <v>24</v>
      </c>
      <c r="M6010" s="2">
        <v>42643</v>
      </c>
      <c r="N6010" s="1" t="s">
        <v>8</v>
      </c>
      <c r="O6010" s="2">
        <v>43738</v>
      </c>
    </row>
    <row r="6011" spans="1:15" ht="43.2" x14ac:dyDescent="0.3">
      <c r="A6011" s="1" t="s">
        <v>22171</v>
      </c>
      <c r="B6011" s="1" t="str">
        <f>"Mark Evans"</f>
        <v>Mark Evans</v>
      </c>
      <c r="C6011" s="1" t="s">
        <v>22172</v>
      </c>
      <c r="D6011" s="1" t="s">
        <v>1264</v>
      </c>
      <c r="F6011" s="1" t="s">
        <v>556</v>
      </c>
      <c r="H6011" s="1" t="s">
        <v>22173</v>
      </c>
      <c r="I6011" s="1" t="s">
        <v>5</v>
      </c>
      <c r="J6011" s="1" t="s">
        <v>67</v>
      </c>
      <c r="K6011" s="1" t="s">
        <v>14</v>
      </c>
      <c r="M6011" s="2">
        <v>42643</v>
      </c>
      <c r="N6011" s="1" t="s">
        <v>8</v>
      </c>
      <c r="O6011" s="1" t="s">
        <v>68</v>
      </c>
    </row>
    <row r="6012" spans="1:15" ht="28.8" x14ac:dyDescent="0.3">
      <c r="A6012" s="1" t="s">
        <v>22174</v>
      </c>
      <c r="B6012" s="1" t="str">
        <f>"gareth edwards gareth edwards"</f>
        <v>gareth edwards gareth edwards</v>
      </c>
      <c r="C6012" s="1" t="s">
        <v>22175</v>
      </c>
      <c r="D6012" s="1" t="s">
        <v>1785</v>
      </c>
      <c r="F6012" s="1" t="s">
        <v>1786</v>
      </c>
      <c r="H6012" s="1" t="s">
        <v>22176</v>
      </c>
      <c r="I6012" s="1" t="s">
        <v>5</v>
      </c>
      <c r="J6012" s="1" t="s">
        <v>6</v>
      </c>
      <c r="K6012" s="1" t="s">
        <v>24</v>
      </c>
      <c r="M6012" s="2">
        <v>42643</v>
      </c>
      <c r="N6012" s="1" t="s">
        <v>8</v>
      </c>
      <c r="O6012" s="2">
        <v>43738</v>
      </c>
    </row>
    <row r="6013" spans="1:15" ht="28.8" x14ac:dyDescent="0.3">
      <c r="A6013" s="1" t="s">
        <v>7140</v>
      </c>
      <c r="B6013" s="1" t="str">
        <f>"Jefflyn Construction Ltd"</f>
        <v>Jefflyn Construction Ltd</v>
      </c>
      <c r="C6013" s="1" t="s">
        <v>7141</v>
      </c>
      <c r="F6013" s="1" t="s">
        <v>1175</v>
      </c>
      <c r="H6013" s="1" t="s">
        <v>3001</v>
      </c>
      <c r="I6013" s="1" t="s">
        <v>19</v>
      </c>
      <c r="J6013" s="1" t="s">
        <v>6</v>
      </c>
      <c r="K6013" s="1" t="s">
        <v>34</v>
      </c>
      <c r="L6013" s="1">
        <v>2564023</v>
      </c>
      <c r="M6013" s="2">
        <v>42642</v>
      </c>
      <c r="N6013" s="1" t="s">
        <v>8</v>
      </c>
      <c r="O6013" s="2">
        <v>43737</v>
      </c>
    </row>
    <row r="6014" spans="1:15" ht="28.8" x14ac:dyDescent="0.3">
      <c r="A6014" s="1" t="s">
        <v>7142</v>
      </c>
      <c r="B6014" s="1" t="str">
        <f>"J A H (CONSTRUCTION) LTD"</f>
        <v>J A H (CONSTRUCTION) LTD</v>
      </c>
      <c r="C6014" s="1" t="s">
        <v>7143</v>
      </c>
      <c r="F6014" s="1" t="s">
        <v>865</v>
      </c>
      <c r="H6014" s="1" t="s">
        <v>7144</v>
      </c>
      <c r="I6014" s="1" t="s">
        <v>19</v>
      </c>
      <c r="J6014" s="1" t="s">
        <v>6</v>
      </c>
      <c r="K6014" s="1" t="s">
        <v>34</v>
      </c>
      <c r="L6014" s="1">
        <v>3004792</v>
      </c>
      <c r="M6014" s="2">
        <v>42642</v>
      </c>
      <c r="N6014" s="1" t="s">
        <v>8</v>
      </c>
      <c r="O6014" s="2">
        <v>43737</v>
      </c>
    </row>
    <row r="6015" spans="1:15" ht="28.8" x14ac:dyDescent="0.3">
      <c r="A6015" s="1" t="s">
        <v>7145</v>
      </c>
      <c r="B6015" s="1" t="str">
        <f>"Box-It Wales &amp; Severn"</f>
        <v>Box-It Wales &amp; Severn</v>
      </c>
      <c r="C6015" s="1" t="s">
        <v>7146</v>
      </c>
      <c r="F6015" s="1" t="s">
        <v>7147</v>
      </c>
      <c r="H6015" s="1" t="s">
        <v>7148</v>
      </c>
      <c r="I6015" s="1" t="s">
        <v>125</v>
      </c>
      <c r="J6015" s="1" t="s">
        <v>6</v>
      </c>
      <c r="K6015" s="1" t="s">
        <v>34</v>
      </c>
      <c r="M6015" s="2">
        <v>42642</v>
      </c>
      <c r="N6015" s="1" t="s">
        <v>8</v>
      </c>
      <c r="O6015" s="2">
        <v>43737</v>
      </c>
    </row>
    <row r="6016" spans="1:15" ht="43.2" x14ac:dyDescent="0.3">
      <c r="A6016" s="1" t="s">
        <v>7149</v>
      </c>
      <c r="B6016" s="1" t="str">
        <f>"bridge stores"</f>
        <v>bridge stores</v>
      </c>
      <c r="C6016" s="1" t="s">
        <v>7150</v>
      </c>
      <c r="F6016" s="1" t="s">
        <v>555</v>
      </c>
      <c r="H6016" s="1" t="s">
        <v>7151</v>
      </c>
      <c r="I6016" s="1" t="s">
        <v>125</v>
      </c>
      <c r="J6016" s="1" t="s">
        <v>67</v>
      </c>
      <c r="K6016" s="1" t="s">
        <v>14</v>
      </c>
      <c r="M6016" s="2">
        <v>42642</v>
      </c>
      <c r="N6016" s="1" t="s">
        <v>8</v>
      </c>
      <c r="O6016" s="1" t="s">
        <v>68</v>
      </c>
    </row>
    <row r="6017" spans="1:15" ht="43.2" x14ac:dyDescent="0.3">
      <c r="A6017" s="1" t="s">
        <v>7152</v>
      </c>
      <c r="B6017" s="1" t="str">
        <f>"St Helens School"</f>
        <v>St Helens School</v>
      </c>
      <c r="C6017" s="1" t="s">
        <v>7153</v>
      </c>
      <c r="F6017" s="1" t="s">
        <v>7154</v>
      </c>
      <c r="H6017" s="1" t="s">
        <v>7155</v>
      </c>
      <c r="I6017" s="1" t="s">
        <v>1872</v>
      </c>
      <c r="J6017" s="1" t="s">
        <v>67</v>
      </c>
      <c r="K6017" s="1" t="s">
        <v>14</v>
      </c>
      <c r="M6017" s="2">
        <v>42642</v>
      </c>
      <c r="N6017" s="1" t="s">
        <v>8</v>
      </c>
      <c r="O6017" s="1" t="s">
        <v>68</v>
      </c>
    </row>
    <row r="6018" spans="1:15" ht="43.2" x14ac:dyDescent="0.3">
      <c r="A6018" s="1" t="s">
        <v>7156</v>
      </c>
      <c r="B6018" s="1" t="str">
        <f>"ynysmeudwy stores"</f>
        <v>ynysmeudwy stores</v>
      </c>
      <c r="C6018" s="1" t="s">
        <v>7157</v>
      </c>
      <c r="D6018" s="1" t="s">
        <v>108</v>
      </c>
      <c r="F6018" s="1" t="s">
        <v>65</v>
      </c>
      <c r="H6018" s="1" t="s">
        <v>7158</v>
      </c>
      <c r="I6018" s="1" t="s">
        <v>19</v>
      </c>
      <c r="J6018" s="1" t="s">
        <v>67</v>
      </c>
      <c r="K6018" s="1" t="s">
        <v>14</v>
      </c>
      <c r="M6018" s="2">
        <v>42642</v>
      </c>
      <c r="N6018" s="1" t="s">
        <v>8</v>
      </c>
      <c r="O6018" s="1" t="s">
        <v>68</v>
      </c>
    </row>
    <row r="6019" spans="1:15" ht="28.8" x14ac:dyDescent="0.3">
      <c r="A6019" s="1" t="s">
        <v>7159</v>
      </c>
      <c r="B6019" s="1" t="str">
        <f>"R&amp;NF SERVICES"</f>
        <v>R&amp;NF SERVICES</v>
      </c>
      <c r="C6019" s="1" t="s">
        <v>7160</v>
      </c>
      <c r="D6019" s="1" t="s">
        <v>7051</v>
      </c>
      <c r="F6019" s="1" t="s">
        <v>42</v>
      </c>
      <c r="H6019" s="1" t="s">
        <v>4420</v>
      </c>
      <c r="I6019" s="1" t="s">
        <v>19</v>
      </c>
      <c r="J6019" s="1" t="s">
        <v>6</v>
      </c>
      <c r="K6019" s="1" t="s">
        <v>34</v>
      </c>
      <c r="L6019" s="1">
        <v>8649313</v>
      </c>
      <c r="M6019" s="2">
        <v>42642</v>
      </c>
      <c r="N6019" s="1" t="s">
        <v>8</v>
      </c>
      <c r="O6019" s="2">
        <v>43737</v>
      </c>
    </row>
    <row r="6020" spans="1:15" ht="43.2" x14ac:dyDescent="0.3">
      <c r="A6020" s="1" t="s">
        <v>7161</v>
      </c>
      <c r="B6020" s="1" t="str">
        <f>"Shiv's convenience store"</f>
        <v>Shiv's convenience store</v>
      </c>
      <c r="C6020" s="1" t="s">
        <v>7162</v>
      </c>
      <c r="F6020" s="1" t="s">
        <v>27</v>
      </c>
      <c r="H6020" s="1" t="s">
        <v>7163</v>
      </c>
      <c r="I6020" s="1" t="s">
        <v>125</v>
      </c>
      <c r="J6020" s="1" t="s">
        <v>67</v>
      </c>
      <c r="K6020" s="1" t="s">
        <v>14</v>
      </c>
      <c r="M6020" s="2">
        <v>42642</v>
      </c>
      <c r="N6020" s="1" t="s">
        <v>8</v>
      </c>
      <c r="O6020" s="1" t="s">
        <v>68</v>
      </c>
    </row>
    <row r="6021" spans="1:15" ht="28.8" x14ac:dyDescent="0.3">
      <c r="A6021" s="1" t="s">
        <v>8305</v>
      </c>
      <c r="B6021" s="1" t="str">
        <f>"L &amp; S BUILDING (WALES) LTD"</f>
        <v>L &amp; S BUILDING (WALES) LTD</v>
      </c>
      <c r="C6021" s="1" t="s">
        <v>8306</v>
      </c>
      <c r="F6021" s="1" t="s">
        <v>865</v>
      </c>
      <c r="H6021" s="1" t="s">
        <v>8307</v>
      </c>
      <c r="I6021" s="1" t="s">
        <v>19</v>
      </c>
      <c r="J6021" s="1" t="s">
        <v>6</v>
      </c>
      <c r="K6021" s="1" t="s">
        <v>34</v>
      </c>
      <c r="L6021" s="1">
        <v>8996528</v>
      </c>
      <c r="M6021" s="2">
        <v>42642</v>
      </c>
      <c r="N6021" s="1" t="s">
        <v>8</v>
      </c>
      <c r="O6021" s="2">
        <v>43737</v>
      </c>
    </row>
    <row r="6022" spans="1:15" ht="28.8" x14ac:dyDescent="0.3">
      <c r="A6022" s="1" t="s">
        <v>8308</v>
      </c>
      <c r="B6022" s="1" t="str">
        <f>"Pavlou Plumbers"</f>
        <v>Pavlou Plumbers</v>
      </c>
      <c r="C6022" s="1" t="s">
        <v>8309</v>
      </c>
      <c r="F6022" s="1" t="s">
        <v>1346</v>
      </c>
      <c r="H6022" s="1" t="s">
        <v>8310</v>
      </c>
      <c r="I6022" s="1" t="s">
        <v>19</v>
      </c>
      <c r="J6022" s="1" t="s">
        <v>6</v>
      </c>
      <c r="K6022" s="1" t="s">
        <v>34</v>
      </c>
      <c r="L6022" s="1">
        <v>8868872</v>
      </c>
      <c r="M6022" s="2">
        <v>42642</v>
      </c>
      <c r="N6022" s="1" t="s">
        <v>8</v>
      </c>
      <c r="O6022" s="2">
        <v>43737</v>
      </c>
    </row>
    <row r="6023" spans="1:15" ht="43.2" x14ac:dyDescent="0.3">
      <c r="A6023" s="1" t="s">
        <v>21335</v>
      </c>
      <c r="B6023" s="1" t="str">
        <f>"Keith Assheton-Smith"</f>
        <v>Keith Assheton-Smith</v>
      </c>
      <c r="C6023" s="1" t="s">
        <v>21336</v>
      </c>
      <c r="F6023" s="1" t="s">
        <v>14601</v>
      </c>
      <c r="H6023" s="1" t="s">
        <v>21337</v>
      </c>
      <c r="I6023" s="1" t="s">
        <v>5</v>
      </c>
      <c r="J6023" s="1" t="s">
        <v>67</v>
      </c>
      <c r="K6023" s="1" t="s">
        <v>14</v>
      </c>
      <c r="M6023" s="2">
        <v>42642</v>
      </c>
      <c r="N6023" s="1" t="s">
        <v>8</v>
      </c>
      <c r="O6023" s="1" t="s">
        <v>68</v>
      </c>
    </row>
    <row r="6024" spans="1:15" ht="43.2" x14ac:dyDescent="0.3">
      <c r="A6024" s="1" t="s">
        <v>21338</v>
      </c>
      <c r="B6024" s="1" t="str">
        <f>"janet  slee"</f>
        <v>janet  slee</v>
      </c>
      <c r="C6024" s="1" t="s">
        <v>21339</v>
      </c>
      <c r="F6024" s="1" t="s">
        <v>541</v>
      </c>
      <c r="H6024" s="1" t="s">
        <v>21340</v>
      </c>
      <c r="I6024" s="1" t="s">
        <v>5</v>
      </c>
      <c r="J6024" s="1" t="s">
        <v>67</v>
      </c>
      <c r="K6024" s="1" t="s">
        <v>14</v>
      </c>
      <c r="M6024" s="2">
        <v>42642</v>
      </c>
      <c r="N6024" s="1" t="s">
        <v>8</v>
      </c>
      <c r="O6024" s="1" t="s">
        <v>68</v>
      </c>
    </row>
    <row r="6025" spans="1:15" ht="43.2" x14ac:dyDescent="0.3">
      <c r="A6025" s="1" t="s">
        <v>21341</v>
      </c>
      <c r="B6025" s="1" t="str">
        <f>"mathivathanan sivanathan"</f>
        <v>mathivathanan sivanathan</v>
      </c>
      <c r="C6025" s="1" t="s">
        <v>21342</v>
      </c>
      <c r="F6025" s="1" t="s">
        <v>10970</v>
      </c>
      <c r="H6025" s="1" t="s">
        <v>21343</v>
      </c>
      <c r="I6025" s="1" t="s">
        <v>5</v>
      </c>
      <c r="J6025" s="1" t="s">
        <v>67</v>
      </c>
      <c r="K6025" s="1" t="s">
        <v>14</v>
      </c>
      <c r="M6025" s="2">
        <v>42642</v>
      </c>
      <c r="N6025" s="1" t="s">
        <v>8</v>
      </c>
      <c r="O6025" s="1" t="s">
        <v>68</v>
      </c>
    </row>
    <row r="6026" spans="1:15" ht="28.8" x14ac:dyDescent="0.3">
      <c r="A6026" s="1" t="s">
        <v>21344</v>
      </c>
      <c r="B6026" s="1" t="str">
        <f>"mark howell mark howell"</f>
        <v>mark howell mark howell</v>
      </c>
      <c r="C6026" s="1" t="s">
        <v>21345</v>
      </c>
      <c r="F6026" s="1" t="s">
        <v>96</v>
      </c>
      <c r="H6026" s="1" t="s">
        <v>21346</v>
      </c>
      <c r="I6026" s="1" t="s">
        <v>5</v>
      </c>
      <c r="J6026" s="1" t="s">
        <v>6</v>
      </c>
      <c r="K6026" s="1" t="s">
        <v>34</v>
      </c>
      <c r="M6026" s="2">
        <v>42642</v>
      </c>
      <c r="N6026" s="1" t="s">
        <v>8</v>
      </c>
      <c r="O6026" s="2">
        <v>43737</v>
      </c>
    </row>
    <row r="6027" spans="1:15" ht="43.2" x14ac:dyDescent="0.3">
      <c r="A6027" s="1" t="s">
        <v>21347</v>
      </c>
      <c r="B6027" s="1" t="str">
        <f>"Matthew Tyrrell"</f>
        <v>Matthew Tyrrell</v>
      </c>
      <c r="C6027" s="1" t="s">
        <v>21348</v>
      </c>
      <c r="F6027" s="1" t="s">
        <v>65</v>
      </c>
      <c r="H6027" s="1" t="s">
        <v>21349</v>
      </c>
      <c r="I6027" s="1" t="s">
        <v>5</v>
      </c>
      <c r="J6027" s="1" t="s">
        <v>67</v>
      </c>
      <c r="K6027" s="1" t="s">
        <v>14</v>
      </c>
      <c r="M6027" s="2">
        <v>42642</v>
      </c>
      <c r="N6027" s="1" t="s">
        <v>8</v>
      </c>
      <c r="O6027" s="1" t="s">
        <v>68</v>
      </c>
    </row>
    <row r="6028" spans="1:15" ht="43.2" x14ac:dyDescent="0.3">
      <c r="A6028" s="1" t="s">
        <v>21350</v>
      </c>
      <c r="B6028" s="1" t="str">
        <f>"Vinay Bir"</f>
        <v>Vinay Bir</v>
      </c>
      <c r="C6028" s="1" t="s">
        <v>21351</v>
      </c>
      <c r="F6028" s="1" t="s">
        <v>3371</v>
      </c>
      <c r="H6028" s="1" t="s">
        <v>21352</v>
      </c>
      <c r="I6028" s="1" t="s">
        <v>5</v>
      </c>
      <c r="J6028" s="1" t="s">
        <v>67</v>
      </c>
      <c r="K6028" s="1" t="s">
        <v>14</v>
      </c>
      <c r="M6028" s="2">
        <v>42642</v>
      </c>
      <c r="N6028" s="1" t="s">
        <v>8</v>
      </c>
      <c r="O6028" s="1" t="s">
        <v>68</v>
      </c>
    </row>
    <row r="6029" spans="1:15" ht="43.2" x14ac:dyDescent="0.3">
      <c r="A6029" s="1" t="s">
        <v>21353</v>
      </c>
      <c r="B6029" s="1" t="str">
        <f>"Vijaykumar Patel"</f>
        <v>Vijaykumar Patel</v>
      </c>
      <c r="C6029" s="1" t="s">
        <v>21354</v>
      </c>
      <c r="F6029" s="1" t="s">
        <v>21355</v>
      </c>
      <c r="H6029" s="1" t="s">
        <v>21356</v>
      </c>
      <c r="I6029" s="1" t="s">
        <v>5</v>
      </c>
      <c r="J6029" s="1" t="s">
        <v>67</v>
      </c>
      <c r="K6029" s="1" t="s">
        <v>14</v>
      </c>
      <c r="M6029" s="2">
        <v>42642</v>
      </c>
      <c r="N6029" s="1" t="s">
        <v>8</v>
      </c>
      <c r="O6029" s="1" t="s">
        <v>68</v>
      </c>
    </row>
    <row r="6030" spans="1:15" ht="28.8" x14ac:dyDescent="0.3">
      <c r="A6030" s="1" t="s">
        <v>21357</v>
      </c>
      <c r="B6030" s="1" t="str">
        <f>"Artro Davies A Davies Contractors"</f>
        <v>Artro Davies A Davies Contractors</v>
      </c>
      <c r="C6030" s="1" t="s">
        <v>21358</v>
      </c>
      <c r="F6030" s="1" t="s">
        <v>710</v>
      </c>
      <c r="H6030" s="1" t="s">
        <v>21359</v>
      </c>
      <c r="I6030" s="1" t="s">
        <v>5</v>
      </c>
      <c r="J6030" s="1" t="s">
        <v>6</v>
      </c>
      <c r="K6030" s="1" t="s">
        <v>24</v>
      </c>
      <c r="M6030" s="2">
        <v>42642</v>
      </c>
      <c r="N6030" s="1" t="s">
        <v>8</v>
      </c>
      <c r="O6030" s="2">
        <v>43737</v>
      </c>
    </row>
    <row r="6031" spans="1:15" ht="43.2" x14ac:dyDescent="0.3">
      <c r="A6031" s="1" t="s">
        <v>21360</v>
      </c>
      <c r="B6031" s="1" t="str">
        <f>"Simon Morrissey"</f>
        <v>Simon Morrissey</v>
      </c>
      <c r="C6031" s="1" t="s">
        <v>21361</v>
      </c>
      <c r="D6031" s="1" t="s">
        <v>21362</v>
      </c>
      <c r="E6031" s="1" t="s">
        <v>6191</v>
      </c>
      <c r="F6031" s="1" t="s">
        <v>65</v>
      </c>
      <c r="H6031" s="1" t="s">
        <v>21363</v>
      </c>
      <c r="I6031" s="1" t="s">
        <v>5</v>
      </c>
      <c r="J6031" s="1" t="s">
        <v>67</v>
      </c>
      <c r="K6031" s="1" t="s">
        <v>14</v>
      </c>
      <c r="M6031" s="2">
        <v>42642</v>
      </c>
      <c r="N6031" s="1" t="s">
        <v>8</v>
      </c>
      <c r="O6031" s="1" t="s">
        <v>68</v>
      </c>
    </row>
    <row r="6032" spans="1:15" ht="43.2" x14ac:dyDescent="0.3">
      <c r="A6032" s="1" t="s">
        <v>22159</v>
      </c>
      <c r="B6032" s="1" t="str">
        <f>"callum knights"</f>
        <v>callum knights</v>
      </c>
      <c r="C6032" s="1" t="s">
        <v>22160</v>
      </c>
      <c r="F6032" s="1" t="s">
        <v>8782</v>
      </c>
      <c r="H6032" s="1" t="s">
        <v>22161</v>
      </c>
      <c r="I6032" s="1" t="s">
        <v>5</v>
      </c>
      <c r="J6032" s="1" t="s">
        <v>67</v>
      </c>
      <c r="K6032" s="1" t="s">
        <v>14</v>
      </c>
      <c r="M6032" s="2">
        <v>42642</v>
      </c>
      <c r="N6032" s="1" t="s">
        <v>8</v>
      </c>
      <c r="O6032" s="1" t="s">
        <v>68</v>
      </c>
    </row>
    <row r="6033" spans="1:15" ht="43.2" x14ac:dyDescent="0.3">
      <c r="A6033" s="1" t="s">
        <v>22162</v>
      </c>
      <c r="B6033" s="1" t="str">
        <f>"craig bruce"</f>
        <v>craig bruce</v>
      </c>
      <c r="C6033" s="1" t="s">
        <v>22163</v>
      </c>
      <c r="F6033" s="1" t="s">
        <v>5640</v>
      </c>
      <c r="H6033" s="1" t="s">
        <v>22164</v>
      </c>
      <c r="I6033" s="1" t="s">
        <v>5</v>
      </c>
      <c r="J6033" s="1" t="s">
        <v>67</v>
      </c>
      <c r="K6033" s="1" t="s">
        <v>14</v>
      </c>
      <c r="M6033" s="2">
        <v>42642</v>
      </c>
      <c r="N6033" s="1" t="s">
        <v>8</v>
      </c>
      <c r="O6033" s="1" t="s">
        <v>68</v>
      </c>
    </row>
    <row r="6034" spans="1:15" ht="28.8" x14ac:dyDescent="0.3">
      <c r="A6034" s="1" t="s">
        <v>22165</v>
      </c>
      <c r="B6034" s="1" t="str">
        <f>"JOHN LLOYD Jobs-u-hate"</f>
        <v>JOHN LLOYD Jobs-u-hate</v>
      </c>
      <c r="C6034" s="1" t="s">
        <v>22166</v>
      </c>
      <c r="F6034" s="1" t="s">
        <v>1169</v>
      </c>
      <c r="H6034" s="1" t="s">
        <v>22167</v>
      </c>
      <c r="I6034" s="1" t="s">
        <v>5</v>
      </c>
      <c r="J6034" s="1" t="s">
        <v>6</v>
      </c>
      <c r="K6034" s="1" t="s">
        <v>34</v>
      </c>
      <c r="M6034" s="2">
        <v>42642</v>
      </c>
      <c r="N6034" s="1" t="s">
        <v>8</v>
      </c>
      <c r="O6034" s="2">
        <v>43737</v>
      </c>
    </row>
    <row r="6035" spans="1:15" ht="28.8" x14ac:dyDescent="0.3">
      <c r="A6035" s="1" t="s">
        <v>4840</v>
      </c>
      <c r="B6035" s="1" t="str">
        <f>"C. T. Lewis Ltd"</f>
        <v>C. T. Lewis Ltd</v>
      </c>
      <c r="C6035" s="1" t="s">
        <v>3794</v>
      </c>
      <c r="F6035" s="1" t="s">
        <v>65</v>
      </c>
      <c r="H6035" s="1" t="s">
        <v>3795</v>
      </c>
      <c r="I6035" s="1" t="s">
        <v>19</v>
      </c>
      <c r="J6035" s="1" t="s">
        <v>6</v>
      </c>
      <c r="K6035" s="1" t="s">
        <v>24</v>
      </c>
      <c r="L6035" s="1">
        <v>4325070</v>
      </c>
      <c r="M6035" s="2">
        <v>42641</v>
      </c>
      <c r="N6035" s="1" t="s">
        <v>8</v>
      </c>
      <c r="O6035" s="2">
        <v>43736</v>
      </c>
    </row>
    <row r="6036" spans="1:15" ht="43.2" x14ac:dyDescent="0.3">
      <c r="A6036" s="1" t="s">
        <v>4841</v>
      </c>
      <c r="B6036" s="1" t="str">
        <f>"BOSS DOORS LTD"</f>
        <v>BOSS DOORS LTD</v>
      </c>
      <c r="C6036" s="1" t="s">
        <v>4842</v>
      </c>
      <c r="F6036" s="1" t="s">
        <v>865</v>
      </c>
      <c r="H6036" s="1" t="s">
        <v>4843</v>
      </c>
      <c r="I6036" s="1" t="s">
        <v>19</v>
      </c>
      <c r="J6036" s="1" t="s">
        <v>67</v>
      </c>
      <c r="K6036" s="1" t="s">
        <v>24</v>
      </c>
      <c r="L6036" s="1">
        <v>7176559</v>
      </c>
      <c r="M6036" s="2">
        <v>42641</v>
      </c>
      <c r="N6036" s="1" t="s">
        <v>8</v>
      </c>
      <c r="O6036" s="1" t="s">
        <v>68</v>
      </c>
    </row>
    <row r="6037" spans="1:15" ht="43.2" x14ac:dyDescent="0.3">
      <c r="A6037" s="1" t="s">
        <v>4844</v>
      </c>
      <c r="B6037" s="1" t="str">
        <f>"Knotweed Control Swansea Limited"</f>
        <v>Knotweed Control Swansea Limited</v>
      </c>
      <c r="C6037" s="1" t="s">
        <v>4845</v>
      </c>
      <c r="F6037" s="1" t="s">
        <v>65</v>
      </c>
      <c r="H6037" s="1" t="s">
        <v>4846</v>
      </c>
      <c r="I6037" s="1" t="s">
        <v>19</v>
      </c>
      <c r="J6037" s="1" t="s">
        <v>67</v>
      </c>
      <c r="K6037" s="1" t="s">
        <v>14</v>
      </c>
      <c r="M6037" s="2">
        <v>42641</v>
      </c>
      <c r="N6037" s="1" t="s">
        <v>8</v>
      </c>
      <c r="O6037" s="1" t="s">
        <v>68</v>
      </c>
    </row>
    <row r="6038" spans="1:15" ht="28.8" x14ac:dyDescent="0.3">
      <c r="A6038" s="1" t="s">
        <v>4847</v>
      </c>
      <c r="B6038" s="1" t="str">
        <f>"Orange &amp; Black"</f>
        <v>Orange &amp; Black</v>
      </c>
      <c r="C6038" s="1" t="s">
        <v>4848</v>
      </c>
      <c r="D6038" s="1" t="s">
        <v>4849</v>
      </c>
      <c r="F6038" s="1" t="s">
        <v>4850</v>
      </c>
      <c r="H6038" s="1" t="s">
        <v>4851</v>
      </c>
      <c r="I6038" s="1" t="s">
        <v>19</v>
      </c>
      <c r="J6038" s="1" t="s">
        <v>6</v>
      </c>
      <c r="K6038" s="1" t="s">
        <v>34</v>
      </c>
      <c r="L6038" s="1">
        <v>6090805</v>
      </c>
      <c r="M6038" s="2">
        <v>42641</v>
      </c>
      <c r="N6038" s="1" t="s">
        <v>8</v>
      </c>
      <c r="O6038" s="2">
        <v>43736</v>
      </c>
    </row>
    <row r="6039" spans="1:15" ht="43.2" x14ac:dyDescent="0.3">
      <c r="A6039" s="1" t="s">
        <v>5993</v>
      </c>
      <c r="B6039" s="1" t="str">
        <f>"BOSS DOORS LTD"</f>
        <v>BOSS DOORS LTD</v>
      </c>
      <c r="C6039" s="1" t="s">
        <v>4842</v>
      </c>
      <c r="F6039" s="1" t="s">
        <v>865</v>
      </c>
      <c r="H6039" s="1" t="s">
        <v>4843</v>
      </c>
      <c r="I6039" s="1" t="s">
        <v>19</v>
      </c>
      <c r="J6039" s="1" t="s">
        <v>6</v>
      </c>
      <c r="K6039" s="1" t="s">
        <v>24</v>
      </c>
      <c r="L6039" s="1">
        <v>7176559</v>
      </c>
      <c r="M6039" s="2">
        <v>42641</v>
      </c>
      <c r="N6039" s="1" t="s">
        <v>8</v>
      </c>
      <c r="O6039" s="2">
        <v>43736</v>
      </c>
    </row>
    <row r="6040" spans="1:15" ht="43.2" x14ac:dyDescent="0.3">
      <c r="A6040" s="1" t="s">
        <v>5994</v>
      </c>
      <c r="B6040" s="1" t="str">
        <f>"Stone Lodge Academy"</f>
        <v>Stone Lodge Academy</v>
      </c>
      <c r="C6040" s="1" t="s">
        <v>5995</v>
      </c>
      <c r="F6040" s="1" t="s">
        <v>3452</v>
      </c>
      <c r="H6040" s="1" t="s">
        <v>5996</v>
      </c>
      <c r="I6040" s="1" t="s">
        <v>188</v>
      </c>
      <c r="J6040" s="1" t="s">
        <v>67</v>
      </c>
      <c r="K6040" s="1" t="s">
        <v>14</v>
      </c>
      <c r="M6040" s="2">
        <v>42641</v>
      </c>
      <c r="N6040" s="1" t="s">
        <v>8</v>
      </c>
      <c r="O6040" s="1" t="s">
        <v>68</v>
      </c>
    </row>
    <row r="6041" spans="1:15" ht="43.2" x14ac:dyDescent="0.3">
      <c r="A6041" s="1" t="s">
        <v>5997</v>
      </c>
      <c r="B6041" s="1" t="str">
        <f>"The Farmhouse Cafe LTD"</f>
        <v>The Farmhouse Cafe LTD</v>
      </c>
      <c r="C6041" s="1" t="s">
        <v>5998</v>
      </c>
      <c r="F6041" s="1" t="s">
        <v>5999</v>
      </c>
      <c r="H6041" s="1" t="s">
        <v>6000</v>
      </c>
      <c r="I6041" s="1" t="s">
        <v>19</v>
      </c>
      <c r="J6041" s="1" t="s">
        <v>67</v>
      </c>
      <c r="K6041" s="1" t="s">
        <v>14</v>
      </c>
      <c r="M6041" s="2">
        <v>42641</v>
      </c>
      <c r="N6041" s="1" t="s">
        <v>8</v>
      </c>
      <c r="O6041" s="1" t="s">
        <v>68</v>
      </c>
    </row>
    <row r="6042" spans="1:15" ht="43.2" x14ac:dyDescent="0.3">
      <c r="A6042" s="1" t="s">
        <v>6001</v>
      </c>
      <c r="B6042" s="1" t="str">
        <f>"Jacky's Vending LTD"</f>
        <v>Jacky's Vending LTD</v>
      </c>
      <c r="C6042" s="1" t="s">
        <v>6002</v>
      </c>
      <c r="F6042" s="1" t="s">
        <v>174</v>
      </c>
      <c r="H6042" s="1" t="s">
        <v>6003</v>
      </c>
      <c r="I6042" s="1" t="s">
        <v>19</v>
      </c>
      <c r="J6042" s="1" t="s">
        <v>67</v>
      </c>
      <c r="K6042" s="1" t="s">
        <v>14</v>
      </c>
      <c r="M6042" s="2">
        <v>42641</v>
      </c>
      <c r="N6042" s="1" t="s">
        <v>8</v>
      </c>
      <c r="O6042" s="1" t="s">
        <v>68</v>
      </c>
    </row>
    <row r="6043" spans="1:15" ht="43.2" x14ac:dyDescent="0.3">
      <c r="A6043" s="1" t="s">
        <v>6004</v>
      </c>
      <c r="B6043" s="1" t="str">
        <f>"SAVE DOSH LTD"</f>
        <v>SAVE DOSH LTD</v>
      </c>
      <c r="C6043" s="1" t="s">
        <v>6005</v>
      </c>
      <c r="F6043" s="1" t="s">
        <v>739</v>
      </c>
      <c r="H6043" s="1" t="s">
        <v>6006</v>
      </c>
      <c r="I6043" s="1" t="s">
        <v>19</v>
      </c>
      <c r="J6043" s="1" t="s">
        <v>67</v>
      </c>
      <c r="K6043" s="1" t="s">
        <v>14</v>
      </c>
      <c r="M6043" s="2">
        <v>42641</v>
      </c>
      <c r="N6043" s="1" t="s">
        <v>8</v>
      </c>
      <c r="O6043" s="1" t="s">
        <v>68</v>
      </c>
    </row>
    <row r="6044" spans="1:15" ht="28.8" x14ac:dyDescent="0.3">
      <c r="A6044" s="1" t="s">
        <v>6007</v>
      </c>
      <c r="B6044" s="1" t="str">
        <f>"Renewable Innovations Ltd"</f>
        <v>Renewable Innovations Ltd</v>
      </c>
      <c r="C6044" s="1" t="s">
        <v>6008</v>
      </c>
      <c r="F6044" s="1" t="s">
        <v>103</v>
      </c>
      <c r="H6044" s="1" t="s">
        <v>2607</v>
      </c>
      <c r="I6044" s="1" t="s">
        <v>19</v>
      </c>
      <c r="J6044" s="1" t="s">
        <v>6</v>
      </c>
      <c r="K6044" s="1" t="s">
        <v>24</v>
      </c>
      <c r="L6044" s="1">
        <v>8208282</v>
      </c>
      <c r="M6044" s="2">
        <v>42641</v>
      </c>
      <c r="N6044" s="1" t="s">
        <v>8</v>
      </c>
      <c r="O6044" s="2">
        <v>43736</v>
      </c>
    </row>
    <row r="6045" spans="1:15" ht="43.2" x14ac:dyDescent="0.3">
      <c r="A6045" s="1" t="s">
        <v>6009</v>
      </c>
      <c r="B6045" s="1" t="str">
        <f>"G N HYDE &amp; SON"</f>
        <v>G N HYDE &amp; SON</v>
      </c>
      <c r="C6045" s="1" t="s">
        <v>6010</v>
      </c>
      <c r="F6045" s="1" t="s">
        <v>3242</v>
      </c>
      <c r="H6045" s="1" t="s">
        <v>6011</v>
      </c>
      <c r="I6045" s="1" t="s">
        <v>125</v>
      </c>
      <c r="J6045" s="1" t="s">
        <v>67</v>
      </c>
      <c r="K6045" s="1" t="s">
        <v>14</v>
      </c>
      <c r="M6045" s="2">
        <v>42641</v>
      </c>
      <c r="N6045" s="1" t="s">
        <v>8</v>
      </c>
      <c r="O6045" s="1" t="s">
        <v>68</v>
      </c>
    </row>
    <row r="6046" spans="1:15" ht="28.8" x14ac:dyDescent="0.3">
      <c r="A6046" s="1" t="s">
        <v>6012</v>
      </c>
      <c r="B6046" s="1" t="str">
        <f>"Lyontech Engineering Ltd."</f>
        <v>Lyontech Engineering Ltd.</v>
      </c>
      <c r="C6046" s="1" t="s">
        <v>6013</v>
      </c>
      <c r="F6046" s="1" t="s">
        <v>4507</v>
      </c>
      <c r="H6046" s="1" t="s">
        <v>6014</v>
      </c>
      <c r="I6046" s="1" t="s">
        <v>19</v>
      </c>
      <c r="J6046" s="1" t="s">
        <v>6</v>
      </c>
      <c r="K6046" s="1" t="s">
        <v>34</v>
      </c>
      <c r="L6046" s="1">
        <v>3547254</v>
      </c>
      <c r="M6046" s="2">
        <v>42641</v>
      </c>
      <c r="N6046" s="1" t="s">
        <v>8</v>
      </c>
      <c r="O6046" s="2">
        <v>43736</v>
      </c>
    </row>
    <row r="6047" spans="1:15" ht="28.8" x14ac:dyDescent="0.3">
      <c r="A6047" s="1" t="s">
        <v>6015</v>
      </c>
      <c r="B6047" s="1" t="str">
        <f>"Three Cliffs Construction Ltd"</f>
        <v>Three Cliffs Construction Ltd</v>
      </c>
      <c r="C6047" s="1" t="s">
        <v>6016</v>
      </c>
      <c r="D6047" s="1" t="s">
        <v>6017</v>
      </c>
      <c r="F6047" s="1" t="s">
        <v>64</v>
      </c>
      <c r="H6047" s="1" t="s">
        <v>6018</v>
      </c>
      <c r="I6047" s="1" t="s">
        <v>19</v>
      </c>
      <c r="J6047" s="1" t="s">
        <v>6</v>
      </c>
      <c r="K6047" s="1" t="s">
        <v>34</v>
      </c>
      <c r="L6047" s="1">
        <v>8774053</v>
      </c>
      <c r="M6047" s="2">
        <v>42641</v>
      </c>
      <c r="N6047" s="1" t="s">
        <v>8</v>
      </c>
      <c r="O6047" s="2">
        <v>43736</v>
      </c>
    </row>
    <row r="6048" spans="1:15" ht="28.8" x14ac:dyDescent="0.3">
      <c r="A6048" s="1" t="s">
        <v>19791</v>
      </c>
      <c r="B6048" s="1" t="str">
        <f>"MICHAEL WAUGH BAGILLT CAR SPARES"</f>
        <v>MICHAEL WAUGH BAGILLT CAR SPARES</v>
      </c>
      <c r="C6048" s="1" t="s">
        <v>19792</v>
      </c>
      <c r="F6048" s="1" t="s">
        <v>19793</v>
      </c>
      <c r="H6048" s="1" t="s">
        <v>19794</v>
      </c>
      <c r="I6048" s="1" t="s">
        <v>5</v>
      </c>
      <c r="J6048" s="1" t="s">
        <v>6</v>
      </c>
      <c r="K6048" s="1" t="s">
        <v>24</v>
      </c>
      <c r="M6048" s="2">
        <v>42641</v>
      </c>
      <c r="N6048" s="1" t="s">
        <v>8</v>
      </c>
      <c r="O6048" s="2">
        <v>43736</v>
      </c>
    </row>
    <row r="6049" spans="1:15" ht="43.2" x14ac:dyDescent="0.3">
      <c r="A6049" s="1" t="s">
        <v>20540</v>
      </c>
      <c r="B6049" s="1" t="str">
        <f>"PIERRE COMIN"</f>
        <v>PIERRE COMIN</v>
      </c>
      <c r="C6049" s="1" t="s">
        <v>20541</v>
      </c>
      <c r="F6049" s="1" t="s">
        <v>9414</v>
      </c>
      <c r="H6049" s="1" t="s">
        <v>20542</v>
      </c>
      <c r="I6049" s="1" t="s">
        <v>5</v>
      </c>
      <c r="J6049" s="1" t="s">
        <v>67</v>
      </c>
      <c r="K6049" s="1" t="s">
        <v>14</v>
      </c>
      <c r="M6049" s="2">
        <v>42641</v>
      </c>
      <c r="N6049" s="1" t="s">
        <v>8</v>
      </c>
      <c r="O6049" s="1" t="s">
        <v>68</v>
      </c>
    </row>
    <row r="6050" spans="1:15" ht="43.2" x14ac:dyDescent="0.3">
      <c r="A6050" s="1" t="s">
        <v>20543</v>
      </c>
      <c r="B6050" s="1" t="str">
        <f>"Thayaparan Rajaratnam"</f>
        <v>Thayaparan Rajaratnam</v>
      </c>
      <c r="C6050" s="1" t="s">
        <v>20544</v>
      </c>
      <c r="F6050" s="1" t="s">
        <v>1346</v>
      </c>
      <c r="H6050" s="1" t="s">
        <v>20545</v>
      </c>
      <c r="I6050" s="1" t="s">
        <v>5</v>
      </c>
      <c r="J6050" s="1" t="s">
        <v>67</v>
      </c>
      <c r="K6050" s="1" t="s">
        <v>14</v>
      </c>
      <c r="M6050" s="2">
        <v>42641</v>
      </c>
      <c r="N6050" s="1" t="s">
        <v>8</v>
      </c>
      <c r="O6050" s="1" t="s">
        <v>68</v>
      </c>
    </row>
    <row r="6051" spans="1:15" ht="43.2" x14ac:dyDescent="0.3">
      <c r="A6051" s="1" t="s">
        <v>20546</v>
      </c>
      <c r="B6051" s="1" t="str">
        <f>"Mahesh Maroo"</f>
        <v>Mahesh Maroo</v>
      </c>
      <c r="C6051" s="1" t="s">
        <v>20547</v>
      </c>
      <c r="D6051" s="1" t="s">
        <v>20548</v>
      </c>
      <c r="F6051" s="1" t="s">
        <v>123</v>
      </c>
      <c r="H6051" s="1" t="s">
        <v>20549</v>
      </c>
      <c r="I6051" s="1" t="s">
        <v>5</v>
      </c>
      <c r="J6051" s="1" t="s">
        <v>67</v>
      </c>
      <c r="K6051" s="1" t="s">
        <v>14</v>
      </c>
      <c r="M6051" s="2">
        <v>42641</v>
      </c>
      <c r="N6051" s="1" t="s">
        <v>8</v>
      </c>
      <c r="O6051" s="1" t="s">
        <v>68</v>
      </c>
    </row>
    <row r="6052" spans="1:15" ht="43.2" x14ac:dyDescent="0.3">
      <c r="A6052" s="1" t="s">
        <v>20550</v>
      </c>
      <c r="B6052" s="1" t="str">
        <f>"Amias Taylor"</f>
        <v>Amias Taylor</v>
      </c>
      <c r="C6052" s="1" t="s">
        <v>20551</v>
      </c>
      <c r="D6052" s="1" t="s">
        <v>20552</v>
      </c>
      <c r="F6052" s="1" t="s">
        <v>1336</v>
      </c>
      <c r="H6052" s="1" t="s">
        <v>20553</v>
      </c>
      <c r="I6052" s="1" t="s">
        <v>5</v>
      </c>
      <c r="J6052" s="1" t="s">
        <v>67</v>
      </c>
      <c r="K6052" s="1" t="s">
        <v>14</v>
      </c>
      <c r="M6052" s="2">
        <v>42641</v>
      </c>
      <c r="N6052" s="1" t="s">
        <v>8</v>
      </c>
      <c r="O6052" s="1" t="s">
        <v>68</v>
      </c>
    </row>
    <row r="6053" spans="1:15" ht="43.2" x14ac:dyDescent="0.3">
      <c r="A6053" s="1" t="s">
        <v>20554</v>
      </c>
      <c r="B6053" s="1" t="str">
        <f>"Nicholas Jones"</f>
        <v>Nicholas Jones</v>
      </c>
      <c r="C6053" s="1" t="s">
        <v>18762</v>
      </c>
      <c r="F6053" s="1" t="s">
        <v>205</v>
      </c>
      <c r="H6053" s="1" t="s">
        <v>18763</v>
      </c>
      <c r="I6053" s="1" t="s">
        <v>5</v>
      </c>
      <c r="J6053" s="1" t="s">
        <v>67</v>
      </c>
      <c r="K6053" s="1" t="s">
        <v>14</v>
      </c>
      <c r="M6053" s="2">
        <v>42641</v>
      </c>
      <c r="N6053" s="1" t="s">
        <v>8</v>
      </c>
      <c r="O6053" s="1" t="s">
        <v>68</v>
      </c>
    </row>
    <row r="6054" spans="1:15" ht="43.2" x14ac:dyDescent="0.3">
      <c r="A6054" s="1" t="s">
        <v>20555</v>
      </c>
      <c r="B6054" s="1" t="str">
        <f>"Margaret Brain"</f>
        <v>Margaret Brain</v>
      </c>
      <c r="C6054" s="1" t="s">
        <v>20556</v>
      </c>
      <c r="D6054" s="1" t="s">
        <v>761</v>
      </c>
      <c r="F6054" s="1" t="s">
        <v>64</v>
      </c>
      <c r="H6054" s="1" t="s">
        <v>20557</v>
      </c>
      <c r="I6054" s="1" t="s">
        <v>5</v>
      </c>
      <c r="J6054" s="1" t="s">
        <v>67</v>
      </c>
      <c r="K6054" s="1" t="s">
        <v>14</v>
      </c>
      <c r="M6054" s="2">
        <v>42641</v>
      </c>
      <c r="N6054" s="1" t="s">
        <v>8</v>
      </c>
      <c r="O6054" s="1" t="s">
        <v>68</v>
      </c>
    </row>
    <row r="6055" spans="1:15" ht="43.2" x14ac:dyDescent="0.3">
      <c r="A6055" s="1" t="s">
        <v>4833</v>
      </c>
      <c r="B6055" s="1" t="str">
        <f>"silcox stores limited"</f>
        <v>silcox stores limited</v>
      </c>
      <c r="C6055" s="1" t="s">
        <v>4834</v>
      </c>
      <c r="F6055" s="1" t="s">
        <v>380</v>
      </c>
      <c r="H6055" s="1" t="s">
        <v>4835</v>
      </c>
      <c r="I6055" s="1" t="s">
        <v>19</v>
      </c>
      <c r="J6055" s="1" t="s">
        <v>67</v>
      </c>
      <c r="K6055" s="1" t="s">
        <v>14</v>
      </c>
      <c r="M6055" s="2">
        <v>42640</v>
      </c>
      <c r="N6055" s="1" t="s">
        <v>8</v>
      </c>
      <c r="O6055" s="1" t="s">
        <v>68</v>
      </c>
    </row>
    <row r="6056" spans="1:15" ht="43.2" x14ac:dyDescent="0.3">
      <c r="A6056" s="1" t="s">
        <v>4836</v>
      </c>
      <c r="B6056" s="1" t="str">
        <f>"James Dewhurst Ltd"</f>
        <v>James Dewhurst Ltd</v>
      </c>
      <c r="C6056" s="1" t="s">
        <v>4837</v>
      </c>
      <c r="F6056" s="1" t="s">
        <v>4838</v>
      </c>
      <c r="H6056" s="1" t="s">
        <v>4839</v>
      </c>
      <c r="I6056" s="1" t="s">
        <v>19</v>
      </c>
      <c r="J6056" s="1" t="s">
        <v>67</v>
      </c>
      <c r="K6056" s="1" t="s">
        <v>14</v>
      </c>
      <c r="M6056" s="2">
        <v>42640</v>
      </c>
      <c r="N6056" s="1" t="s">
        <v>8</v>
      </c>
      <c r="O6056" s="1" t="s">
        <v>68</v>
      </c>
    </row>
    <row r="6057" spans="1:15" ht="43.2" x14ac:dyDescent="0.3">
      <c r="A6057" s="1" t="s">
        <v>14463</v>
      </c>
      <c r="B6057" s="1" t="str">
        <f>"Premier Stores Ltd"</f>
        <v>Premier Stores Ltd</v>
      </c>
      <c r="C6057" s="1" t="s">
        <v>14464</v>
      </c>
      <c r="D6057" s="1" t="s">
        <v>8146</v>
      </c>
      <c r="F6057" s="1" t="s">
        <v>1278</v>
      </c>
      <c r="H6057" s="1" t="s">
        <v>14465</v>
      </c>
      <c r="I6057" s="1" t="s">
        <v>19</v>
      </c>
      <c r="J6057" s="1" t="s">
        <v>67</v>
      </c>
      <c r="K6057" s="1" t="s">
        <v>14</v>
      </c>
      <c r="M6057" s="2">
        <v>42640</v>
      </c>
      <c r="N6057" s="1" t="s">
        <v>8</v>
      </c>
      <c r="O6057" s="1" t="s">
        <v>68</v>
      </c>
    </row>
    <row r="6058" spans="1:15" ht="28.8" x14ac:dyDescent="0.3">
      <c r="A6058" s="1" t="s">
        <v>14466</v>
      </c>
      <c r="B6058" s="1" t="str">
        <f>"MALLETT TRANSPORT SERVICES LTD"</f>
        <v>MALLETT TRANSPORT SERVICES LTD</v>
      </c>
      <c r="C6058" s="1" t="s">
        <v>14467</v>
      </c>
      <c r="F6058" s="1" t="s">
        <v>91</v>
      </c>
      <c r="H6058" s="1" t="s">
        <v>14468</v>
      </c>
      <c r="I6058" s="1" t="s">
        <v>19</v>
      </c>
      <c r="J6058" s="1" t="s">
        <v>6</v>
      </c>
      <c r="K6058" s="1" t="s">
        <v>24</v>
      </c>
      <c r="L6058" s="1">
        <v>7053534</v>
      </c>
      <c r="M6058" s="2">
        <v>42640</v>
      </c>
      <c r="N6058" s="1" t="s">
        <v>8</v>
      </c>
      <c r="O6058" s="2">
        <v>43735</v>
      </c>
    </row>
    <row r="6059" spans="1:15" ht="28.8" x14ac:dyDescent="0.3">
      <c r="A6059" s="1" t="s">
        <v>14469</v>
      </c>
      <c r="B6059" s="1" t="str">
        <f>"SSGoddard LTD"</f>
        <v>SSGoddard LTD</v>
      </c>
      <c r="C6059" s="1" t="s">
        <v>14470</v>
      </c>
      <c r="F6059" s="1" t="s">
        <v>2961</v>
      </c>
      <c r="H6059" s="1" t="s">
        <v>14471</v>
      </c>
      <c r="I6059" s="1" t="s">
        <v>19</v>
      </c>
      <c r="J6059" s="1" t="s">
        <v>6</v>
      </c>
      <c r="K6059" s="1" t="s">
        <v>34</v>
      </c>
      <c r="L6059" s="1">
        <v>8408053</v>
      </c>
      <c r="M6059" s="2">
        <v>42640</v>
      </c>
      <c r="N6059" s="1" t="s">
        <v>8</v>
      </c>
      <c r="O6059" s="2">
        <v>43735</v>
      </c>
    </row>
    <row r="6060" spans="1:15" ht="28.8" x14ac:dyDescent="0.3">
      <c r="A6060" s="1" t="s">
        <v>14472</v>
      </c>
      <c r="B6060" s="1" t="str">
        <f>"J Taylor Plumbing &amp; Heating"</f>
        <v>J Taylor Plumbing &amp; Heating</v>
      </c>
      <c r="C6060" s="1" t="s">
        <v>14473</v>
      </c>
      <c r="D6060" s="1" t="s">
        <v>773</v>
      </c>
      <c r="F6060" s="1" t="s">
        <v>14474</v>
      </c>
      <c r="H6060" s="1" t="s">
        <v>14475</v>
      </c>
      <c r="I6060" s="1" t="s">
        <v>125</v>
      </c>
      <c r="J6060" s="1" t="s">
        <v>6</v>
      </c>
      <c r="K6060" s="1" t="s">
        <v>34</v>
      </c>
      <c r="M6060" s="2">
        <v>42640</v>
      </c>
      <c r="N6060" s="1" t="s">
        <v>8</v>
      </c>
      <c r="O6060" s="2">
        <v>43735</v>
      </c>
    </row>
    <row r="6061" spans="1:15" ht="28.8" x14ac:dyDescent="0.3">
      <c r="A6061" s="1" t="s">
        <v>19765</v>
      </c>
      <c r="B6061" s="1" t="str">
        <f>"Edward  Richards  Eddie's Skips "</f>
        <v xml:space="preserve">Edward  Richards  Eddie's Skips </v>
      </c>
      <c r="C6061" s="1" t="s">
        <v>19766</v>
      </c>
      <c r="F6061" s="1" t="s">
        <v>91</v>
      </c>
      <c r="H6061" s="1" t="s">
        <v>19767</v>
      </c>
      <c r="I6061" s="1" t="s">
        <v>5</v>
      </c>
      <c r="J6061" s="1" t="s">
        <v>6</v>
      </c>
      <c r="K6061" s="1" t="s">
        <v>34</v>
      </c>
      <c r="M6061" s="2">
        <v>42640</v>
      </c>
      <c r="N6061" s="1" t="s">
        <v>8</v>
      </c>
      <c r="O6061" s="2">
        <v>43735</v>
      </c>
    </row>
    <row r="6062" spans="1:15" ht="43.2" x14ac:dyDescent="0.3">
      <c r="A6062" s="1" t="s">
        <v>19768</v>
      </c>
      <c r="B6062" s="1" t="str">
        <f>"Andrew Mabbett Andrew mabbett agri &amp; ground works"</f>
        <v>Andrew Mabbett Andrew mabbett agri &amp; ground works</v>
      </c>
      <c r="C6062" s="1" t="s">
        <v>19769</v>
      </c>
      <c r="F6062" s="1" t="s">
        <v>65</v>
      </c>
      <c r="H6062" s="1" t="s">
        <v>19770</v>
      </c>
      <c r="I6062" s="1" t="s">
        <v>5</v>
      </c>
      <c r="J6062" s="1" t="s">
        <v>6</v>
      </c>
      <c r="K6062" s="1" t="s">
        <v>24</v>
      </c>
      <c r="M6062" s="2">
        <v>42640</v>
      </c>
      <c r="N6062" s="1" t="s">
        <v>8</v>
      </c>
      <c r="O6062" s="2">
        <v>43735</v>
      </c>
    </row>
    <row r="6063" spans="1:15" ht="43.2" x14ac:dyDescent="0.3">
      <c r="A6063" s="1" t="s">
        <v>19771</v>
      </c>
      <c r="B6063" s="1" t="str">
        <f>"Russell Harland Harland Removals and Light Haulage"</f>
        <v>Russell Harland Harland Removals and Light Haulage</v>
      </c>
      <c r="C6063" s="1" t="s">
        <v>19772</v>
      </c>
      <c r="F6063" s="1" t="s">
        <v>7700</v>
      </c>
      <c r="H6063" s="1" t="s">
        <v>19773</v>
      </c>
      <c r="I6063" s="1" t="s">
        <v>5</v>
      </c>
      <c r="J6063" s="1" t="s">
        <v>6</v>
      </c>
      <c r="K6063" s="1" t="s">
        <v>24</v>
      </c>
      <c r="M6063" s="2">
        <v>42640</v>
      </c>
      <c r="N6063" s="1" t="s">
        <v>8</v>
      </c>
      <c r="O6063" s="2">
        <v>43735</v>
      </c>
    </row>
    <row r="6064" spans="1:15" ht="43.2" x14ac:dyDescent="0.3">
      <c r="A6064" s="1" t="s">
        <v>19774</v>
      </c>
      <c r="B6064" s="1" t="str">
        <f>"Gareth Davies"</f>
        <v>Gareth Davies</v>
      </c>
      <c r="C6064" s="1" t="s">
        <v>19775</v>
      </c>
      <c r="F6064" s="1" t="s">
        <v>374</v>
      </c>
      <c r="H6064" s="1" t="s">
        <v>19776</v>
      </c>
      <c r="I6064" s="1" t="s">
        <v>5</v>
      </c>
      <c r="J6064" s="1" t="s">
        <v>67</v>
      </c>
      <c r="K6064" s="1" t="s">
        <v>14</v>
      </c>
      <c r="M6064" s="2">
        <v>42640</v>
      </c>
      <c r="N6064" s="1" t="s">
        <v>8</v>
      </c>
      <c r="O6064" s="1" t="s">
        <v>68</v>
      </c>
    </row>
    <row r="6065" spans="1:15" ht="43.2" x14ac:dyDescent="0.3">
      <c r="A6065" s="1" t="s">
        <v>19777</v>
      </c>
      <c r="B6065" s="1" t="str">
        <f>"mukesh  patel"</f>
        <v>mukesh  patel</v>
      </c>
      <c r="C6065" s="1" t="s">
        <v>19778</v>
      </c>
      <c r="D6065" s="1" t="s">
        <v>19779</v>
      </c>
      <c r="F6065" s="1" t="s">
        <v>19780</v>
      </c>
      <c r="H6065" s="1" t="s">
        <v>19781</v>
      </c>
      <c r="I6065" s="1" t="s">
        <v>5</v>
      </c>
      <c r="J6065" s="1" t="s">
        <v>67</v>
      </c>
      <c r="K6065" s="1" t="s">
        <v>14</v>
      </c>
      <c r="M6065" s="2">
        <v>42640</v>
      </c>
      <c r="N6065" s="1" t="s">
        <v>8</v>
      </c>
      <c r="O6065" s="1" t="s">
        <v>68</v>
      </c>
    </row>
    <row r="6066" spans="1:15" ht="43.2" x14ac:dyDescent="0.3">
      <c r="A6066" s="1" t="s">
        <v>19782</v>
      </c>
      <c r="B6066" s="1" t="str">
        <f>"David Webb"</f>
        <v>David Webb</v>
      </c>
      <c r="C6066" s="1" t="s">
        <v>19783</v>
      </c>
      <c r="F6066" s="1" t="s">
        <v>9414</v>
      </c>
      <c r="H6066" s="1" t="s">
        <v>19784</v>
      </c>
      <c r="I6066" s="1" t="s">
        <v>5</v>
      </c>
      <c r="J6066" s="1" t="s">
        <v>67</v>
      </c>
      <c r="K6066" s="1" t="s">
        <v>14</v>
      </c>
      <c r="M6066" s="2">
        <v>42640</v>
      </c>
      <c r="N6066" s="1" t="s">
        <v>8</v>
      </c>
      <c r="O6066" s="1" t="s">
        <v>68</v>
      </c>
    </row>
    <row r="6067" spans="1:15" ht="28.8" x14ac:dyDescent="0.3">
      <c r="A6067" s="1" t="s">
        <v>19785</v>
      </c>
      <c r="B6067" s="1" t="str">
        <f>"john randles john randles"</f>
        <v>john randles john randles</v>
      </c>
      <c r="C6067" s="1" t="s">
        <v>19786</v>
      </c>
      <c r="F6067" s="1" t="s">
        <v>1346</v>
      </c>
      <c r="H6067" s="1" t="s">
        <v>19787</v>
      </c>
      <c r="I6067" s="1" t="s">
        <v>5</v>
      </c>
      <c r="J6067" s="1" t="s">
        <v>6</v>
      </c>
      <c r="K6067" s="1" t="s">
        <v>24</v>
      </c>
      <c r="M6067" s="2">
        <v>42640</v>
      </c>
      <c r="N6067" s="1" t="s">
        <v>8</v>
      </c>
      <c r="O6067" s="2">
        <v>43735</v>
      </c>
    </row>
    <row r="6068" spans="1:15" ht="28.8" x14ac:dyDescent="0.3">
      <c r="A6068" s="1" t="s">
        <v>19788</v>
      </c>
      <c r="B6068" s="1" t="str">
        <f>"Doreen  Jones  Doreen jones"</f>
        <v>Doreen  Jones  Doreen jones</v>
      </c>
      <c r="C6068" s="1" t="s">
        <v>19789</v>
      </c>
      <c r="F6068" s="1" t="s">
        <v>290</v>
      </c>
      <c r="H6068" s="1" t="s">
        <v>19790</v>
      </c>
      <c r="I6068" s="1" t="s">
        <v>5</v>
      </c>
      <c r="J6068" s="1" t="s">
        <v>6</v>
      </c>
      <c r="K6068" s="1" t="s">
        <v>24</v>
      </c>
      <c r="M6068" s="2">
        <v>42640</v>
      </c>
      <c r="N6068" s="1" t="s">
        <v>8</v>
      </c>
      <c r="O6068" s="2">
        <v>43735</v>
      </c>
    </row>
    <row r="6069" spans="1:15" ht="43.2" x14ac:dyDescent="0.3">
      <c r="A6069" s="1" t="s">
        <v>26811</v>
      </c>
      <c r="B6069" s="1" t="str">
        <f>"Christopher Smith"</f>
        <v>Christopher Smith</v>
      </c>
      <c r="C6069" s="1" t="s">
        <v>26812</v>
      </c>
      <c r="F6069" s="1" t="s">
        <v>26813</v>
      </c>
      <c r="H6069" s="1" t="s">
        <v>26814</v>
      </c>
      <c r="I6069" s="1" t="s">
        <v>5</v>
      </c>
      <c r="J6069" s="1" t="s">
        <v>67</v>
      </c>
      <c r="K6069" s="1" t="s">
        <v>14</v>
      </c>
      <c r="M6069" s="2">
        <v>42640</v>
      </c>
      <c r="N6069" s="1" t="s">
        <v>8</v>
      </c>
      <c r="O6069" s="1" t="s">
        <v>68</v>
      </c>
    </row>
    <row r="6070" spans="1:15" ht="28.8" x14ac:dyDescent="0.3">
      <c r="A6070" s="1" t="s">
        <v>26815</v>
      </c>
      <c r="B6070" s="1" t="str">
        <f>"Philip Neale Philip Neale Construction"</f>
        <v>Philip Neale Philip Neale Construction</v>
      </c>
      <c r="C6070" s="1" t="s">
        <v>26816</v>
      </c>
      <c r="D6070" s="1" t="s">
        <v>14738</v>
      </c>
      <c r="F6070" s="1" t="s">
        <v>1169</v>
      </c>
      <c r="H6070" s="1" t="s">
        <v>26817</v>
      </c>
      <c r="I6070" s="1" t="s">
        <v>5</v>
      </c>
      <c r="J6070" s="1" t="s">
        <v>6</v>
      </c>
      <c r="K6070" s="1" t="s">
        <v>24</v>
      </c>
      <c r="M6070" s="2">
        <v>42640</v>
      </c>
      <c r="N6070" s="1" t="s">
        <v>8</v>
      </c>
      <c r="O6070" s="2">
        <v>43735</v>
      </c>
    </row>
    <row r="6071" spans="1:15" ht="28.8" x14ac:dyDescent="0.3">
      <c r="A6071" s="1" t="s">
        <v>13616</v>
      </c>
      <c r="B6071" s="1" t="str">
        <f>"Industrial Battery Services Limited"</f>
        <v>Industrial Battery Services Limited</v>
      </c>
      <c r="C6071" s="1" t="s">
        <v>13617</v>
      </c>
      <c r="D6071" s="1" t="s">
        <v>13618</v>
      </c>
      <c r="E6071" s="1" t="s">
        <v>1174</v>
      </c>
      <c r="F6071" s="1" t="s">
        <v>1175</v>
      </c>
      <c r="H6071" s="1" t="s">
        <v>9697</v>
      </c>
      <c r="I6071" s="1" t="s">
        <v>19</v>
      </c>
      <c r="J6071" s="1" t="s">
        <v>6</v>
      </c>
      <c r="K6071" s="1" t="s">
        <v>34</v>
      </c>
      <c r="L6071" s="1">
        <v>9815301</v>
      </c>
      <c r="M6071" s="2">
        <v>42639</v>
      </c>
      <c r="N6071" s="1" t="s">
        <v>8</v>
      </c>
      <c r="O6071" s="2">
        <v>43734</v>
      </c>
    </row>
    <row r="6072" spans="1:15" ht="43.2" x14ac:dyDescent="0.3">
      <c r="A6072" s="1" t="s">
        <v>13619</v>
      </c>
      <c r="B6072" s="1" t="str">
        <f>"Bwyty Maengwyn LTD"</f>
        <v>Bwyty Maengwyn LTD</v>
      </c>
      <c r="C6072" s="1" t="s">
        <v>13620</v>
      </c>
      <c r="D6072" s="1" t="s">
        <v>13621</v>
      </c>
      <c r="F6072" s="1" t="s">
        <v>1818</v>
      </c>
      <c r="H6072" s="1" t="s">
        <v>12169</v>
      </c>
      <c r="I6072" s="1" t="s">
        <v>19</v>
      </c>
      <c r="J6072" s="1" t="s">
        <v>67</v>
      </c>
      <c r="K6072" s="1" t="s">
        <v>14</v>
      </c>
      <c r="M6072" s="2">
        <v>42639</v>
      </c>
      <c r="N6072" s="1" t="s">
        <v>8</v>
      </c>
      <c r="O6072" s="1" t="s">
        <v>68</v>
      </c>
    </row>
    <row r="6073" spans="1:15" ht="43.2" x14ac:dyDescent="0.3">
      <c r="A6073" s="1" t="s">
        <v>13622</v>
      </c>
      <c r="B6073" s="1" t="str">
        <f>"Sanghera Food &amp; Wine Ltd"</f>
        <v>Sanghera Food &amp; Wine Ltd</v>
      </c>
      <c r="C6073" s="1" t="s">
        <v>13623</v>
      </c>
      <c r="F6073" s="1" t="s">
        <v>65</v>
      </c>
      <c r="H6073" s="1" t="s">
        <v>2420</v>
      </c>
      <c r="I6073" s="1" t="s">
        <v>19</v>
      </c>
      <c r="J6073" s="1" t="s">
        <v>67</v>
      </c>
      <c r="K6073" s="1" t="s">
        <v>14</v>
      </c>
      <c r="M6073" s="2">
        <v>42639</v>
      </c>
      <c r="N6073" s="1" t="s">
        <v>8</v>
      </c>
      <c r="O6073" s="1" t="s">
        <v>68</v>
      </c>
    </row>
    <row r="6074" spans="1:15" ht="43.2" x14ac:dyDescent="0.3">
      <c r="A6074" s="1" t="s">
        <v>13624</v>
      </c>
      <c r="B6074" s="1" t="str">
        <f>"havahire ltd"</f>
        <v>havahire ltd</v>
      </c>
      <c r="C6074" s="1" t="s">
        <v>13625</v>
      </c>
      <c r="F6074" s="1" t="s">
        <v>4689</v>
      </c>
      <c r="H6074" s="1" t="s">
        <v>13626</v>
      </c>
      <c r="I6074" s="1" t="s">
        <v>19</v>
      </c>
      <c r="J6074" s="1" t="s">
        <v>67</v>
      </c>
      <c r="K6074" s="1" t="s">
        <v>14</v>
      </c>
      <c r="M6074" s="2">
        <v>42639</v>
      </c>
      <c r="N6074" s="1" t="s">
        <v>8</v>
      </c>
      <c r="O6074" s="1" t="s">
        <v>68</v>
      </c>
    </row>
    <row r="6075" spans="1:15" ht="43.2" x14ac:dyDescent="0.3">
      <c r="A6075" s="1" t="s">
        <v>13627</v>
      </c>
      <c r="B6075" s="1" t="str">
        <f>"Penrhiwtyn limited "</f>
        <v xml:space="preserve">Penrhiwtyn limited </v>
      </c>
      <c r="C6075" s="1" t="s">
        <v>13628</v>
      </c>
      <c r="F6075" s="1" t="s">
        <v>174</v>
      </c>
      <c r="H6075" s="1" t="s">
        <v>2539</v>
      </c>
      <c r="I6075" s="1" t="s">
        <v>19</v>
      </c>
      <c r="J6075" s="1" t="s">
        <v>67</v>
      </c>
      <c r="K6075" s="1" t="s">
        <v>14</v>
      </c>
      <c r="M6075" s="2">
        <v>42639</v>
      </c>
      <c r="N6075" s="1" t="s">
        <v>8</v>
      </c>
      <c r="O6075" s="1" t="s">
        <v>68</v>
      </c>
    </row>
    <row r="6076" spans="1:15" ht="43.2" x14ac:dyDescent="0.3">
      <c r="A6076" s="1" t="s">
        <v>13629</v>
      </c>
      <c r="B6076" s="1" t="str">
        <f>"COLCOT STORES"</f>
        <v>COLCOT STORES</v>
      </c>
      <c r="C6076" s="1" t="s">
        <v>13630</v>
      </c>
      <c r="F6076" s="1" t="s">
        <v>298</v>
      </c>
      <c r="H6076" s="1" t="s">
        <v>13631</v>
      </c>
      <c r="I6076" s="1" t="s">
        <v>125</v>
      </c>
      <c r="J6076" s="1" t="s">
        <v>67</v>
      </c>
      <c r="K6076" s="1" t="s">
        <v>14</v>
      </c>
      <c r="M6076" s="2">
        <v>42639</v>
      </c>
      <c r="N6076" s="1" t="s">
        <v>8</v>
      </c>
      <c r="O6076" s="1" t="s">
        <v>68</v>
      </c>
    </row>
    <row r="6077" spans="1:15" ht="43.2" x14ac:dyDescent="0.3">
      <c r="A6077" s="1" t="s">
        <v>13632</v>
      </c>
      <c r="B6077" s="1" t="str">
        <f>"AL&amp;C LLP"</f>
        <v>AL&amp;C LLP</v>
      </c>
      <c r="C6077" s="1" t="s">
        <v>13633</v>
      </c>
      <c r="F6077" s="1" t="s">
        <v>865</v>
      </c>
      <c r="H6077" s="1" t="s">
        <v>13634</v>
      </c>
      <c r="I6077" s="1" t="s">
        <v>125</v>
      </c>
      <c r="J6077" s="1" t="s">
        <v>67</v>
      </c>
      <c r="K6077" s="1" t="s">
        <v>14</v>
      </c>
      <c r="M6077" s="2">
        <v>42639</v>
      </c>
      <c r="N6077" s="1" t="s">
        <v>8</v>
      </c>
      <c r="O6077" s="1" t="s">
        <v>68</v>
      </c>
    </row>
    <row r="6078" spans="1:15" ht="43.2" x14ac:dyDescent="0.3">
      <c r="A6078" s="1" t="s">
        <v>13635</v>
      </c>
      <c r="B6078" s="1" t="str">
        <f>"D G HOWELL (HYDRAULIC ENGINEERS) LT"</f>
        <v>D G HOWELL (HYDRAULIC ENGINEERS) LT</v>
      </c>
      <c r="C6078" s="1" t="s">
        <v>13636</v>
      </c>
      <c r="F6078" s="1" t="s">
        <v>91</v>
      </c>
      <c r="H6078" s="1" t="s">
        <v>13637</v>
      </c>
      <c r="I6078" s="1" t="s">
        <v>19</v>
      </c>
      <c r="J6078" s="1" t="s">
        <v>6</v>
      </c>
      <c r="K6078" s="1" t="s">
        <v>34</v>
      </c>
      <c r="L6078" s="1">
        <v>1440054</v>
      </c>
      <c r="M6078" s="2">
        <v>42639</v>
      </c>
      <c r="N6078" s="1" t="s">
        <v>8</v>
      </c>
      <c r="O6078" s="2">
        <v>43734</v>
      </c>
    </row>
    <row r="6079" spans="1:15" ht="43.2" x14ac:dyDescent="0.3">
      <c r="A6079" s="1" t="s">
        <v>14445</v>
      </c>
      <c r="B6079" s="1" t="str">
        <f>"Llangurig Post Office and Stoes"</f>
        <v>Llangurig Post Office and Stoes</v>
      </c>
      <c r="C6079" s="1" t="s">
        <v>14446</v>
      </c>
      <c r="F6079" s="1" t="s">
        <v>7844</v>
      </c>
      <c r="H6079" s="1" t="s">
        <v>14447</v>
      </c>
      <c r="I6079" s="1" t="s">
        <v>125</v>
      </c>
      <c r="J6079" s="1" t="s">
        <v>67</v>
      </c>
      <c r="K6079" s="1" t="s">
        <v>14</v>
      </c>
      <c r="M6079" s="2">
        <v>42639</v>
      </c>
      <c r="N6079" s="1" t="s">
        <v>8</v>
      </c>
      <c r="O6079" s="1" t="s">
        <v>68</v>
      </c>
    </row>
    <row r="6080" spans="1:15" ht="28.8" x14ac:dyDescent="0.3">
      <c r="A6080" s="1" t="s">
        <v>14448</v>
      </c>
      <c r="B6080" s="1" t="str">
        <f>"A E GOUGH &amp; SONS"</f>
        <v>A E GOUGH &amp; SONS</v>
      </c>
      <c r="C6080" s="1" t="s">
        <v>14449</v>
      </c>
      <c r="F6080" s="1" t="s">
        <v>146</v>
      </c>
      <c r="H6080" s="1" t="s">
        <v>147</v>
      </c>
      <c r="I6080" s="1" t="s">
        <v>125</v>
      </c>
      <c r="J6080" s="1" t="s">
        <v>6</v>
      </c>
      <c r="K6080" s="1" t="s">
        <v>24</v>
      </c>
      <c r="M6080" s="2">
        <v>42639</v>
      </c>
      <c r="N6080" s="1" t="s">
        <v>8</v>
      </c>
      <c r="O6080" s="2">
        <v>43734</v>
      </c>
    </row>
    <row r="6081" spans="1:15" ht="43.2" x14ac:dyDescent="0.3">
      <c r="A6081" s="1" t="s">
        <v>14450</v>
      </c>
      <c r="B6081" s="1" t="str">
        <f>"Prodec Pembs"</f>
        <v>Prodec Pembs</v>
      </c>
      <c r="C6081" s="1" t="s">
        <v>14451</v>
      </c>
      <c r="F6081" s="1" t="s">
        <v>134</v>
      </c>
      <c r="H6081" s="1" t="s">
        <v>14452</v>
      </c>
      <c r="I6081" s="1" t="s">
        <v>125</v>
      </c>
      <c r="J6081" s="1" t="s">
        <v>67</v>
      </c>
      <c r="K6081" s="1" t="s">
        <v>14</v>
      </c>
      <c r="M6081" s="2">
        <v>42639</v>
      </c>
      <c r="N6081" s="1" t="s">
        <v>8</v>
      </c>
      <c r="O6081" s="1" t="s">
        <v>68</v>
      </c>
    </row>
    <row r="6082" spans="1:15" ht="43.2" x14ac:dyDescent="0.3">
      <c r="A6082" s="1" t="s">
        <v>14453</v>
      </c>
      <c r="B6082" s="1" t="str">
        <f>"somaiya news"</f>
        <v>somaiya news</v>
      </c>
      <c r="C6082" s="1" t="s">
        <v>14454</v>
      </c>
      <c r="F6082" s="1" t="s">
        <v>14455</v>
      </c>
      <c r="H6082" s="1" t="s">
        <v>14456</v>
      </c>
      <c r="I6082" s="1" t="s">
        <v>19</v>
      </c>
      <c r="J6082" s="1" t="s">
        <v>67</v>
      </c>
      <c r="K6082" s="1" t="s">
        <v>14</v>
      </c>
      <c r="M6082" s="2">
        <v>42639</v>
      </c>
      <c r="N6082" s="1" t="s">
        <v>8</v>
      </c>
      <c r="O6082" s="1" t="s">
        <v>68</v>
      </c>
    </row>
    <row r="6083" spans="1:15" ht="43.2" x14ac:dyDescent="0.3">
      <c r="A6083" s="1" t="s">
        <v>14457</v>
      </c>
      <c r="B6083" s="1" t="str">
        <f>"Tc landscaping"</f>
        <v>Tc landscaping</v>
      </c>
      <c r="C6083" s="1" t="s">
        <v>14458</v>
      </c>
      <c r="F6083" s="1" t="s">
        <v>4086</v>
      </c>
      <c r="H6083" s="1" t="s">
        <v>14459</v>
      </c>
      <c r="I6083" s="1" t="s">
        <v>125</v>
      </c>
      <c r="J6083" s="1" t="s">
        <v>67</v>
      </c>
      <c r="K6083" s="1" t="s">
        <v>14</v>
      </c>
      <c r="M6083" s="2">
        <v>42639</v>
      </c>
      <c r="N6083" s="1" t="s">
        <v>8</v>
      </c>
      <c r="O6083" s="1" t="s">
        <v>68</v>
      </c>
    </row>
    <row r="6084" spans="1:15" ht="28.8" x14ac:dyDescent="0.3">
      <c r="A6084" s="1" t="s">
        <v>14460</v>
      </c>
      <c r="B6084" s="1" t="str">
        <f>"baglan building plastics ltd"</f>
        <v>baglan building plastics ltd</v>
      </c>
      <c r="C6084" s="1" t="s">
        <v>14461</v>
      </c>
      <c r="F6084" s="1" t="s">
        <v>1351</v>
      </c>
      <c r="H6084" s="1" t="s">
        <v>14462</v>
      </c>
      <c r="I6084" s="1" t="s">
        <v>19</v>
      </c>
      <c r="J6084" s="1" t="s">
        <v>6</v>
      </c>
      <c r="K6084" s="1" t="s">
        <v>34</v>
      </c>
      <c r="L6084" s="1">
        <v>4197642</v>
      </c>
      <c r="M6084" s="2">
        <v>42639</v>
      </c>
      <c r="N6084" s="1" t="s">
        <v>8</v>
      </c>
      <c r="O6084" s="2">
        <v>43734</v>
      </c>
    </row>
    <row r="6085" spans="1:15" ht="43.2" x14ac:dyDescent="0.3">
      <c r="A6085" s="1" t="s">
        <v>26114</v>
      </c>
      <c r="B6085" s="1" t="str">
        <f>"SARATH LANKA"</f>
        <v>SARATH LANKA</v>
      </c>
      <c r="C6085" s="1" t="s">
        <v>26115</v>
      </c>
      <c r="F6085" s="1" t="s">
        <v>6523</v>
      </c>
      <c r="H6085" s="1" t="s">
        <v>26116</v>
      </c>
      <c r="I6085" s="1" t="s">
        <v>5</v>
      </c>
      <c r="J6085" s="1" t="s">
        <v>67</v>
      </c>
      <c r="K6085" s="1" t="s">
        <v>14</v>
      </c>
      <c r="M6085" s="2">
        <v>42639</v>
      </c>
      <c r="N6085" s="1" t="s">
        <v>8</v>
      </c>
      <c r="O6085" s="1" t="s">
        <v>68</v>
      </c>
    </row>
    <row r="6086" spans="1:15" ht="43.2" x14ac:dyDescent="0.3">
      <c r="A6086" s="1" t="s">
        <v>26117</v>
      </c>
      <c r="B6086" s="1" t="str">
        <f>"Carl Sanders carl sanders roofing and building contractors"</f>
        <v>Carl Sanders carl sanders roofing and building contractors</v>
      </c>
      <c r="C6086" s="1" t="s">
        <v>26118</v>
      </c>
      <c r="F6086" s="1" t="s">
        <v>996</v>
      </c>
      <c r="H6086" s="1" t="s">
        <v>26119</v>
      </c>
      <c r="I6086" s="1" t="s">
        <v>5</v>
      </c>
      <c r="J6086" s="1" t="s">
        <v>6</v>
      </c>
      <c r="K6086" s="1" t="s">
        <v>24</v>
      </c>
      <c r="M6086" s="2">
        <v>42639</v>
      </c>
      <c r="N6086" s="1" t="s">
        <v>8</v>
      </c>
      <c r="O6086" s="2">
        <v>43734</v>
      </c>
    </row>
    <row r="6087" spans="1:15" ht="43.2" x14ac:dyDescent="0.3">
      <c r="A6087" s="1" t="s">
        <v>26120</v>
      </c>
      <c r="B6087" s="1" t="str">
        <f>"Christopher Rastall"</f>
        <v>Christopher Rastall</v>
      </c>
      <c r="C6087" s="1" t="s">
        <v>26121</v>
      </c>
      <c r="F6087" s="1" t="s">
        <v>243</v>
      </c>
      <c r="H6087" s="1" t="s">
        <v>26122</v>
      </c>
      <c r="I6087" s="1" t="s">
        <v>5</v>
      </c>
      <c r="J6087" s="1" t="s">
        <v>67</v>
      </c>
      <c r="K6087" s="1" t="s">
        <v>14</v>
      </c>
      <c r="M6087" s="2">
        <v>42639</v>
      </c>
      <c r="N6087" s="1" t="s">
        <v>8</v>
      </c>
      <c r="O6087" s="1" t="s">
        <v>68</v>
      </c>
    </row>
    <row r="6088" spans="1:15" ht="28.8" x14ac:dyDescent="0.3">
      <c r="A6088" s="1" t="s">
        <v>26806</v>
      </c>
      <c r="B6088" s="1" t="str">
        <f>"james davies j davies gardenig sevice"</f>
        <v>james davies j davies gardenig sevice</v>
      </c>
      <c r="C6088" s="1" t="s">
        <v>26807</v>
      </c>
      <c r="F6088" s="1" t="s">
        <v>91</v>
      </c>
      <c r="H6088" s="1" t="s">
        <v>26808</v>
      </c>
      <c r="I6088" s="1" t="s">
        <v>5</v>
      </c>
      <c r="J6088" s="1" t="s">
        <v>6</v>
      </c>
      <c r="K6088" s="1" t="s">
        <v>24</v>
      </c>
      <c r="M6088" s="2">
        <v>42639</v>
      </c>
      <c r="N6088" s="1" t="s">
        <v>8</v>
      </c>
      <c r="O6088" s="2">
        <v>43734</v>
      </c>
    </row>
    <row r="6089" spans="1:15" ht="43.2" x14ac:dyDescent="0.3">
      <c r="A6089" s="1" t="s">
        <v>26809</v>
      </c>
      <c r="B6089" s="1" t="str">
        <f>"Barbara  Jones"</f>
        <v>Barbara  Jones</v>
      </c>
      <c r="C6089" s="1" t="s">
        <v>26810</v>
      </c>
      <c r="F6089" s="1" t="s">
        <v>416</v>
      </c>
      <c r="H6089" s="1" t="s">
        <v>24348</v>
      </c>
      <c r="I6089" s="1" t="s">
        <v>5</v>
      </c>
      <c r="J6089" s="1" t="s">
        <v>67</v>
      </c>
      <c r="K6089" s="1" t="s">
        <v>14</v>
      </c>
      <c r="M6089" s="2">
        <v>42639</v>
      </c>
      <c r="N6089" s="1" t="s">
        <v>8</v>
      </c>
      <c r="O6089" s="1" t="s">
        <v>68</v>
      </c>
    </row>
    <row r="6090" spans="1:15" ht="28.8" x14ac:dyDescent="0.3">
      <c r="A6090" s="1" t="s">
        <v>13607</v>
      </c>
      <c r="B6090" s="1" t="str">
        <f>"Build Right (Construction Services)"</f>
        <v>Build Right (Construction Services)</v>
      </c>
      <c r="C6090" s="1" t="s">
        <v>13608</v>
      </c>
      <c r="F6090" s="1" t="s">
        <v>6637</v>
      </c>
      <c r="H6090" s="1" t="s">
        <v>13609</v>
      </c>
      <c r="I6090" s="1" t="s">
        <v>19</v>
      </c>
      <c r="J6090" s="1" t="s">
        <v>6</v>
      </c>
      <c r="K6090" s="1" t="s">
        <v>34</v>
      </c>
      <c r="L6090" s="1">
        <v>9777214</v>
      </c>
      <c r="M6090" s="2">
        <v>42638</v>
      </c>
      <c r="N6090" s="1" t="s">
        <v>8</v>
      </c>
      <c r="O6090" s="2">
        <v>43733</v>
      </c>
    </row>
    <row r="6091" spans="1:15" ht="28.8" x14ac:dyDescent="0.3">
      <c r="A6091" s="1" t="s">
        <v>13610</v>
      </c>
      <c r="B6091" s="1" t="str">
        <f>"PJ MARTIN GROUNDWORKS LTD"</f>
        <v>PJ MARTIN GROUNDWORKS LTD</v>
      </c>
      <c r="C6091" s="1" t="s">
        <v>13611</v>
      </c>
      <c r="F6091" s="1" t="s">
        <v>7823</v>
      </c>
      <c r="H6091" s="1" t="s">
        <v>13612</v>
      </c>
      <c r="I6091" s="1" t="s">
        <v>19</v>
      </c>
      <c r="J6091" s="1" t="s">
        <v>6</v>
      </c>
      <c r="K6091" s="1" t="s">
        <v>34</v>
      </c>
      <c r="L6091" s="1">
        <v>4997767</v>
      </c>
      <c r="M6091" s="2">
        <v>42638</v>
      </c>
      <c r="N6091" s="1" t="s">
        <v>8</v>
      </c>
      <c r="O6091" s="2">
        <v>43733</v>
      </c>
    </row>
    <row r="6092" spans="1:15" ht="43.2" x14ac:dyDescent="0.3">
      <c r="A6092" s="1" t="s">
        <v>13613</v>
      </c>
      <c r="B6092" s="1" t="str">
        <f>"AVANT HIRE (SOUTH WALES) LTD"</f>
        <v>AVANT HIRE (SOUTH WALES) LTD</v>
      </c>
      <c r="C6092" s="1" t="s">
        <v>13614</v>
      </c>
      <c r="F6092" s="1" t="s">
        <v>27</v>
      </c>
      <c r="H6092" s="1" t="s">
        <v>13615</v>
      </c>
      <c r="I6092" s="1" t="s">
        <v>19</v>
      </c>
      <c r="J6092" s="1" t="s">
        <v>67</v>
      </c>
      <c r="K6092" s="1" t="s">
        <v>34</v>
      </c>
      <c r="L6092" s="1">
        <v>7477837</v>
      </c>
      <c r="M6092" s="2">
        <v>42638</v>
      </c>
      <c r="N6092" s="1" t="s">
        <v>8</v>
      </c>
      <c r="O6092" s="1" t="s">
        <v>68</v>
      </c>
    </row>
    <row r="6093" spans="1:15" ht="28.8" x14ac:dyDescent="0.3">
      <c r="A6093" s="1" t="s">
        <v>26108</v>
      </c>
      <c r="B6093" s="1" t="str">
        <f>"Terrence Rowe Terry Rowe Skip Hire"</f>
        <v>Terrence Rowe Terry Rowe Skip Hire</v>
      </c>
      <c r="C6093" s="1" t="s">
        <v>26109</v>
      </c>
      <c r="F6093" s="1" t="s">
        <v>555</v>
      </c>
      <c r="H6093" s="1" t="s">
        <v>26110</v>
      </c>
      <c r="I6093" s="1" t="s">
        <v>5</v>
      </c>
      <c r="J6093" s="1" t="s">
        <v>6</v>
      </c>
      <c r="K6093" s="1" t="s">
        <v>24</v>
      </c>
      <c r="M6093" s="2">
        <v>42638</v>
      </c>
      <c r="N6093" s="1" t="s">
        <v>8</v>
      </c>
      <c r="O6093" s="2">
        <v>43733</v>
      </c>
    </row>
    <row r="6094" spans="1:15" ht="28.8" x14ac:dyDescent="0.3">
      <c r="A6094" s="1" t="s">
        <v>26111</v>
      </c>
      <c r="B6094" s="1" t="str">
        <f>"robert morgan Rob morgan mini digger hire"</f>
        <v>robert morgan Rob morgan mini digger hire</v>
      </c>
      <c r="C6094" s="1" t="s">
        <v>26112</v>
      </c>
      <c r="F6094" s="1" t="s">
        <v>2817</v>
      </c>
      <c r="H6094" s="1" t="s">
        <v>26113</v>
      </c>
      <c r="I6094" s="1" t="s">
        <v>5</v>
      </c>
      <c r="J6094" s="1" t="s">
        <v>6</v>
      </c>
      <c r="K6094" s="1" t="s">
        <v>24</v>
      </c>
      <c r="M6094" s="2">
        <v>42638</v>
      </c>
      <c r="N6094" s="1" t="s">
        <v>8</v>
      </c>
      <c r="O6094" s="2">
        <v>43733</v>
      </c>
    </row>
    <row r="6095" spans="1:15" ht="28.8" x14ac:dyDescent="0.3">
      <c r="A6095" s="1" t="s">
        <v>26105</v>
      </c>
      <c r="B6095" s="1" t="str">
        <f>"Brian Warner B R Warner Services"</f>
        <v>Brian Warner B R Warner Services</v>
      </c>
      <c r="C6095" s="1" t="s">
        <v>26106</v>
      </c>
      <c r="F6095" s="1" t="s">
        <v>4798</v>
      </c>
      <c r="H6095" s="1" t="s">
        <v>26107</v>
      </c>
      <c r="I6095" s="1" t="s">
        <v>5</v>
      </c>
      <c r="J6095" s="1" t="s">
        <v>6</v>
      </c>
      <c r="K6095" s="1" t="s">
        <v>34</v>
      </c>
      <c r="M6095" s="2">
        <v>42637</v>
      </c>
      <c r="N6095" s="1" t="s">
        <v>8</v>
      </c>
      <c r="O6095" s="2">
        <v>43732</v>
      </c>
    </row>
    <row r="6096" spans="1:15" ht="28.8" x14ac:dyDescent="0.3">
      <c r="A6096" s="1" t="s">
        <v>12477</v>
      </c>
      <c r="B6096" s="1" t="str">
        <f>"Recycle Cymru Ltd."</f>
        <v>Recycle Cymru Ltd.</v>
      </c>
      <c r="C6096" s="1" t="s">
        <v>12478</v>
      </c>
      <c r="F6096" s="1" t="s">
        <v>359</v>
      </c>
      <c r="H6096" s="1" t="s">
        <v>12479</v>
      </c>
      <c r="I6096" s="1" t="s">
        <v>19</v>
      </c>
      <c r="J6096" s="1" t="s">
        <v>6</v>
      </c>
      <c r="K6096" s="1" t="s">
        <v>34</v>
      </c>
      <c r="L6096" s="1">
        <v>5217264</v>
      </c>
      <c r="M6096" s="2">
        <v>42636</v>
      </c>
      <c r="N6096" s="1" t="s">
        <v>8</v>
      </c>
      <c r="O6096" s="2">
        <v>43731</v>
      </c>
    </row>
    <row r="6097" spans="1:15" ht="43.2" x14ac:dyDescent="0.3">
      <c r="A6097" s="1" t="s">
        <v>12480</v>
      </c>
      <c r="B6097" s="1" t="str">
        <f>"Longford stores"</f>
        <v>Longford stores</v>
      </c>
      <c r="C6097" s="1" t="s">
        <v>12481</v>
      </c>
      <c r="F6097" s="1" t="s">
        <v>174</v>
      </c>
      <c r="H6097" s="1" t="s">
        <v>12482</v>
      </c>
      <c r="I6097" s="1" t="s">
        <v>125</v>
      </c>
      <c r="J6097" s="1" t="s">
        <v>67</v>
      </c>
      <c r="K6097" s="1" t="s">
        <v>14</v>
      </c>
      <c r="M6097" s="2">
        <v>42636</v>
      </c>
      <c r="N6097" s="1" t="s">
        <v>8</v>
      </c>
      <c r="O6097" s="1" t="s">
        <v>68</v>
      </c>
    </row>
    <row r="6098" spans="1:15" ht="28.8" x14ac:dyDescent="0.3">
      <c r="A6098" s="1" t="s">
        <v>12483</v>
      </c>
      <c r="B6098" s="1" t="str">
        <f>"CELTIC RESTORATIONS LTD"</f>
        <v>CELTIC RESTORATIONS LTD</v>
      </c>
      <c r="C6098" s="1" t="s">
        <v>12484</v>
      </c>
      <c r="D6098" s="1" t="s">
        <v>11</v>
      </c>
      <c r="F6098" s="1" t="s">
        <v>12</v>
      </c>
      <c r="H6098" s="1" t="s">
        <v>12485</v>
      </c>
      <c r="I6098" s="1" t="s">
        <v>19</v>
      </c>
      <c r="J6098" s="1" t="s">
        <v>6</v>
      </c>
      <c r="K6098" s="1" t="s">
        <v>24</v>
      </c>
      <c r="L6098" s="1">
        <v>4940321</v>
      </c>
      <c r="M6098" s="2">
        <v>42636</v>
      </c>
      <c r="N6098" s="1" t="s">
        <v>8</v>
      </c>
      <c r="O6098" s="2">
        <v>43731</v>
      </c>
    </row>
    <row r="6099" spans="1:15" ht="28.8" x14ac:dyDescent="0.3">
      <c r="A6099" s="1" t="s">
        <v>12486</v>
      </c>
      <c r="B6099" s="1" t="str">
        <f>"Trerise Property Maintenance Ltd."</f>
        <v>Trerise Property Maintenance Ltd.</v>
      </c>
      <c r="C6099" s="1" t="s">
        <v>4144</v>
      </c>
      <c r="D6099" s="1" t="s">
        <v>4145</v>
      </c>
      <c r="E6099" s="1" t="s">
        <v>2523</v>
      </c>
      <c r="F6099" s="1" t="s">
        <v>65</v>
      </c>
      <c r="H6099" s="1" t="s">
        <v>889</v>
      </c>
      <c r="I6099" s="1" t="s">
        <v>19</v>
      </c>
      <c r="J6099" s="1" t="s">
        <v>6</v>
      </c>
      <c r="K6099" s="1" t="s">
        <v>34</v>
      </c>
      <c r="L6099" s="1">
        <v>6146112</v>
      </c>
      <c r="M6099" s="2">
        <v>42636</v>
      </c>
      <c r="N6099" s="1" t="s">
        <v>8</v>
      </c>
      <c r="O6099" s="2">
        <v>43731</v>
      </c>
    </row>
    <row r="6100" spans="1:15" ht="28.8" x14ac:dyDescent="0.3">
      <c r="A6100" s="1" t="s">
        <v>13598</v>
      </c>
      <c r="B6100" s="1" t="str">
        <f>"Wanzl UK Ltd"</f>
        <v>Wanzl UK Ltd</v>
      </c>
      <c r="C6100" s="1" t="s">
        <v>13599</v>
      </c>
      <c r="D6100" s="1" t="s">
        <v>13600</v>
      </c>
      <c r="F6100" s="1" t="s">
        <v>13601</v>
      </c>
      <c r="H6100" s="1" t="s">
        <v>13602</v>
      </c>
      <c r="I6100" s="1" t="s">
        <v>19</v>
      </c>
      <c r="J6100" s="1" t="s">
        <v>6</v>
      </c>
      <c r="K6100" s="1" t="s">
        <v>34</v>
      </c>
      <c r="L6100" s="1">
        <v>1403566</v>
      </c>
      <c r="M6100" s="2">
        <v>42636</v>
      </c>
      <c r="N6100" s="1" t="s">
        <v>8</v>
      </c>
      <c r="O6100" s="2">
        <v>43731</v>
      </c>
    </row>
    <row r="6101" spans="1:15" ht="43.2" x14ac:dyDescent="0.3">
      <c r="A6101" s="1" t="s">
        <v>13603</v>
      </c>
      <c r="B6101" s="1" t="str">
        <f>"St Davids Hospice Care"</f>
        <v>St Davids Hospice Care</v>
      </c>
      <c r="C6101" s="1" t="s">
        <v>10227</v>
      </c>
      <c r="F6101" s="1" t="s">
        <v>91</v>
      </c>
      <c r="H6101" s="1" t="s">
        <v>10228</v>
      </c>
      <c r="I6101" s="1" t="s">
        <v>1872</v>
      </c>
      <c r="J6101" s="1" t="s">
        <v>67</v>
      </c>
      <c r="K6101" s="1" t="s">
        <v>14</v>
      </c>
      <c r="M6101" s="2">
        <v>42636</v>
      </c>
      <c r="N6101" s="1" t="s">
        <v>8</v>
      </c>
      <c r="O6101" s="1" t="s">
        <v>68</v>
      </c>
    </row>
    <row r="6102" spans="1:15" ht="43.2" x14ac:dyDescent="0.3">
      <c r="A6102" s="1" t="s">
        <v>13604</v>
      </c>
      <c r="B6102" s="1" t="str">
        <f>"Cardiff Treescapes Ltd"</f>
        <v>Cardiff Treescapes Ltd</v>
      </c>
      <c r="C6102" s="1" t="s">
        <v>13605</v>
      </c>
      <c r="F6102" s="1" t="s">
        <v>27</v>
      </c>
      <c r="H6102" s="1" t="s">
        <v>13606</v>
      </c>
      <c r="I6102" s="1" t="s">
        <v>19</v>
      </c>
      <c r="J6102" s="1" t="s">
        <v>67</v>
      </c>
      <c r="K6102" s="1" t="s">
        <v>14</v>
      </c>
      <c r="M6102" s="2">
        <v>42636</v>
      </c>
      <c r="N6102" s="1" t="s">
        <v>8</v>
      </c>
      <c r="O6102" s="1" t="s">
        <v>68</v>
      </c>
    </row>
    <row r="6103" spans="1:15" ht="28.8" x14ac:dyDescent="0.3">
      <c r="A6103" s="1" t="s">
        <v>25370</v>
      </c>
      <c r="B6103" s="1" t="str">
        <f>"Tim Ambler Tim Ambler"</f>
        <v>Tim Ambler Tim Ambler</v>
      </c>
      <c r="C6103" s="1" t="s">
        <v>25371</v>
      </c>
      <c r="F6103" s="1" t="s">
        <v>65</v>
      </c>
      <c r="H6103" s="1" t="s">
        <v>25372</v>
      </c>
      <c r="I6103" s="1" t="s">
        <v>5</v>
      </c>
      <c r="J6103" s="1" t="s">
        <v>6</v>
      </c>
      <c r="K6103" s="1" t="s">
        <v>24</v>
      </c>
      <c r="M6103" s="2">
        <v>42636</v>
      </c>
      <c r="N6103" s="1" t="s">
        <v>8</v>
      </c>
      <c r="O6103" s="2">
        <v>43731</v>
      </c>
    </row>
    <row r="6104" spans="1:15" ht="43.2" x14ac:dyDescent="0.3">
      <c r="A6104" s="1" t="s">
        <v>25373</v>
      </c>
      <c r="B6104" s="1" t="str">
        <f>"Barry Dawson"</f>
        <v>Barry Dawson</v>
      </c>
      <c r="C6104" s="1" t="s">
        <v>25374</v>
      </c>
      <c r="D6104" s="1" t="s">
        <v>5074</v>
      </c>
      <c r="F6104" s="1" t="s">
        <v>3415</v>
      </c>
      <c r="H6104" s="1" t="s">
        <v>25375</v>
      </c>
      <c r="I6104" s="1" t="s">
        <v>5</v>
      </c>
      <c r="J6104" s="1" t="s">
        <v>67</v>
      </c>
      <c r="K6104" s="1" t="s">
        <v>14</v>
      </c>
      <c r="M6104" s="2">
        <v>42636</v>
      </c>
      <c r="N6104" s="1" t="s">
        <v>8</v>
      </c>
      <c r="O6104" s="1" t="s">
        <v>68</v>
      </c>
    </row>
    <row r="6105" spans="1:15" ht="28.8" x14ac:dyDescent="0.3">
      <c r="A6105" s="1" t="s">
        <v>25376</v>
      </c>
      <c r="B6105" s="1" t="str">
        <f>"Robert Lewis TX Protective Coatings"</f>
        <v>Robert Lewis TX Protective Coatings</v>
      </c>
      <c r="C6105" s="1" t="s">
        <v>25377</v>
      </c>
      <c r="F6105" s="1" t="s">
        <v>42</v>
      </c>
      <c r="H6105" s="1" t="s">
        <v>25378</v>
      </c>
      <c r="I6105" s="1" t="s">
        <v>5</v>
      </c>
      <c r="J6105" s="1" t="s">
        <v>6</v>
      </c>
      <c r="K6105" s="1" t="s">
        <v>34</v>
      </c>
      <c r="M6105" s="2">
        <v>42636</v>
      </c>
      <c r="N6105" s="1" t="s">
        <v>8</v>
      </c>
      <c r="O6105" s="2">
        <v>43731</v>
      </c>
    </row>
    <row r="6106" spans="1:15" ht="43.2" x14ac:dyDescent="0.3">
      <c r="A6106" s="1" t="s">
        <v>25379</v>
      </c>
      <c r="B6106" s="1" t="str">
        <f>"jason green green carpentry services"</f>
        <v>jason green green carpentry services</v>
      </c>
      <c r="C6106" s="1" t="s">
        <v>25380</v>
      </c>
      <c r="F6106" s="1" t="s">
        <v>91</v>
      </c>
      <c r="H6106" s="1" t="s">
        <v>25381</v>
      </c>
      <c r="I6106" s="1" t="s">
        <v>5</v>
      </c>
      <c r="J6106" s="1" t="s">
        <v>67</v>
      </c>
      <c r="K6106" s="1" t="s">
        <v>24</v>
      </c>
      <c r="M6106" s="2">
        <v>42636</v>
      </c>
      <c r="N6106" s="1" t="s">
        <v>8</v>
      </c>
      <c r="O6106" s="1" t="s">
        <v>68</v>
      </c>
    </row>
    <row r="6107" spans="1:15" ht="28.8" x14ac:dyDescent="0.3">
      <c r="A6107" s="1" t="s">
        <v>25382</v>
      </c>
      <c r="B6107" s="1" t="str">
        <f>"stephen morris flexivans"</f>
        <v>stephen morris flexivans</v>
      </c>
      <c r="C6107" s="1" t="s">
        <v>25383</v>
      </c>
      <c r="F6107" s="1" t="s">
        <v>91</v>
      </c>
      <c r="H6107" s="1" t="s">
        <v>25384</v>
      </c>
      <c r="I6107" s="1" t="s">
        <v>5</v>
      </c>
      <c r="J6107" s="1" t="s">
        <v>6</v>
      </c>
      <c r="K6107" s="1" t="s">
        <v>24</v>
      </c>
      <c r="M6107" s="2">
        <v>42636</v>
      </c>
      <c r="N6107" s="1" t="s">
        <v>8</v>
      </c>
      <c r="O6107" s="2">
        <v>43731</v>
      </c>
    </row>
    <row r="6108" spans="1:15" ht="28.8" x14ac:dyDescent="0.3">
      <c r="A6108" s="1" t="s">
        <v>26099</v>
      </c>
      <c r="B6108" s="1" t="str">
        <f>"Craig Stanton CJS Heating &amp; Plumbing"</f>
        <v>Craig Stanton CJS Heating &amp; Plumbing</v>
      </c>
      <c r="C6108" s="1" t="s">
        <v>26100</v>
      </c>
      <c r="F6108" s="1" t="s">
        <v>328</v>
      </c>
      <c r="H6108" s="1" t="s">
        <v>26101</v>
      </c>
      <c r="I6108" s="1" t="s">
        <v>5</v>
      </c>
      <c r="J6108" s="1" t="s">
        <v>6</v>
      </c>
      <c r="K6108" s="1" t="s">
        <v>24</v>
      </c>
      <c r="M6108" s="2">
        <v>42636</v>
      </c>
      <c r="N6108" s="1" t="s">
        <v>8</v>
      </c>
      <c r="O6108" s="2">
        <v>43731</v>
      </c>
    </row>
    <row r="6109" spans="1:15" ht="28.8" x14ac:dyDescent="0.3">
      <c r="A6109" s="1" t="s">
        <v>26102</v>
      </c>
      <c r="B6109" s="1" t="str">
        <f>"Nigel Smith N.D.S GARDENING SERVICES"</f>
        <v>Nigel Smith N.D.S GARDENING SERVICES</v>
      </c>
      <c r="C6109" s="1" t="s">
        <v>26103</v>
      </c>
      <c r="F6109" s="1" t="s">
        <v>65</v>
      </c>
      <c r="H6109" s="1" t="s">
        <v>26104</v>
      </c>
      <c r="I6109" s="1" t="s">
        <v>5</v>
      </c>
      <c r="J6109" s="1" t="s">
        <v>6</v>
      </c>
      <c r="K6109" s="1" t="s">
        <v>24</v>
      </c>
      <c r="M6109" s="2">
        <v>42636</v>
      </c>
      <c r="N6109" s="1" t="s">
        <v>8</v>
      </c>
      <c r="O6109" s="2">
        <v>43731</v>
      </c>
    </row>
    <row r="6110" spans="1:15" ht="28.8" x14ac:dyDescent="0.3">
      <c r="A6110" s="1" t="s">
        <v>11511</v>
      </c>
      <c r="B6110" s="1" t="str">
        <f>"A.M.Logistics Ltd"</f>
        <v>A.M.Logistics Ltd</v>
      </c>
      <c r="C6110" s="1" t="s">
        <v>11512</v>
      </c>
      <c r="D6110" s="1" t="s">
        <v>11513</v>
      </c>
      <c r="F6110" s="1" t="s">
        <v>65</v>
      </c>
      <c r="H6110" s="1" t="s">
        <v>11514</v>
      </c>
      <c r="I6110" s="1" t="s">
        <v>19</v>
      </c>
      <c r="J6110" s="1" t="s">
        <v>6</v>
      </c>
      <c r="K6110" s="1" t="s">
        <v>24</v>
      </c>
      <c r="L6110" s="1">
        <v>4497331</v>
      </c>
      <c r="M6110" s="2">
        <v>42635</v>
      </c>
      <c r="N6110" s="1" t="s">
        <v>8</v>
      </c>
      <c r="O6110" s="2">
        <v>43730</v>
      </c>
    </row>
    <row r="6111" spans="1:15" ht="28.8" x14ac:dyDescent="0.3">
      <c r="A6111" s="1" t="s">
        <v>11515</v>
      </c>
      <c r="B6111" s="1" t="str">
        <f>"MJ Palmer Transport"</f>
        <v>MJ Palmer Transport</v>
      </c>
      <c r="C6111" s="1" t="s">
        <v>11516</v>
      </c>
      <c r="F6111" s="1" t="s">
        <v>930</v>
      </c>
      <c r="H6111" s="1" t="s">
        <v>11517</v>
      </c>
      <c r="I6111" s="1" t="s">
        <v>125</v>
      </c>
      <c r="J6111" s="1" t="s">
        <v>6</v>
      </c>
      <c r="K6111" s="1" t="s">
        <v>34</v>
      </c>
      <c r="M6111" s="2">
        <v>42635</v>
      </c>
      <c r="N6111" s="1" t="s">
        <v>8</v>
      </c>
      <c r="O6111" s="2">
        <v>43771</v>
      </c>
    </row>
    <row r="6112" spans="1:15" ht="28.8" x14ac:dyDescent="0.3">
      <c r="A6112" s="1" t="s">
        <v>11518</v>
      </c>
      <c r="B6112" s="1" t="str">
        <f>"A &amp; R ELECTRICAL (WALES) LTD"</f>
        <v>A &amp; R ELECTRICAL (WALES) LTD</v>
      </c>
      <c r="C6112" s="1" t="s">
        <v>11519</v>
      </c>
      <c r="F6112" s="1" t="s">
        <v>174</v>
      </c>
      <c r="H6112" s="1" t="s">
        <v>11520</v>
      </c>
      <c r="I6112" s="1" t="s">
        <v>19</v>
      </c>
      <c r="J6112" s="1" t="s">
        <v>6</v>
      </c>
      <c r="K6112" s="1" t="s">
        <v>24</v>
      </c>
      <c r="L6112" s="1">
        <v>6739884</v>
      </c>
      <c r="M6112" s="2">
        <v>42635</v>
      </c>
      <c r="N6112" s="1" t="s">
        <v>8</v>
      </c>
      <c r="O6112" s="2">
        <v>43730</v>
      </c>
    </row>
    <row r="6113" spans="1:15" ht="43.2" x14ac:dyDescent="0.3">
      <c r="A6113" s="1" t="s">
        <v>11521</v>
      </c>
      <c r="B6113" s="1" t="str">
        <f>"Aberceiros Inn"</f>
        <v>Aberceiros Inn</v>
      </c>
      <c r="C6113" s="1" t="s">
        <v>3468</v>
      </c>
      <c r="F6113" s="1" t="s">
        <v>11522</v>
      </c>
      <c r="H6113" s="1" t="s">
        <v>11523</v>
      </c>
      <c r="I6113" s="1" t="s">
        <v>125</v>
      </c>
      <c r="J6113" s="1" t="s">
        <v>67</v>
      </c>
      <c r="K6113" s="1" t="s">
        <v>14</v>
      </c>
      <c r="M6113" s="2">
        <v>42635</v>
      </c>
      <c r="N6113" s="1" t="s">
        <v>8</v>
      </c>
      <c r="O6113" s="1" t="s">
        <v>68</v>
      </c>
    </row>
    <row r="6114" spans="1:15" ht="28.8" x14ac:dyDescent="0.3">
      <c r="A6114" s="1" t="s">
        <v>11524</v>
      </c>
      <c r="B6114" s="1" t="str">
        <f>"TOM GODDARD &amp; SONS LTD"</f>
        <v>TOM GODDARD &amp; SONS LTD</v>
      </c>
      <c r="C6114" s="1" t="s">
        <v>11525</v>
      </c>
      <c r="F6114" s="1" t="s">
        <v>438</v>
      </c>
      <c r="H6114" s="1" t="s">
        <v>11526</v>
      </c>
      <c r="I6114" s="1" t="s">
        <v>19</v>
      </c>
      <c r="J6114" s="1" t="s">
        <v>6</v>
      </c>
      <c r="K6114" s="1" t="s">
        <v>34</v>
      </c>
      <c r="L6114" s="1">
        <v>3980227</v>
      </c>
      <c r="M6114" s="2">
        <v>42635</v>
      </c>
      <c r="N6114" s="1" t="s">
        <v>8</v>
      </c>
      <c r="O6114" s="2">
        <v>43730</v>
      </c>
    </row>
    <row r="6115" spans="1:15" ht="28.8" x14ac:dyDescent="0.3">
      <c r="A6115" s="1" t="s">
        <v>11527</v>
      </c>
      <c r="B6115" s="1" t="str">
        <f>"Stamp &amp; Gibson &amp; Jones"</f>
        <v>Stamp &amp; Gibson &amp; Jones</v>
      </c>
      <c r="C6115" s="1" t="s">
        <v>11528</v>
      </c>
      <c r="F6115" s="1" t="s">
        <v>12</v>
      </c>
      <c r="H6115" s="1" t="s">
        <v>11529</v>
      </c>
      <c r="I6115" s="1" t="s">
        <v>125</v>
      </c>
      <c r="J6115" s="1" t="s">
        <v>6</v>
      </c>
      <c r="K6115" s="1" t="s">
        <v>24</v>
      </c>
      <c r="M6115" s="2">
        <v>42635</v>
      </c>
      <c r="N6115" s="1" t="s">
        <v>8</v>
      </c>
      <c r="O6115" s="2">
        <v>43730</v>
      </c>
    </row>
    <row r="6116" spans="1:15" ht="28.8" x14ac:dyDescent="0.3">
      <c r="A6116" s="1" t="s">
        <v>11530</v>
      </c>
      <c r="B6116" s="1" t="str">
        <f>"GWALCH CYF"</f>
        <v>GWALCH CYF</v>
      </c>
      <c r="C6116" s="1" t="s">
        <v>11531</v>
      </c>
      <c r="D6116" s="1" t="s">
        <v>6076</v>
      </c>
      <c r="F6116" s="1" t="s">
        <v>710</v>
      </c>
      <c r="H6116" s="1" t="s">
        <v>11532</v>
      </c>
      <c r="I6116" s="1" t="s">
        <v>19</v>
      </c>
      <c r="J6116" s="1" t="s">
        <v>6</v>
      </c>
      <c r="K6116" s="1" t="s">
        <v>34</v>
      </c>
      <c r="L6116" s="1">
        <v>9463552</v>
      </c>
      <c r="M6116" s="2">
        <v>42635</v>
      </c>
      <c r="N6116" s="1" t="s">
        <v>8</v>
      </c>
      <c r="O6116" s="2">
        <v>43730</v>
      </c>
    </row>
    <row r="6117" spans="1:15" ht="28.8" x14ac:dyDescent="0.3">
      <c r="A6117" s="1" t="s">
        <v>11533</v>
      </c>
      <c r="B6117" s="1" t="str">
        <f>"Superseal Glass Fibre Roofing Ltd."</f>
        <v>Superseal Glass Fibre Roofing Ltd.</v>
      </c>
      <c r="C6117" s="1" t="s">
        <v>11534</v>
      </c>
      <c r="D6117" s="1" t="s">
        <v>11535</v>
      </c>
      <c r="F6117" s="1" t="s">
        <v>3868</v>
      </c>
      <c r="H6117" s="1" t="s">
        <v>11536</v>
      </c>
      <c r="I6117" s="1" t="s">
        <v>19</v>
      </c>
      <c r="J6117" s="1" t="s">
        <v>6</v>
      </c>
      <c r="K6117" s="1" t="s">
        <v>34</v>
      </c>
      <c r="L6117" s="1">
        <v>1890171</v>
      </c>
      <c r="M6117" s="2">
        <v>42635</v>
      </c>
      <c r="N6117" s="1" t="s">
        <v>8</v>
      </c>
      <c r="O6117" s="2">
        <v>43730</v>
      </c>
    </row>
    <row r="6118" spans="1:15" ht="43.2" x14ac:dyDescent="0.3">
      <c r="A6118" s="1" t="s">
        <v>11537</v>
      </c>
      <c r="B6118" s="1" t="str">
        <f>"LLanfarian Village Stores"</f>
        <v>LLanfarian Village Stores</v>
      </c>
      <c r="C6118" s="1" t="s">
        <v>11538</v>
      </c>
      <c r="D6118" s="1" t="s">
        <v>37</v>
      </c>
      <c r="F6118" s="1" t="s">
        <v>1983</v>
      </c>
      <c r="H6118" s="1" t="s">
        <v>11539</v>
      </c>
      <c r="I6118" s="1" t="s">
        <v>125</v>
      </c>
      <c r="J6118" s="1" t="s">
        <v>67</v>
      </c>
      <c r="K6118" s="1" t="s">
        <v>14</v>
      </c>
      <c r="M6118" s="2">
        <v>42635</v>
      </c>
      <c r="N6118" s="1" t="s">
        <v>8</v>
      </c>
      <c r="O6118" s="1" t="s">
        <v>68</v>
      </c>
    </row>
    <row r="6119" spans="1:15" ht="43.2" x14ac:dyDescent="0.3">
      <c r="A6119" s="1" t="s">
        <v>11540</v>
      </c>
      <c r="B6119" s="1" t="str">
        <f>"Thornbury Park Stores"</f>
        <v>Thornbury Park Stores</v>
      </c>
      <c r="C6119" s="1" t="s">
        <v>11541</v>
      </c>
      <c r="D6119" s="1" t="s">
        <v>2438</v>
      </c>
      <c r="F6119" s="1" t="s">
        <v>91</v>
      </c>
      <c r="H6119" s="1" t="s">
        <v>11542</v>
      </c>
      <c r="I6119" s="1" t="s">
        <v>125</v>
      </c>
      <c r="J6119" s="1" t="s">
        <v>67</v>
      </c>
      <c r="K6119" s="1" t="s">
        <v>14</v>
      </c>
      <c r="M6119" s="2">
        <v>42635</v>
      </c>
      <c r="N6119" s="1" t="s">
        <v>8</v>
      </c>
      <c r="O6119" s="1" t="s">
        <v>68</v>
      </c>
    </row>
    <row r="6120" spans="1:15" x14ac:dyDescent="0.3">
      <c r="A6120" s="1" t="s">
        <v>11543</v>
      </c>
      <c r="B6120" s="1" t="str">
        <f>"Lockout24-7 Ltd"</f>
        <v>Lockout24-7 Ltd</v>
      </c>
      <c r="C6120" s="1" t="s">
        <v>11544</v>
      </c>
      <c r="F6120" s="1" t="s">
        <v>64</v>
      </c>
      <c r="H6120" s="1" t="s">
        <v>11545</v>
      </c>
      <c r="I6120" s="1" t="s">
        <v>19</v>
      </c>
      <c r="J6120" s="1" t="s">
        <v>6</v>
      </c>
      <c r="K6120" s="1" t="s">
        <v>24</v>
      </c>
      <c r="L6120" s="1">
        <v>8621271</v>
      </c>
      <c r="M6120" s="2">
        <v>42635</v>
      </c>
      <c r="N6120" s="1" t="s">
        <v>8</v>
      </c>
      <c r="O6120" s="2">
        <v>43730</v>
      </c>
    </row>
    <row r="6121" spans="1:15" ht="28.8" x14ac:dyDescent="0.3">
      <c r="A6121" s="1" t="s">
        <v>11546</v>
      </c>
      <c r="B6121" s="1" t="str">
        <f>"G A Simpson Builders Ltd."</f>
        <v>G A Simpson Builders Ltd.</v>
      </c>
      <c r="C6121" s="1" t="s">
        <v>11547</v>
      </c>
      <c r="F6121" s="1" t="s">
        <v>1346</v>
      </c>
      <c r="H6121" s="1" t="s">
        <v>11548</v>
      </c>
      <c r="I6121" s="1" t="s">
        <v>19</v>
      </c>
      <c r="J6121" s="1" t="s">
        <v>6</v>
      </c>
      <c r="K6121" s="1" t="s">
        <v>24</v>
      </c>
      <c r="L6121" s="1">
        <v>4472602</v>
      </c>
      <c r="M6121" s="2">
        <v>42635</v>
      </c>
      <c r="N6121" s="1" t="s">
        <v>8</v>
      </c>
      <c r="O6121" s="2">
        <v>43730</v>
      </c>
    </row>
    <row r="6122" spans="1:15" ht="28.8" x14ac:dyDescent="0.3">
      <c r="A6122" s="1" t="s">
        <v>11549</v>
      </c>
      <c r="B6122" s="1" t="str">
        <f>"Chillwise Services Ltd"</f>
        <v>Chillwise Services Ltd</v>
      </c>
      <c r="C6122" s="1" t="s">
        <v>11550</v>
      </c>
      <c r="D6122" s="1" t="s">
        <v>6191</v>
      </c>
      <c r="F6122" s="1" t="s">
        <v>65</v>
      </c>
      <c r="H6122" s="1" t="s">
        <v>6192</v>
      </c>
      <c r="I6122" s="1" t="s">
        <v>19</v>
      </c>
      <c r="J6122" s="1" t="s">
        <v>6</v>
      </c>
      <c r="K6122" s="1" t="s">
        <v>24</v>
      </c>
      <c r="L6122" s="1">
        <v>4708224</v>
      </c>
      <c r="M6122" s="2">
        <v>42635</v>
      </c>
      <c r="N6122" s="1" t="s">
        <v>8</v>
      </c>
      <c r="O6122" s="2">
        <v>43730</v>
      </c>
    </row>
    <row r="6123" spans="1:15" ht="43.2" x14ac:dyDescent="0.3">
      <c r="A6123" s="1" t="s">
        <v>11551</v>
      </c>
      <c r="B6123" s="1" t="str">
        <f>"VILLAGE STORE"</f>
        <v>VILLAGE STORE</v>
      </c>
      <c r="C6123" s="1" t="s">
        <v>11552</v>
      </c>
      <c r="F6123" s="1" t="s">
        <v>739</v>
      </c>
      <c r="H6123" s="1" t="s">
        <v>11553</v>
      </c>
      <c r="I6123" s="1" t="s">
        <v>125</v>
      </c>
      <c r="J6123" s="1" t="s">
        <v>67</v>
      </c>
      <c r="K6123" s="1" t="s">
        <v>14</v>
      </c>
      <c r="M6123" s="2">
        <v>42635</v>
      </c>
      <c r="N6123" s="1" t="s">
        <v>8</v>
      </c>
      <c r="O6123" s="1" t="s">
        <v>68</v>
      </c>
    </row>
    <row r="6124" spans="1:15" ht="28.8" x14ac:dyDescent="0.3">
      <c r="A6124" s="1" t="s">
        <v>12467</v>
      </c>
      <c r="B6124" s="1" t="str">
        <f>"Team Tristar (UK) Limited"</f>
        <v>Team Tristar (UK) Limited</v>
      </c>
      <c r="C6124" s="1" t="s">
        <v>12468</v>
      </c>
      <c r="D6124" s="1" t="s">
        <v>12469</v>
      </c>
      <c r="F6124" s="1" t="s">
        <v>12470</v>
      </c>
      <c r="H6124" s="1" t="s">
        <v>12471</v>
      </c>
      <c r="I6124" s="1" t="s">
        <v>19</v>
      </c>
      <c r="J6124" s="1" t="s">
        <v>6</v>
      </c>
      <c r="K6124" s="1" t="s">
        <v>34</v>
      </c>
      <c r="L6124" s="1">
        <v>8211822</v>
      </c>
      <c r="M6124" s="2">
        <v>42635</v>
      </c>
      <c r="N6124" s="1" t="s">
        <v>8</v>
      </c>
      <c r="O6124" s="2">
        <v>43730</v>
      </c>
    </row>
    <row r="6125" spans="1:15" ht="28.8" x14ac:dyDescent="0.3">
      <c r="A6125" s="1" t="s">
        <v>12472</v>
      </c>
      <c r="B6125" s="1" t="str">
        <f>"GILL WASTE RECYCLING LTD"</f>
        <v>GILL WASTE RECYCLING LTD</v>
      </c>
      <c r="C6125" s="1" t="s">
        <v>12473</v>
      </c>
      <c r="D6125" s="1" t="s">
        <v>12474</v>
      </c>
      <c r="F6125" s="1" t="s">
        <v>12475</v>
      </c>
      <c r="H6125" s="1" t="s">
        <v>12476</v>
      </c>
      <c r="I6125" s="1" t="s">
        <v>19</v>
      </c>
      <c r="J6125" s="1" t="s">
        <v>6</v>
      </c>
      <c r="K6125" s="1" t="s">
        <v>34</v>
      </c>
      <c r="L6125" s="1">
        <v>6726163</v>
      </c>
      <c r="M6125" s="2">
        <v>42635</v>
      </c>
      <c r="N6125" s="1" t="s">
        <v>8</v>
      </c>
      <c r="O6125" s="2">
        <v>43730</v>
      </c>
    </row>
    <row r="6126" spans="1:15" ht="43.2" x14ac:dyDescent="0.3">
      <c r="A6126" s="1" t="s">
        <v>24507</v>
      </c>
      <c r="B6126" s="1" t="str">
        <f>"Nigel Crocker"</f>
        <v>Nigel Crocker</v>
      </c>
      <c r="C6126" s="1" t="s">
        <v>24508</v>
      </c>
      <c r="F6126" s="1" t="s">
        <v>27</v>
      </c>
      <c r="H6126" s="1" t="s">
        <v>24509</v>
      </c>
      <c r="I6126" s="1" t="s">
        <v>5</v>
      </c>
      <c r="J6126" s="1" t="s">
        <v>67</v>
      </c>
      <c r="K6126" s="1" t="s">
        <v>14</v>
      </c>
      <c r="M6126" s="2">
        <v>42635</v>
      </c>
      <c r="N6126" s="1" t="s">
        <v>8</v>
      </c>
      <c r="O6126" s="1" t="s">
        <v>68</v>
      </c>
    </row>
    <row r="6127" spans="1:15" ht="43.2" x14ac:dyDescent="0.3">
      <c r="A6127" s="1" t="s">
        <v>25365</v>
      </c>
      <c r="B6127" s="1" t="str">
        <f>"RUPAL  PATEL"</f>
        <v>RUPAL  PATEL</v>
      </c>
      <c r="C6127" s="1" t="s">
        <v>25366</v>
      </c>
      <c r="F6127" s="1" t="s">
        <v>25367</v>
      </c>
      <c r="H6127" s="1" t="s">
        <v>25368</v>
      </c>
      <c r="I6127" s="1" t="s">
        <v>5</v>
      </c>
      <c r="J6127" s="1" t="s">
        <v>67</v>
      </c>
      <c r="K6127" s="1" t="s">
        <v>14</v>
      </c>
      <c r="M6127" s="2">
        <v>42635</v>
      </c>
      <c r="N6127" s="1" t="s">
        <v>8</v>
      </c>
      <c r="O6127" s="1" t="s">
        <v>68</v>
      </c>
    </row>
    <row r="6128" spans="1:15" ht="43.2" x14ac:dyDescent="0.3">
      <c r="A6128" s="1" t="s">
        <v>25369</v>
      </c>
      <c r="B6128" s="1" t="str">
        <f>"Anthony Wilson Tony Wilson Septic Tank Services"</f>
        <v>Anthony Wilson Tony Wilson Septic Tank Services</v>
      </c>
      <c r="C6128" s="1" t="s">
        <v>3007</v>
      </c>
      <c r="F6128" s="1" t="s">
        <v>1888</v>
      </c>
      <c r="H6128" s="1" t="s">
        <v>3008</v>
      </c>
      <c r="I6128" s="1" t="s">
        <v>5</v>
      </c>
      <c r="J6128" s="1" t="s">
        <v>6</v>
      </c>
      <c r="K6128" s="1" t="s">
        <v>24</v>
      </c>
      <c r="M6128" s="2">
        <v>42635</v>
      </c>
      <c r="N6128" s="1" t="s">
        <v>8</v>
      </c>
      <c r="O6128" s="2">
        <v>43730</v>
      </c>
    </row>
    <row r="6129" spans="1:15" ht="28.8" x14ac:dyDescent="0.3">
      <c r="A6129" s="1" t="s">
        <v>10490</v>
      </c>
      <c r="B6129" s="1" t="str">
        <f>"Lewis Brothers"</f>
        <v>Lewis Brothers</v>
      </c>
      <c r="C6129" s="1" t="s">
        <v>10491</v>
      </c>
      <c r="F6129" s="1" t="s">
        <v>161</v>
      </c>
      <c r="H6129" s="1" t="s">
        <v>10492</v>
      </c>
      <c r="I6129" s="1" t="s">
        <v>125</v>
      </c>
      <c r="J6129" s="1" t="s">
        <v>6</v>
      </c>
      <c r="K6129" s="1" t="s">
        <v>34</v>
      </c>
      <c r="M6129" s="2">
        <v>42634</v>
      </c>
      <c r="N6129" s="1" t="s">
        <v>8</v>
      </c>
      <c r="O6129" s="2">
        <v>43729</v>
      </c>
    </row>
    <row r="6130" spans="1:15" x14ac:dyDescent="0.3">
      <c r="A6130" s="1" t="s">
        <v>10493</v>
      </c>
      <c r="B6130" s="1" t="str">
        <f>"Hereford Windows"</f>
        <v>Hereford Windows</v>
      </c>
      <c r="C6130" s="1" t="s">
        <v>10494</v>
      </c>
      <c r="D6130" s="1" t="s">
        <v>1206</v>
      </c>
      <c r="F6130" s="1" t="s">
        <v>162</v>
      </c>
      <c r="H6130" s="1" t="s">
        <v>10495</v>
      </c>
      <c r="I6130" s="1" t="s">
        <v>125</v>
      </c>
      <c r="J6130" s="1" t="s">
        <v>6</v>
      </c>
      <c r="K6130" s="1" t="s">
        <v>24</v>
      </c>
      <c r="M6130" s="2">
        <v>42634</v>
      </c>
      <c r="N6130" s="1" t="s">
        <v>8</v>
      </c>
      <c r="O6130" s="2">
        <v>43729</v>
      </c>
    </row>
    <row r="6131" spans="1:15" ht="28.8" x14ac:dyDescent="0.3">
      <c r="A6131" s="1" t="s">
        <v>10496</v>
      </c>
      <c r="B6131" s="1" t="str">
        <f>"R J R  Contractors (North Wales) Ltd."</f>
        <v>R J R  Contractors (North Wales) Ltd.</v>
      </c>
      <c r="C6131" s="1" t="s">
        <v>10497</v>
      </c>
      <c r="F6131" s="1" t="s">
        <v>83</v>
      </c>
      <c r="H6131" s="1" t="s">
        <v>10498</v>
      </c>
      <c r="I6131" s="1" t="s">
        <v>19</v>
      </c>
      <c r="J6131" s="1" t="s">
        <v>6</v>
      </c>
      <c r="K6131" s="1" t="s">
        <v>34</v>
      </c>
      <c r="L6131" s="1">
        <v>1248070</v>
      </c>
      <c r="M6131" s="2">
        <v>42634</v>
      </c>
      <c r="N6131" s="1" t="s">
        <v>8</v>
      </c>
      <c r="O6131" s="2">
        <v>43729</v>
      </c>
    </row>
    <row r="6132" spans="1:15" ht="43.2" x14ac:dyDescent="0.3">
      <c r="A6132" s="1" t="s">
        <v>10499</v>
      </c>
      <c r="B6132" s="1" t="str">
        <f>"Bingham Hall Partnership Ltd"</f>
        <v>Bingham Hall Partnership Ltd</v>
      </c>
      <c r="C6132" s="1" t="s">
        <v>10500</v>
      </c>
      <c r="F6132" s="1" t="s">
        <v>27</v>
      </c>
      <c r="H6132" s="1" t="s">
        <v>10501</v>
      </c>
      <c r="I6132" s="1" t="s">
        <v>19</v>
      </c>
      <c r="J6132" s="1" t="s">
        <v>67</v>
      </c>
      <c r="K6132" s="1" t="s">
        <v>14</v>
      </c>
      <c r="M6132" s="2">
        <v>42634</v>
      </c>
      <c r="N6132" s="1" t="s">
        <v>8</v>
      </c>
      <c r="O6132" s="1" t="s">
        <v>68</v>
      </c>
    </row>
    <row r="6133" spans="1:15" ht="43.2" x14ac:dyDescent="0.3">
      <c r="A6133" s="1" t="s">
        <v>10502</v>
      </c>
      <c r="B6133" s="1" t="str">
        <f>"HOLM OAK GARDEN SERVICES"</f>
        <v>HOLM OAK GARDEN SERVICES</v>
      </c>
      <c r="C6133" s="1" t="s">
        <v>10503</v>
      </c>
      <c r="F6133" s="1" t="s">
        <v>10504</v>
      </c>
      <c r="H6133" s="1" t="s">
        <v>10505</v>
      </c>
      <c r="I6133" s="1" t="s">
        <v>125</v>
      </c>
      <c r="J6133" s="1" t="s">
        <v>67</v>
      </c>
      <c r="K6133" s="1" t="s">
        <v>34</v>
      </c>
      <c r="M6133" s="2">
        <v>42634</v>
      </c>
      <c r="N6133" s="1" t="s">
        <v>8</v>
      </c>
      <c r="O6133" s="1" t="s">
        <v>68</v>
      </c>
    </row>
    <row r="6134" spans="1:15" x14ac:dyDescent="0.3">
      <c r="A6134" s="1" t="s">
        <v>10506</v>
      </c>
      <c r="B6134" s="1" t="str">
        <f>"GHA Northwest Ltd"</f>
        <v>GHA Northwest Ltd</v>
      </c>
      <c r="C6134" s="1" t="s">
        <v>10507</v>
      </c>
      <c r="F6134" s="1" t="s">
        <v>4614</v>
      </c>
      <c r="H6134" s="1" t="s">
        <v>10508</v>
      </c>
      <c r="I6134" s="1" t="s">
        <v>19</v>
      </c>
      <c r="J6134" s="1" t="s">
        <v>6</v>
      </c>
      <c r="K6134" s="1" t="s">
        <v>24</v>
      </c>
      <c r="L6134" s="1">
        <v>8803861</v>
      </c>
      <c r="M6134" s="2">
        <v>42634</v>
      </c>
      <c r="N6134" s="1" t="s">
        <v>8</v>
      </c>
      <c r="O6134" s="2">
        <v>43729</v>
      </c>
    </row>
    <row r="6135" spans="1:15" ht="28.8" x14ac:dyDescent="0.3">
      <c r="A6135" s="1" t="s">
        <v>10509</v>
      </c>
      <c r="B6135" s="1" t="str">
        <f>"HOLM OAK GARDEN SERVICES"</f>
        <v>HOLM OAK GARDEN SERVICES</v>
      </c>
      <c r="C6135" s="1" t="s">
        <v>10510</v>
      </c>
      <c r="F6135" s="1" t="s">
        <v>214</v>
      </c>
      <c r="H6135" s="1" t="s">
        <v>10505</v>
      </c>
      <c r="I6135" s="1" t="s">
        <v>125</v>
      </c>
      <c r="J6135" s="1" t="s">
        <v>6</v>
      </c>
      <c r="K6135" s="1" t="s">
        <v>24</v>
      </c>
      <c r="M6135" s="2">
        <v>42634</v>
      </c>
      <c r="N6135" s="1" t="s">
        <v>8</v>
      </c>
      <c r="O6135" s="2">
        <v>43729</v>
      </c>
    </row>
    <row r="6136" spans="1:15" ht="28.8" x14ac:dyDescent="0.3">
      <c r="A6136" s="1" t="s">
        <v>10511</v>
      </c>
      <c r="B6136" s="1" t="str">
        <f>"Laurel Landscapes (UK) Limited"</f>
        <v>Laurel Landscapes (UK) Limited</v>
      </c>
      <c r="C6136" s="1" t="s">
        <v>10512</v>
      </c>
      <c r="D6136" s="1" t="s">
        <v>10513</v>
      </c>
      <c r="F6136" s="1" t="s">
        <v>27</v>
      </c>
      <c r="H6136" s="1" t="s">
        <v>10514</v>
      </c>
      <c r="I6136" s="1" t="s">
        <v>19</v>
      </c>
      <c r="J6136" s="1" t="s">
        <v>6</v>
      </c>
      <c r="K6136" s="1" t="s">
        <v>34</v>
      </c>
      <c r="L6136" s="1">
        <v>10239945</v>
      </c>
      <c r="M6136" s="2">
        <v>42634</v>
      </c>
      <c r="N6136" s="1" t="s">
        <v>8</v>
      </c>
      <c r="O6136" s="2">
        <v>43729</v>
      </c>
    </row>
    <row r="6137" spans="1:15" ht="43.2" x14ac:dyDescent="0.3">
      <c r="A6137" s="1" t="s">
        <v>10515</v>
      </c>
      <c r="B6137" s="1" t="str">
        <f>"Village Discount Store LTD"</f>
        <v>Village Discount Store LTD</v>
      </c>
      <c r="C6137" s="1" t="s">
        <v>10516</v>
      </c>
      <c r="F6137" s="1" t="s">
        <v>1351</v>
      </c>
      <c r="H6137" s="1" t="s">
        <v>10517</v>
      </c>
      <c r="I6137" s="1" t="s">
        <v>19</v>
      </c>
      <c r="J6137" s="1" t="s">
        <v>67</v>
      </c>
      <c r="K6137" s="1" t="s">
        <v>14</v>
      </c>
      <c r="M6137" s="2">
        <v>42634</v>
      </c>
      <c r="N6137" s="1" t="s">
        <v>8</v>
      </c>
      <c r="O6137" s="1" t="s">
        <v>68</v>
      </c>
    </row>
    <row r="6138" spans="1:15" ht="43.2" x14ac:dyDescent="0.3">
      <c r="A6138" s="1" t="s">
        <v>10518</v>
      </c>
      <c r="B6138" s="1" t="str">
        <f>"The Pebbles "</f>
        <v xml:space="preserve">The Pebbles </v>
      </c>
      <c r="C6138" s="1" t="s">
        <v>10519</v>
      </c>
      <c r="F6138" s="1" t="s">
        <v>1776</v>
      </c>
      <c r="H6138" s="1" t="s">
        <v>10520</v>
      </c>
      <c r="I6138" s="1" t="s">
        <v>125</v>
      </c>
      <c r="J6138" s="1" t="s">
        <v>67</v>
      </c>
      <c r="K6138" s="1" t="s">
        <v>14</v>
      </c>
      <c r="M6138" s="2">
        <v>42634</v>
      </c>
      <c r="N6138" s="1" t="s">
        <v>8</v>
      </c>
      <c r="O6138" s="1" t="s">
        <v>68</v>
      </c>
    </row>
    <row r="6139" spans="1:15" ht="43.2" x14ac:dyDescent="0.3">
      <c r="A6139" s="1" t="s">
        <v>10521</v>
      </c>
      <c r="B6139" s="1" t="str">
        <f>"Cresci Brothers"</f>
        <v>Cresci Brothers</v>
      </c>
      <c r="C6139" s="1" t="s">
        <v>10522</v>
      </c>
      <c r="F6139" s="1" t="s">
        <v>174</v>
      </c>
      <c r="H6139" s="1" t="s">
        <v>10523</v>
      </c>
      <c r="I6139" s="1" t="s">
        <v>125</v>
      </c>
      <c r="J6139" s="1" t="s">
        <v>67</v>
      </c>
      <c r="K6139" s="1" t="s">
        <v>14</v>
      </c>
      <c r="M6139" s="2">
        <v>42634</v>
      </c>
      <c r="N6139" s="1" t="s">
        <v>8</v>
      </c>
      <c r="O6139" s="1" t="s">
        <v>68</v>
      </c>
    </row>
    <row r="6140" spans="1:15" ht="43.2" x14ac:dyDescent="0.3">
      <c r="A6140" s="1" t="s">
        <v>11506</v>
      </c>
      <c r="B6140" s="1" t="str">
        <f>"Deri Post Office"</f>
        <v>Deri Post Office</v>
      </c>
      <c r="C6140" s="1" t="s">
        <v>3468</v>
      </c>
      <c r="H6140" s="1" t="s">
        <v>11507</v>
      </c>
      <c r="I6140" s="1" t="s">
        <v>125</v>
      </c>
      <c r="J6140" s="1" t="s">
        <v>67</v>
      </c>
      <c r="K6140" s="1" t="s">
        <v>14</v>
      </c>
      <c r="M6140" s="2">
        <v>42634</v>
      </c>
      <c r="N6140" s="1" t="s">
        <v>8</v>
      </c>
      <c r="O6140" s="1" t="s">
        <v>68</v>
      </c>
    </row>
    <row r="6141" spans="1:15" ht="43.2" x14ac:dyDescent="0.3">
      <c r="A6141" s="1" t="s">
        <v>11508</v>
      </c>
      <c r="B6141" s="1" t="str">
        <f>"kutch mini market"</f>
        <v>kutch mini market</v>
      </c>
      <c r="C6141" s="1" t="s">
        <v>11509</v>
      </c>
      <c r="F6141" s="1" t="s">
        <v>4614</v>
      </c>
      <c r="H6141" s="1" t="s">
        <v>11510</v>
      </c>
      <c r="I6141" s="1" t="s">
        <v>125</v>
      </c>
      <c r="J6141" s="1" t="s">
        <v>67</v>
      </c>
      <c r="K6141" s="1" t="s">
        <v>14</v>
      </c>
      <c r="M6141" s="2">
        <v>42634</v>
      </c>
      <c r="N6141" s="1" t="s">
        <v>8</v>
      </c>
      <c r="O6141" s="1" t="s">
        <v>68</v>
      </c>
    </row>
    <row r="6142" spans="1:15" ht="43.2" x14ac:dyDescent="0.3">
      <c r="A6142" s="1" t="s">
        <v>23642</v>
      </c>
      <c r="B6142" s="1" t="str">
        <f>"Aleksandar Gudzhunov"</f>
        <v>Aleksandar Gudzhunov</v>
      </c>
      <c r="C6142" s="1" t="s">
        <v>23643</v>
      </c>
      <c r="F6142" s="1" t="s">
        <v>170</v>
      </c>
      <c r="H6142" s="1" t="s">
        <v>23644</v>
      </c>
      <c r="I6142" s="1" t="s">
        <v>5</v>
      </c>
      <c r="J6142" s="1" t="s">
        <v>67</v>
      </c>
      <c r="K6142" s="1" t="s">
        <v>14</v>
      </c>
      <c r="M6142" s="2">
        <v>42634</v>
      </c>
      <c r="N6142" s="1" t="s">
        <v>8</v>
      </c>
      <c r="O6142" s="1" t="s">
        <v>68</v>
      </c>
    </row>
    <row r="6143" spans="1:15" ht="28.8" x14ac:dyDescent="0.3">
      <c r="A6143" s="1" t="s">
        <v>23645</v>
      </c>
      <c r="B6143" s="1" t="str">
        <f>"Thomas Lewis Thomas Lewis"</f>
        <v>Thomas Lewis Thomas Lewis</v>
      </c>
      <c r="C6143" s="1" t="s">
        <v>23646</v>
      </c>
      <c r="F6143" s="1" t="s">
        <v>3992</v>
      </c>
      <c r="H6143" s="1" t="s">
        <v>17858</v>
      </c>
      <c r="I6143" s="1" t="s">
        <v>5</v>
      </c>
      <c r="J6143" s="1" t="s">
        <v>6</v>
      </c>
      <c r="K6143" s="1" t="s">
        <v>24</v>
      </c>
      <c r="M6143" s="2">
        <v>42634</v>
      </c>
      <c r="N6143" s="1" t="s">
        <v>8</v>
      </c>
      <c r="O6143" s="2">
        <v>43729</v>
      </c>
    </row>
    <row r="6144" spans="1:15" ht="28.8" x14ac:dyDescent="0.3">
      <c r="A6144" s="1" t="s">
        <v>23647</v>
      </c>
      <c r="B6144" s="1" t="str">
        <f>"Alan Hughes A HELPING HAND"</f>
        <v>Alan Hughes A HELPING HAND</v>
      </c>
      <c r="C6144" s="1" t="s">
        <v>23648</v>
      </c>
      <c r="F6144" s="1" t="s">
        <v>438</v>
      </c>
      <c r="H6144" s="1" t="s">
        <v>23649</v>
      </c>
      <c r="I6144" s="1" t="s">
        <v>5</v>
      </c>
      <c r="J6144" s="1" t="s">
        <v>6</v>
      </c>
      <c r="K6144" s="1" t="s">
        <v>34</v>
      </c>
      <c r="M6144" s="2">
        <v>42634</v>
      </c>
      <c r="N6144" s="1" t="s">
        <v>8</v>
      </c>
      <c r="O6144" s="2">
        <v>43729</v>
      </c>
    </row>
    <row r="6145" spans="1:15" ht="43.2" x14ac:dyDescent="0.3">
      <c r="A6145" s="1" t="s">
        <v>24498</v>
      </c>
      <c r="B6145" s="1" t="str">
        <f>"ganeshan sathasivam"</f>
        <v>ganeshan sathasivam</v>
      </c>
      <c r="C6145" s="1" t="s">
        <v>24499</v>
      </c>
      <c r="F6145" s="1" t="s">
        <v>12026</v>
      </c>
      <c r="H6145" s="1" t="s">
        <v>24500</v>
      </c>
      <c r="I6145" s="1" t="s">
        <v>5</v>
      </c>
      <c r="J6145" s="1" t="s">
        <v>67</v>
      </c>
      <c r="K6145" s="1" t="s">
        <v>14</v>
      </c>
      <c r="M6145" s="2">
        <v>42634</v>
      </c>
      <c r="N6145" s="1" t="s">
        <v>8</v>
      </c>
      <c r="O6145" s="1" t="s">
        <v>68</v>
      </c>
    </row>
    <row r="6146" spans="1:15" ht="43.2" x14ac:dyDescent="0.3">
      <c r="A6146" s="1" t="s">
        <v>24501</v>
      </c>
      <c r="B6146" s="1" t="str">
        <f>"Paul  Skrines"</f>
        <v>Paul  Skrines</v>
      </c>
      <c r="C6146" s="1" t="s">
        <v>24502</v>
      </c>
      <c r="F6146" s="1" t="s">
        <v>27</v>
      </c>
      <c r="H6146" s="1" t="s">
        <v>24503</v>
      </c>
      <c r="I6146" s="1" t="s">
        <v>5</v>
      </c>
      <c r="J6146" s="1" t="s">
        <v>67</v>
      </c>
      <c r="K6146" s="1" t="s">
        <v>24</v>
      </c>
      <c r="M6146" s="2">
        <v>42634</v>
      </c>
      <c r="N6146" s="1" t="s">
        <v>8</v>
      </c>
      <c r="O6146" s="1" t="s">
        <v>68</v>
      </c>
    </row>
    <row r="6147" spans="1:15" ht="43.2" x14ac:dyDescent="0.3">
      <c r="A6147" s="1" t="s">
        <v>24504</v>
      </c>
      <c r="B6147" s="1" t="str">
        <f>"Julian McMahon"</f>
        <v>Julian McMahon</v>
      </c>
      <c r="C6147" s="1" t="s">
        <v>24505</v>
      </c>
      <c r="F6147" s="1" t="s">
        <v>370</v>
      </c>
      <c r="H6147" s="1" t="s">
        <v>24506</v>
      </c>
      <c r="I6147" s="1" t="s">
        <v>5</v>
      </c>
      <c r="J6147" s="1" t="s">
        <v>67</v>
      </c>
      <c r="K6147" s="1" t="s">
        <v>14</v>
      </c>
      <c r="M6147" s="2">
        <v>42634</v>
      </c>
      <c r="N6147" s="1" t="s">
        <v>8</v>
      </c>
      <c r="O6147" s="1" t="s">
        <v>68</v>
      </c>
    </row>
    <row r="6148" spans="1:15" x14ac:dyDescent="0.3">
      <c r="A6148" s="1" t="s">
        <v>9382</v>
      </c>
      <c r="B6148" s="1" t="str">
        <f>"Stack Bros"</f>
        <v>Stack Bros</v>
      </c>
      <c r="C6148" s="1" t="s">
        <v>9383</v>
      </c>
      <c r="F6148" s="1" t="s">
        <v>1346</v>
      </c>
      <c r="H6148" s="1" t="s">
        <v>9384</v>
      </c>
      <c r="I6148" s="1" t="s">
        <v>125</v>
      </c>
      <c r="J6148" s="1" t="s">
        <v>6</v>
      </c>
      <c r="K6148" s="1" t="s">
        <v>24</v>
      </c>
      <c r="M6148" s="2">
        <v>42633</v>
      </c>
      <c r="N6148" s="1" t="s">
        <v>8</v>
      </c>
      <c r="O6148" s="2">
        <v>43728</v>
      </c>
    </row>
    <row r="6149" spans="1:15" ht="43.2" x14ac:dyDescent="0.3">
      <c r="A6149" s="1" t="s">
        <v>9385</v>
      </c>
      <c r="B6149" s="1" t="str">
        <f>"service delivery associates limited"</f>
        <v>service delivery associates limited</v>
      </c>
      <c r="C6149" s="1" t="s">
        <v>9386</v>
      </c>
      <c r="F6149" s="1" t="s">
        <v>3472</v>
      </c>
      <c r="H6149" s="1" t="s">
        <v>9387</v>
      </c>
      <c r="I6149" s="1" t="s">
        <v>19</v>
      </c>
      <c r="J6149" s="1" t="s">
        <v>67</v>
      </c>
      <c r="K6149" s="1" t="s">
        <v>14</v>
      </c>
      <c r="M6149" s="2">
        <v>42633</v>
      </c>
      <c r="N6149" s="1" t="s">
        <v>8</v>
      </c>
      <c r="O6149" s="1" t="s">
        <v>68</v>
      </c>
    </row>
    <row r="6150" spans="1:15" ht="28.8" x14ac:dyDescent="0.3">
      <c r="A6150" s="1" t="s">
        <v>9388</v>
      </c>
      <c r="B6150" s="1" t="str">
        <f>"Steve Pope and Son Transport Ltd"</f>
        <v>Steve Pope and Son Transport Ltd</v>
      </c>
      <c r="C6150" s="1" t="s">
        <v>9389</v>
      </c>
      <c r="D6150" s="1" t="s">
        <v>50</v>
      </c>
      <c r="F6150" s="1" t="s">
        <v>666</v>
      </c>
      <c r="H6150" s="1" t="s">
        <v>9390</v>
      </c>
      <c r="I6150" s="1" t="s">
        <v>19</v>
      </c>
      <c r="J6150" s="1" t="s">
        <v>6</v>
      </c>
      <c r="K6150" s="1" t="s">
        <v>34</v>
      </c>
      <c r="L6150" s="1">
        <v>8010022</v>
      </c>
      <c r="M6150" s="2">
        <v>42633</v>
      </c>
      <c r="N6150" s="1" t="s">
        <v>8</v>
      </c>
      <c r="O6150" s="2">
        <v>43728</v>
      </c>
    </row>
    <row r="6151" spans="1:15" ht="43.2" x14ac:dyDescent="0.3">
      <c r="A6151" s="1" t="s">
        <v>9391</v>
      </c>
      <c r="B6151" s="1" t="str">
        <f>"MG Barnes"</f>
        <v>MG Barnes</v>
      </c>
      <c r="C6151" s="1" t="s">
        <v>9392</v>
      </c>
      <c r="F6151" s="1" t="s">
        <v>438</v>
      </c>
      <c r="H6151" s="1" t="s">
        <v>9393</v>
      </c>
      <c r="I6151" s="1" t="s">
        <v>125</v>
      </c>
      <c r="J6151" s="1" t="s">
        <v>67</v>
      </c>
      <c r="K6151" s="1" t="s">
        <v>14</v>
      </c>
      <c r="M6151" s="2">
        <v>42633</v>
      </c>
      <c r="N6151" s="1" t="s">
        <v>8</v>
      </c>
      <c r="O6151" s="1" t="s">
        <v>68</v>
      </c>
    </row>
    <row r="6152" spans="1:15" ht="43.2" x14ac:dyDescent="0.3">
      <c r="A6152" s="1" t="s">
        <v>9394</v>
      </c>
      <c r="B6152" s="1" t="str">
        <f>"South Wales Building And Construction Limited"</f>
        <v>South Wales Building And Construction Limited</v>
      </c>
      <c r="C6152" s="1" t="s">
        <v>9395</v>
      </c>
      <c r="D6152" s="1" t="s">
        <v>8856</v>
      </c>
      <c r="E6152" s="1" t="s">
        <v>546</v>
      </c>
      <c r="F6152" s="1" t="s">
        <v>91</v>
      </c>
      <c r="H6152" s="1" t="s">
        <v>8857</v>
      </c>
      <c r="I6152" s="1" t="s">
        <v>19</v>
      </c>
      <c r="J6152" s="1" t="s">
        <v>6</v>
      </c>
      <c r="K6152" s="1" t="s">
        <v>34</v>
      </c>
      <c r="L6152" s="1">
        <v>7319979</v>
      </c>
      <c r="M6152" s="2">
        <v>42633</v>
      </c>
      <c r="N6152" s="1" t="s">
        <v>8</v>
      </c>
      <c r="O6152" s="2">
        <v>43728</v>
      </c>
    </row>
    <row r="6153" spans="1:15" ht="28.8" x14ac:dyDescent="0.3">
      <c r="A6153" s="1" t="s">
        <v>9396</v>
      </c>
      <c r="B6153" s="1" t="str">
        <f>"Climar Industries Ltd"</f>
        <v>Climar Industries Ltd</v>
      </c>
      <c r="C6153" s="1" t="s">
        <v>9397</v>
      </c>
      <c r="D6153" s="1" t="s">
        <v>8331</v>
      </c>
      <c r="F6153" s="1" t="s">
        <v>91</v>
      </c>
      <c r="H6153" s="1" t="s">
        <v>9398</v>
      </c>
      <c r="I6153" s="1" t="s">
        <v>19</v>
      </c>
      <c r="J6153" s="1" t="s">
        <v>6</v>
      </c>
      <c r="K6153" s="1" t="s">
        <v>34</v>
      </c>
      <c r="L6153" s="1">
        <v>4361501</v>
      </c>
      <c r="M6153" s="2">
        <v>42633</v>
      </c>
      <c r="N6153" s="1" t="s">
        <v>8</v>
      </c>
      <c r="O6153" s="2">
        <v>43728</v>
      </c>
    </row>
    <row r="6154" spans="1:15" ht="28.8" x14ac:dyDescent="0.3">
      <c r="A6154" s="1" t="s">
        <v>9399</v>
      </c>
      <c r="B6154" s="1" t="str">
        <f>"GREEN PROPERTY SOLUTIONS LTD"</f>
        <v>GREEN PROPERTY SOLUTIONS LTD</v>
      </c>
      <c r="C6154" s="1" t="s">
        <v>9400</v>
      </c>
      <c r="F6154" s="1" t="s">
        <v>103</v>
      </c>
      <c r="H6154" s="1" t="s">
        <v>9401</v>
      </c>
      <c r="I6154" s="1" t="s">
        <v>19</v>
      </c>
      <c r="J6154" s="1" t="s">
        <v>6</v>
      </c>
      <c r="K6154" s="1" t="s">
        <v>24</v>
      </c>
      <c r="L6154" s="1">
        <v>7041130</v>
      </c>
      <c r="M6154" s="2">
        <v>42633</v>
      </c>
      <c r="N6154" s="1" t="s">
        <v>8</v>
      </c>
      <c r="O6154" s="2">
        <v>43728</v>
      </c>
    </row>
    <row r="6155" spans="1:15" ht="28.8" x14ac:dyDescent="0.3">
      <c r="A6155" s="1" t="s">
        <v>9402</v>
      </c>
      <c r="B6155" s="1" t="str">
        <f>"R.Williams &amp; Co.Ltd."</f>
        <v>R.Williams &amp; Co.Ltd.</v>
      </c>
      <c r="C6155" s="1" t="s">
        <v>9403</v>
      </c>
      <c r="F6155" s="1" t="s">
        <v>790</v>
      </c>
      <c r="H6155" s="1" t="s">
        <v>9404</v>
      </c>
      <c r="I6155" s="1" t="s">
        <v>19</v>
      </c>
      <c r="J6155" s="1" t="s">
        <v>6</v>
      </c>
      <c r="K6155" s="1" t="s">
        <v>34</v>
      </c>
      <c r="L6155" s="1">
        <v>2330772</v>
      </c>
      <c r="M6155" s="2">
        <v>42633</v>
      </c>
      <c r="N6155" s="1" t="s">
        <v>8</v>
      </c>
      <c r="O6155" s="2">
        <v>43728</v>
      </c>
    </row>
    <row r="6156" spans="1:15" ht="43.2" x14ac:dyDescent="0.3">
      <c r="A6156" s="1" t="s">
        <v>9405</v>
      </c>
      <c r="B6156" s="1" t="str">
        <f>"motec autos "</f>
        <v xml:space="preserve">motec autos </v>
      </c>
      <c r="C6156" s="1" t="s">
        <v>9406</v>
      </c>
      <c r="F6156" s="1" t="s">
        <v>438</v>
      </c>
      <c r="H6156" s="1" t="s">
        <v>9407</v>
      </c>
      <c r="I6156" s="1" t="s">
        <v>19</v>
      </c>
      <c r="J6156" s="1" t="s">
        <v>67</v>
      </c>
      <c r="K6156" s="1" t="s">
        <v>14</v>
      </c>
      <c r="M6156" s="2">
        <v>42633</v>
      </c>
      <c r="N6156" s="1" t="s">
        <v>8</v>
      </c>
      <c r="O6156" s="1" t="s">
        <v>68</v>
      </c>
    </row>
    <row r="6157" spans="1:15" ht="43.2" x14ac:dyDescent="0.3">
      <c r="A6157" s="1" t="s">
        <v>9408</v>
      </c>
      <c r="B6157" s="1" t="str">
        <f>"motec autos"</f>
        <v>motec autos</v>
      </c>
      <c r="C6157" s="1" t="s">
        <v>9406</v>
      </c>
      <c r="F6157" s="1" t="s">
        <v>438</v>
      </c>
      <c r="H6157" s="1" t="s">
        <v>9407</v>
      </c>
      <c r="I6157" s="1" t="s">
        <v>19</v>
      </c>
      <c r="J6157" s="1" t="s">
        <v>67</v>
      </c>
      <c r="K6157" s="1" t="s">
        <v>14</v>
      </c>
      <c r="M6157" s="2">
        <v>42633</v>
      </c>
      <c r="N6157" s="1" t="s">
        <v>8</v>
      </c>
      <c r="O6157" s="1" t="s">
        <v>68</v>
      </c>
    </row>
    <row r="6158" spans="1:15" ht="28.8" x14ac:dyDescent="0.3">
      <c r="A6158" s="1" t="s">
        <v>9409</v>
      </c>
      <c r="B6158" s="1" t="str">
        <f>"John Thomas &amp; Sons Roofing Limited"</f>
        <v>John Thomas &amp; Sons Roofing Limited</v>
      </c>
      <c r="C6158" s="1" t="s">
        <v>9410</v>
      </c>
      <c r="D6158" s="1" t="s">
        <v>802</v>
      </c>
      <c r="F6158" s="1" t="s">
        <v>532</v>
      </c>
      <c r="H6158" s="1" t="s">
        <v>9411</v>
      </c>
      <c r="I6158" s="1" t="s">
        <v>19</v>
      </c>
      <c r="J6158" s="1" t="s">
        <v>6</v>
      </c>
      <c r="K6158" s="1" t="s">
        <v>34</v>
      </c>
      <c r="L6158" s="1">
        <v>3783518</v>
      </c>
      <c r="M6158" s="2">
        <v>42633</v>
      </c>
      <c r="N6158" s="1" t="s">
        <v>8</v>
      </c>
      <c r="O6158" s="2">
        <v>43728</v>
      </c>
    </row>
    <row r="6159" spans="1:15" ht="43.2" x14ac:dyDescent="0.3">
      <c r="A6159" s="1" t="s">
        <v>9412</v>
      </c>
      <c r="B6159" s="1" t="str">
        <f>"Lambarelli's"</f>
        <v>Lambarelli's</v>
      </c>
      <c r="C6159" s="1" t="s">
        <v>9413</v>
      </c>
      <c r="F6159" s="1" t="s">
        <v>9414</v>
      </c>
      <c r="H6159" s="1" t="s">
        <v>9415</v>
      </c>
      <c r="I6159" s="1" t="s">
        <v>125</v>
      </c>
      <c r="J6159" s="1" t="s">
        <v>67</v>
      </c>
      <c r="K6159" s="1" t="s">
        <v>14</v>
      </c>
      <c r="M6159" s="2">
        <v>42633</v>
      </c>
      <c r="N6159" s="1" t="s">
        <v>8</v>
      </c>
      <c r="O6159" s="1" t="s">
        <v>68</v>
      </c>
    </row>
    <row r="6160" spans="1:15" ht="43.2" x14ac:dyDescent="0.3">
      <c r="A6160" s="1" t="s">
        <v>9416</v>
      </c>
      <c r="B6160" s="1" t="str">
        <f>"D R Powell"</f>
        <v>D R Powell</v>
      </c>
      <c r="C6160" s="1" t="s">
        <v>9417</v>
      </c>
      <c r="F6160" s="1" t="s">
        <v>9418</v>
      </c>
      <c r="H6160" s="1" t="s">
        <v>9419</v>
      </c>
      <c r="I6160" s="1" t="s">
        <v>125</v>
      </c>
      <c r="J6160" s="1" t="s">
        <v>67</v>
      </c>
      <c r="K6160" s="1" t="s">
        <v>14</v>
      </c>
      <c r="M6160" s="2">
        <v>42633</v>
      </c>
      <c r="N6160" s="1" t="s">
        <v>8</v>
      </c>
      <c r="O6160" s="1" t="s">
        <v>68</v>
      </c>
    </row>
    <row r="6161" spans="1:15" ht="43.2" x14ac:dyDescent="0.3">
      <c r="A6161" s="1" t="s">
        <v>22867</v>
      </c>
      <c r="B6161" s="1" t="str">
        <f>"Jeffrey Polkinghorne"</f>
        <v>Jeffrey Polkinghorne</v>
      </c>
      <c r="C6161" s="1" t="s">
        <v>22868</v>
      </c>
      <c r="F6161" s="1" t="s">
        <v>16099</v>
      </c>
      <c r="H6161" s="1" t="s">
        <v>22869</v>
      </c>
      <c r="I6161" s="1" t="s">
        <v>5</v>
      </c>
      <c r="J6161" s="1" t="s">
        <v>67</v>
      </c>
      <c r="K6161" s="1" t="s">
        <v>14</v>
      </c>
      <c r="M6161" s="2">
        <v>42633</v>
      </c>
      <c r="N6161" s="1" t="s">
        <v>8</v>
      </c>
      <c r="O6161" s="1" t="s">
        <v>68</v>
      </c>
    </row>
    <row r="6162" spans="1:15" ht="28.8" x14ac:dyDescent="0.3">
      <c r="A6162" s="1" t="s">
        <v>22870</v>
      </c>
      <c r="B6162" s="1" t="str">
        <f>"Ronnie  Patrick Ronnie  Patrick"</f>
        <v>Ronnie  Patrick Ronnie  Patrick</v>
      </c>
      <c r="C6162" s="1" t="s">
        <v>22871</v>
      </c>
      <c r="D6162" s="1" t="s">
        <v>17453</v>
      </c>
      <c r="F6162" s="1" t="s">
        <v>22872</v>
      </c>
      <c r="H6162" s="1" t="s">
        <v>22873</v>
      </c>
      <c r="I6162" s="1" t="s">
        <v>5</v>
      </c>
      <c r="J6162" s="1" t="s">
        <v>6</v>
      </c>
      <c r="K6162" s="1" t="s">
        <v>34</v>
      </c>
      <c r="M6162" s="2">
        <v>42633</v>
      </c>
      <c r="N6162" s="1" t="s">
        <v>8</v>
      </c>
      <c r="O6162" s="2">
        <v>43728</v>
      </c>
    </row>
    <row r="6163" spans="1:15" ht="43.2" x14ac:dyDescent="0.3">
      <c r="A6163" s="1" t="s">
        <v>22874</v>
      </c>
      <c r="B6163" s="1" t="str">
        <f>"Matthew Slee"</f>
        <v>Matthew Slee</v>
      </c>
      <c r="C6163" s="1" t="s">
        <v>22875</v>
      </c>
      <c r="F6163" s="1" t="s">
        <v>65</v>
      </c>
      <c r="H6163" s="1" t="s">
        <v>22876</v>
      </c>
      <c r="I6163" s="1" t="s">
        <v>5</v>
      </c>
      <c r="J6163" s="1" t="s">
        <v>67</v>
      </c>
      <c r="K6163" s="1" t="s">
        <v>14</v>
      </c>
      <c r="M6163" s="2">
        <v>42633</v>
      </c>
      <c r="N6163" s="1" t="s">
        <v>8</v>
      </c>
      <c r="O6163" s="1" t="s">
        <v>68</v>
      </c>
    </row>
    <row r="6164" spans="1:15" ht="43.2" x14ac:dyDescent="0.3">
      <c r="A6164" s="1" t="s">
        <v>22877</v>
      </c>
      <c r="B6164" s="1" t="str">
        <f>"Ozgur Palo"</f>
        <v>Ozgur Palo</v>
      </c>
      <c r="C6164" s="1" t="s">
        <v>16860</v>
      </c>
      <c r="F6164" s="1" t="s">
        <v>3345</v>
      </c>
      <c r="H6164" s="1" t="s">
        <v>22878</v>
      </c>
      <c r="I6164" s="1" t="s">
        <v>5</v>
      </c>
      <c r="J6164" s="1" t="s">
        <v>67</v>
      </c>
      <c r="K6164" s="1" t="s">
        <v>14</v>
      </c>
      <c r="M6164" s="2">
        <v>42633</v>
      </c>
      <c r="N6164" s="1" t="s">
        <v>8</v>
      </c>
      <c r="O6164" s="1" t="s">
        <v>68</v>
      </c>
    </row>
    <row r="6165" spans="1:15" ht="28.8" x14ac:dyDescent="0.3">
      <c r="A6165" s="1" t="s">
        <v>7100</v>
      </c>
      <c r="B6165" s="1" t="str">
        <f>"GERALD DAVIES LTD"</f>
        <v>GERALD DAVIES LTD</v>
      </c>
      <c r="C6165" s="1" t="s">
        <v>7101</v>
      </c>
      <c r="F6165" s="1" t="s">
        <v>1351</v>
      </c>
      <c r="H6165" s="1" t="s">
        <v>4010</v>
      </c>
      <c r="I6165" s="1" t="s">
        <v>19</v>
      </c>
      <c r="J6165" s="1" t="s">
        <v>6</v>
      </c>
      <c r="K6165" s="1" t="s">
        <v>34</v>
      </c>
      <c r="L6165" s="1">
        <v>1959827</v>
      </c>
      <c r="M6165" s="2">
        <v>42632</v>
      </c>
      <c r="N6165" s="1" t="s">
        <v>8</v>
      </c>
      <c r="O6165" s="2">
        <v>43727</v>
      </c>
    </row>
    <row r="6166" spans="1:15" ht="43.2" x14ac:dyDescent="0.3">
      <c r="A6166" s="1" t="s">
        <v>8203</v>
      </c>
      <c r="B6166" s="1" t="str">
        <f>"Trebanos Computer Services"</f>
        <v>Trebanos Computer Services</v>
      </c>
      <c r="C6166" s="1" t="s">
        <v>8204</v>
      </c>
      <c r="D6166" s="1" t="s">
        <v>108</v>
      </c>
      <c r="F6166" s="1" t="s">
        <v>65</v>
      </c>
      <c r="H6166" s="1" t="s">
        <v>8205</v>
      </c>
      <c r="I6166" s="1" t="s">
        <v>125</v>
      </c>
      <c r="J6166" s="1" t="s">
        <v>67</v>
      </c>
      <c r="K6166" s="1" t="s">
        <v>14</v>
      </c>
      <c r="M6166" s="2">
        <v>42632</v>
      </c>
      <c r="N6166" s="1" t="s">
        <v>8</v>
      </c>
      <c r="O6166" s="1" t="s">
        <v>68</v>
      </c>
    </row>
    <row r="6167" spans="1:15" ht="43.2" x14ac:dyDescent="0.3">
      <c r="A6167" s="1" t="s">
        <v>8206</v>
      </c>
      <c r="B6167" s="1" t="str">
        <f>"Ivy Bush Royal Hotel Ltd"</f>
        <v>Ivy Bush Royal Hotel Ltd</v>
      </c>
      <c r="C6167" s="1" t="s">
        <v>8207</v>
      </c>
      <c r="F6167" s="1" t="s">
        <v>96</v>
      </c>
      <c r="H6167" s="1" t="s">
        <v>8208</v>
      </c>
      <c r="I6167" s="1" t="s">
        <v>19</v>
      </c>
      <c r="J6167" s="1" t="s">
        <v>67</v>
      </c>
      <c r="K6167" s="1" t="s">
        <v>14</v>
      </c>
      <c r="M6167" s="2">
        <v>42632</v>
      </c>
      <c r="N6167" s="1" t="s">
        <v>8</v>
      </c>
      <c r="O6167" s="1" t="s">
        <v>68</v>
      </c>
    </row>
    <row r="6168" spans="1:15" ht="28.8" x14ac:dyDescent="0.3">
      <c r="A6168" s="1" t="s">
        <v>8209</v>
      </c>
      <c r="B6168" s="1" t="str">
        <f>"Baptt Shopfitters Ltd."</f>
        <v>Baptt Shopfitters Ltd.</v>
      </c>
      <c r="C6168" s="1" t="s">
        <v>8210</v>
      </c>
      <c r="D6168" s="1" t="s">
        <v>2041</v>
      </c>
      <c r="F6168" s="1" t="s">
        <v>65</v>
      </c>
      <c r="H6168" s="1" t="s">
        <v>8211</v>
      </c>
      <c r="I6168" s="1" t="s">
        <v>19</v>
      </c>
      <c r="J6168" s="1" t="s">
        <v>6</v>
      </c>
      <c r="K6168" s="1" t="s">
        <v>24</v>
      </c>
      <c r="L6168" s="1">
        <v>2977693</v>
      </c>
      <c r="M6168" s="2">
        <v>42632</v>
      </c>
      <c r="N6168" s="1" t="s">
        <v>8</v>
      </c>
      <c r="O6168" s="2">
        <v>43727</v>
      </c>
    </row>
    <row r="6169" spans="1:15" ht="28.8" x14ac:dyDescent="0.3">
      <c r="A6169" s="1" t="s">
        <v>8212</v>
      </c>
      <c r="B6169" s="1" t="str">
        <f>"RHYS EVANS CYF"</f>
        <v>RHYS EVANS CYF</v>
      </c>
      <c r="C6169" s="1" t="s">
        <v>8213</v>
      </c>
      <c r="F6169" s="1" t="s">
        <v>2504</v>
      </c>
      <c r="H6169" s="1" t="s">
        <v>8214</v>
      </c>
      <c r="I6169" s="1" t="s">
        <v>19</v>
      </c>
      <c r="J6169" s="1" t="s">
        <v>6</v>
      </c>
      <c r="K6169" s="1" t="s">
        <v>34</v>
      </c>
      <c r="L6169" s="1">
        <v>6864906</v>
      </c>
      <c r="M6169" s="2">
        <v>42632</v>
      </c>
      <c r="N6169" s="1" t="s">
        <v>8</v>
      </c>
      <c r="O6169" s="2">
        <v>43728</v>
      </c>
    </row>
    <row r="6170" spans="1:15" ht="43.2" x14ac:dyDescent="0.3">
      <c r="A6170" s="1" t="s">
        <v>8215</v>
      </c>
      <c r="B6170" s="1" t="str">
        <f>"MG &amp; MV Tayler General Stores"</f>
        <v>MG &amp; MV Tayler General Stores</v>
      </c>
      <c r="C6170" s="1" t="s">
        <v>8216</v>
      </c>
      <c r="F6170" s="1" t="s">
        <v>91</v>
      </c>
      <c r="H6170" s="1" t="s">
        <v>8217</v>
      </c>
      <c r="I6170" s="1" t="s">
        <v>125</v>
      </c>
      <c r="J6170" s="1" t="s">
        <v>67</v>
      </c>
      <c r="K6170" s="1" t="s">
        <v>14</v>
      </c>
      <c r="M6170" s="2">
        <v>42632</v>
      </c>
      <c r="N6170" s="1" t="s">
        <v>8</v>
      </c>
      <c r="O6170" s="1" t="s">
        <v>68</v>
      </c>
    </row>
    <row r="6171" spans="1:15" ht="28.8" x14ac:dyDescent="0.3">
      <c r="A6171" s="1" t="s">
        <v>8218</v>
      </c>
      <c r="B6171" s="1" t="str">
        <f>"Animals In Need (WLS) Ltd"</f>
        <v>Animals In Need (WLS) Ltd</v>
      </c>
      <c r="C6171" s="1" t="s">
        <v>8219</v>
      </c>
      <c r="F6171" s="1" t="s">
        <v>37</v>
      </c>
      <c r="H6171" s="1" t="s">
        <v>8220</v>
      </c>
      <c r="I6171" s="1" t="s">
        <v>19</v>
      </c>
      <c r="J6171" s="1" t="s">
        <v>6</v>
      </c>
      <c r="K6171" s="1" t="s">
        <v>24</v>
      </c>
      <c r="L6171" s="1">
        <v>7169951</v>
      </c>
      <c r="M6171" s="2">
        <v>42632</v>
      </c>
      <c r="N6171" s="1" t="s">
        <v>8</v>
      </c>
      <c r="O6171" s="2">
        <v>43727</v>
      </c>
    </row>
    <row r="6172" spans="1:15" ht="28.8" x14ac:dyDescent="0.3">
      <c r="A6172" s="1" t="s">
        <v>8221</v>
      </c>
      <c r="B6172" s="1" t="str">
        <f>"A &amp; LH Environmental Services Ltd"</f>
        <v>A &amp; LH Environmental Services Ltd</v>
      </c>
      <c r="C6172" s="1" t="s">
        <v>8222</v>
      </c>
      <c r="D6172" s="1" t="s">
        <v>1576</v>
      </c>
      <c r="F6172" s="1" t="s">
        <v>298</v>
      </c>
      <c r="H6172" s="1" t="s">
        <v>2220</v>
      </c>
      <c r="I6172" s="1" t="s">
        <v>19</v>
      </c>
      <c r="J6172" s="1" t="s">
        <v>6</v>
      </c>
      <c r="K6172" s="1" t="s">
        <v>34</v>
      </c>
      <c r="L6172" s="1">
        <v>8497366</v>
      </c>
      <c r="M6172" s="2">
        <v>42632</v>
      </c>
      <c r="N6172" s="1" t="s">
        <v>8</v>
      </c>
      <c r="O6172" s="2">
        <v>43727</v>
      </c>
    </row>
    <row r="6173" spans="1:15" ht="28.8" x14ac:dyDescent="0.3">
      <c r="A6173" s="1" t="s">
        <v>8223</v>
      </c>
      <c r="B6173" s="1" t="str">
        <f>"Northrise Limited"</f>
        <v>Northrise Limited</v>
      </c>
      <c r="C6173" s="1" t="s">
        <v>8224</v>
      </c>
      <c r="F6173" s="1" t="s">
        <v>555</v>
      </c>
      <c r="H6173" s="1" t="s">
        <v>8225</v>
      </c>
      <c r="I6173" s="1" t="s">
        <v>19</v>
      </c>
      <c r="J6173" s="1" t="s">
        <v>6</v>
      </c>
      <c r="K6173" s="1" t="s">
        <v>34</v>
      </c>
      <c r="L6173" s="1">
        <v>4496233</v>
      </c>
      <c r="M6173" s="2">
        <v>42632</v>
      </c>
      <c r="N6173" s="1" t="s">
        <v>8</v>
      </c>
      <c r="O6173" s="2">
        <v>43727</v>
      </c>
    </row>
    <row r="6174" spans="1:15" ht="43.2" x14ac:dyDescent="0.3">
      <c r="A6174" s="1" t="s">
        <v>8226</v>
      </c>
      <c r="B6174" s="1" t="str">
        <f>"Clwb Godre'r Mynydd Du"</f>
        <v>Clwb Godre'r Mynydd Du</v>
      </c>
      <c r="C6174" s="1" t="s">
        <v>8227</v>
      </c>
      <c r="F6174" s="1" t="s">
        <v>12</v>
      </c>
      <c r="H6174" s="1" t="s">
        <v>8228</v>
      </c>
      <c r="I6174" s="1" t="s">
        <v>1872</v>
      </c>
      <c r="J6174" s="1" t="s">
        <v>67</v>
      </c>
      <c r="K6174" s="1" t="s">
        <v>14</v>
      </c>
      <c r="M6174" s="2">
        <v>42632</v>
      </c>
      <c r="N6174" s="1" t="s">
        <v>8</v>
      </c>
      <c r="O6174" s="1" t="s">
        <v>68</v>
      </c>
    </row>
    <row r="6175" spans="1:15" ht="43.2" x14ac:dyDescent="0.3">
      <c r="A6175" s="1" t="s">
        <v>8229</v>
      </c>
      <c r="B6175" s="1" t="str">
        <f>"Jefferies Stores Ltd"</f>
        <v>Jefferies Stores Ltd</v>
      </c>
      <c r="C6175" s="1" t="s">
        <v>8230</v>
      </c>
      <c r="F6175" s="1" t="s">
        <v>174</v>
      </c>
      <c r="H6175" s="1" t="s">
        <v>8231</v>
      </c>
      <c r="I6175" s="1" t="s">
        <v>19</v>
      </c>
      <c r="J6175" s="1" t="s">
        <v>67</v>
      </c>
      <c r="K6175" s="1" t="s">
        <v>14</v>
      </c>
      <c r="M6175" s="2">
        <v>42632</v>
      </c>
      <c r="N6175" s="1" t="s">
        <v>8</v>
      </c>
      <c r="O6175" s="1" t="s">
        <v>68</v>
      </c>
    </row>
    <row r="6176" spans="1:15" ht="43.2" x14ac:dyDescent="0.3">
      <c r="A6176" s="1" t="s">
        <v>8232</v>
      </c>
      <c r="B6176" s="1" t="str">
        <f>"USK TRANSPORT LTD"</f>
        <v>USK TRANSPORT LTD</v>
      </c>
      <c r="C6176" s="1" t="s">
        <v>8233</v>
      </c>
      <c r="D6176" s="1" t="s">
        <v>8234</v>
      </c>
      <c r="E6176" s="1" t="s">
        <v>757</v>
      </c>
      <c r="F6176" s="1" t="s">
        <v>91</v>
      </c>
      <c r="H6176" s="1" t="s">
        <v>8235</v>
      </c>
      <c r="I6176" s="1" t="s">
        <v>19</v>
      </c>
      <c r="J6176" s="1" t="s">
        <v>6</v>
      </c>
      <c r="K6176" s="1" t="s">
        <v>24</v>
      </c>
      <c r="L6176" s="1">
        <v>4500094</v>
      </c>
      <c r="M6176" s="2">
        <v>42632</v>
      </c>
      <c r="N6176" s="1" t="s">
        <v>8</v>
      </c>
      <c r="O6176" s="2">
        <v>43727</v>
      </c>
    </row>
    <row r="6177" spans="1:15" ht="28.8" x14ac:dyDescent="0.3">
      <c r="A6177" s="1" t="s">
        <v>8236</v>
      </c>
      <c r="B6177" s="1" t="str">
        <f>"CELTEST COMPANY LTD"</f>
        <v>CELTEST COMPANY LTD</v>
      </c>
      <c r="C6177" s="1" t="s">
        <v>8237</v>
      </c>
      <c r="D6177" s="1" t="s">
        <v>2890</v>
      </c>
      <c r="F6177" s="1" t="s">
        <v>1321</v>
      </c>
      <c r="H6177" s="1" t="s">
        <v>8238</v>
      </c>
      <c r="I6177" s="1" t="s">
        <v>19</v>
      </c>
      <c r="J6177" s="1" t="s">
        <v>6</v>
      </c>
      <c r="K6177" s="1" t="s">
        <v>24</v>
      </c>
      <c r="L6177" s="1">
        <v>1533370</v>
      </c>
      <c r="M6177" s="2">
        <v>42632</v>
      </c>
      <c r="N6177" s="1" t="s">
        <v>8</v>
      </c>
      <c r="O6177" s="2">
        <v>43735</v>
      </c>
    </row>
    <row r="6178" spans="1:15" ht="28.8" x14ac:dyDescent="0.3">
      <c r="A6178" s="1" t="s">
        <v>8239</v>
      </c>
      <c r="B6178" s="1" t="str">
        <f>"IRIS INTERNATIONAL INFRASTRUCTURES "</f>
        <v xml:space="preserve">IRIS INTERNATIONAL INFRASTRUCTURES </v>
      </c>
      <c r="C6178" s="1" t="s">
        <v>8240</v>
      </c>
      <c r="F6178" s="1" t="s">
        <v>65</v>
      </c>
      <c r="H6178" s="1" t="s">
        <v>8241</v>
      </c>
      <c r="I6178" s="1" t="s">
        <v>19</v>
      </c>
      <c r="J6178" s="1" t="s">
        <v>6</v>
      </c>
      <c r="K6178" s="1" t="s">
        <v>34</v>
      </c>
      <c r="L6178" s="1">
        <v>8692434</v>
      </c>
      <c r="M6178" s="2">
        <v>42632</v>
      </c>
      <c r="N6178" s="1" t="s">
        <v>8</v>
      </c>
      <c r="O6178" s="2">
        <v>43727</v>
      </c>
    </row>
    <row r="6179" spans="1:15" ht="28.8" x14ac:dyDescent="0.3">
      <c r="A6179" s="1" t="s">
        <v>8242</v>
      </c>
      <c r="B6179" s="1" t="str">
        <f>"CLI HEATING LTD"</f>
        <v>CLI HEATING LTD</v>
      </c>
      <c r="C6179" s="1" t="s">
        <v>8243</v>
      </c>
      <c r="D6179" s="1" t="s">
        <v>5644</v>
      </c>
      <c r="F6179" s="1" t="s">
        <v>6400</v>
      </c>
      <c r="H6179" s="1" t="s">
        <v>5646</v>
      </c>
      <c r="I6179" s="1" t="s">
        <v>19</v>
      </c>
      <c r="J6179" s="1" t="s">
        <v>6</v>
      </c>
      <c r="K6179" s="1" t="s">
        <v>24</v>
      </c>
      <c r="L6179" s="1">
        <v>4585429</v>
      </c>
      <c r="M6179" s="2">
        <v>42632</v>
      </c>
      <c r="N6179" s="1" t="s">
        <v>8</v>
      </c>
      <c r="O6179" s="2">
        <v>43727</v>
      </c>
    </row>
    <row r="6180" spans="1:15" ht="43.2" x14ac:dyDescent="0.3">
      <c r="A6180" s="1" t="s">
        <v>8244</v>
      </c>
      <c r="B6180" s="1" t="str">
        <f>"Johnny's tobacconist"</f>
        <v>Johnny's tobacconist</v>
      </c>
      <c r="C6180" s="1" t="s">
        <v>8245</v>
      </c>
      <c r="F6180" s="1" t="s">
        <v>8246</v>
      </c>
      <c r="H6180" s="1" t="s">
        <v>8247</v>
      </c>
      <c r="I6180" s="1" t="s">
        <v>125</v>
      </c>
      <c r="J6180" s="1" t="s">
        <v>67</v>
      </c>
      <c r="K6180" s="1" t="s">
        <v>14</v>
      </c>
      <c r="M6180" s="2">
        <v>42632</v>
      </c>
      <c r="N6180" s="1" t="s">
        <v>8</v>
      </c>
      <c r="O6180" s="1" t="s">
        <v>68</v>
      </c>
    </row>
    <row r="6181" spans="1:15" ht="28.8" x14ac:dyDescent="0.3">
      <c r="A6181" s="1" t="s">
        <v>9379</v>
      </c>
      <c r="B6181" s="1" t="str">
        <f>"Porthcawl driveways"</f>
        <v>Porthcawl driveways</v>
      </c>
      <c r="C6181" s="1" t="s">
        <v>9380</v>
      </c>
      <c r="F6181" s="1" t="s">
        <v>865</v>
      </c>
      <c r="H6181" s="1" t="s">
        <v>9381</v>
      </c>
      <c r="I6181" s="1" t="s">
        <v>19</v>
      </c>
      <c r="J6181" s="1" t="s">
        <v>6</v>
      </c>
      <c r="K6181" s="1" t="s">
        <v>34</v>
      </c>
      <c r="L6181" s="1">
        <v>9193647</v>
      </c>
      <c r="M6181" s="2">
        <v>42632</v>
      </c>
      <c r="N6181" s="1" t="s">
        <v>8</v>
      </c>
      <c r="O6181" s="2">
        <v>43727</v>
      </c>
    </row>
    <row r="6182" spans="1:15" ht="28.8" x14ac:dyDescent="0.3">
      <c r="A6182" s="1" t="s">
        <v>21305</v>
      </c>
      <c r="B6182" s="1" t="str">
        <f>"Alyson Brannan"</f>
        <v>Alyson Brannan</v>
      </c>
      <c r="C6182" s="1" t="s">
        <v>21306</v>
      </c>
      <c r="F6182" s="1" t="s">
        <v>5645</v>
      </c>
      <c r="H6182" s="1" t="s">
        <v>21307</v>
      </c>
      <c r="I6182" s="1" t="s">
        <v>5</v>
      </c>
      <c r="J6182" s="1" t="s">
        <v>6</v>
      </c>
      <c r="K6182" s="1" t="s">
        <v>24</v>
      </c>
      <c r="M6182" s="2">
        <v>42632</v>
      </c>
      <c r="N6182" s="1" t="s">
        <v>8</v>
      </c>
      <c r="O6182" s="2">
        <v>43727</v>
      </c>
    </row>
    <row r="6183" spans="1:15" ht="43.2" x14ac:dyDescent="0.3">
      <c r="A6183" s="1" t="s">
        <v>22097</v>
      </c>
      <c r="B6183" s="1" t="str">
        <f>"ADRIAN  BOWEN"</f>
        <v>ADRIAN  BOWEN</v>
      </c>
      <c r="C6183" s="1" t="s">
        <v>7248</v>
      </c>
      <c r="F6183" s="1" t="s">
        <v>3242</v>
      </c>
      <c r="H6183" s="1" t="s">
        <v>7249</v>
      </c>
      <c r="I6183" s="1" t="s">
        <v>5</v>
      </c>
      <c r="J6183" s="1" t="s">
        <v>67</v>
      </c>
      <c r="K6183" s="1" t="s">
        <v>14</v>
      </c>
      <c r="M6183" s="2">
        <v>42632</v>
      </c>
      <c r="N6183" s="1" t="s">
        <v>8</v>
      </c>
      <c r="O6183" s="1" t="s">
        <v>68</v>
      </c>
    </row>
    <row r="6184" spans="1:15" ht="28.8" x14ac:dyDescent="0.3">
      <c r="A6184" s="1" t="s">
        <v>22098</v>
      </c>
      <c r="B6184" s="1" t="str">
        <f>"David Calford Clearout Cardiff"</f>
        <v>David Calford Clearout Cardiff</v>
      </c>
      <c r="C6184" s="1" t="s">
        <v>22099</v>
      </c>
      <c r="F6184" s="1" t="s">
        <v>27</v>
      </c>
      <c r="H6184" s="1" t="s">
        <v>22100</v>
      </c>
      <c r="I6184" s="1" t="s">
        <v>5</v>
      </c>
      <c r="J6184" s="1" t="s">
        <v>6</v>
      </c>
      <c r="K6184" s="1" t="s">
        <v>24</v>
      </c>
      <c r="M6184" s="2">
        <v>42632</v>
      </c>
      <c r="N6184" s="1" t="s">
        <v>8</v>
      </c>
      <c r="O6184" s="2">
        <v>43727</v>
      </c>
    </row>
    <row r="6185" spans="1:15" ht="43.2" x14ac:dyDescent="0.3">
      <c r="A6185" s="1" t="s">
        <v>22101</v>
      </c>
      <c r="B6185" s="1" t="str">
        <f>"Nigel Bowen Nigel Bowen Painting and Decorating"</f>
        <v>Nigel Bowen Nigel Bowen Painting and Decorating</v>
      </c>
      <c r="C6185" s="1" t="s">
        <v>22102</v>
      </c>
      <c r="F6185" s="1" t="s">
        <v>5640</v>
      </c>
      <c r="H6185" s="1" t="s">
        <v>22103</v>
      </c>
      <c r="I6185" s="1" t="s">
        <v>5</v>
      </c>
      <c r="J6185" s="1" t="s">
        <v>6</v>
      </c>
      <c r="K6185" s="1" t="s">
        <v>24</v>
      </c>
      <c r="M6185" s="2">
        <v>42632</v>
      </c>
      <c r="N6185" s="1" t="s">
        <v>8</v>
      </c>
      <c r="O6185" s="2">
        <v>43727</v>
      </c>
    </row>
    <row r="6186" spans="1:15" ht="43.2" x14ac:dyDescent="0.3">
      <c r="A6186" s="1" t="s">
        <v>22104</v>
      </c>
      <c r="B6186" s="1" t="str">
        <f>"Jayne James "</f>
        <v xml:space="preserve">Jayne James </v>
      </c>
      <c r="C6186" s="1" t="s">
        <v>22105</v>
      </c>
      <c r="F6186" s="1" t="s">
        <v>1175</v>
      </c>
      <c r="H6186" s="1" t="s">
        <v>22106</v>
      </c>
      <c r="I6186" s="1" t="s">
        <v>5</v>
      </c>
      <c r="J6186" s="1" t="s">
        <v>67</v>
      </c>
      <c r="K6186" s="1" t="s">
        <v>14</v>
      </c>
      <c r="M6186" s="2">
        <v>42632</v>
      </c>
      <c r="N6186" s="1" t="s">
        <v>8</v>
      </c>
      <c r="O6186" s="1" t="s">
        <v>68</v>
      </c>
    </row>
    <row r="6187" spans="1:15" ht="43.2" x14ac:dyDescent="0.3">
      <c r="A6187" s="1" t="s">
        <v>22864</v>
      </c>
      <c r="B6187" s="1" t="str">
        <f>"Megan Renshaw"</f>
        <v>Megan Renshaw</v>
      </c>
      <c r="C6187" s="1" t="s">
        <v>22865</v>
      </c>
      <c r="F6187" s="1" t="s">
        <v>83</v>
      </c>
      <c r="H6187" s="1" t="s">
        <v>22866</v>
      </c>
      <c r="I6187" s="1" t="s">
        <v>5</v>
      </c>
      <c r="J6187" s="1" t="s">
        <v>67</v>
      </c>
      <c r="K6187" s="1" t="s">
        <v>14</v>
      </c>
      <c r="M6187" s="2">
        <v>42632</v>
      </c>
      <c r="N6187" s="1" t="s">
        <v>8</v>
      </c>
      <c r="O6187" s="1" t="s">
        <v>68</v>
      </c>
    </row>
    <row r="6188" spans="1:15" ht="43.2" x14ac:dyDescent="0.3">
      <c r="A6188" s="1" t="s">
        <v>7094</v>
      </c>
      <c r="B6188" s="1" t="str">
        <f>"Jenleigh Foods Ltd"</f>
        <v>Jenleigh Foods Ltd</v>
      </c>
      <c r="C6188" s="1" t="s">
        <v>7095</v>
      </c>
      <c r="F6188" s="1" t="s">
        <v>865</v>
      </c>
      <c r="H6188" s="1" t="s">
        <v>7096</v>
      </c>
      <c r="I6188" s="1" t="s">
        <v>19</v>
      </c>
      <c r="J6188" s="1" t="s">
        <v>67</v>
      </c>
      <c r="K6188" s="1" t="s">
        <v>14</v>
      </c>
      <c r="M6188" s="2">
        <v>42631</v>
      </c>
      <c r="N6188" s="1" t="s">
        <v>8</v>
      </c>
      <c r="O6188" s="1" t="s">
        <v>68</v>
      </c>
    </row>
    <row r="6189" spans="1:15" ht="43.2" x14ac:dyDescent="0.3">
      <c r="A6189" s="1" t="s">
        <v>7097</v>
      </c>
      <c r="B6189" s="1" t="str">
        <f>"Park Cafe"</f>
        <v>Park Cafe</v>
      </c>
      <c r="C6189" s="1" t="s">
        <v>7098</v>
      </c>
      <c r="F6189" s="1" t="s">
        <v>12</v>
      </c>
      <c r="H6189" s="1" t="s">
        <v>7099</v>
      </c>
      <c r="I6189" s="1" t="s">
        <v>125</v>
      </c>
      <c r="J6189" s="1" t="s">
        <v>67</v>
      </c>
      <c r="K6189" s="1" t="s">
        <v>14</v>
      </c>
      <c r="M6189" s="2">
        <v>42631</v>
      </c>
      <c r="N6189" s="1" t="s">
        <v>8</v>
      </c>
      <c r="O6189" s="1" t="s">
        <v>68</v>
      </c>
    </row>
    <row r="6190" spans="1:15" ht="28.8" x14ac:dyDescent="0.3">
      <c r="A6190" s="1" t="s">
        <v>21297</v>
      </c>
      <c r="B6190" s="1" t="str">
        <f>"Steven McGovern  SMC group "</f>
        <v xml:space="preserve">Steven McGovern  SMC group </v>
      </c>
      <c r="C6190" s="1" t="s">
        <v>21298</v>
      </c>
      <c r="F6190" s="1" t="s">
        <v>7218</v>
      </c>
      <c r="H6190" s="1" t="s">
        <v>21299</v>
      </c>
      <c r="I6190" s="1" t="s">
        <v>5</v>
      </c>
      <c r="J6190" s="1" t="s">
        <v>6</v>
      </c>
      <c r="K6190" s="1" t="s">
        <v>24</v>
      </c>
      <c r="M6190" s="2">
        <v>42631</v>
      </c>
      <c r="N6190" s="1" t="s">
        <v>8</v>
      </c>
      <c r="O6190" s="2">
        <v>43728</v>
      </c>
    </row>
    <row r="6191" spans="1:15" ht="43.2" x14ac:dyDescent="0.3">
      <c r="A6191" s="1" t="s">
        <v>21300</v>
      </c>
      <c r="B6191" s="1" t="str">
        <f>"karen clarke"</f>
        <v>karen clarke</v>
      </c>
      <c r="C6191" s="1" t="s">
        <v>21301</v>
      </c>
      <c r="F6191" s="1" t="s">
        <v>374</v>
      </c>
      <c r="H6191" s="1" t="s">
        <v>4781</v>
      </c>
      <c r="I6191" s="1" t="s">
        <v>5</v>
      </c>
      <c r="J6191" s="1" t="s">
        <v>67</v>
      </c>
      <c r="K6191" s="1" t="s">
        <v>14</v>
      </c>
      <c r="M6191" s="2">
        <v>42631</v>
      </c>
      <c r="N6191" s="1" t="s">
        <v>8</v>
      </c>
      <c r="O6191" s="1" t="s">
        <v>68</v>
      </c>
    </row>
    <row r="6192" spans="1:15" ht="28.8" x14ac:dyDescent="0.3">
      <c r="A6192" s="1" t="s">
        <v>21302</v>
      </c>
      <c r="B6192" s="1" t="str">
        <f>"Ian Roberts KDSM Contractor"</f>
        <v>Ian Roberts KDSM Contractor</v>
      </c>
      <c r="C6192" s="1" t="s">
        <v>21303</v>
      </c>
      <c r="D6192" s="1" t="s">
        <v>1336</v>
      </c>
      <c r="F6192" s="1" t="s">
        <v>1321</v>
      </c>
      <c r="H6192" s="1" t="s">
        <v>21304</v>
      </c>
      <c r="I6192" s="1" t="s">
        <v>5</v>
      </c>
      <c r="J6192" s="1" t="s">
        <v>6</v>
      </c>
      <c r="K6192" s="1" t="s">
        <v>24</v>
      </c>
      <c r="M6192" s="2">
        <v>42631</v>
      </c>
      <c r="N6192" s="1" t="s">
        <v>8</v>
      </c>
      <c r="O6192" s="2">
        <v>43726</v>
      </c>
    </row>
    <row r="6193" spans="1:15" ht="43.2" x14ac:dyDescent="0.3">
      <c r="A6193" s="1" t="s">
        <v>7086</v>
      </c>
      <c r="B6193" s="1" t="str">
        <f>"Medspin Eng co 1955 Ltd TA Corkers"</f>
        <v>Medspin Eng co 1955 Ltd TA Corkers</v>
      </c>
      <c r="C6193" s="1" t="s">
        <v>7087</v>
      </c>
      <c r="F6193" s="1" t="s">
        <v>7088</v>
      </c>
      <c r="H6193" s="1" t="s">
        <v>7089</v>
      </c>
      <c r="I6193" s="1" t="s">
        <v>19</v>
      </c>
      <c r="J6193" s="1" t="s">
        <v>67</v>
      </c>
      <c r="K6193" s="1" t="s">
        <v>14</v>
      </c>
      <c r="M6193" s="2">
        <v>42630</v>
      </c>
      <c r="N6193" s="1" t="s">
        <v>8</v>
      </c>
      <c r="O6193" s="1" t="s">
        <v>68</v>
      </c>
    </row>
    <row r="6194" spans="1:15" ht="28.8" x14ac:dyDescent="0.3">
      <c r="A6194" s="1" t="s">
        <v>7090</v>
      </c>
      <c r="B6194" s="1" t="str">
        <f>"strong plumbing and heating ltd"</f>
        <v>strong plumbing and heating ltd</v>
      </c>
      <c r="C6194" s="1" t="s">
        <v>7091</v>
      </c>
      <c r="F6194" s="1" t="s">
        <v>7092</v>
      </c>
      <c r="H6194" s="1" t="s">
        <v>7093</v>
      </c>
      <c r="I6194" s="1" t="s">
        <v>19</v>
      </c>
      <c r="J6194" s="1" t="s">
        <v>6</v>
      </c>
      <c r="K6194" s="1" t="s">
        <v>24</v>
      </c>
      <c r="L6194" s="1">
        <v>9251389</v>
      </c>
      <c r="M6194" s="2">
        <v>42630</v>
      </c>
      <c r="N6194" s="1" t="s">
        <v>8</v>
      </c>
      <c r="O6194" s="2">
        <v>43725</v>
      </c>
    </row>
    <row r="6195" spans="1:15" ht="28.8" x14ac:dyDescent="0.3">
      <c r="A6195" s="1" t="s">
        <v>21292</v>
      </c>
      <c r="B6195" s="1" t="str">
        <f>"christopher rocca Tatton Garden Services"</f>
        <v>christopher rocca Tatton Garden Services</v>
      </c>
      <c r="C6195" s="1" t="s">
        <v>21293</v>
      </c>
      <c r="D6195" s="1" t="s">
        <v>21294</v>
      </c>
      <c r="F6195" s="1" t="s">
        <v>21295</v>
      </c>
      <c r="H6195" s="1" t="s">
        <v>21296</v>
      </c>
      <c r="I6195" s="1" t="s">
        <v>5</v>
      </c>
      <c r="J6195" s="1" t="s">
        <v>6</v>
      </c>
      <c r="K6195" s="1" t="s">
        <v>24</v>
      </c>
      <c r="M6195" s="2">
        <v>42630</v>
      </c>
      <c r="N6195" s="1" t="s">
        <v>8</v>
      </c>
      <c r="O6195" s="2">
        <v>43725</v>
      </c>
    </row>
    <row r="6196" spans="1:15" ht="43.2" x14ac:dyDescent="0.3">
      <c r="A6196" s="1" t="s">
        <v>4782</v>
      </c>
      <c r="B6196" s="1" t="str">
        <f>"Evergreen T S Ltd"</f>
        <v>Evergreen T S Ltd</v>
      </c>
      <c r="C6196" s="1" t="s">
        <v>4783</v>
      </c>
      <c r="F6196" s="1" t="s">
        <v>4784</v>
      </c>
      <c r="H6196" s="1" t="s">
        <v>4785</v>
      </c>
      <c r="I6196" s="1" t="s">
        <v>19</v>
      </c>
      <c r="J6196" s="1" t="s">
        <v>67</v>
      </c>
      <c r="K6196" s="1" t="s">
        <v>14</v>
      </c>
      <c r="M6196" s="2">
        <v>42629</v>
      </c>
      <c r="N6196" s="1" t="s">
        <v>8</v>
      </c>
      <c r="O6196" s="1" t="s">
        <v>68</v>
      </c>
    </row>
    <row r="6197" spans="1:15" ht="43.2" x14ac:dyDescent="0.3">
      <c r="A6197" s="1" t="s">
        <v>5912</v>
      </c>
      <c r="B6197" s="1" t="str">
        <f>"jays news &amp; off licence"</f>
        <v>jays news &amp; off licence</v>
      </c>
      <c r="C6197" s="1" t="s">
        <v>5913</v>
      </c>
      <c r="F6197" s="1" t="s">
        <v>5914</v>
      </c>
      <c r="H6197" s="1" t="s">
        <v>5915</v>
      </c>
      <c r="I6197" s="1" t="s">
        <v>19</v>
      </c>
      <c r="J6197" s="1" t="s">
        <v>67</v>
      </c>
      <c r="K6197" s="1" t="s">
        <v>14</v>
      </c>
      <c r="M6197" s="2">
        <v>42629</v>
      </c>
      <c r="N6197" s="1" t="s">
        <v>8</v>
      </c>
      <c r="O6197" s="1" t="s">
        <v>68</v>
      </c>
    </row>
    <row r="6198" spans="1:15" ht="43.2" x14ac:dyDescent="0.3">
      <c r="A6198" s="1" t="s">
        <v>5916</v>
      </c>
      <c r="B6198" s="1" t="str">
        <f>"padda store "</f>
        <v xml:space="preserve">padda store </v>
      </c>
      <c r="C6198" s="1" t="s">
        <v>5917</v>
      </c>
      <c r="F6198" s="1" t="s">
        <v>42</v>
      </c>
      <c r="H6198" s="1" t="s">
        <v>5918</v>
      </c>
      <c r="I6198" s="1" t="s">
        <v>19</v>
      </c>
      <c r="J6198" s="1" t="s">
        <v>67</v>
      </c>
      <c r="K6198" s="1" t="s">
        <v>14</v>
      </c>
      <c r="M6198" s="2">
        <v>42629</v>
      </c>
      <c r="N6198" s="1" t="s">
        <v>8</v>
      </c>
      <c r="O6198" s="1" t="s">
        <v>68</v>
      </c>
    </row>
    <row r="6199" spans="1:15" ht="43.2" x14ac:dyDescent="0.3">
      <c r="A6199" s="1" t="s">
        <v>5919</v>
      </c>
      <c r="B6199" s="1" t="str">
        <f>"crofty post office"</f>
        <v>crofty post office</v>
      </c>
      <c r="C6199" s="1" t="s">
        <v>5920</v>
      </c>
      <c r="F6199" s="1" t="s">
        <v>65</v>
      </c>
      <c r="H6199" s="1" t="s">
        <v>2984</v>
      </c>
      <c r="I6199" s="1" t="s">
        <v>125</v>
      </c>
      <c r="J6199" s="1" t="s">
        <v>67</v>
      </c>
      <c r="K6199" s="1" t="s">
        <v>14</v>
      </c>
      <c r="M6199" s="2">
        <v>42629</v>
      </c>
      <c r="N6199" s="1" t="s">
        <v>8</v>
      </c>
      <c r="O6199" s="1" t="s">
        <v>68</v>
      </c>
    </row>
    <row r="6200" spans="1:15" ht="43.2" x14ac:dyDescent="0.3">
      <c r="A6200" s="1" t="s">
        <v>5921</v>
      </c>
      <c r="B6200" s="1" t="str">
        <f>"wilmaggs ltd"</f>
        <v>wilmaggs ltd</v>
      </c>
      <c r="C6200" s="1" t="s">
        <v>5922</v>
      </c>
      <c r="F6200" s="1" t="s">
        <v>174</v>
      </c>
      <c r="H6200" s="1" t="s">
        <v>5923</v>
      </c>
      <c r="I6200" s="1" t="s">
        <v>19</v>
      </c>
      <c r="J6200" s="1" t="s">
        <v>67</v>
      </c>
      <c r="K6200" s="1" t="s">
        <v>14</v>
      </c>
      <c r="M6200" s="2">
        <v>42629</v>
      </c>
      <c r="N6200" s="1" t="s">
        <v>8</v>
      </c>
      <c r="O6200" s="1" t="s">
        <v>68</v>
      </c>
    </row>
    <row r="6201" spans="1:15" ht="28.8" x14ac:dyDescent="0.3">
      <c r="A6201" s="1" t="s">
        <v>5924</v>
      </c>
      <c r="B6201" s="1" t="str">
        <f>"Gwendraeth Valley Tarmacadam"</f>
        <v>Gwendraeth Valley Tarmacadam</v>
      </c>
      <c r="C6201" s="1" t="s">
        <v>5925</v>
      </c>
      <c r="D6201" s="1" t="s">
        <v>42</v>
      </c>
      <c r="F6201" s="1" t="s">
        <v>4912</v>
      </c>
      <c r="H6201" s="1" t="s">
        <v>5926</v>
      </c>
      <c r="I6201" s="1" t="s">
        <v>125</v>
      </c>
      <c r="J6201" s="1" t="s">
        <v>6</v>
      </c>
      <c r="K6201" s="1" t="s">
        <v>34</v>
      </c>
      <c r="M6201" s="2">
        <v>42629</v>
      </c>
      <c r="N6201" s="1" t="s">
        <v>8</v>
      </c>
      <c r="O6201" s="2">
        <v>43724</v>
      </c>
    </row>
    <row r="6202" spans="1:15" ht="28.8" x14ac:dyDescent="0.3">
      <c r="A6202" s="1" t="s">
        <v>5927</v>
      </c>
      <c r="B6202" s="1" t="str">
        <f>"Paul Wallis building and joinery lt"</f>
        <v>Paul Wallis building and joinery lt</v>
      </c>
      <c r="C6202" s="1" t="s">
        <v>5928</v>
      </c>
      <c r="F6202" s="1" t="s">
        <v>5929</v>
      </c>
      <c r="H6202" s="1" t="s">
        <v>5930</v>
      </c>
      <c r="I6202" s="1" t="s">
        <v>19</v>
      </c>
      <c r="J6202" s="1" t="s">
        <v>6</v>
      </c>
      <c r="K6202" s="1" t="s">
        <v>34</v>
      </c>
      <c r="L6202" s="1">
        <v>6837693</v>
      </c>
      <c r="M6202" s="2">
        <v>42629</v>
      </c>
      <c r="N6202" s="1" t="s">
        <v>8</v>
      </c>
      <c r="O6202" s="2">
        <v>43724</v>
      </c>
    </row>
    <row r="6203" spans="1:15" ht="43.2" x14ac:dyDescent="0.3">
      <c r="A6203" s="1" t="s">
        <v>5931</v>
      </c>
      <c r="B6203" s="1" t="str">
        <f>"Mamma Lou's Catering"</f>
        <v>Mamma Lou's Catering</v>
      </c>
      <c r="C6203" s="1" t="s">
        <v>5932</v>
      </c>
      <c r="F6203" s="1" t="s">
        <v>5933</v>
      </c>
      <c r="H6203" s="1" t="s">
        <v>5934</v>
      </c>
      <c r="I6203" s="1" t="s">
        <v>125</v>
      </c>
      <c r="J6203" s="1" t="s">
        <v>67</v>
      </c>
      <c r="K6203" s="1" t="s">
        <v>14</v>
      </c>
      <c r="M6203" s="2">
        <v>42629</v>
      </c>
      <c r="N6203" s="1" t="s">
        <v>8</v>
      </c>
      <c r="O6203" s="1" t="s">
        <v>68</v>
      </c>
    </row>
    <row r="6204" spans="1:15" ht="28.8" x14ac:dyDescent="0.3">
      <c r="A6204" s="1" t="s">
        <v>19722</v>
      </c>
      <c r="B6204" s="1" t="str">
        <f>"Robert Richmond-Russell Robert R Russell "</f>
        <v xml:space="preserve">Robert Richmond-Russell Robert R Russell </v>
      </c>
      <c r="C6204" s="1" t="s">
        <v>19723</v>
      </c>
      <c r="F6204" s="1" t="s">
        <v>401</v>
      </c>
      <c r="H6204" s="1" t="s">
        <v>19724</v>
      </c>
      <c r="I6204" s="1" t="s">
        <v>5</v>
      </c>
      <c r="J6204" s="1" t="s">
        <v>6</v>
      </c>
      <c r="K6204" s="1" t="s">
        <v>34</v>
      </c>
      <c r="M6204" s="2">
        <v>42629</v>
      </c>
      <c r="N6204" s="1" t="s">
        <v>8</v>
      </c>
      <c r="O6204" s="2">
        <v>43724</v>
      </c>
    </row>
    <row r="6205" spans="1:15" ht="43.2" x14ac:dyDescent="0.3">
      <c r="A6205" s="1" t="s">
        <v>19725</v>
      </c>
      <c r="B6205" s="1" t="str">
        <f>"Philip Barlow"</f>
        <v>Philip Barlow</v>
      </c>
      <c r="C6205" s="1" t="s">
        <v>19726</v>
      </c>
      <c r="F6205" s="1" t="s">
        <v>65</v>
      </c>
      <c r="H6205" s="1" t="s">
        <v>19727</v>
      </c>
      <c r="I6205" s="1" t="s">
        <v>5</v>
      </c>
      <c r="J6205" s="1" t="s">
        <v>67</v>
      </c>
      <c r="K6205" s="1" t="s">
        <v>14</v>
      </c>
      <c r="M6205" s="2">
        <v>42629</v>
      </c>
      <c r="N6205" s="1" t="s">
        <v>8</v>
      </c>
      <c r="O6205" s="1" t="s">
        <v>68</v>
      </c>
    </row>
    <row r="6206" spans="1:15" ht="43.2" x14ac:dyDescent="0.3">
      <c r="A6206" s="1" t="s">
        <v>20496</v>
      </c>
      <c r="B6206" s="1" t="str">
        <f>"elizabeth sutcliffe"</f>
        <v>elizabeth sutcliffe</v>
      </c>
      <c r="C6206" s="1" t="s">
        <v>3468</v>
      </c>
      <c r="F6206" s="1" t="s">
        <v>9722</v>
      </c>
      <c r="H6206" s="1" t="s">
        <v>20497</v>
      </c>
      <c r="I6206" s="1" t="s">
        <v>5</v>
      </c>
      <c r="J6206" s="1" t="s">
        <v>67</v>
      </c>
      <c r="K6206" s="1" t="s">
        <v>14</v>
      </c>
      <c r="M6206" s="2">
        <v>42629</v>
      </c>
      <c r="N6206" s="1" t="s">
        <v>8</v>
      </c>
      <c r="O6206" s="1" t="s">
        <v>68</v>
      </c>
    </row>
    <row r="6207" spans="1:15" ht="43.2" x14ac:dyDescent="0.3">
      <c r="A6207" s="1" t="s">
        <v>20498</v>
      </c>
      <c r="B6207" s="1" t="str">
        <f>"CARA BRADFORD"</f>
        <v>CARA BRADFORD</v>
      </c>
      <c r="C6207" s="1" t="s">
        <v>20499</v>
      </c>
      <c r="F6207" s="1" t="s">
        <v>103</v>
      </c>
      <c r="H6207" s="1" t="s">
        <v>20500</v>
      </c>
      <c r="I6207" s="1" t="s">
        <v>5</v>
      </c>
      <c r="J6207" s="1" t="s">
        <v>67</v>
      </c>
      <c r="K6207" s="1" t="s">
        <v>14</v>
      </c>
      <c r="M6207" s="2">
        <v>42629</v>
      </c>
      <c r="N6207" s="1" t="s">
        <v>8</v>
      </c>
      <c r="O6207" s="1" t="s">
        <v>68</v>
      </c>
    </row>
    <row r="6208" spans="1:15" ht="43.2" x14ac:dyDescent="0.3">
      <c r="A6208" s="1" t="s">
        <v>20501</v>
      </c>
      <c r="B6208" s="1" t="str">
        <f>"Ian Poulson"</f>
        <v>Ian Poulson</v>
      </c>
      <c r="C6208" s="1" t="s">
        <v>20502</v>
      </c>
      <c r="F6208" s="1" t="s">
        <v>4536</v>
      </c>
      <c r="H6208" s="1" t="s">
        <v>20503</v>
      </c>
      <c r="I6208" s="1" t="s">
        <v>5</v>
      </c>
      <c r="J6208" s="1" t="s">
        <v>67</v>
      </c>
      <c r="K6208" s="1" t="s">
        <v>14</v>
      </c>
      <c r="M6208" s="2">
        <v>42629</v>
      </c>
      <c r="N6208" s="1" t="s">
        <v>8</v>
      </c>
      <c r="O6208" s="1" t="s">
        <v>68</v>
      </c>
    </row>
    <row r="6209" spans="1:15" ht="43.2" x14ac:dyDescent="0.3">
      <c r="A6209" s="1" t="s">
        <v>20504</v>
      </c>
      <c r="B6209" s="1" t="str">
        <f>"lee griffiths"</f>
        <v>lee griffiths</v>
      </c>
      <c r="C6209" s="1" t="s">
        <v>20505</v>
      </c>
      <c r="F6209" s="1" t="s">
        <v>174</v>
      </c>
      <c r="H6209" s="1" t="s">
        <v>20506</v>
      </c>
      <c r="I6209" s="1" t="s">
        <v>5</v>
      </c>
      <c r="J6209" s="1" t="s">
        <v>67</v>
      </c>
      <c r="K6209" s="1" t="s">
        <v>14</v>
      </c>
      <c r="M6209" s="2">
        <v>42629</v>
      </c>
      <c r="N6209" s="1" t="s">
        <v>8</v>
      </c>
      <c r="O6209" s="1" t="s">
        <v>68</v>
      </c>
    </row>
    <row r="6210" spans="1:15" ht="43.2" x14ac:dyDescent="0.3">
      <c r="A6210" s="1" t="s">
        <v>20507</v>
      </c>
      <c r="B6210" s="1" t="str">
        <f>"Gareth Edwards"</f>
        <v>Gareth Edwards</v>
      </c>
      <c r="C6210" s="1" t="s">
        <v>20508</v>
      </c>
      <c r="F6210" s="1" t="s">
        <v>710</v>
      </c>
      <c r="H6210" s="1" t="s">
        <v>20509</v>
      </c>
      <c r="I6210" s="1" t="s">
        <v>5</v>
      </c>
      <c r="J6210" s="1" t="s">
        <v>67</v>
      </c>
      <c r="K6210" s="1" t="s">
        <v>24</v>
      </c>
      <c r="M6210" s="2">
        <v>42629</v>
      </c>
      <c r="N6210" s="1" t="s">
        <v>8</v>
      </c>
      <c r="O6210" s="1" t="s">
        <v>68</v>
      </c>
    </row>
    <row r="6211" spans="1:15" ht="43.2" x14ac:dyDescent="0.3">
      <c r="A6211" s="1" t="s">
        <v>20510</v>
      </c>
      <c r="B6211" s="1" t="str">
        <f>"Harsharan  Chadha "</f>
        <v xml:space="preserve">Harsharan  Chadha </v>
      </c>
      <c r="C6211" s="1" t="s">
        <v>20511</v>
      </c>
      <c r="F6211" s="1" t="s">
        <v>18975</v>
      </c>
      <c r="H6211" s="1" t="s">
        <v>20512</v>
      </c>
      <c r="I6211" s="1" t="s">
        <v>5</v>
      </c>
      <c r="J6211" s="1" t="s">
        <v>67</v>
      </c>
      <c r="K6211" s="1" t="s">
        <v>14</v>
      </c>
      <c r="M6211" s="2">
        <v>42629</v>
      </c>
      <c r="N6211" s="1" t="s">
        <v>8</v>
      </c>
      <c r="O6211" s="1" t="s">
        <v>68</v>
      </c>
    </row>
    <row r="6212" spans="1:15" ht="43.2" x14ac:dyDescent="0.3">
      <c r="A6212" s="1" t="s">
        <v>20513</v>
      </c>
      <c r="B6212" s="1" t="str">
        <f>"malcolm brown"</f>
        <v>malcolm brown</v>
      </c>
      <c r="C6212" s="1" t="s">
        <v>20514</v>
      </c>
      <c r="F6212" s="1" t="s">
        <v>739</v>
      </c>
      <c r="H6212" s="1" t="s">
        <v>20515</v>
      </c>
      <c r="I6212" s="1" t="s">
        <v>5</v>
      </c>
      <c r="J6212" s="1" t="s">
        <v>67</v>
      </c>
      <c r="K6212" s="1" t="s">
        <v>14</v>
      </c>
      <c r="M6212" s="2">
        <v>42629</v>
      </c>
      <c r="N6212" s="1" t="s">
        <v>8</v>
      </c>
      <c r="O6212" s="1" t="s">
        <v>68</v>
      </c>
    </row>
    <row r="6213" spans="1:15" ht="43.2" x14ac:dyDescent="0.3">
      <c r="A6213" s="1" t="s">
        <v>21289</v>
      </c>
      <c r="B6213" s="1" t="str">
        <f>"Keith Parry"</f>
        <v>Keith Parry</v>
      </c>
      <c r="C6213" s="1" t="s">
        <v>21290</v>
      </c>
      <c r="F6213" s="1" t="s">
        <v>4507</v>
      </c>
      <c r="H6213" s="1" t="s">
        <v>21291</v>
      </c>
      <c r="I6213" s="1" t="s">
        <v>5</v>
      </c>
      <c r="J6213" s="1" t="s">
        <v>67</v>
      </c>
      <c r="K6213" s="1" t="s">
        <v>14</v>
      </c>
      <c r="M6213" s="2">
        <v>42629</v>
      </c>
      <c r="N6213" s="1" t="s">
        <v>8</v>
      </c>
      <c r="O6213" s="1" t="s">
        <v>68</v>
      </c>
    </row>
    <row r="6214" spans="1:15" ht="43.2" x14ac:dyDescent="0.3">
      <c r="A6214" s="1" t="s">
        <v>4753</v>
      </c>
      <c r="B6214" s="1" t="str">
        <f>"TURNER DAVIES ELECTRICAL &amp; PROPERTY"</f>
        <v>TURNER DAVIES ELECTRICAL &amp; PROPERTY</v>
      </c>
      <c r="C6214" s="1" t="s">
        <v>4754</v>
      </c>
      <c r="F6214" s="1" t="s">
        <v>996</v>
      </c>
      <c r="H6214" s="1" t="s">
        <v>4755</v>
      </c>
      <c r="I6214" s="1" t="s">
        <v>19</v>
      </c>
      <c r="J6214" s="1" t="s">
        <v>6</v>
      </c>
      <c r="K6214" s="1" t="s">
        <v>24</v>
      </c>
      <c r="L6214" s="1">
        <v>7451671</v>
      </c>
      <c r="M6214" s="2">
        <v>42628</v>
      </c>
      <c r="N6214" s="1" t="s">
        <v>8</v>
      </c>
      <c r="O6214" s="2">
        <v>43723</v>
      </c>
    </row>
    <row r="6215" spans="1:15" ht="28.8" x14ac:dyDescent="0.3">
      <c r="A6215" s="1" t="s">
        <v>4756</v>
      </c>
      <c r="B6215" s="1" t="str">
        <f>"LOGIC FREIGHT LTD"</f>
        <v>LOGIC FREIGHT LTD</v>
      </c>
      <c r="C6215" s="1" t="s">
        <v>4757</v>
      </c>
      <c r="D6215" s="1" t="s">
        <v>4758</v>
      </c>
      <c r="F6215" s="1" t="s">
        <v>103</v>
      </c>
      <c r="H6215" s="1" t="s">
        <v>4759</v>
      </c>
      <c r="I6215" s="1" t="s">
        <v>19</v>
      </c>
      <c r="J6215" s="1" t="s">
        <v>6</v>
      </c>
      <c r="K6215" s="1" t="s">
        <v>1859</v>
      </c>
      <c r="L6215" s="1">
        <v>5725139</v>
      </c>
      <c r="M6215" s="2">
        <v>42628</v>
      </c>
      <c r="N6215" s="1" t="s">
        <v>8</v>
      </c>
      <c r="O6215" s="2">
        <v>43723</v>
      </c>
    </row>
    <row r="6216" spans="1:15" ht="28.8" x14ac:dyDescent="0.3">
      <c r="A6216" s="1" t="s">
        <v>4760</v>
      </c>
      <c r="B6216" s="1" t="str">
        <f>"GERAINT WILLIAMS LTD"</f>
        <v>GERAINT WILLIAMS LTD</v>
      </c>
      <c r="C6216" s="1" t="s">
        <v>4761</v>
      </c>
      <c r="F6216" s="1" t="s">
        <v>65</v>
      </c>
      <c r="H6216" s="1" t="s">
        <v>4762</v>
      </c>
      <c r="I6216" s="1" t="s">
        <v>19</v>
      </c>
      <c r="J6216" s="1" t="s">
        <v>6</v>
      </c>
      <c r="K6216" s="1" t="s">
        <v>34</v>
      </c>
      <c r="L6216" s="1">
        <v>4471842</v>
      </c>
      <c r="M6216" s="2">
        <v>42628</v>
      </c>
      <c r="N6216" s="1" t="s">
        <v>8</v>
      </c>
      <c r="O6216" s="2">
        <v>43742</v>
      </c>
    </row>
    <row r="6217" spans="1:15" ht="43.2" x14ac:dyDescent="0.3">
      <c r="A6217" s="1" t="s">
        <v>4763</v>
      </c>
      <c r="B6217" s="1" t="str">
        <f>"Conti's Newsagents"</f>
        <v>Conti's Newsagents</v>
      </c>
      <c r="C6217" s="1" t="s">
        <v>4764</v>
      </c>
      <c r="F6217" s="1" t="s">
        <v>4536</v>
      </c>
      <c r="H6217" s="1" t="s">
        <v>4765</v>
      </c>
      <c r="I6217" s="1" t="s">
        <v>125</v>
      </c>
      <c r="J6217" s="1" t="s">
        <v>67</v>
      </c>
      <c r="K6217" s="1" t="s">
        <v>14</v>
      </c>
      <c r="M6217" s="2">
        <v>42628</v>
      </c>
      <c r="N6217" s="1" t="s">
        <v>8</v>
      </c>
      <c r="O6217" s="1" t="s">
        <v>68</v>
      </c>
    </row>
    <row r="6218" spans="1:15" x14ac:dyDescent="0.3">
      <c r="A6218" s="1" t="s">
        <v>4766</v>
      </c>
      <c r="B6218" s="1" t="str">
        <f>"KLH Haulage Ltd"</f>
        <v>KLH Haulage Ltd</v>
      </c>
      <c r="C6218" s="1" t="s">
        <v>4767</v>
      </c>
      <c r="F6218" s="1" t="s">
        <v>4768</v>
      </c>
      <c r="H6218" s="1" t="s">
        <v>4769</v>
      </c>
      <c r="I6218" s="1" t="s">
        <v>19</v>
      </c>
      <c r="J6218" s="1" t="s">
        <v>6</v>
      </c>
      <c r="K6218" s="1" t="s">
        <v>24</v>
      </c>
      <c r="L6218" s="1">
        <v>8719218</v>
      </c>
      <c r="M6218" s="2">
        <v>42628</v>
      </c>
      <c r="N6218" s="1" t="s">
        <v>8</v>
      </c>
      <c r="O6218" s="2">
        <v>43723</v>
      </c>
    </row>
    <row r="6219" spans="1:15" ht="43.2" x14ac:dyDescent="0.3">
      <c r="A6219" s="1" t="s">
        <v>4770</v>
      </c>
      <c r="B6219" s="1" t="str">
        <f>"Lawson Civil Engineering and Utilities Ltd."</f>
        <v>Lawson Civil Engineering and Utilities Ltd.</v>
      </c>
      <c r="C6219" s="1" t="s">
        <v>4771</v>
      </c>
      <c r="F6219" s="1" t="s">
        <v>922</v>
      </c>
      <c r="H6219" s="1" t="s">
        <v>4772</v>
      </c>
      <c r="I6219" s="1" t="s">
        <v>19</v>
      </c>
      <c r="J6219" s="1" t="s">
        <v>6</v>
      </c>
      <c r="K6219" s="1" t="s">
        <v>34</v>
      </c>
      <c r="L6219" s="1">
        <v>8599054</v>
      </c>
      <c r="M6219" s="2">
        <v>42628</v>
      </c>
      <c r="N6219" s="1" t="s">
        <v>8</v>
      </c>
      <c r="O6219" s="2">
        <v>43723</v>
      </c>
    </row>
    <row r="6220" spans="1:15" ht="43.2" x14ac:dyDescent="0.3">
      <c r="A6220" s="1" t="s">
        <v>4773</v>
      </c>
      <c r="B6220" s="1" t="str">
        <f>"rob's news food &amp; wine"</f>
        <v>rob's news food &amp; wine</v>
      </c>
      <c r="C6220" s="1" t="s">
        <v>4774</v>
      </c>
      <c r="F6220" s="1" t="s">
        <v>340</v>
      </c>
      <c r="H6220" s="1" t="s">
        <v>4775</v>
      </c>
      <c r="I6220" s="1" t="s">
        <v>125</v>
      </c>
      <c r="J6220" s="1" t="s">
        <v>67</v>
      </c>
      <c r="K6220" s="1" t="s">
        <v>14</v>
      </c>
      <c r="M6220" s="2">
        <v>42628</v>
      </c>
      <c r="N6220" s="1" t="s">
        <v>8</v>
      </c>
      <c r="O6220" s="1" t="s">
        <v>68</v>
      </c>
    </row>
    <row r="6221" spans="1:15" ht="28.8" x14ac:dyDescent="0.3">
      <c r="A6221" s="1" t="s">
        <v>4776</v>
      </c>
      <c r="B6221" s="1" t="str">
        <f>"Morganstone Ltd."</f>
        <v>Morganstone Ltd.</v>
      </c>
      <c r="C6221" s="1" t="s">
        <v>4777</v>
      </c>
      <c r="D6221" s="1" t="s">
        <v>2130</v>
      </c>
      <c r="F6221" s="1" t="s">
        <v>42</v>
      </c>
      <c r="H6221" s="1" t="s">
        <v>2131</v>
      </c>
      <c r="I6221" s="1" t="s">
        <v>19</v>
      </c>
      <c r="J6221" s="1" t="s">
        <v>6</v>
      </c>
      <c r="K6221" s="1" t="s">
        <v>24</v>
      </c>
      <c r="L6221" s="1">
        <v>6705551</v>
      </c>
      <c r="M6221" s="2">
        <v>42628</v>
      </c>
      <c r="N6221" s="1" t="s">
        <v>8</v>
      </c>
      <c r="O6221" s="2">
        <v>43723</v>
      </c>
    </row>
    <row r="6222" spans="1:15" ht="43.2" x14ac:dyDescent="0.3">
      <c r="A6222" s="1" t="s">
        <v>4778</v>
      </c>
      <c r="B6222" s="1" t="str">
        <f>"Siop Ganol"</f>
        <v>Siop Ganol</v>
      </c>
      <c r="C6222" s="1" t="s">
        <v>4779</v>
      </c>
      <c r="D6222" s="1" t="s">
        <v>4780</v>
      </c>
      <c r="F6222" s="1" t="s">
        <v>374</v>
      </c>
      <c r="H6222" s="1" t="s">
        <v>4781</v>
      </c>
      <c r="I6222" s="1" t="s">
        <v>125</v>
      </c>
      <c r="J6222" s="1" t="s">
        <v>67</v>
      </c>
      <c r="K6222" s="1" t="s">
        <v>14</v>
      </c>
      <c r="M6222" s="2">
        <v>42628</v>
      </c>
      <c r="N6222" s="1" t="s">
        <v>8</v>
      </c>
      <c r="O6222" s="1" t="s">
        <v>68</v>
      </c>
    </row>
    <row r="6223" spans="1:15" ht="28.8" x14ac:dyDescent="0.3">
      <c r="A6223" s="1" t="s">
        <v>19716</v>
      </c>
      <c r="B6223" s="1" t="str">
        <f>"Gregory Edwards G E Services"</f>
        <v>Gregory Edwards G E Services</v>
      </c>
      <c r="C6223" s="1" t="s">
        <v>19717</v>
      </c>
      <c r="F6223" s="1" t="s">
        <v>865</v>
      </c>
      <c r="H6223" s="1" t="s">
        <v>19718</v>
      </c>
      <c r="I6223" s="1" t="s">
        <v>5</v>
      </c>
      <c r="J6223" s="1" t="s">
        <v>6</v>
      </c>
      <c r="K6223" s="1" t="s">
        <v>24</v>
      </c>
      <c r="M6223" s="2">
        <v>42628</v>
      </c>
      <c r="N6223" s="1" t="s">
        <v>8</v>
      </c>
      <c r="O6223" s="2">
        <v>43723</v>
      </c>
    </row>
    <row r="6224" spans="1:15" ht="43.2" x14ac:dyDescent="0.3">
      <c r="A6224" s="1" t="s">
        <v>19719</v>
      </c>
      <c r="B6224" s="1" t="str">
        <f>"Ffestin Edwards"</f>
        <v>Ffestin Edwards</v>
      </c>
      <c r="C6224" s="1" t="s">
        <v>19720</v>
      </c>
      <c r="F6224" s="1" t="s">
        <v>328</v>
      </c>
      <c r="H6224" s="1" t="s">
        <v>19721</v>
      </c>
      <c r="I6224" s="1" t="s">
        <v>5</v>
      </c>
      <c r="J6224" s="1" t="s">
        <v>67</v>
      </c>
      <c r="K6224" s="1" t="s">
        <v>14</v>
      </c>
      <c r="M6224" s="2">
        <v>42628</v>
      </c>
      <c r="N6224" s="1" t="s">
        <v>8</v>
      </c>
      <c r="O6224" s="1" t="s">
        <v>68</v>
      </c>
    </row>
    <row r="6225" spans="1:15" ht="28.8" x14ac:dyDescent="0.3">
      <c r="A6225" s="1" t="s">
        <v>3632</v>
      </c>
      <c r="B6225" s="1" t="str">
        <f>"Dunraven Manufacturing Ltd."</f>
        <v>Dunraven Manufacturing Ltd.</v>
      </c>
      <c r="C6225" s="1" t="s">
        <v>672</v>
      </c>
      <c r="F6225" s="1" t="s">
        <v>564</v>
      </c>
      <c r="H6225" s="1" t="s">
        <v>3633</v>
      </c>
      <c r="I6225" s="1" t="s">
        <v>19</v>
      </c>
      <c r="J6225" s="1" t="s">
        <v>6</v>
      </c>
      <c r="K6225" s="1" t="s">
        <v>24</v>
      </c>
      <c r="L6225" s="1">
        <v>2543224</v>
      </c>
      <c r="M6225" s="2">
        <v>42627</v>
      </c>
      <c r="N6225" s="1" t="s">
        <v>8</v>
      </c>
      <c r="O6225" s="2">
        <v>43722</v>
      </c>
    </row>
    <row r="6226" spans="1:15" ht="43.2" x14ac:dyDescent="0.3">
      <c r="A6226" s="1" t="s">
        <v>3634</v>
      </c>
      <c r="B6226" s="1" t="str">
        <f>"BEACONS CONSTRUCTION &amp; MAINTENANCE LTD"</f>
        <v>BEACONS CONSTRUCTION &amp; MAINTENANCE LTD</v>
      </c>
      <c r="C6226" s="1" t="s">
        <v>3635</v>
      </c>
      <c r="F6226" s="1" t="s">
        <v>162</v>
      </c>
      <c r="H6226" s="1" t="s">
        <v>3199</v>
      </c>
      <c r="I6226" s="1" t="s">
        <v>19</v>
      </c>
      <c r="J6226" s="1" t="s">
        <v>6</v>
      </c>
      <c r="K6226" s="1" t="s">
        <v>24</v>
      </c>
      <c r="L6226" s="1">
        <v>5467325</v>
      </c>
      <c r="M6226" s="2">
        <v>42627</v>
      </c>
      <c r="N6226" s="1" t="s">
        <v>8</v>
      </c>
      <c r="O6226" s="2">
        <v>43722</v>
      </c>
    </row>
    <row r="6227" spans="1:15" ht="28.8" x14ac:dyDescent="0.3">
      <c r="A6227" s="1" t="s">
        <v>3636</v>
      </c>
      <c r="B6227" s="1" t="str">
        <f>"RABART DECORATORS MERCHANTS LTD"</f>
        <v>RABART DECORATORS MERCHANTS LTD</v>
      </c>
      <c r="C6227" s="1" t="s">
        <v>3637</v>
      </c>
      <c r="F6227" s="1" t="s">
        <v>739</v>
      </c>
      <c r="H6227" s="1" t="s">
        <v>220</v>
      </c>
      <c r="I6227" s="1" t="s">
        <v>19</v>
      </c>
      <c r="J6227" s="1" t="s">
        <v>6</v>
      </c>
      <c r="K6227" s="1" t="s">
        <v>24</v>
      </c>
      <c r="L6227" s="1">
        <v>1744021</v>
      </c>
      <c r="M6227" s="2">
        <v>42627</v>
      </c>
      <c r="N6227" s="1" t="s">
        <v>8</v>
      </c>
      <c r="O6227" s="2">
        <v>43722</v>
      </c>
    </row>
    <row r="6228" spans="1:15" ht="28.8" x14ac:dyDescent="0.3">
      <c r="A6228" s="1" t="s">
        <v>3638</v>
      </c>
      <c r="B6228" s="1" t="str">
        <f>"GROUNDRICH LTD"</f>
        <v>GROUNDRICH LTD</v>
      </c>
      <c r="C6228" s="1" t="s">
        <v>3627</v>
      </c>
      <c r="F6228" s="1" t="s">
        <v>2906</v>
      </c>
      <c r="H6228" s="1" t="s">
        <v>3628</v>
      </c>
      <c r="I6228" s="1" t="s">
        <v>19</v>
      </c>
      <c r="J6228" s="1" t="s">
        <v>6</v>
      </c>
      <c r="K6228" s="1" t="s">
        <v>34</v>
      </c>
      <c r="L6228" s="1">
        <v>9923733</v>
      </c>
      <c r="M6228" s="2">
        <v>42627</v>
      </c>
      <c r="N6228" s="1" t="s">
        <v>8</v>
      </c>
      <c r="O6228" s="2">
        <v>43722</v>
      </c>
    </row>
    <row r="6229" spans="1:15" ht="43.2" x14ac:dyDescent="0.3">
      <c r="A6229" s="1" t="s">
        <v>3639</v>
      </c>
      <c r="B6229" s="1" t="str">
        <f>"TJ &amp; EJ Hughes &amp; Sons"</f>
        <v>TJ &amp; EJ Hughes &amp; Sons</v>
      </c>
      <c r="C6229" s="1" t="s">
        <v>3640</v>
      </c>
      <c r="F6229" s="1" t="s">
        <v>328</v>
      </c>
      <c r="H6229" s="1" t="s">
        <v>3641</v>
      </c>
      <c r="I6229" s="1" t="s">
        <v>125</v>
      </c>
      <c r="J6229" s="1" t="s">
        <v>67</v>
      </c>
      <c r="K6229" s="1" t="s">
        <v>34</v>
      </c>
      <c r="M6229" s="2">
        <v>42627</v>
      </c>
      <c r="N6229" s="1" t="s">
        <v>8</v>
      </c>
      <c r="O6229" s="1" t="s">
        <v>68</v>
      </c>
    </row>
    <row r="6230" spans="1:15" ht="43.2" x14ac:dyDescent="0.3">
      <c r="A6230" s="1" t="s">
        <v>3642</v>
      </c>
      <c r="B6230" s="1" t="str">
        <f>"vision"</f>
        <v>vision</v>
      </c>
      <c r="C6230" s="1" t="s">
        <v>3643</v>
      </c>
      <c r="F6230" s="1" t="s">
        <v>3337</v>
      </c>
      <c r="H6230" s="1" t="s">
        <v>3644</v>
      </c>
      <c r="I6230" s="1" t="s">
        <v>19</v>
      </c>
      <c r="J6230" s="1" t="s">
        <v>67</v>
      </c>
      <c r="K6230" s="1" t="s">
        <v>14</v>
      </c>
      <c r="M6230" s="2">
        <v>42627</v>
      </c>
      <c r="N6230" s="1" t="s">
        <v>8</v>
      </c>
      <c r="O6230" s="1" t="s">
        <v>68</v>
      </c>
    </row>
    <row r="6231" spans="1:15" ht="43.2" x14ac:dyDescent="0.3">
      <c r="A6231" s="1" t="s">
        <v>3645</v>
      </c>
      <c r="B6231" s="1" t="str">
        <f>"ESSEX COMMERCIAL LIMITED"</f>
        <v>ESSEX COMMERCIAL LIMITED</v>
      </c>
      <c r="C6231" s="1" t="s">
        <v>3646</v>
      </c>
      <c r="D6231" s="1" t="s">
        <v>3647</v>
      </c>
      <c r="F6231" s="1" t="s">
        <v>3648</v>
      </c>
      <c r="H6231" s="1" t="s">
        <v>3649</v>
      </c>
      <c r="I6231" s="1" t="s">
        <v>19</v>
      </c>
      <c r="J6231" s="1" t="s">
        <v>67</v>
      </c>
      <c r="K6231" s="1" t="s">
        <v>14</v>
      </c>
      <c r="M6231" s="2">
        <v>42627</v>
      </c>
      <c r="N6231" s="1" t="s">
        <v>8</v>
      </c>
      <c r="O6231" s="1" t="s">
        <v>68</v>
      </c>
    </row>
    <row r="6232" spans="1:15" ht="43.2" x14ac:dyDescent="0.3">
      <c r="A6232" s="1" t="s">
        <v>3650</v>
      </c>
      <c r="B6232" s="1" t="str">
        <f>"Elements Thai Massage"</f>
        <v>Elements Thai Massage</v>
      </c>
      <c r="C6232" s="1" t="s">
        <v>3651</v>
      </c>
      <c r="F6232" s="1" t="s">
        <v>532</v>
      </c>
      <c r="H6232" s="1" t="s">
        <v>3652</v>
      </c>
      <c r="I6232" s="1" t="s">
        <v>19</v>
      </c>
      <c r="J6232" s="1" t="s">
        <v>67</v>
      </c>
      <c r="K6232" s="1" t="s">
        <v>14</v>
      </c>
      <c r="M6232" s="2">
        <v>42627</v>
      </c>
      <c r="N6232" s="1" t="s">
        <v>8</v>
      </c>
      <c r="O6232" s="1" t="s">
        <v>68</v>
      </c>
    </row>
    <row r="6233" spans="1:15" ht="43.2" x14ac:dyDescent="0.3">
      <c r="A6233" s="1" t="s">
        <v>4742</v>
      </c>
      <c r="B6233" s="1" t="str">
        <f>"dunraven finance Ltd"</f>
        <v>dunraven finance Ltd</v>
      </c>
      <c r="C6233" s="1" t="s">
        <v>4743</v>
      </c>
      <c r="F6233" s="1" t="s">
        <v>865</v>
      </c>
      <c r="H6233" s="1" t="s">
        <v>4744</v>
      </c>
      <c r="I6233" s="1" t="s">
        <v>19</v>
      </c>
      <c r="J6233" s="1" t="s">
        <v>67</v>
      </c>
      <c r="K6233" s="1" t="s">
        <v>14</v>
      </c>
      <c r="M6233" s="2">
        <v>42627</v>
      </c>
      <c r="N6233" s="1" t="s">
        <v>8</v>
      </c>
      <c r="O6233" s="1" t="s">
        <v>68</v>
      </c>
    </row>
    <row r="6234" spans="1:15" ht="28.8" x14ac:dyDescent="0.3">
      <c r="A6234" s="1" t="s">
        <v>4745</v>
      </c>
      <c r="B6234" s="1" t="str">
        <f>"DRAGON ROOFING CONTRACTORS LTD"</f>
        <v>DRAGON ROOFING CONTRACTORS LTD</v>
      </c>
      <c r="C6234" s="1" t="s">
        <v>4746</v>
      </c>
      <c r="D6234" s="1" t="s">
        <v>4747</v>
      </c>
      <c r="F6234" s="1" t="s">
        <v>65</v>
      </c>
      <c r="H6234" s="1" t="s">
        <v>4748</v>
      </c>
      <c r="I6234" s="1" t="s">
        <v>19</v>
      </c>
      <c r="J6234" s="1" t="s">
        <v>6</v>
      </c>
      <c r="K6234" s="1" t="s">
        <v>24</v>
      </c>
      <c r="L6234" s="1">
        <v>4835044</v>
      </c>
      <c r="M6234" s="2">
        <v>42627</v>
      </c>
      <c r="N6234" s="1" t="s">
        <v>8</v>
      </c>
      <c r="O6234" s="2">
        <v>43722</v>
      </c>
    </row>
    <row r="6235" spans="1:15" ht="28.8" x14ac:dyDescent="0.3">
      <c r="A6235" s="1" t="s">
        <v>4749</v>
      </c>
      <c r="B6235" s="1" t="str">
        <f>"MK Engineering Services Limited"</f>
        <v>MK Engineering Services Limited</v>
      </c>
      <c r="C6235" s="1" t="s">
        <v>4750</v>
      </c>
      <c r="D6235" s="1" t="s">
        <v>4751</v>
      </c>
      <c r="E6235" s="1" t="s">
        <v>2041</v>
      </c>
      <c r="F6235" s="1" t="s">
        <v>65</v>
      </c>
      <c r="H6235" s="1" t="s">
        <v>4752</v>
      </c>
      <c r="I6235" s="1" t="s">
        <v>19</v>
      </c>
      <c r="J6235" s="1" t="s">
        <v>6</v>
      </c>
      <c r="K6235" s="1" t="s">
        <v>24</v>
      </c>
      <c r="L6235" s="1">
        <v>5844468</v>
      </c>
      <c r="M6235" s="2">
        <v>42627</v>
      </c>
      <c r="N6235" s="1" t="s">
        <v>8</v>
      </c>
      <c r="O6235" s="2">
        <v>43722</v>
      </c>
    </row>
    <row r="6236" spans="1:15" ht="43.2" x14ac:dyDescent="0.3">
      <c r="A6236" s="1" t="s">
        <v>18912</v>
      </c>
      <c r="B6236" s="1" t="str">
        <f>"karl phillips"</f>
        <v>karl phillips</v>
      </c>
      <c r="C6236" s="1" t="s">
        <v>18913</v>
      </c>
      <c r="F6236" s="1" t="s">
        <v>65</v>
      </c>
      <c r="H6236" s="1" t="s">
        <v>18914</v>
      </c>
      <c r="I6236" s="1" t="s">
        <v>5</v>
      </c>
      <c r="J6236" s="1" t="s">
        <v>67</v>
      </c>
      <c r="K6236" s="1" t="s">
        <v>14</v>
      </c>
      <c r="M6236" s="2">
        <v>42627</v>
      </c>
      <c r="N6236" s="1" t="s">
        <v>8</v>
      </c>
      <c r="O6236" s="1" t="s">
        <v>68</v>
      </c>
    </row>
    <row r="6237" spans="1:15" ht="28.8" x14ac:dyDescent="0.3">
      <c r="A6237" s="1" t="s">
        <v>18915</v>
      </c>
      <c r="B6237" s="1" t="str">
        <f>"Sacha Hook Sacha Hook"</f>
        <v>Sacha Hook Sacha Hook</v>
      </c>
      <c r="C6237" s="1" t="s">
        <v>18916</v>
      </c>
      <c r="F6237" s="1" t="s">
        <v>174</v>
      </c>
      <c r="H6237" s="1" t="s">
        <v>18917</v>
      </c>
      <c r="I6237" s="1" t="s">
        <v>5</v>
      </c>
      <c r="J6237" s="1" t="s">
        <v>6</v>
      </c>
      <c r="K6237" s="1" t="s">
        <v>34</v>
      </c>
      <c r="M6237" s="2">
        <v>42627</v>
      </c>
      <c r="N6237" s="1" t="s">
        <v>8</v>
      </c>
      <c r="O6237" s="2">
        <v>43722</v>
      </c>
    </row>
    <row r="6238" spans="1:15" ht="43.2" x14ac:dyDescent="0.3">
      <c r="A6238" s="1" t="s">
        <v>18918</v>
      </c>
      <c r="B6238" s="1" t="str">
        <f>"Barrie Regan"</f>
        <v>Barrie Regan</v>
      </c>
      <c r="C6238" s="1" t="s">
        <v>18919</v>
      </c>
      <c r="F6238" s="1" t="s">
        <v>4656</v>
      </c>
      <c r="H6238" s="1" t="s">
        <v>18920</v>
      </c>
      <c r="I6238" s="1" t="s">
        <v>5</v>
      </c>
      <c r="J6238" s="1" t="s">
        <v>67</v>
      </c>
      <c r="K6238" s="1" t="s">
        <v>14</v>
      </c>
      <c r="M6238" s="2">
        <v>42627</v>
      </c>
      <c r="N6238" s="1" t="s">
        <v>8</v>
      </c>
      <c r="O6238" s="1" t="s">
        <v>68</v>
      </c>
    </row>
    <row r="6239" spans="1:15" ht="43.2" x14ac:dyDescent="0.3">
      <c r="A6239" s="1" t="s">
        <v>19713</v>
      </c>
      <c r="B6239" s="1" t="str">
        <f>"Debbie Richardson"</f>
        <v>Debbie Richardson</v>
      </c>
      <c r="C6239" s="1" t="s">
        <v>19714</v>
      </c>
      <c r="F6239" s="1" t="s">
        <v>3242</v>
      </c>
      <c r="H6239" s="1" t="s">
        <v>19715</v>
      </c>
      <c r="I6239" s="1" t="s">
        <v>5</v>
      </c>
      <c r="J6239" s="1" t="s">
        <v>67</v>
      </c>
      <c r="K6239" s="1" t="s">
        <v>14</v>
      </c>
      <c r="M6239" s="2">
        <v>42627</v>
      </c>
      <c r="N6239" s="1" t="s">
        <v>8</v>
      </c>
      <c r="O6239" s="1" t="s">
        <v>68</v>
      </c>
    </row>
    <row r="6240" spans="1:15" ht="28.8" x14ac:dyDescent="0.3">
      <c r="A6240" s="1" t="s">
        <v>3626</v>
      </c>
      <c r="B6240" s="1" t="str">
        <f>"D &amp; M Landscaping Ltd"</f>
        <v>D &amp; M Landscaping Ltd</v>
      </c>
      <c r="C6240" s="1" t="s">
        <v>3627</v>
      </c>
      <c r="F6240" s="1" t="s">
        <v>2906</v>
      </c>
      <c r="H6240" s="1" t="s">
        <v>3628</v>
      </c>
      <c r="I6240" s="1" t="s">
        <v>19</v>
      </c>
      <c r="J6240" s="1" t="s">
        <v>6</v>
      </c>
      <c r="K6240" s="1" t="s">
        <v>34</v>
      </c>
      <c r="L6240" s="1">
        <v>5393753</v>
      </c>
      <c r="M6240" s="2">
        <v>42626</v>
      </c>
      <c r="N6240" s="1" t="s">
        <v>8</v>
      </c>
      <c r="O6240" s="2">
        <v>43721</v>
      </c>
    </row>
    <row r="6241" spans="1:15" ht="28.8" x14ac:dyDescent="0.3">
      <c r="A6241" s="1" t="s">
        <v>3629</v>
      </c>
      <c r="B6241" s="1" t="str">
        <f>"Broadstone Construction (Swansea) "</f>
        <v xml:space="preserve">Broadstone Construction (Swansea) </v>
      </c>
      <c r="C6241" s="1" t="s">
        <v>3630</v>
      </c>
      <c r="F6241" s="1" t="s">
        <v>65</v>
      </c>
      <c r="H6241" s="1" t="s">
        <v>3631</v>
      </c>
      <c r="I6241" s="1" t="s">
        <v>19</v>
      </c>
      <c r="J6241" s="1" t="s">
        <v>6</v>
      </c>
      <c r="K6241" s="1" t="s">
        <v>24</v>
      </c>
      <c r="L6241" s="1">
        <v>8184038</v>
      </c>
      <c r="M6241" s="2">
        <v>42626</v>
      </c>
      <c r="N6241" s="1" t="s">
        <v>8</v>
      </c>
      <c r="O6241" s="2">
        <v>43721</v>
      </c>
    </row>
    <row r="6242" spans="1:15" ht="43.2" x14ac:dyDescent="0.3">
      <c r="A6242" s="1" t="s">
        <v>17374</v>
      </c>
      <c r="B6242" s="1" t="str">
        <f>"Tanat Valley Coaches &amp; Motors"</f>
        <v>Tanat Valley Coaches &amp; Motors</v>
      </c>
      <c r="C6242" s="1" t="s">
        <v>17375</v>
      </c>
      <c r="F6242" s="1" t="s">
        <v>1180</v>
      </c>
      <c r="H6242" s="1" t="s">
        <v>17376</v>
      </c>
      <c r="I6242" s="1" t="s">
        <v>19</v>
      </c>
      <c r="J6242" s="1" t="s">
        <v>67</v>
      </c>
      <c r="K6242" s="1" t="s">
        <v>14</v>
      </c>
      <c r="M6242" s="2">
        <v>42626</v>
      </c>
      <c r="N6242" s="1" t="s">
        <v>8</v>
      </c>
      <c r="O6242" s="1" t="s">
        <v>68</v>
      </c>
    </row>
    <row r="6243" spans="1:15" ht="43.2" x14ac:dyDescent="0.3">
      <c r="A6243" s="1" t="s">
        <v>17377</v>
      </c>
      <c r="B6243" s="1" t="str">
        <f>"NATIONAL WINDSCREENS"</f>
        <v>NATIONAL WINDSCREENS</v>
      </c>
      <c r="C6243" s="1" t="s">
        <v>17378</v>
      </c>
      <c r="F6243" s="1" t="s">
        <v>27</v>
      </c>
      <c r="H6243" s="1" t="s">
        <v>17379</v>
      </c>
      <c r="I6243" s="1" t="s">
        <v>19</v>
      </c>
      <c r="J6243" s="1" t="s">
        <v>67</v>
      </c>
      <c r="K6243" s="1" t="s">
        <v>14</v>
      </c>
      <c r="M6243" s="2">
        <v>42626</v>
      </c>
      <c r="N6243" s="1" t="s">
        <v>8</v>
      </c>
      <c r="O6243" s="1" t="s">
        <v>68</v>
      </c>
    </row>
    <row r="6244" spans="1:15" ht="43.2" x14ac:dyDescent="0.3">
      <c r="A6244" s="1" t="s">
        <v>17380</v>
      </c>
      <c r="B6244" s="1" t="str">
        <f>"NATIONAL WINDSCREENS"</f>
        <v>NATIONAL WINDSCREENS</v>
      </c>
      <c r="C6244" s="1" t="s">
        <v>17381</v>
      </c>
      <c r="F6244" s="1" t="s">
        <v>91</v>
      </c>
      <c r="H6244" s="1" t="s">
        <v>17382</v>
      </c>
      <c r="I6244" s="1" t="s">
        <v>19</v>
      </c>
      <c r="J6244" s="1" t="s">
        <v>67</v>
      </c>
      <c r="K6244" s="1" t="s">
        <v>14</v>
      </c>
      <c r="M6244" s="2">
        <v>42626</v>
      </c>
      <c r="N6244" s="1" t="s">
        <v>8</v>
      </c>
      <c r="O6244" s="1" t="s">
        <v>68</v>
      </c>
    </row>
    <row r="6245" spans="1:15" ht="43.2" x14ac:dyDescent="0.3">
      <c r="A6245" s="1" t="s">
        <v>17383</v>
      </c>
      <c r="B6245" s="1" t="str">
        <f>"NATIONAL WINDSCREENS"</f>
        <v>NATIONAL WINDSCREENS</v>
      </c>
      <c r="C6245" s="1" t="s">
        <v>17384</v>
      </c>
      <c r="D6245" s="1" t="s">
        <v>17385</v>
      </c>
      <c r="E6245" s="1" t="s">
        <v>4511</v>
      </c>
      <c r="F6245" s="1" t="s">
        <v>865</v>
      </c>
      <c r="H6245" s="1" t="s">
        <v>5744</v>
      </c>
      <c r="I6245" s="1" t="s">
        <v>19</v>
      </c>
      <c r="J6245" s="1" t="s">
        <v>67</v>
      </c>
      <c r="K6245" s="1" t="s">
        <v>14</v>
      </c>
      <c r="M6245" s="2">
        <v>42626</v>
      </c>
      <c r="N6245" s="1" t="s">
        <v>8</v>
      </c>
      <c r="O6245" s="1" t="s">
        <v>68</v>
      </c>
    </row>
    <row r="6246" spans="1:15" ht="28.8" x14ac:dyDescent="0.3">
      <c r="A6246" s="1" t="s">
        <v>18342</v>
      </c>
      <c r="B6246" s="1" t="str">
        <f>"CLIFFORD JONES TIMBER LIMITED"</f>
        <v>CLIFFORD JONES TIMBER LIMITED</v>
      </c>
      <c r="C6246" s="1" t="s">
        <v>9439</v>
      </c>
      <c r="F6246" s="1" t="s">
        <v>1700</v>
      </c>
      <c r="H6246" s="1" t="s">
        <v>9440</v>
      </c>
      <c r="I6246" s="1" t="s">
        <v>19</v>
      </c>
      <c r="J6246" s="1" t="s">
        <v>6</v>
      </c>
      <c r="K6246" s="1" t="s">
        <v>34</v>
      </c>
      <c r="L6246" s="1">
        <v>859710</v>
      </c>
      <c r="M6246" s="2">
        <v>42626</v>
      </c>
      <c r="N6246" s="1" t="s">
        <v>8</v>
      </c>
      <c r="O6246" s="2">
        <v>43721</v>
      </c>
    </row>
    <row r="6247" spans="1:15" x14ac:dyDescent="0.3">
      <c r="A6247" s="1" t="s">
        <v>18343</v>
      </c>
      <c r="B6247" s="1" t="str">
        <f>"christopher evans"</f>
        <v>christopher evans</v>
      </c>
      <c r="C6247" s="1" t="s">
        <v>18344</v>
      </c>
      <c r="F6247" s="1" t="s">
        <v>1351</v>
      </c>
      <c r="H6247" s="1" t="s">
        <v>18345</v>
      </c>
      <c r="I6247" s="1" t="s">
        <v>5</v>
      </c>
      <c r="J6247" s="1" t="s">
        <v>6</v>
      </c>
      <c r="K6247" s="1" t="s">
        <v>24</v>
      </c>
      <c r="M6247" s="2">
        <v>42626</v>
      </c>
      <c r="N6247" s="1" t="s">
        <v>8</v>
      </c>
      <c r="O6247" s="2">
        <v>43721</v>
      </c>
    </row>
    <row r="6248" spans="1:15" x14ac:dyDescent="0.3">
      <c r="A6248" s="1" t="s">
        <v>18346</v>
      </c>
      <c r="B6248" s="1" t="str">
        <f>"Cleverly associates ltd "</f>
        <v xml:space="preserve">Cleverly associates ltd </v>
      </c>
      <c r="C6248" s="1" t="s">
        <v>18347</v>
      </c>
      <c r="F6248" s="1" t="s">
        <v>27</v>
      </c>
      <c r="H6248" s="1" t="s">
        <v>18348</v>
      </c>
      <c r="I6248" s="1" t="s">
        <v>19</v>
      </c>
      <c r="J6248" s="1" t="s">
        <v>6</v>
      </c>
      <c r="K6248" s="1" t="s">
        <v>24</v>
      </c>
      <c r="L6248" s="1">
        <v>4151841</v>
      </c>
      <c r="M6248" s="2">
        <v>42626</v>
      </c>
      <c r="N6248" s="1" t="s">
        <v>8</v>
      </c>
      <c r="O6248" s="2">
        <v>43721</v>
      </c>
    </row>
    <row r="6249" spans="1:15" ht="43.2" x14ac:dyDescent="0.3">
      <c r="A6249" s="1" t="s">
        <v>18349</v>
      </c>
      <c r="B6249" s="1" t="str">
        <f>"Ocean Breeze Linen Ltd"</f>
        <v>Ocean Breeze Linen Ltd</v>
      </c>
      <c r="C6249" s="1" t="s">
        <v>18350</v>
      </c>
      <c r="D6249" s="1" t="s">
        <v>18351</v>
      </c>
      <c r="F6249" s="1" t="s">
        <v>18352</v>
      </c>
      <c r="H6249" s="1" t="s">
        <v>18353</v>
      </c>
      <c r="I6249" s="1" t="s">
        <v>19</v>
      </c>
      <c r="J6249" s="1" t="s">
        <v>67</v>
      </c>
      <c r="K6249" s="1" t="s">
        <v>14</v>
      </c>
      <c r="M6249" s="2">
        <v>42626</v>
      </c>
      <c r="N6249" s="1" t="s">
        <v>8</v>
      </c>
      <c r="O6249" s="1" t="s">
        <v>68</v>
      </c>
    </row>
    <row r="6250" spans="1:15" ht="43.2" x14ac:dyDescent="0.3">
      <c r="A6250" s="1" t="s">
        <v>18906</v>
      </c>
      <c r="B6250" s="1" t="str">
        <f>"Ioan Williams Ioan Williams Ground Maintenance"</f>
        <v>Ioan Williams Ioan Williams Ground Maintenance</v>
      </c>
      <c r="C6250" s="1" t="s">
        <v>18907</v>
      </c>
      <c r="F6250" s="1" t="s">
        <v>710</v>
      </c>
      <c r="H6250" s="1" t="s">
        <v>18908</v>
      </c>
      <c r="I6250" s="1" t="s">
        <v>5</v>
      </c>
      <c r="J6250" s="1" t="s">
        <v>6</v>
      </c>
      <c r="K6250" s="1" t="s">
        <v>24</v>
      </c>
      <c r="M6250" s="2">
        <v>42626</v>
      </c>
      <c r="N6250" s="1" t="s">
        <v>8</v>
      </c>
      <c r="O6250" s="2">
        <v>43721</v>
      </c>
    </row>
    <row r="6251" spans="1:15" x14ac:dyDescent="0.3">
      <c r="A6251" s="1" t="s">
        <v>18909</v>
      </c>
      <c r="B6251" s="1" t="str">
        <f>"Thomas Mark Toft"</f>
        <v>Thomas Mark Toft</v>
      </c>
      <c r="C6251" s="1" t="s">
        <v>18910</v>
      </c>
      <c r="F6251" s="1" t="s">
        <v>1511</v>
      </c>
      <c r="H6251" s="1" t="s">
        <v>18911</v>
      </c>
      <c r="I6251" s="1" t="s">
        <v>5</v>
      </c>
      <c r="J6251" s="1" t="s">
        <v>6</v>
      </c>
      <c r="K6251" s="1" t="s">
        <v>24</v>
      </c>
      <c r="M6251" s="2">
        <v>42626</v>
      </c>
      <c r="N6251" s="1" t="s">
        <v>8</v>
      </c>
      <c r="O6251" s="2">
        <v>43721</v>
      </c>
    </row>
    <row r="6252" spans="1:15" ht="43.2" x14ac:dyDescent="0.3">
      <c r="A6252" s="1" t="s">
        <v>29192</v>
      </c>
      <c r="B6252" s="1" t="str">
        <f>"ROBERT WALTERS ROBERT WALTERS BUILDING"</f>
        <v>ROBERT WALTERS ROBERT WALTERS BUILDING</v>
      </c>
      <c r="C6252" s="1" t="s">
        <v>29193</v>
      </c>
      <c r="F6252" s="1" t="s">
        <v>42</v>
      </c>
      <c r="H6252" s="1" t="s">
        <v>29194</v>
      </c>
      <c r="I6252" s="1" t="s">
        <v>5</v>
      </c>
      <c r="J6252" s="1" t="s">
        <v>6</v>
      </c>
      <c r="K6252" s="1" t="s">
        <v>24</v>
      </c>
      <c r="M6252" s="2">
        <v>42626</v>
      </c>
      <c r="N6252" s="1" t="s">
        <v>8</v>
      </c>
      <c r="O6252" s="2">
        <v>43721</v>
      </c>
    </row>
    <row r="6253" spans="1:15" ht="28.8" x14ac:dyDescent="0.3">
      <c r="A6253" s="1" t="s">
        <v>29937</v>
      </c>
      <c r="B6253" s="1" t="str">
        <f>"Terrance  Perdue  Perdue Recycling "</f>
        <v xml:space="preserve">Terrance  Perdue  Perdue Recycling </v>
      </c>
      <c r="C6253" s="1" t="s">
        <v>29938</v>
      </c>
      <c r="F6253" s="1" t="s">
        <v>65</v>
      </c>
      <c r="H6253" s="1" t="s">
        <v>29939</v>
      </c>
      <c r="I6253" s="1" t="s">
        <v>5</v>
      </c>
      <c r="J6253" s="1" t="s">
        <v>6</v>
      </c>
      <c r="K6253" s="1" t="s">
        <v>24</v>
      </c>
      <c r="M6253" s="2">
        <v>42626</v>
      </c>
      <c r="N6253" s="1" t="s">
        <v>8</v>
      </c>
      <c r="O6253" s="2">
        <v>43721</v>
      </c>
    </row>
    <row r="6254" spans="1:15" ht="28.8" x14ac:dyDescent="0.3">
      <c r="A6254" s="1" t="s">
        <v>29940</v>
      </c>
      <c r="B6254" s="1" t="str">
        <f>"JACKIE HUDD"</f>
        <v>JACKIE HUDD</v>
      </c>
      <c r="C6254" s="1" t="s">
        <v>29941</v>
      </c>
      <c r="D6254" s="1" t="s">
        <v>29942</v>
      </c>
      <c r="F6254" s="1" t="s">
        <v>23149</v>
      </c>
      <c r="H6254" s="1" t="s">
        <v>2607</v>
      </c>
      <c r="I6254" s="1" t="s">
        <v>5</v>
      </c>
      <c r="J6254" s="1" t="s">
        <v>6</v>
      </c>
      <c r="K6254" s="1" t="s">
        <v>24</v>
      </c>
      <c r="M6254" s="2">
        <v>42626</v>
      </c>
      <c r="N6254" s="1" t="s">
        <v>8</v>
      </c>
      <c r="O6254" s="2">
        <v>43721</v>
      </c>
    </row>
    <row r="6255" spans="1:15" ht="28.8" x14ac:dyDescent="0.3">
      <c r="A6255" s="1" t="s">
        <v>29943</v>
      </c>
      <c r="B6255" s="1" t="str">
        <f>"Gethin Jones G W Jones"</f>
        <v>Gethin Jones G W Jones</v>
      </c>
      <c r="C6255" s="1" t="s">
        <v>29944</v>
      </c>
      <c r="F6255" s="1" t="s">
        <v>17</v>
      </c>
      <c r="H6255" s="1" t="s">
        <v>29945</v>
      </c>
      <c r="I6255" s="1" t="s">
        <v>5</v>
      </c>
      <c r="J6255" s="1" t="s">
        <v>6</v>
      </c>
      <c r="K6255" s="1" t="s">
        <v>34</v>
      </c>
      <c r="M6255" s="2">
        <v>42626</v>
      </c>
      <c r="N6255" s="1" t="s">
        <v>8</v>
      </c>
      <c r="O6255" s="2">
        <v>43763</v>
      </c>
    </row>
    <row r="6256" spans="1:15" ht="28.8" x14ac:dyDescent="0.3">
      <c r="A6256" s="1" t="s">
        <v>16387</v>
      </c>
      <c r="B6256" s="1" t="str">
        <f>"SKIP HIRE COMPARISON LTD"</f>
        <v>SKIP HIRE COMPARISON LTD</v>
      </c>
      <c r="C6256" s="1" t="s">
        <v>16388</v>
      </c>
      <c r="F6256" s="1" t="s">
        <v>198</v>
      </c>
      <c r="H6256" s="1" t="s">
        <v>16389</v>
      </c>
      <c r="I6256" s="1" t="s">
        <v>19</v>
      </c>
      <c r="J6256" s="1" t="s">
        <v>6</v>
      </c>
      <c r="K6256" s="1" t="s">
        <v>1859</v>
      </c>
      <c r="L6256" s="1">
        <v>10357329</v>
      </c>
      <c r="M6256" s="2">
        <v>42625</v>
      </c>
      <c r="N6256" s="1" t="s">
        <v>8</v>
      </c>
      <c r="O6256" s="2">
        <v>43720</v>
      </c>
    </row>
    <row r="6257" spans="1:15" ht="28.8" x14ac:dyDescent="0.3">
      <c r="A6257" s="1" t="s">
        <v>17361</v>
      </c>
      <c r="B6257" s="1" t="str">
        <f>"GL  SR Williams trading as  Maxim"</f>
        <v>GL  SR Williams trading as  Maxim</v>
      </c>
      <c r="C6257" s="1" t="s">
        <v>17362</v>
      </c>
      <c r="D6257" s="1" t="s">
        <v>7521</v>
      </c>
      <c r="E6257" s="1" t="s">
        <v>1389</v>
      </c>
      <c r="F6257" s="1" t="s">
        <v>865</v>
      </c>
      <c r="H6257" s="1" t="s">
        <v>1390</v>
      </c>
      <c r="I6257" s="1" t="s">
        <v>125</v>
      </c>
      <c r="J6257" s="1" t="s">
        <v>6</v>
      </c>
      <c r="K6257" s="1" t="s">
        <v>24</v>
      </c>
      <c r="M6257" s="2">
        <v>42625</v>
      </c>
      <c r="N6257" s="1" t="s">
        <v>8</v>
      </c>
      <c r="O6257" s="2">
        <v>43720</v>
      </c>
    </row>
    <row r="6258" spans="1:15" ht="28.8" x14ac:dyDescent="0.3">
      <c r="A6258" s="1" t="s">
        <v>17363</v>
      </c>
      <c r="B6258" s="1" t="str">
        <f>"Level Facilities Management Ltd."</f>
        <v>Level Facilities Management Ltd.</v>
      </c>
      <c r="C6258" s="1" t="s">
        <v>17364</v>
      </c>
      <c r="F6258" s="1" t="s">
        <v>2066</v>
      </c>
      <c r="H6258" s="1" t="s">
        <v>17365</v>
      </c>
      <c r="I6258" s="1" t="s">
        <v>19</v>
      </c>
      <c r="J6258" s="1" t="s">
        <v>6</v>
      </c>
      <c r="K6258" s="1" t="s">
        <v>24</v>
      </c>
      <c r="L6258" s="1">
        <v>3748746</v>
      </c>
      <c r="M6258" s="2">
        <v>42625</v>
      </c>
      <c r="N6258" s="1" t="s">
        <v>8</v>
      </c>
      <c r="O6258" s="2">
        <v>43720</v>
      </c>
    </row>
    <row r="6259" spans="1:15" x14ac:dyDescent="0.3">
      <c r="A6259" s="1" t="s">
        <v>17366</v>
      </c>
      <c r="B6259" s="1" t="str">
        <f>"Wastesavers Ltd."</f>
        <v>Wastesavers Ltd.</v>
      </c>
      <c r="C6259" s="1" t="s">
        <v>17367</v>
      </c>
      <c r="F6259" s="1" t="s">
        <v>91</v>
      </c>
      <c r="H6259" s="1" t="s">
        <v>2180</v>
      </c>
      <c r="I6259" s="1" t="s">
        <v>19</v>
      </c>
      <c r="J6259" s="1" t="s">
        <v>6</v>
      </c>
      <c r="K6259" s="1" t="s">
        <v>24</v>
      </c>
      <c r="L6259" s="1">
        <v>3842840</v>
      </c>
      <c r="M6259" s="2">
        <v>42625</v>
      </c>
      <c r="N6259" s="1" t="s">
        <v>8</v>
      </c>
      <c r="O6259" s="2">
        <v>43720</v>
      </c>
    </row>
    <row r="6260" spans="1:15" ht="28.8" x14ac:dyDescent="0.3">
      <c r="A6260" s="1" t="s">
        <v>17368</v>
      </c>
      <c r="B6260" s="1" t="str">
        <f>"Wave Environmental Solutions Ltd"</f>
        <v>Wave Environmental Solutions Ltd</v>
      </c>
      <c r="C6260" s="1" t="s">
        <v>17369</v>
      </c>
      <c r="D6260" s="1" t="s">
        <v>17370</v>
      </c>
      <c r="F6260" s="1" t="s">
        <v>1093</v>
      </c>
      <c r="H6260" s="1" t="s">
        <v>5092</v>
      </c>
      <c r="I6260" s="1" t="s">
        <v>19</v>
      </c>
      <c r="J6260" s="1" t="s">
        <v>6</v>
      </c>
      <c r="K6260" s="1" t="s">
        <v>1859</v>
      </c>
      <c r="L6260" s="1">
        <v>10368138</v>
      </c>
      <c r="M6260" s="2">
        <v>42625</v>
      </c>
      <c r="N6260" s="1" t="s">
        <v>8</v>
      </c>
      <c r="O6260" s="2">
        <v>43720</v>
      </c>
    </row>
    <row r="6261" spans="1:15" x14ac:dyDescent="0.3">
      <c r="A6261" s="1" t="s">
        <v>17371</v>
      </c>
      <c r="B6261" s="1" t="str">
        <f>"Mike Bailey HeatingLtd "</f>
        <v xml:space="preserve">Mike Bailey HeatingLtd </v>
      </c>
      <c r="C6261" s="1" t="s">
        <v>12366</v>
      </c>
      <c r="F6261" s="1" t="s">
        <v>22</v>
      </c>
      <c r="H6261" s="1" t="s">
        <v>12367</v>
      </c>
      <c r="I6261" s="1" t="s">
        <v>19</v>
      </c>
      <c r="J6261" s="1" t="s">
        <v>6</v>
      </c>
      <c r="K6261" s="1" t="s">
        <v>24</v>
      </c>
      <c r="L6261" s="1">
        <v>8855253</v>
      </c>
      <c r="M6261" s="2">
        <v>42625</v>
      </c>
      <c r="N6261" s="1" t="s">
        <v>8</v>
      </c>
      <c r="O6261" s="2">
        <v>43720</v>
      </c>
    </row>
    <row r="6262" spans="1:15" ht="43.2" x14ac:dyDescent="0.3">
      <c r="A6262" s="1" t="s">
        <v>17372</v>
      </c>
      <c r="B6262" s="1" t="str">
        <f>"ELECTRICAL PLUS UK LTD"</f>
        <v>ELECTRICAL PLUS UK LTD</v>
      </c>
      <c r="C6262" s="1" t="s">
        <v>17373</v>
      </c>
      <c r="F6262" s="1" t="s">
        <v>27</v>
      </c>
      <c r="H6262" s="1" t="s">
        <v>2827</v>
      </c>
      <c r="I6262" s="1" t="s">
        <v>19</v>
      </c>
      <c r="J6262" s="1" t="s">
        <v>67</v>
      </c>
      <c r="K6262" s="1" t="s">
        <v>24</v>
      </c>
      <c r="L6262" s="1">
        <v>4361405</v>
      </c>
      <c r="M6262" s="2">
        <v>42625</v>
      </c>
      <c r="N6262" s="1" t="s">
        <v>8</v>
      </c>
      <c r="O6262" s="1" t="s">
        <v>68</v>
      </c>
    </row>
    <row r="6263" spans="1:15" ht="28.8" x14ac:dyDescent="0.3">
      <c r="A6263" s="1" t="s">
        <v>28455</v>
      </c>
      <c r="B6263" s="1" t="str">
        <f>"Barry Evans Barry Evans Metalwork"</f>
        <v>Barry Evans Barry Evans Metalwork</v>
      </c>
      <c r="C6263" s="1" t="s">
        <v>13746</v>
      </c>
      <c r="F6263" s="1" t="s">
        <v>5958</v>
      </c>
      <c r="H6263" s="1" t="s">
        <v>28456</v>
      </c>
      <c r="I6263" s="1" t="s">
        <v>5</v>
      </c>
      <c r="J6263" s="1" t="s">
        <v>6</v>
      </c>
      <c r="K6263" s="1" t="s">
        <v>24</v>
      </c>
      <c r="M6263" s="2">
        <v>42625</v>
      </c>
      <c r="N6263" s="1" t="s">
        <v>8</v>
      </c>
      <c r="O6263" s="2">
        <v>43720</v>
      </c>
    </row>
    <row r="6264" spans="1:15" ht="43.2" x14ac:dyDescent="0.3">
      <c r="A6264" s="1" t="s">
        <v>28457</v>
      </c>
      <c r="B6264" s="1" t="str">
        <f>"Gareth James Nightingales Cleaning Services"</f>
        <v>Gareth James Nightingales Cleaning Services</v>
      </c>
      <c r="C6264" s="1" t="s">
        <v>28458</v>
      </c>
      <c r="D6264" s="1" t="s">
        <v>28459</v>
      </c>
      <c r="F6264" s="1" t="s">
        <v>32</v>
      </c>
      <c r="H6264" s="1" t="s">
        <v>28460</v>
      </c>
      <c r="I6264" s="1" t="s">
        <v>5</v>
      </c>
      <c r="J6264" s="1" t="s">
        <v>6</v>
      </c>
      <c r="K6264" s="1" t="s">
        <v>24</v>
      </c>
      <c r="M6264" s="2">
        <v>42625</v>
      </c>
      <c r="N6264" s="1" t="s">
        <v>8</v>
      </c>
      <c r="O6264" s="2">
        <v>43720</v>
      </c>
    </row>
    <row r="6265" spans="1:15" ht="28.8" x14ac:dyDescent="0.3">
      <c r="A6265" s="1" t="s">
        <v>28449</v>
      </c>
      <c r="B6265" s="1" t="str">
        <f>"Stephen Roberts S.Roberts Electrical"</f>
        <v>Stephen Roberts S.Roberts Electrical</v>
      </c>
      <c r="C6265" s="1" t="s">
        <v>28450</v>
      </c>
      <c r="F6265" s="1" t="s">
        <v>1051</v>
      </c>
      <c r="H6265" s="1" t="s">
        <v>28451</v>
      </c>
      <c r="I6265" s="1" t="s">
        <v>5</v>
      </c>
      <c r="J6265" s="1" t="s">
        <v>6</v>
      </c>
      <c r="K6265" s="1" t="s">
        <v>24</v>
      </c>
      <c r="M6265" s="2">
        <v>42624</v>
      </c>
      <c r="N6265" s="1" t="s">
        <v>8</v>
      </c>
      <c r="O6265" s="2">
        <v>43719</v>
      </c>
    </row>
    <row r="6266" spans="1:15" ht="43.2" x14ac:dyDescent="0.3">
      <c r="A6266" s="1" t="s">
        <v>28452</v>
      </c>
      <c r="B6266" s="1" t="str">
        <f>"Huw Lewis"</f>
        <v>Huw Lewis</v>
      </c>
      <c r="C6266" s="1" t="s">
        <v>28453</v>
      </c>
      <c r="F6266" s="1" t="s">
        <v>9179</v>
      </c>
      <c r="H6266" s="1" t="s">
        <v>28454</v>
      </c>
      <c r="I6266" s="1" t="s">
        <v>5</v>
      </c>
      <c r="J6266" s="1" t="s">
        <v>67</v>
      </c>
      <c r="K6266" s="1" t="s">
        <v>14</v>
      </c>
      <c r="M6266" s="2">
        <v>42624</v>
      </c>
      <c r="N6266" s="1" t="s">
        <v>8</v>
      </c>
      <c r="O6266" s="1" t="s">
        <v>68</v>
      </c>
    </row>
    <row r="6267" spans="1:15" x14ac:dyDescent="0.3">
      <c r="A6267" s="1" t="s">
        <v>16384</v>
      </c>
      <c r="B6267" s="1" t="str">
        <f>"DEPP Maintenance Ltd"</f>
        <v>DEPP Maintenance Ltd</v>
      </c>
      <c r="C6267" s="1" t="s">
        <v>16385</v>
      </c>
      <c r="F6267" s="1" t="s">
        <v>5841</v>
      </c>
      <c r="H6267" s="1" t="s">
        <v>16386</v>
      </c>
      <c r="I6267" s="1" t="s">
        <v>19</v>
      </c>
      <c r="J6267" s="1" t="s">
        <v>6</v>
      </c>
      <c r="K6267" s="1" t="s">
        <v>24</v>
      </c>
      <c r="L6267" s="1">
        <v>7174147</v>
      </c>
      <c r="M6267" s="2">
        <v>42623</v>
      </c>
      <c r="N6267" s="1" t="s">
        <v>8</v>
      </c>
      <c r="O6267" s="2">
        <v>43718</v>
      </c>
    </row>
    <row r="6268" spans="1:15" ht="28.8" x14ac:dyDescent="0.3">
      <c r="A6268" s="1" t="s">
        <v>15333</v>
      </c>
      <c r="B6268" s="1" t="str">
        <f>"SPOTLESS LIVING LIMITED"</f>
        <v>SPOTLESS LIVING LIMITED</v>
      </c>
      <c r="C6268" s="1" t="s">
        <v>15334</v>
      </c>
      <c r="D6268" s="1" t="s">
        <v>15335</v>
      </c>
      <c r="F6268" s="1" t="s">
        <v>1720</v>
      </c>
      <c r="H6268" s="1" t="s">
        <v>4709</v>
      </c>
      <c r="I6268" s="1" t="s">
        <v>19</v>
      </c>
      <c r="J6268" s="1" t="s">
        <v>6</v>
      </c>
      <c r="K6268" s="1" t="s">
        <v>34</v>
      </c>
      <c r="L6268" s="1">
        <v>9783682</v>
      </c>
      <c r="M6268" s="2">
        <v>42622</v>
      </c>
      <c r="N6268" s="1" t="s">
        <v>8</v>
      </c>
      <c r="O6268" s="2">
        <v>43717</v>
      </c>
    </row>
    <row r="6269" spans="1:15" ht="43.2" x14ac:dyDescent="0.3">
      <c r="A6269" s="1" t="s">
        <v>15336</v>
      </c>
      <c r="B6269" s="1" t="str">
        <f>"Dorothy House Hospice Care"</f>
        <v>Dorothy House Hospice Care</v>
      </c>
      <c r="C6269" s="1" t="s">
        <v>15337</v>
      </c>
      <c r="F6269" s="1" t="s">
        <v>15338</v>
      </c>
      <c r="H6269" s="1" t="s">
        <v>15339</v>
      </c>
      <c r="I6269" s="1" t="s">
        <v>1872</v>
      </c>
      <c r="J6269" s="1" t="s">
        <v>67</v>
      </c>
      <c r="K6269" s="1" t="s">
        <v>14</v>
      </c>
      <c r="M6269" s="2">
        <v>42622</v>
      </c>
      <c r="N6269" s="1" t="s">
        <v>8</v>
      </c>
      <c r="O6269" s="1" t="s">
        <v>68</v>
      </c>
    </row>
    <row r="6270" spans="1:15" ht="28.8" x14ac:dyDescent="0.3">
      <c r="A6270" s="1" t="s">
        <v>15340</v>
      </c>
      <c r="B6270" s="1" t="str">
        <f>"BARRY INDUSTRIAL SERVICES LTD."</f>
        <v>BARRY INDUSTRIAL SERVICES LTD.</v>
      </c>
      <c r="C6270" s="1" t="s">
        <v>15341</v>
      </c>
      <c r="F6270" s="1" t="s">
        <v>930</v>
      </c>
      <c r="H6270" s="1" t="s">
        <v>15342</v>
      </c>
      <c r="I6270" s="1" t="s">
        <v>19</v>
      </c>
      <c r="J6270" s="1" t="s">
        <v>6</v>
      </c>
      <c r="K6270" s="1" t="s">
        <v>34</v>
      </c>
      <c r="L6270" s="1">
        <v>3682725</v>
      </c>
      <c r="M6270" s="2">
        <v>42622</v>
      </c>
      <c r="N6270" s="1" t="s">
        <v>8</v>
      </c>
      <c r="O6270" s="2">
        <v>43717</v>
      </c>
    </row>
    <row r="6271" spans="1:15" ht="28.8" x14ac:dyDescent="0.3">
      <c r="A6271" s="1" t="s">
        <v>15343</v>
      </c>
      <c r="B6271" s="1" t="str">
        <f>"ENVIRONMENTAL SITE SERVICES LTD"</f>
        <v>ENVIRONMENTAL SITE SERVICES LTD</v>
      </c>
      <c r="C6271" s="1" t="s">
        <v>15344</v>
      </c>
      <c r="F6271" s="1" t="s">
        <v>91</v>
      </c>
      <c r="H6271" s="1" t="s">
        <v>15345</v>
      </c>
      <c r="I6271" s="1" t="s">
        <v>19</v>
      </c>
      <c r="J6271" s="1" t="s">
        <v>6</v>
      </c>
      <c r="K6271" s="1" t="s">
        <v>34</v>
      </c>
      <c r="L6271" s="1">
        <v>2225918</v>
      </c>
      <c r="M6271" s="2">
        <v>42622</v>
      </c>
      <c r="N6271" s="1" t="s">
        <v>8</v>
      </c>
      <c r="O6271" s="2">
        <v>43717</v>
      </c>
    </row>
    <row r="6272" spans="1:15" ht="43.2" x14ac:dyDescent="0.3">
      <c r="A6272" s="1" t="s">
        <v>15346</v>
      </c>
      <c r="B6272" s="1" t="str">
        <f>"M J CAINE &amp; SONS LTD"</f>
        <v>M J CAINE &amp; SONS LTD</v>
      </c>
      <c r="C6272" s="1" t="s">
        <v>8690</v>
      </c>
      <c r="F6272" s="1" t="s">
        <v>5683</v>
      </c>
      <c r="H6272" s="1" t="s">
        <v>8691</v>
      </c>
      <c r="I6272" s="1" t="s">
        <v>19</v>
      </c>
      <c r="J6272" s="1" t="s">
        <v>67</v>
      </c>
      <c r="K6272" s="1" t="s">
        <v>24</v>
      </c>
      <c r="L6272" s="1">
        <v>6573223</v>
      </c>
      <c r="M6272" s="2">
        <v>42622</v>
      </c>
      <c r="N6272" s="1" t="s">
        <v>8</v>
      </c>
      <c r="O6272" s="1" t="s">
        <v>68</v>
      </c>
    </row>
    <row r="6273" spans="1:15" ht="43.2" x14ac:dyDescent="0.3">
      <c r="A6273" s="1" t="s">
        <v>16366</v>
      </c>
      <c r="B6273" s="1" t="str">
        <f>"C-VIEW PEST CONTROL"</f>
        <v>C-VIEW PEST CONTROL</v>
      </c>
      <c r="C6273" s="1" t="s">
        <v>16367</v>
      </c>
      <c r="F6273" s="1" t="s">
        <v>42</v>
      </c>
      <c r="H6273" s="1" t="s">
        <v>16368</v>
      </c>
      <c r="I6273" s="1" t="s">
        <v>125</v>
      </c>
      <c r="J6273" s="1" t="s">
        <v>67</v>
      </c>
      <c r="K6273" s="1" t="s">
        <v>14</v>
      </c>
      <c r="M6273" s="2">
        <v>42622</v>
      </c>
      <c r="N6273" s="1" t="s">
        <v>8</v>
      </c>
      <c r="O6273" s="1" t="s">
        <v>68</v>
      </c>
    </row>
    <row r="6274" spans="1:15" ht="43.2" x14ac:dyDescent="0.3">
      <c r="A6274" s="1" t="s">
        <v>16369</v>
      </c>
      <c r="B6274" s="1" t="str">
        <f>"High Noon Stores Ltd"</f>
        <v>High Noon Stores Ltd</v>
      </c>
      <c r="C6274" s="1" t="s">
        <v>16370</v>
      </c>
      <c r="F6274" s="1" t="s">
        <v>3726</v>
      </c>
      <c r="H6274" s="1" t="s">
        <v>16371</v>
      </c>
      <c r="I6274" s="1" t="s">
        <v>19</v>
      </c>
      <c r="J6274" s="1" t="s">
        <v>67</v>
      </c>
      <c r="K6274" s="1" t="s">
        <v>14</v>
      </c>
      <c r="M6274" s="2">
        <v>42622</v>
      </c>
      <c r="N6274" s="1" t="s">
        <v>8</v>
      </c>
      <c r="O6274" s="1" t="s">
        <v>68</v>
      </c>
    </row>
    <row r="6275" spans="1:15" ht="28.8" x14ac:dyDescent="0.3">
      <c r="A6275" s="1" t="s">
        <v>16372</v>
      </c>
      <c r="B6275" s="1" t="str">
        <f>"K M Construction (North Wales) Ltd."</f>
        <v>K M Construction (North Wales) Ltd.</v>
      </c>
      <c r="C6275" s="1" t="s">
        <v>16373</v>
      </c>
      <c r="F6275" s="1" t="s">
        <v>4731</v>
      </c>
      <c r="H6275" s="1" t="s">
        <v>16374</v>
      </c>
      <c r="I6275" s="1" t="s">
        <v>19</v>
      </c>
      <c r="J6275" s="1" t="s">
        <v>6</v>
      </c>
      <c r="K6275" s="1" t="s">
        <v>34</v>
      </c>
      <c r="L6275" s="1">
        <v>1616886</v>
      </c>
      <c r="M6275" s="2">
        <v>42622</v>
      </c>
      <c r="N6275" s="1" t="s">
        <v>8</v>
      </c>
      <c r="O6275" s="2">
        <v>43717</v>
      </c>
    </row>
    <row r="6276" spans="1:15" x14ac:dyDescent="0.3">
      <c r="A6276" s="1" t="s">
        <v>16375</v>
      </c>
      <c r="B6276" s="1" t="str">
        <f>"Kitchen Economy LTD"</f>
        <v>Kitchen Economy LTD</v>
      </c>
      <c r="C6276" s="1" t="s">
        <v>16376</v>
      </c>
      <c r="F6276" s="1" t="s">
        <v>27</v>
      </c>
      <c r="H6276" s="1" t="s">
        <v>16377</v>
      </c>
      <c r="I6276" s="1" t="s">
        <v>19</v>
      </c>
      <c r="J6276" s="1" t="s">
        <v>6</v>
      </c>
      <c r="K6276" s="1" t="s">
        <v>24</v>
      </c>
      <c r="L6276" s="1">
        <v>9456537</v>
      </c>
      <c r="M6276" s="2">
        <v>42622</v>
      </c>
      <c r="N6276" s="1" t="s">
        <v>8</v>
      </c>
      <c r="O6276" s="2">
        <v>43717</v>
      </c>
    </row>
    <row r="6277" spans="1:15" ht="28.8" x14ac:dyDescent="0.3">
      <c r="A6277" s="1" t="s">
        <v>16378</v>
      </c>
      <c r="B6277" s="1" t="str">
        <f>"Eco-readymix Limited"</f>
        <v>Eco-readymix Limited</v>
      </c>
      <c r="C6277" s="1" t="s">
        <v>16379</v>
      </c>
      <c r="D6277" s="1" t="s">
        <v>1875</v>
      </c>
      <c r="F6277" s="1" t="s">
        <v>532</v>
      </c>
      <c r="H6277" s="1" t="s">
        <v>16380</v>
      </c>
      <c r="I6277" s="1" t="s">
        <v>19</v>
      </c>
      <c r="J6277" s="1" t="s">
        <v>6</v>
      </c>
      <c r="K6277" s="1" t="s">
        <v>34</v>
      </c>
      <c r="L6277" s="1">
        <v>5292744</v>
      </c>
      <c r="M6277" s="2">
        <v>42622</v>
      </c>
      <c r="N6277" s="1" t="s">
        <v>8</v>
      </c>
      <c r="O6277" s="2">
        <v>43717</v>
      </c>
    </row>
    <row r="6278" spans="1:15" x14ac:dyDescent="0.3">
      <c r="A6278" s="1" t="s">
        <v>16381</v>
      </c>
      <c r="B6278" s="1" t="str">
        <f>"Paul Owen Joinery"</f>
        <v>Paul Owen Joinery</v>
      </c>
      <c r="C6278" s="1" t="s">
        <v>16382</v>
      </c>
      <c r="F6278" s="1" t="s">
        <v>83</v>
      </c>
      <c r="H6278" s="1" t="s">
        <v>16383</v>
      </c>
      <c r="I6278" s="1" t="s">
        <v>125</v>
      </c>
      <c r="J6278" s="1" t="s">
        <v>6</v>
      </c>
      <c r="K6278" s="1" t="s">
        <v>24</v>
      </c>
      <c r="M6278" s="2">
        <v>42622</v>
      </c>
      <c r="N6278" s="1" t="s">
        <v>8</v>
      </c>
      <c r="O6278" s="2">
        <v>43717</v>
      </c>
    </row>
    <row r="6279" spans="1:15" ht="28.8" x14ac:dyDescent="0.3">
      <c r="A6279" s="1" t="s">
        <v>27667</v>
      </c>
      <c r="B6279" s="1" t="str">
        <f>"Craig Porter C.P Groundworks"</f>
        <v>Craig Porter C.P Groundworks</v>
      </c>
      <c r="C6279" s="1" t="s">
        <v>27668</v>
      </c>
      <c r="D6279" s="1" t="s">
        <v>938</v>
      </c>
      <c r="F6279" s="1" t="s">
        <v>64</v>
      </c>
      <c r="H6279" s="1" t="s">
        <v>27669</v>
      </c>
      <c r="I6279" s="1" t="s">
        <v>5</v>
      </c>
      <c r="J6279" s="1" t="s">
        <v>6</v>
      </c>
      <c r="K6279" s="1" t="s">
        <v>24</v>
      </c>
      <c r="M6279" s="2">
        <v>42622</v>
      </c>
      <c r="N6279" s="1" t="s">
        <v>8</v>
      </c>
      <c r="O6279" s="2">
        <v>43717</v>
      </c>
    </row>
    <row r="6280" spans="1:15" ht="28.8" x14ac:dyDescent="0.3">
      <c r="A6280" s="1" t="s">
        <v>27670</v>
      </c>
      <c r="B6280" s="1" t="str">
        <f>"Mark  Tabor Mttarmac"</f>
        <v>Mark  Tabor Mttarmac</v>
      </c>
      <c r="C6280" s="1" t="s">
        <v>27671</v>
      </c>
      <c r="D6280" s="1" t="s">
        <v>825</v>
      </c>
      <c r="F6280" s="1" t="s">
        <v>27672</v>
      </c>
      <c r="H6280" s="1" t="s">
        <v>27673</v>
      </c>
      <c r="I6280" s="1" t="s">
        <v>5</v>
      </c>
      <c r="J6280" s="1" t="s">
        <v>6</v>
      </c>
      <c r="K6280" s="1" t="s">
        <v>34</v>
      </c>
      <c r="M6280" s="2">
        <v>42622</v>
      </c>
      <c r="N6280" s="1" t="s">
        <v>8</v>
      </c>
      <c r="O6280" s="2">
        <v>43717</v>
      </c>
    </row>
    <row r="6281" spans="1:15" ht="28.8" x14ac:dyDescent="0.3">
      <c r="A6281" s="1" t="s">
        <v>27674</v>
      </c>
      <c r="B6281" s="1" t="str">
        <f>"Delwyn Gwyn Jones"</f>
        <v>Delwyn Gwyn Jones</v>
      </c>
      <c r="C6281" s="1" t="s">
        <v>27675</v>
      </c>
      <c r="F6281" s="1" t="s">
        <v>1700</v>
      </c>
      <c r="H6281" s="1" t="s">
        <v>27676</v>
      </c>
      <c r="I6281" s="1" t="s">
        <v>5</v>
      </c>
      <c r="J6281" s="1" t="s">
        <v>6</v>
      </c>
      <c r="K6281" s="1" t="s">
        <v>34</v>
      </c>
      <c r="M6281" s="2">
        <v>42622</v>
      </c>
      <c r="N6281" s="1" t="s">
        <v>8</v>
      </c>
      <c r="O6281" s="2">
        <v>43721</v>
      </c>
    </row>
    <row r="6282" spans="1:15" ht="43.2" x14ac:dyDescent="0.3">
      <c r="A6282" s="1" t="s">
        <v>28438</v>
      </c>
      <c r="B6282" s="1" t="str">
        <f>"ryan kelly"</f>
        <v>ryan kelly</v>
      </c>
      <c r="C6282" s="1" t="s">
        <v>28439</v>
      </c>
      <c r="F6282" s="1" t="s">
        <v>174</v>
      </c>
      <c r="H6282" s="1" t="s">
        <v>22797</v>
      </c>
      <c r="I6282" s="1" t="s">
        <v>5</v>
      </c>
      <c r="J6282" s="1" t="s">
        <v>67</v>
      </c>
      <c r="K6282" s="1" t="s">
        <v>14</v>
      </c>
      <c r="M6282" s="2">
        <v>42622</v>
      </c>
      <c r="N6282" s="1" t="s">
        <v>8</v>
      </c>
      <c r="O6282" s="1" t="s">
        <v>68</v>
      </c>
    </row>
    <row r="6283" spans="1:15" ht="28.8" x14ac:dyDescent="0.3">
      <c r="A6283" s="1" t="s">
        <v>28440</v>
      </c>
      <c r="B6283" s="1" t="str">
        <f>"Stuart Knight SPK Maintenance"</f>
        <v>Stuart Knight SPK Maintenance</v>
      </c>
      <c r="C6283" s="1" t="s">
        <v>28441</v>
      </c>
      <c r="F6283" s="1" t="s">
        <v>27</v>
      </c>
      <c r="H6283" s="1" t="s">
        <v>28442</v>
      </c>
      <c r="I6283" s="1" t="s">
        <v>5</v>
      </c>
      <c r="J6283" s="1" t="s">
        <v>6</v>
      </c>
      <c r="K6283" s="1" t="s">
        <v>24</v>
      </c>
      <c r="M6283" s="2">
        <v>42622</v>
      </c>
      <c r="N6283" s="1" t="s">
        <v>8</v>
      </c>
      <c r="O6283" s="2">
        <v>43717</v>
      </c>
    </row>
    <row r="6284" spans="1:15" ht="28.8" x14ac:dyDescent="0.3">
      <c r="A6284" s="1" t="s">
        <v>28443</v>
      </c>
      <c r="B6284" s="1" t="str">
        <f>"William John Oakes OK Environmental"</f>
        <v>William John Oakes OK Environmental</v>
      </c>
      <c r="C6284" s="1" t="s">
        <v>28444</v>
      </c>
      <c r="D6284" s="1" t="s">
        <v>1692</v>
      </c>
      <c r="F6284" s="1" t="s">
        <v>865</v>
      </c>
      <c r="H6284" s="1" t="s">
        <v>28445</v>
      </c>
      <c r="I6284" s="1" t="s">
        <v>5</v>
      </c>
      <c r="J6284" s="1" t="s">
        <v>6</v>
      </c>
      <c r="K6284" s="1" t="s">
        <v>24</v>
      </c>
      <c r="M6284" s="2">
        <v>42622</v>
      </c>
      <c r="N6284" s="1" t="s">
        <v>8</v>
      </c>
      <c r="O6284" s="2">
        <v>43717</v>
      </c>
    </row>
    <row r="6285" spans="1:15" ht="28.8" x14ac:dyDescent="0.3">
      <c r="A6285" s="1" t="s">
        <v>28446</v>
      </c>
      <c r="B6285" s="1" t="str">
        <f>"Julie Denise Hobson"</f>
        <v>Julie Denise Hobson</v>
      </c>
      <c r="C6285" s="1" t="s">
        <v>28447</v>
      </c>
      <c r="F6285" s="1" t="s">
        <v>607</v>
      </c>
      <c r="H6285" s="1" t="s">
        <v>28448</v>
      </c>
      <c r="I6285" s="1" t="s">
        <v>5</v>
      </c>
      <c r="J6285" s="1" t="s">
        <v>6</v>
      </c>
      <c r="K6285" s="1" t="s">
        <v>24</v>
      </c>
      <c r="M6285" s="2">
        <v>42622</v>
      </c>
      <c r="N6285" s="1" t="s">
        <v>8</v>
      </c>
      <c r="O6285" s="2">
        <v>43717</v>
      </c>
    </row>
    <row r="6286" spans="1:15" x14ac:dyDescent="0.3">
      <c r="A6286" s="1" t="s">
        <v>14417</v>
      </c>
      <c r="B6286" s="1" t="str">
        <f>"Tip Top Toilets Ltd"</f>
        <v>Tip Top Toilets Ltd</v>
      </c>
      <c r="C6286" s="1" t="s">
        <v>14418</v>
      </c>
      <c r="F6286" s="1" t="s">
        <v>996</v>
      </c>
      <c r="H6286" s="1" t="s">
        <v>14419</v>
      </c>
      <c r="I6286" s="1" t="s">
        <v>19</v>
      </c>
      <c r="J6286" s="1" t="s">
        <v>6</v>
      </c>
      <c r="K6286" s="1" t="s">
        <v>24</v>
      </c>
      <c r="L6286" s="1">
        <v>7165179</v>
      </c>
      <c r="M6286" s="2">
        <v>42621</v>
      </c>
      <c r="N6286" s="1" t="s">
        <v>8</v>
      </c>
      <c r="O6286" s="2">
        <v>43716</v>
      </c>
    </row>
    <row r="6287" spans="1:15" ht="28.8" x14ac:dyDescent="0.3">
      <c r="A6287" s="1" t="s">
        <v>14420</v>
      </c>
      <c r="B6287" s="1" t="str">
        <f>"BLUE MOUNTAIN AIR CONDITIONING LTD"</f>
        <v>BLUE MOUNTAIN AIR CONDITIONING LTD</v>
      </c>
      <c r="C6287" s="1" t="s">
        <v>14421</v>
      </c>
      <c r="D6287" s="1" t="s">
        <v>13011</v>
      </c>
      <c r="F6287" s="1" t="s">
        <v>380</v>
      </c>
      <c r="H6287" s="1" t="s">
        <v>3354</v>
      </c>
      <c r="I6287" s="1" t="s">
        <v>19</v>
      </c>
      <c r="J6287" s="1" t="s">
        <v>6</v>
      </c>
      <c r="K6287" s="1" t="s">
        <v>24</v>
      </c>
      <c r="L6287" s="1">
        <v>5974241</v>
      </c>
      <c r="M6287" s="2">
        <v>42621</v>
      </c>
      <c r="N6287" s="1" t="s">
        <v>8</v>
      </c>
      <c r="O6287" s="2">
        <v>43716</v>
      </c>
    </row>
    <row r="6288" spans="1:15" ht="43.2" x14ac:dyDescent="0.3">
      <c r="A6288" s="1" t="s">
        <v>14422</v>
      </c>
      <c r="B6288" s="1" t="str">
        <f>"360 Timber Services LTD"</f>
        <v>360 Timber Services LTD</v>
      </c>
      <c r="C6288" s="1" t="s">
        <v>14423</v>
      </c>
      <c r="D6288" s="1" t="s">
        <v>2434</v>
      </c>
      <c r="F6288" s="1" t="s">
        <v>73</v>
      </c>
      <c r="H6288" s="1" t="s">
        <v>14424</v>
      </c>
      <c r="I6288" s="1" t="s">
        <v>19</v>
      </c>
      <c r="J6288" s="1" t="s">
        <v>67</v>
      </c>
      <c r="K6288" s="1" t="s">
        <v>14</v>
      </c>
      <c r="M6288" s="2">
        <v>42621</v>
      </c>
      <c r="N6288" s="1" t="s">
        <v>8</v>
      </c>
      <c r="O6288" s="1" t="s">
        <v>68</v>
      </c>
    </row>
    <row r="6289" spans="1:15" ht="43.2" x14ac:dyDescent="0.3">
      <c r="A6289" s="1" t="s">
        <v>14425</v>
      </c>
      <c r="B6289" s="1" t="str">
        <f>"Giltar Hotel Limited"</f>
        <v>Giltar Hotel Limited</v>
      </c>
      <c r="C6289" s="1" t="s">
        <v>14426</v>
      </c>
      <c r="F6289" s="1" t="s">
        <v>714</v>
      </c>
      <c r="H6289" s="1" t="s">
        <v>14254</v>
      </c>
      <c r="I6289" s="1" t="s">
        <v>19</v>
      </c>
      <c r="J6289" s="1" t="s">
        <v>67</v>
      </c>
      <c r="K6289" s="1" t="s">
        <v>14</v>
      </c>
      <c r="M6289" s="2">
        <v>42621</v>
      </c>
      <c r="N6289" s="1" t="s">
        <v>8</v>
      </c>
      <c r="O6289" s="1" t="s">
        <v>68</v>
      </c>
    </row>
    <row r="6290" spans="1:15" ht="28.8" x14ac:dyDescent="0.3">
      <c r="A6290" s="1" t="s">
        <v>15330</v>
      </c>
      <c r="B6290" s="1" t="str">
        <f>"J.F. ROGERS &amp; SONS LIMITED"</f>
        <v>J.F. ROGERS &amp; SONS LIMITED</v>
      </c>
      <c r="C6290" s="1" t="s">
        <v>15331</v>
      </c>
      <c r="D6290" s="1" t="s">
        <v>1097</v>
      </c>
      <c r="F6290" s="1" t="s">
        <v>1346</v>
      </c>
      <c r="H6290" s="1" t="s">
        <v>15332</v>
      </c>
      <c r="I6290" s="1" t="s">
        <v>19</v>
      </c>
      <c r="J6290" s="1" t="s">
        <v>6</v>
      </c>
      <c r="K6290" s="1" t="s">
        <v>24</v>
      </c>
      <c r="L6290" s="1">
        <v>2114807</v>
      </c>
      <c r="M6290" s="2">
        <v>42621</v>
      </c>
      <c r="N6290" s="1" t="s">
        <v>8</v>
      </c>
      <c r="O6290" s="2">
        <v>43716</v>
      </c>
    </row>
    <row r="6291" spans="1:15" ht="28.8" x14ac:dyDescent="0.3">
      <c r="A6291" s="1" t="s">
        <v>26787</v>
      </c>
      <c r="B6291" s="1" t="str">
        <f>"Gareth Ellis G Heat"</f>
        <v>Gareth Ellis G Heat</v>
      </c>
      <c r="C6291" s="1" t="s">
        <v>22023</v>
      </c>
      <c r="F6291" s="1" t="s">
        <v>65</v>
      </c>
      <c r="H6291" s="1" t="s">
        <v>22024</v>
      </c>
      <c r="I6291" s="1" t="s">
        <v>5</v>
      </c>
      <c r="J6291" s="1" t="s">
        <v>6</v>
      </c>
      <c r="K6291" s="1" t="s">
        <v>24</v>
      </c>
      <c r="M6291" s="2">
        <v>42621</v>
      </c>
      <c r="N6291" s="1" t="s">
        <v>8</v>
      </c>
      <c r="O6291" s="2">
        <v>43716</v>
      </c>
    </row>
    <row r="6292" spans="1:15" ht="43.2" x14ac:dyDescent="0.3">
      <c r="A6292" s="1" t="s">
        <v>26788</v>
      </c>
      <c r="B6292" s="1" t="str">
        <f>"Gareth Thomas"</f>
        <v>Gareth Thomas</v>
      </c>
      <c r="C6292" s="1" t="s">
        <v>26789</v>
      </c>
      <c r="F6292" s="1" t="s">
        <v>65</v>
      </c>
      <c r="H6292" s="1" t="s">
        <v>26790</v>
      </c>
      <c r="I6292" s="1" t="s">
        <v>5</v>
      </c>
      <c r="J6292" s="1" t="s">
        <v>67</v>
      </c>
      <c r="K6292" s="1" t="s">
        <v>14</v>
      </c>
      <c r="M6292" s="2">
        <v>42621</v>
      </c>
      <c r="N6292" s="1" t="s">
        <v>8</v>
      </c>
      <c r="O6292" s="1" t="s">
        <v>68</v>
      </c>
    </row>
    <row r="6293" spans="1:15" ht="43.2" x14ac:dyDescent="0.3">
      <c r="A6293" s="1" t="s">
        <v>27658</v>
      </c>
      <c r="B6293" s="1" t="str">
        <f>"Miles Williams"</f>
        <v>Miles Williams</v>
      </c>
      <c r="C6293" s="1" t="s">
        <v>27659</v>
      </c>
      <c r="F6293" s="1" t="s">
        <v>2152</v>
      </c>
      <c r="H6293" s="1" t="s">
        <v>27660</v>
      </c>
      <c r="I6293" s="1" t="s">
        <v>5</v>
      </c>
      <c r="J6293" s="1" t="s">
        <v>67</v>
      </c>
      <c r="K6293" s="1" t="s">
        <v>34</v>
      </c>
      <c r="M6293" s="2">
        <v>42621</v>
      </c>
      <c r="N6293" s="1" t="s">
        <v>8</v>
      </c>
      <c r="O6293" s="1" t="s">
        <v>68</v>
      </c>
    </row>
    <row r="6294" spans="1:15" ht="28.8" x14ac:dyDescent="0.3">
      <c r="A6294" s="1" t="s">
        <v>27661</v>
      </c>
      <c r="B6294" s="1" t="str">
        <f>"Dorothy Turpin  Mrs D Turpin "</f>
        <v xml:space="preserve">Dorothy Turpin  Mrs D Turpin </v>
      </c>
      <c r="C6294" s="1" t="s">
        <v>27662</v>
      </c>
      <c r="F6294" s="1" t="s">
        <v>223</v>
      </c>
      <c r="H6294" s="1" t="s">
        <v>27663</v>
      </c>
      <c r="I6294" s="1" t="s">
        <v>5</v>
      </c>
      <c r="J6294" s="1" t="s">
        <v>6</v>
      </c>
      <c r="K6294" s="1" t="s">
        <v>34</v>
      </c>
      <c r="M6294" s="2">
        <v>42621</v>
      </c>
      <c r="N6294" s="1" t="s">
        <v>8</v>
      </c>
      <c r="O6294" s="2">
        <v>43716</v>
      </c>
    </row>
    <row r="6295" spans="1:15" ht="43.2" x14ac:dyDescent="0.3">
      <c r="A6295" s="1" t="s">
        <v>27664</v>
      </c>
      <c r="B6295" s="1" t="str">
        <f>"ALAN CHILDS"</f>
        <v>ALAN CHILDS</v>
      </c>
      <c r="C6295" s="1" t="s">
        <v>27665</v>
      </c>
      <c r="F6295" s="1" t="s">
        <v>96</v>
      </c>
      <c r="H6295" s="1" t="s">
        <v>27666</v>
      </c>
      <c r="I6295" s="1" t="s">
        <v>5</v>
      </c>
      <c r="J6295" s="1" t="s">
        <v>67</v>
      </c>
      <c r="K6295" s="1" t="s">
        <v>14</v>
      </c>
      <c r="M6295" s="2">
        <v>42621</v>
      </c>
      <c r="N6295" s="1" t="s">
        <v>8</v>
      </c>
      <c r="O6295" s="1" t="s">
        <v>68</v>
      </c>
    </row>
    <row r="6296" spans="1:15" ht="43.2" x14ac:dyDescent="0.3">
      <c r="A6296" s="1" t="s">
        <v>12435</v>
      </c>
      <c r="B6296" s="1" t="str">
        <f>"Hay-on-Wye Markets Limited"</f>
        <v>Hay-on-Wye Markets Limited</v>
      </c>
      <c r="C6296" s="1" t="s">
        <v>12436</v>
      </c>
      <c r="D6296" s="1" t="s">
        <v>3441</v>
      </c>
      <c r="F6296" s="1" t="s">
        <v>3337</v>
      </c>
      <c r="H6296" s="1" t="s">
        <v>5079</v>
      </c>
      <c r="I6296" s="1" t="s">
        <v>19</v>
      </c>
      <c r="J6296" s="1" t="s">
        <v>67</v>
      </c>
      <c r="K6296" s="1" t="s">
        <v>14</v>
      </c>
      <c r="M6296" s="2">
        <v>42620</v>
      </c>
      <c r="N6296" s="1" t="s">
        <v>8</v>
      </c>
      <c r="O6296" s="1" t="s">
        <v>68</v>
      </c>
    </row>
    <row r="6297" spans="1:15" ht="28.8" x14ac:dyDescent="0.3">
      <c r="A6297" s="1" t="s">
        <v>13561</v>
      </c>
      <c r="B6297" s="1" t="str">
        <f>"RECYCLING WALES LTD"</f>
        <v>RECYCLING WALES LTD</v>
      </c>
      <c r="C6297" s="1" t="s">
        <v>13562</v>
      </c>
      <c r="F6297" s="1" t="s">
        <v>83</v>
      </c>
      <c r="H6297" s="1" t="s">
        <v>13563</v>
      </c>
      <c r="I6297" s="1" t="s">
        <v>19</v>
      </c>
      <c r="J6297" s="1" t="s">
        <v>6</v>
      </c>
      <c r="K6297" s="1" t="s">
        <v>34</v>
      </c>
      <c r="L6297" s="1">
        <v>6501698</v>
      </c>
      <c r="M6297" s="2">
        <v>42620</v>
      </c>
      <c r="N6297" s="1" t="s">
        <v>8</v>
      </c>
      <c r="O6297" s="2">
        <v>43715</v>
      </c>
    </row>
    <row r="6298" spans="1:15" ht="28.8" x14ac:dyDescent="0.3">
      <c r="A6298" s="1" t="s">
        <v>13564</v>
      </c>
      <c r="B6298" s="1" t="str">
        <f>"AR Edwards &amp; Son"</f>
        <v>AR Edwards &amp; Son</v>
      </c>
      <c r="C6298" s="1" t="s">
        <v>13565</v>
      </c>
      <c r="F6298" s="1" t="s">
        <v>91</v>
      </c>
      <c r="H6298" s="1" t="s">
        <v>9691</v>
      </c>
      <c r="I6298" s="1" t="s">
        <v>125</v>
      </c>
      <c r="J6298" s="1" t="s">
        <v>6</v>
      </c>
      <c r="K6298" s="1" t="s">
        <v>24</v>
      </c>
      <c r="M6298" s="2">
        <v>42620</v>
      </c>
      <c r="N6298" s="1" t="s">
        <v>8</v>
      </c>
      <c r="O6298" s="2">
        <v>43715</v>
      </c>
    </row>
    <row r="6299" spans="1:15" ht="28.8" x14ac:dyDescent="0.3">
      <c r="A6299" s="1" t="s">
        <v>13566</v>
      </c>
      <c r="B6299" s="1" t="str">
        <f>"ABINGDON FLOORING LTD"</f>
        <v>ABINGDON FLOORING LTD</v>
      </c>
      <c r="C6299" s="1" t="s">
        <v>13567</v>
      </c>
      <c r="D6299" s="1" t="s">
        <v>4055</v>
      </c>
      <c r="E6299" s="1" t="s">
        <v>389</v>
      </c>
      <c r="F6299" s="1" t="s">
        <v>91</v>
      </c>
      <c r="H6299" s="1" t="s">
        <v>13568</v>
      </c>
      <c r="I6299" s="1" t="s">
        <v>19</v>
      </c>
      <c r="J6299" s="1" t="s">
        <v>6</v>
      </c>
      <c r="K6299" s="1" t="s">
        <v>34</v>
      </c>
      <c r="L6299" s="1">
        <v>4923718</v>
      </c>
      <c r="M6299" s="2">
        <v>42620</v>
      </c>
      <c r="N6299" s="1" t="s">
        <v>8</v>
      </c>
      <c r="O6299" s="2">
        <v>43715</v>
      </c>
    </row>
    <row r="6300" spans="1:15" ht="43.2" x14ac:dyDescent="0.3">
      <c r="A6300" s="1" t="s">
        <v>13569</v>
      </c>
      <c r="B6300" s="1" t="str">
        <f>"CLWYD BREAKERS LTD"</f>
        <v>CLWYD BREAKERS LTD</v>
      </c>
      <c r="C6300" s="1" t="s">
        <v>6962</v>
      </c>
      <c r="F6300" s="1" t="s">
        <v>198</v>
      </c>
      <c r="H6300" s="1" t="s">
        <v>6963</v>
      </c>
      <c r="I6300" s="1" t="s">
        <v>19</v>
      </c>
      <c r="J6300" s="1" t="s">
        <v>67</v>
      </c>
      <c r="K6300" s="1" t="s">
        <v>34</v>
      </c>
      <c r="L6300" s="1">
        <v>4776979</v>
      </c>
      <c r="M6300" s="2">
        <v>42620</v>
      </c>
      <c r="N6300" s="1" t="s">
        <v>8</v>
      </c>
      <c r="O6300" s="1" t="s">
        <v>68</v>
      </c>
    </row>
    <row r="6301" spans="1:15" ht="28.8" x14ac:dyDescent="0.3">
      <c r="A6301" s="1" t="s">
        <v>13570</v>
      </c>
      <c r="B6301" s="1" t="str">
        <f>"CLWYD BREAKERS LTD"</f>
        <v>CLWYD BREAKERS LTD</v>
      </c>
      <c r="C6301" s="1" t="s">
        <v>6962</v>
      </c>
      <c r="F6301" s="1" t="s">
        <v>198</v>
      </c>
      <c r="H6301" s="1" t="s">
        <v>6963</v>
      </c>
      <c r="I6301" s="1" t="s">
        <v>19</v>
      </c>
      <c r="J6301" s="1" t="s">
        <v>6</v>
      </c>
      <c r="K6301" s="1" t="s">
        <v>34</v>
      </c>
      <c r="L6301" s="1">
        <v>4776979</v>
      </c>
      <c r="M6301" s="2">
        <v>42620</v>
      </c>
      <c r="N6301" s="1" t="s">
        <v>8</v>
      </c>
      <c r="O6301" s="2">
        <v>43715</v>
      </c>
    </row>
    <row r="6302" spans="1:15" ht="43.2" x14ac:dyDescent="0.3">
      <c r="A6302" s="1" t="s">
        <v>25350</v>
      </c>
      <c r="B6302" s="1" t="str">
        <f>"Gareth  Howell  G J Landscape Maintenance "</f>
        <v xml:space="preserve">Gareth  Howell  G J Landscape Maintenance </v>
      </c>
      <c r="C6302" s="1" t="s">
        <v>25351</v>
      </c>
      <c r="F6302" s="1" t="s">
        <v>865</v>
      </c>
      <c r="H6302" s="1" t="s">
        <v>22271</v>
      </c>
      <c r="I6302" s="1" t="s">
        <v>5</v>
      </c>
      <c r="J6302" s="1" t="s">
        <v>6</v>
      </c>
      <c r="K6302" s="1" t="s">
        <v>34</v>
      </c>
      <c r="M6302" s="2">
        <v>42620</v>
      </c>
      <c r="N6302" s="1" t="s">
        <v>8</v>
      </c>
      <c r="O6302" s="2">
        <v>43715</v>
      </c>
    </row>
    <row r="6303" spans="1:15" x14ac:dyDescent="0.3">
      <c r="A6303" s="1" t="s">
        <v>26059</v>
      </c>
      <c r="B6303" s="1" t="str">
        <f>"Evan David Davies"</f>
        <v>Evan David Davies</v>
      </c>
      <c r="C6303" s="1" t="s">
        <v>26060</v>
      </c>
      <c r="F6303" s="1" t="s">
        <v>96</v>
      </c>
      <c r="H6303" s="1" t="s">
        <v>26061</v>
      </c>
      <c r="I6303" s="1" t="s">
        <v>5</v>
      </c>
      <c r="J6303" s="1" t="s">
        <v>6</v>
      </c>
      <c r="K6303" s="1" t="s">
        <v>24</v>
      </c>
      <c r="M6303" s="2">
        <v>42620</v>
      </c>
      <c r="N6303" s="1" t="s">
        <v>8</v>
      </c>
      <c r="O6303" s="2">
        <v>43715</v>
      </c>
    </row>
    <row r="6304" spans="1:15" ht="28.8" x14ac:dyDescent="0.3">
      <c r="A6304" s="1" t="s">
        <v>26062</v>
      </c>
      <c r="B6304" s="1" t="str">
        <f>"Adam Bater Baters Roofing"</f>
        <v>Adam Bater Baters Roofing</v>
      </c>
      <c r="C6304" s="1" t="s">
        <v>26063</v>
      </c>
      <c r="F6304" s="1" t="s">
        <v>1351</v>
      </c>
      <c r="H6304" s="1" t="s">
        <v>26064</v>
      </c>
      <c r="I6304" s="1" t="s">
        <v>5</v>
      </c>
      <c r="J6304" s="1" t="s">
        <v>6</v>
      </c>
      <c r="K6304" s="1" t="s">
        <v>24</v>
      </c>
      <c r="M6304" s="2">
        <v>42620</v>
      </c>
      <c r="N6304" s="1" t="s">
        <v>8</v>
      </c>
      <c r="O6304" s="2">
        <v>43715</v>
      </c>
    </row>
    <row r="6305" spans="1:15" ht="28.8" x14ac:dyDescent="0.3">
      <c r="A6305" s="1" t="s">
        <v>26065</v>
      </c>
      <c r="B6305" s="1" t="str">
        <f>"Scott Lyons Scott Lyons"</f>
        <v>Scott Lyons Scott Lyons</v>
      </c>
      <c r="C6305" s="1" t="s">
        <v>26066</v>
      </c>
      <c r="F6305" s="1" t="s">
        <v>16099</v>
      </c>
      <c r="H6305" s="1" t="s">
        <v>26067</v>
      </c>
      <c r="I6305" s="1" t="s">
        <v>5</v>
      </c>
      <c r="J6305" s="1" t="s">
        <v>6</v>
      </c>
      <c r="K6305" s="1" t="s">
        <v>34</v>
      </c>
      <c r="M6305" s="2">
        <v>42620</v>
      </c>
      <c r="N6305" s="1" t="s">
        <v>8</v>
      </c>
      <c r="O6305" s="2">
        <v>43715</v>
      </c>
    </row>
    <row r="6306" spans="1:15" ht="43.2" x14ac:dyDescent="0.3">
      <c r="A6306" s="1" t="s">
        <v>26068</v>
      </c>
      <c r="B6306" s="1" t="str">
        <f>"Diane Broad"</f>
        <v>Diane Broad</v>
      </c>
      <c r="C6306" s="1" t="s">
        <v>26069</v>
      </c>
      <c r="F6306" s="1" t="s">
        <v>26070</v>
      </c>
      <c r="H6306" s="1" t="s">
        <v>26071</v>
      </c>
      <c r="I6306" s="1" t="s">
        <v>5</v>
      </c>
      <c r="J6306" s="1" t="s">
        <v>67</v>
      </c>
      <c r="K6306" s="1" t="s">
        <v>14</v>
      </c>
      <c r="M6306" s="2">
        <v>42620</v>
      </c>
      <c r="N6306" s="1" t="s">
        <v>8</v>
      </c>
      <c r="O6306" s="1" t="s">
        <v>68</v>
      </c>
    </row>
    <row r="6307" spans="1:15" ht="43.2" x14ac:dyDescent="0.3">
      <c r="A6307" s="1" t="s">
        <v>26072</v>
      </c>
      <c r="B6307" s="1" t="str">
        <f>"Damian Saunders D Saunders Roofing and Building"</f>
        <v>Damian Saunders D Saunders Roofing and Building</v>
      </c>
      <c r="C6307" s="1" t="s">
        <v>26073</v>
      </c>
      <c r="D6307" s="1" t="s">
        <v>2041</v>
      </c>
      <c r="F6307" s="1" t="s">
        <v>64</v>
      </c>
      <c r="H6307" s="1" t="s">
        <v>26074</v>
      </c>
      <c r="I6307" s="1" t="s">
        <v>5</v>
      </c>
      <c r="J6307" s="1" t="s">
        <v>6</v>
      </c>
      <c r="K6307" s="1" t="s">
        <v>34</v>
      </c>
      <c r="M6307" s="2">
        <v>42620</v>
      </c>
      <c r="N6307" s="1" t="s">
        <v>8</v>
      </c>
      <c r="O6307" s="2">
        <v>43715</v>
      </c>
    </row>
    <row r="6308" spans="1:15" ht="28.8" x14ac:dyDescent="0.3">
      <c r="A6308" s="1" t="s">
        <v>26782</v>
      </c>
      <c r="B6308" s="1" t="str">
        <f>"Darren  Vaughan  DP&amp;G"</f>
        <v>Darren  Vaughan  DP&amp;G</v>
      </c>
      <c r="C6308" s="1" t="s">
        <v>26783</v>
      </c>
      <c r="F6308" s="1" t="s">
        <v>445</v>
      </c>
      <c r="H6308" s="1" t="s">
        <v>26784</v>
      </c>
      <c r="I6308" s="1" t="s">
        <v>5</v>
      </c>
      <c r="J6308" s="1" t="s">
        <v>6</v>
      </c>
      <c r="K6308" s="1" t="s">
        <v>34</v>
      </c>
      <c r="M6308" s="2">
        <v>42620</v>
      </c>
      <c r="N6308" s="1" t="s">
        <v>8</v>
      </c>
      <c r="O6308" s="2">
        <v>43715</v>
      </c>
    </row>
    <row r="6309" spans="1:15" ht="43.2" x14ac:dyDescent="0.3">
      <c r="A6309" s="1" t="s">
        <v>26785</v>
      </c>
      <c r="B6309" s="1" t="str">
        <f>"james bryant"</f>
        <v>james bryant</v>
      </c>
      <c r="C6309" s="1" t="s">
        <v>26786</v>
      </c>
      <c r="F6309" s="1" t="s">
        <v>1556</v>
      </c>
      <c r="H6309" s="1" t="s">
        <v>19093</v>
      </c>
      <c r="I6309" s="1" t="s">
        <v>5</v>
      </c>
      <c r="J6309" s="1" t="s">
        <v>67</v>
      </c>
      <c r="K6309" s="1" t="s">
        <v>14</v>
      </c>
      <c r="M6309" s="2">
        <v>42620</v>
      </c>
      <c r="N6309" s="1" t="s">
        <v>8</v>
      </c>
      <c r="O6309" s="1" t="s">
        <v>68</v>
      </c>
    </row>
    <row r="6310" spans="1:15" ht="43.2" x14ac:dyDescent="0.3">
      <c r="A6310" s="1" t="s">
        <v>12427</v>
      </c>
      <c r="B6310" s="1" t="str">
        <f>"Sea Training International Ltd"</f>
        <v>Sea Training International Ltd</v>
      </c>
      <c r="C6310" s="1" t="s">
        <v>12428</v>
      </c>
      <c r="F6310" s="1" t="s">
        <v>1880</v>
      </c>
      <c r="H6310" s="1" t="s">
        <v>12429</v>
      </c>
      <c r="I6310" s="1" t="s">
        <v>19</v>
      </c>
      <c r="J6310" s="1" t="s">
        <v>67</v>
      </c>
      <c r="K6310" s="1" t="s">
        <v>14</v>
      </c>
      <c r="M6310" s="2">
        <v>42619</v>
      </c>
      <c r="N6310" s="1" t="s">
        <v>8</v>
      </c>
      <c r="O6310" s="1" t="s">
        <v>68</v>
      </c>
    </row>
    <row r="6311" spans="1:15" ht="43.2" x14ac:dyDescent="0.3">
      <c r="A6311" s="1" t="s">
        <v>12430</v>
      </c>
      <c r="B6311" s="1" t="str">
        <f>"HL Motors Aberconwy Autobreakers"</f>
        <v>HL Motors Aberconwy Autobreakers</v>
      </c>
      <c r="C6311" s="1" t="s">
        <v>11565</v>
      </c>
      <c r="F6311" s="1" t="s">
        <v>6080</v>
      </c>
      <c r="H6311" s="1" t="s">
        <v>11566</v>
      </c>
      <c r="I6311" s="1" t="s">
        <v>125</v>
      </c>
      <c r="J6311" s="1" t="s">
        <v>67</v>
      </c>
      <c r="K6311" s="1" t="s">
        <v>24</v>
      </c>
      <c r="M6311" s="2">
        <v>42619</v>
      </c>
      <c r="N6311" s="1" t="s">
        <v>8</v>
      </c>
      <c r="O6311" s="1" t="s">
        <v>68</v>
      </c>
    </row>
    <row r="6312" spans="1:15" ht="43.2" x14ac:dyDescent="0.3">
      <c r="A6312" s="1" t="s">
        <v>12431</v>
      </c>
      <c r="B6312" s="1" t="str">
        <f>"Hay-on-Wye Tourist Bureau Limited"</f>
        <v>Hay-on-Wye Tourist Bureau Limited</v>
      </c>
      <c r="C6312" s="1" t="s">
        <v>12432</v>
      </c>
      <c r="D6312" s="1" t="s">
        <v>3441</v>
      </c>
      <c r="F6312" s="1" t="s">
        <v>3337</v>
      </c>
      <c r="H6312" s="1" t="s">
        <v>12433</v>
      </c>
      <c r="I6312" s="1" t="s">
        <v>19</v>
      </c>
      <c r="J6312" s="1" t="s">
        <v>67</v>
      </c>
      <c r="K6312" s="1" t="s">
        <v>14</v>
      </c>
      <c r="M6312" s="2">
        <v>42619</v>
      </c>
      <c r="N6312" s="1" t="s">
        <v>8</v>
      </c>
      <c r="O6312" s="1" t="s">
        <v>68</v>
      </c>
    </row>
    <row r="6313" spans="1:15" ht="28.8" x14ac:dyDescent="0.3">
      <c r="A6313" s="1" t="s">
        <v>12434</v>
      </c>
      <c r="B6313" s="1" t="str">
        <f>"Trax Solutions Limited "</f>
        <v xml:space="preserve">Trax Solutions Limited </v>
      </c>
      <c r="C6313" s="1" t="s">
        <v>3512</v>
      </c>
      <c r="F6313" s="1" t="s">
        <v>1115</v>
      </c>
      <c r="H6313" s="1" t="s">
        <v>3513</v>
      </c>
      <c r="I6313" s="1" t="s">
        <v>19</v>
      </c>
      <c r="J6313" s="1" t="s">
        <v>6</v>
      </c>
      <c r="K6313" s="1" t="s">
        <v>34</v>
      </c>
      <c r="L6313" s="1">
        <v>9548947</v>
      </c>
      <c r="M6313" s="2">
        <v>42619</v>
      </c>
      <c r="N6313" s="1" t="s">
        <v>8</v>
      </c>
      <c r="O6313" s="2">
        <v>43714</v>
      </c>
    </row>
    <row r="6314" spans="1:15" ht="28.8" x14ac:dyDescent="0.3">
      <c r="A6314" s="1" t="s">
        <v>25332</v>
      </c>
      <c r="B6314" s="1" t="str">
        <f>"Paul Clark The Silver Handyman &amp; Van"</f>
        <v>Paul Clark The Silver Handyman &amp; Van</v>
      </c>
      <c r="C6314" s="1" t="s">
        <v>25333</v>
      </c>
      <c r="F6314" s="1" t="s">
        <v>65</v>
      </c>
      <c r="H6314" s="1" t="s">
        <v>25334</v>
      </c>
      <c r="I6314" s="1" t="s">
        <v>5</v>
      </c>
      <c r="J6314" s="1" t="s">
        <v>6</v>
      </c>
      <c r="K6314" s="1" t="s">
        <v>24</v>
      </c>
      <c r="M6314" s="2">
        <v>42619</v>
      </c>
      <c r="N6314" s="1" t="s">
        <v>8</v>
      </c>
      <c r="O6314" s="2">
        <v>43714</v>
      </c>
    </row>
    <row r="6315" spans="1:15" ht="28.8" x14ac:dyDescent="0.3">
      <c r="A6315" s="1" t="s">
        <v>25335</v>
      </c>
      <c r="B6315" s="1" t="str">
        <f>"Dilwyn Evans F.D.EVANS"</f>
        <v>Dilwyn Evans F.D.EVANS</v>
      </c>
      <c r="C6315" s="1" t="s">
        <v>25336</v>
      </c>
      <c r="F6315" s="1" t="s">
        <v>3992</v>
      </c>
      <c r="H6315" s="1" t="s">
        <v>25337</v>
      </c>
      <c r="I6315" s="1" t="s">
        <v>5</v>
      </c>
      <c r="J6315" s="1" t="s">
        <v>6</v>
      </c>
      <c r="K6315" s="1" t="s">
        <v>34</v>
      </c>
      <c r="M6315" s="2">
        <v>42619</v>
      </c>
      <c r="N6315" s="1" t="s">
        <v>8</v>
      </c>
      <c r="O6315" s="2">
        <v>43714</v>
      </c>
    </row>
    <row r="6316" spans="1:15" ht="28.8" x14ac:dyDescent="0.3">
      <c r="A6316" s="1" t="s">
        <v>25338</v>
      </c>
      <c r="B6316" s="1" t="str">
        <f>"Mark Ward Wardy Services"</f>
        <v>Mark Ward Wardy Services</v>
      </c>
      <c r="C6316" s="1" t="s">
        <v>25339</v>
      </c>
      <c r="F6316" s="1" t="s">
        <v>83</v>
      </c>
      <c r="H6316" s="1" t="s">
        <v>25340</v>
      </c>
      <c r="I6316" s="1" t="s">
        <v>5</v>
      </c>
      <c r="J6316" s="1" t="s">
        <v>6</v>
      </c>
      <c r="K6316" s="1" t="s">
        <v>24</v>
      </c>
      <c r="M6316" s="2">
        <v>42619</v>
      </c>
      <c r="N6316" s="1" t="s">
        <v>8</v>
      </c>
      <c r="O6316" s="2">
        <v>43728</v>
      </c>
    </row>
    <row r="6317" spans="1:15" ht="28.8" x14ac:dyDescent="0.3">
      <c r="A6317" s="1" t="s">
        <v>25341</v>
      </c>
      <c r="B6317" s="1" t="str">
        <f>"Anthony  Llewellyn  RAL Plumbing "</f>
        <v xml:space="preserve">Anthony  Llewellyn  RAL Plumbing </v>
      </c>
      <c r="C6317" s="1" t="s">
        <v>25342</v>
      </c>
      <c r="F6317" s="1" t="s">
        <v>65</v>
      </c>
      <c r="H6317" s="1" t="s">
        <v>25343</v>
      </c>
      <c r="I6317" s="1" t="s">
        <v>5</v>
      </c>
      <c r="J6317" s="1" t="s">
        <v>6</v>
      </c>
      <c r="K6317" s="1" t="s">
        <v>34</v>
      </c>
      <c r="M6317" s="2">
        <v>42619</v>
      </c>
      <c r="N6317" s="1" t="s">
        <v>8</v>
      </c>
      <c r="O6317" s="2">
        <v>43714</v>
      </c>
    </row>
    <row r="6318" spans="1:15" ht="28.8" x14ac:dyDescent="0.3">
      <c r="A6318" s="1" t="s">
        <v>25344</v>
      </c>
      <c r="B6318" s="1" t="str">
        <f>"Dilwyn  Williams  Williams "</f>
        <v xml:space="preserve">Dilwyn  Williams  Williams </v>
      </c>
      <c r="C6318" s="1" t="s">
        <v>25345</v>
      </c>
      <c r="F6318" s="1" t="s">
        <v>7700</v>
      </c>
      <c r="H6318" s="1" t="s">
        <v>25346</v>
      </c>
      <c r="I6318" s="1" t="s">
        <v>5</v>
      </c>
      <c r="J6318" s="1" t="s">
        <v>6</v>
      </c>
      <c r="K6318" s="1" t="s">
        <v>34</v>
      </c>
      <c r="M6318" s="2">
        <v>42619</v>
      </c>
      <c r="N6318" s="1" t="s">
        <v>8</v>
      </c>
      <c r="O6318" s="2">
        <v>43714</v>
      </c>
    </row>
    <row r="6319" spans="1:15" ht="43.2" x14ac:dyDescent="0.3">
      <c r="A6319" s="1" t="s">
        <v>25347</v>
      </c>
      <c r="B6319" s="1" t="str">
        <f>"Steve Palmer"</f>
        <v>Steve Palmer</v>
      </c>
      <c r="C6319" s="1" t="s">
        <v>25348</v>
      </c>
      <c r="F6319" s="1" t="s">
        <v>27</v>
      </c>
      <c r="H6319" s="1" t="s">
        <v>25349</v>
      </c>
      <c r="I6319" s="1" t="s">
        <v>5</v>
      </c>
      <c r="J6319" s="1" t="s">
        <v>67</v>
      </c>
      <c r="K6319" s="1" t="s">
        <v>34</v>
      </c>
      <c r="M6319" s="2">
        <v>42619</v>
      </c>
      <c r="N6319" s="1" t="s">
        <v>8</v>
      </c>
      <c r="O6319" s="1" t="s">
        <v>68</v>
      </c>
    </row>
    <row r="6320" spans="1:15" ht="28.8" x14ac:dyDescent="0.3">
      <c r="A6320" s="1" t="s">
        <v>11497</v>
      </c>
      <c r="B6320" s="1" t="str">
        <f>"DAVID JENKINS TRANSPORT LIMITED"</f>
        <v>DAVID JENKINS TRANSPORT LIMITED</v>
      </c>
      <c r="C6320" s="1" t="s">
        <v>11498</v>
      </c>
      <c r="F6320" s="1" t="s">
        <v>865</v>
      </c>
      <c r="H6320" s="1" t="s">
        <v>11499</v>
      </c>
      <c r="I6320" s="1" t="s">
        <v>19</v>
      </c>
      <c r="J6320" s="1" t="s">
        <v>6</v>
      </c>
      <c r="K6320" s="1" t="s">
        <v>24</v>
      </c>
      <c r="L6320" s="1">
        <v>10281661</v>
      </c>
      <c r="M6320" s="2">
        <v>42618</v>
      </c>
      <c r="N6320" s="1" t="s">
        <v>8</v>
      </c>
      <c r="O6320" s="2">
        <v>43713</v>
      </c>
    </row>
    <row r="6321" spans="1:15" ht="28.8" x14ac:dyDescent="0.3">
      <c r="A6321" s="1" t="s">
        <v>11500</v>
      </c>
      <c r="B6321" s="1" t="str">
        <f>"K J Drainage Ltd"</f>
        <v>K J Drainage Ltd</v>
      </c>
      <c r="C6321" s="1" t="s">
        <v>11501</v>
      </c>
      <c r="D6321" s="1" t="s">
        <v>95</v>
      </c>
      <c r="F6321" s="1" t="s">
        <v>198</v>
      </c>
      <c r="H6321" s="1" t="s">
        <v>11502</v>
      </c>
      <c r="I6321" s="1" t="s">
        <v>19</v>
      </c>
      <c r="J6321" s="1" t="s">
        <v>6</v>
      </c>
      <c r="K6321" s="1" t="s">
        <v>24</v>
      </c>
      <c r="L6321" s="1">
        <v>9604803</v>
      </c>
      <c r="M6321" s="2">
        <v>42618</v>
      </c>
      <c r="N6321" s="1" t="s">
        <v>8</v>
      </c>
      <c r="O6321" s="2">
        <v>43713</v>
      </c>
    </row>
    <row r="6322" spans="1:15" ht="43.2" x14ac:dyDescent="0.3">
      <c r="A6322" s="1" t="s">
        <v>11503</v>
      </c>
      <c r="B6322" s="1" t="str">
        <f>"K&amp;A services "</f>
        <v xml:space="preserve">K&amp;A services </v>
      </c>
      <c r="C6322" s="1" t="s">
        <v>11504</v>
      </c>
      <c r="F6322" s="1" t="s">
        <v>9049</v>
      </c>
      <c r="H6322" s="1" t="s">
        <v>11505</v>
      </c>
      <c r="I6322" s="1" t="s">
        <v>188</v>
      </c>
      <c r="J6322" s="1" t="s">
        <v>67</v>
      </c>
      <c r="K6322" s="1" t="s">
        <v>14</v>
      </c>
      <c r="M6322" s="2">
        <v>42618</v>
      </c>
      <c r="N6322" s="1" t="s">
        <v>8</v>
      </c>
      <c r="O6322" s="1" t="s">
        <v>68</v>
      </c>
    </row>
    <row r="6323" spans="1:15" ht="28.8" x14ac:dyDescent="0.3">
      <c r="A6323" s="1" t="s">
        <v>12423</v>
      </c>
      <c r="B6323" s="1" t="str">
        <f>"BISSON WASTE TRADING CO LTD"</f>
        <v>BISSON WASTE TRADING CO LTD</v>
      </c>
      <c r="C6323" s="1" t="s">
        <v>12424</v>
      </c>
      <c r="D6323" s="1" t="s">
        <v>12425</v>
      </c>
      <c r="F6323" s="1" t="s">
        <v>198</v>
      </c>
      <c r="H6323" s="1" t="s">
        <v>12426</v>
      </c>
      <c r="I6323" s="1" t="s">
        <v>19</v>
      </c>
      <c r="J6323" s="1" t="s">
        <v>6</v>
      </c>
      <c r="K6323" s="1" t="s">
        <v>34</v>
      </c>
      <c r="L6323" s="1">
        <v>5612035</v>
      </c>
      <c r="M6323" s="2">
        <v>42618</v>
      </c>
      <c r="N6323" s="1" t="s">
        <v>8</v>
      </c>
      <c r="O6323" s="2">
        <v>43713</v>
      </c>
    </row>
    <row r="6324" spans="1:15" ht="28.8" x14ac:dyDescent="0.3">
      <c r="A6324" s="1" t="s">
        <v>24480</v>
      </c>
      <c r="B6324" s="1" t="str">
        <f>"Russell Emylyn Williams"</f>
        <v>Russell Emylyn Williams</v>
      </c>
      <c r="C6324" s="1" t="s">
        <v>24481</v>
      </c>
      <c r="F6324" s="1" t="s">
        <v>1321</v>
      </c>
      <c r="H6324" s="1" t="s">
        <v>24482</v>
      </c>
      <c r="I6324" s="1" t="s">
        <v>5</v>
      </c>
      <c r="J6324" s="1" t="s">
        <v>6</v>
      </c>
      <c r="K6324" s="1" t="s">
        <v>34</v>
      </c>
      <c r="M6324" s="2">
        <v>42618</v>
      </c>
      <c r="N6324" s="1" t="s">
        <v>8</v>
      </c>
      <c r="O6324" s="2">
        <v>43713</v>
      </c>
    </row>
    <row r="6325" spans="1:15" ht="28.8" x14ac:dyDescent="0.3">
      <c r="A6325" s="1" t="s">
        <v>24483</v>
      </c>
      <c r="B6325" s="1" t="str">
        <f>"Elliot Evans Elliots home improvements"</f>
        <v>Elliot Evans Elliots home improvements</v>
      </c>
      <c r="C6325" s="1" t="s">
        <v>24484</v>
      </c>
      <c r="F6325" s="1" t="s">
        <v>64</v>
      </c>
      <c r="H6325" s="1" t="s">
        <v>24485</v>
      </c>
      <c r="I6325" s="1" t="s">
        <v>5</v>
      </c>
      <c r="J6325" s="1" t="s">
        <v>6</v>
      </c>
      <c r="K6325" s="1" t="s">
        <v>34</v>
      </c>
      <c r="M6325" s="2">
        <v>42618</v>
      </c>
      <c r="N6325" s="1" t="s">
        <v>8</v>
      </c>
      <c r="O6325" s="2">
        <v>43713</v>
      </c>
    </row>
    <row r="6326" spans="1:15" ht="28.8" x14ac:dyDescent="0.3">
      <c r="A6326" s="1" t="s">
        <v>24486</v>
      </c>
      <c r="B6326" s="1" t="str">
        <f>"martin lloyd buckley martin buckley"</f>
        <v>martin lloyd buckley martin buckley</v>
      </c>
      <c r="C6326" s="1" t="s">
        <v>24487</v>
      </c>
      <c r="F6326" s="1" t="s">
        <v>83</v>
      </c>
      <c r="H6326" s="1" t="s">
        <v>24488</v>
      </c>
      <c r="I6326" s="1" t="s">
        <v>5</v>
      </c>
      <c r="J6326" s="1" t="s">
        <v>6</v>
      </c>
      <c r="K6326" s="1" t="s">
        <v>24</v>
      </c>
      <c r="M6326" s="2">
        <v>42618</v>
      </c>
      <c r="N6326" s="1" t="s">
        <v>8</v>
      </c>
      <c r="O6326" s="2">
        <v>43713</v>
      </c>
    </row>
    <row r="6327" spans="1:15" ht="43.2" x14ac:dyDescent="0.3">
      <c r="A6327" s="1" t="s">
        <v>24489</v>
      </c>
      <c r="B6327" s="1" t="str">
        <f>"Randolph Smith 63 kingley cres stoonbroom"</f>
        <v>Randolph Smith 63 kingley cres stoonbroom</v>
      </c>
      <c r="C6327" s="1" t="s">
        <v>24490</v>
      </c>
      <c r="F6327" s="1" t="s">
        <v>13601</v>
      </c>
      <c r="H6327" s="1" t="s">
        <v>24491</v>
      </c>
      <c r="I6327" s="1" t="s">
        <v>5</v>
      </c>
      <c r="J6327" s="1" t="s">
        <v>6</v>
      </c>
      <c r="K6327" s="1" t="s">
        <v>24</v>
      </c>
      <c r="M6327" s="2">
        <v>42618</v>
      </c>
      <c r="N6327" s="1" t="s">
        <v>8</v>
      </c>
      <c r="O6327" s="2">
        <v>43713</v>
      </c>
    </row>
    <row r="6328" spans="1:15" ht="43.2" x14ac:dyDescent="0.3">
      <c r="A6328" s="1" t="s">
        <v>24492</v>
      </c>
      <c r="B6328" s="1" t="str">
        <f>"Phillip Della-Savina"</f>
        <v>Phillip Della-Savina</v>
      </c>
      <c r="C6328" s="1" t="s">
        <v>24493</v>
      </c>
      <c r="F6328" s="1" t="s">
        <v>5841</v>
      </c>
      <c r="H6328" s="1" t="s">
        <v>24494</v>
      </c>
      <c r="I6328" s="1" t="s">
        <v>5</v>
      </c>
      <c r="J6328" s="1" t="s">
        <v>67</v>
      </c>
      <c r="K6328" s="1" t="s">
        <v>14</v>
      </c>
      <c r="M6328" s="2">
        <v>42618</v>
      </c>
      <c r="N6328" s="1" t="s">
        <v>8</v>
      </c>
      <c r="O6328" s="1" t="s">
        <v>68</v>
      </c>
    </row>
    <row r="6329" spans="1:15" ht="43.2" x14ac:dyDescent="0.3">
      <c r="A6329" s="1" t="s">
        <v>24495</v>
      </c>
      <c r="B6329" s="1" t="str">
        <f>"Peter Johnson"</f>
        <v>Peter Johnson</v>
      </c>
      <c r="C6329" s="1" t="s">
        <v>24496</v>
      </c>
      <c r="F6329" s="1" t="s">
        <v>2961</v>
      </c>
      <c r="H6329" s="1" t="s">
        <v>24497</v>
      </c>
      <c r="I6329" s="1" t="s">
        <v>5</v>
      </c>
      <c r="J6329" s="1" t="s">
        <v>67</v>
      </c>
      <c r="K6329" s="1" t="s">
        <v>14</v>
      </c>
      <c r="M6329" s="2">
        <v>42618</v>
      </c>
      <c r="N6329" s="1" t="s">
        <v>8</v>
      </c>
      <c r="O6329" s="1" t="s">
        <v>68</v>
      </c>
    </row>
    <row r="6330" spans="1:15" ht="43.2" x14ac:dyDescent="0.3">
      <c r="A6330" s="1" t="s">
        <v>11495</v>
      </c>
      <c r="B6330" s="1" t="str">
        <f>"Swansea Tyre Clutch &amp; MOT Centre"</f>
        <v>Swansea Tyre Clutch &amp; MOT Centre</v>
      </c>
      <c r="C6330" s="1" t="s">
        <v>11496</v>
      </c>
      <c r="F6330" s="1" t="s">
        <v>64</v>
      </c>
      <c r="H6330" s="1" t="s">
        <v>703</v>
      </c>
      <c r="I6330" s="1" t="s">
        <v>19</v>
      </c>
      <c r="J6330" s="1" t="s">
        <v>67</v>
      </c>
      <c r="K6330" s="1" t="s">
        <v>14</v>
      </c>
      <c r="M6330" s="2">
        <v>42617</v>
      </c>
      <c r="N6330" s="1" t="s">
        <v>8</v>
      </c>
      <c r="O6330" s="1" t="s">
        <v>68</v>
      </c>
    </row>
    <row r="6331" spans="1:15" ht="28.8" x14ac:dyDescent="0.3">
      <c r="A6331" s="1" t="s">
        <v>24471</v>
      </c>
      <c r="B6331" s="1" t="str">
        <f>"Brenden Oliver recyc"</f>
        <v>Brenden Oliver recyc</v>
      </c>
      <c r="C6331" s="1" t="s">
        <v>24472</v>
      </c>
      <c r="F6331" s="1" t="s">
        <v>2711</v>
      </c>
      <c r="H6331" s="1" t="s">
        <v>22485</v>
      </c>
      <c r="I6331" s="1" t="s">
        <v>5</v>
      </c>
      <c r="J6331" s="1" t="s">
        <v>6</v>
      </c>
      <c r="K6331" s="1" t="s">
        <v>24</v>
      </c>
      <c r="M6331" s="2">
        <v>42617</v>
      </c>
      <c r="N6331" s="1" t="s">
        <v>8</v>
      </c>
      <c r="O6331" s="2">
        <v>43712</v>
      </c>
    </row>
    <row r="6332" spans="1:15" ht="28.8" x14ac:dyDescent="0.3">
      <c r="A6332" s="1" t="s">
        <v>24473</v>
      </c>
      <c r="B6332" s="1" t="str">
        <f>"Tony Cressey 87 Essex road "</f>
        <v xml:space="preserve">Tony Cressey 87 Essex road </v>
      </c>
      <c r="C6332" s="1" t="s">
        <v>24474</v>
      </c>
      <c r="F6332" s="1" t="s">
        <v>5904</v>
      </c>
      <c r="H6332" s="1" t="s">
        <v>24475</v>
      </c>
      <c r="I6332" s="1" t="s">
        <v>5</v>
      </c>
      <c r="J6332" s="1" t="s">
        <v>6</v>
      </c>
      <c r="K6332" s="1" t="s">
        <v>24</v>
      </c>
      <c r="M6332" s="2">
        <v>42617</v>
      </c>
      <c r="N6332" s="1" t="s">
        <v>8</v>
      </c>
      <c r="O6332" s="2">
        <v>43712</v>
      </c>
    </row>
    <row r="6333" spans="1:15" ht="43.2" x14ac:dyDescent="0.3">
      <c r="A6333" s="1" t="s">
        <v>24476</v>
      </c>
      <c r="B6333" s="1" t="str">
        <f>"Geraint Morgan"</f>
        <v>Geraint Morgan</v>
      </c>
      <c r="C6333" s="1" t="s">
        <v>24477</v>
      </c>
      <c r="D6333" s="1" t="s">
        <v>24478</v>
      </c>
      <c r="F6333" s="1" t="s">
        <v>37</v>
      </c>
      <c r="H6333" s="1" t="s">
        <v>24479</v>
      </c>
      <c r="I6333" s="1" t="s">
        <v>5</v>
      </c>
      <c r="J6333" s="1" t="s">
        <v>67</v>
      </c>
      <c r="K6333" s="1" t="s">
        <v>14</v>
      </c>
      <c r="M6333" s="2">
        <v>42617</v>
      </c>
      <c r="N6333" s="1" t="s">
        <v>8</v>
      </c>
      <c r="O6333" s="1" t="s">
        <v>68</v>
      </c>
    </row>
    <row r="6334" spans="1:15" ht="43.2" x14ac:dyDescent="0.3">
      <c r="A6334" s="1" t="s">
        <v>10486</v>
      </c>
      <c r="B6334" s="1" t="str">
        <f>"salpricate trading uk ltd"</f>
        <v>salpricate trading uk ltd</v>
      </c>
      <c r="C6334" s="1" t="s">
        <v>10487</v>
      </c>
      <c r="F6334" s="1" t="s">
        <v>10072</v>
      </c>
      <c r="H6334" s="1" t="s">
        <v>10488</v>
      </c>
      <c r="I6334" s="1" t="s">
        <v>19</v>
      </c>
      <c r="J6334" s="1" t="s">
        <v>67</v>
      </c>
      <c r="K6334" s="1" t="s">
        <v>14</v>
      </c>
      <c r="M6334" s="2">
        <v>42616</v>
      </c>
      <c r="N6334" s="1" t="s">
        <v>8</v>
      </c>
      <c r="O6334" s="1" t="s">
        <v>68</v>
      </c>
    </row>
    <row r="6335" spans="1:15" ht="43.2" x14ac:dyDescent="0.3">
      <c r="A6335" s="1" t="s">
        <v>10489</v>
      </c>
      <c r="B6335" s="1" t="str">
        <f>"sapricate trading uk plc"</f>
        <v>sapricate trading uk plc</v>
      </c>
      <c r="C6335" s="1" t="s">
        <v>10487</v>
      </c>
      <c r="F6335" s="1" t="s">
        <v>10072</v>
      </c>
      <c r="H6335" s="1" t="s">
        <v>10488</v>
      </c>
      <c r="I6335" s="1" t="s">
        <v>19</v>
      </c>
      <c r="J6335" s="1" t="s">
        <v>67</v>
      </c>
      <c r="K6335" s="1" t="s">
        <v>14</v>
      </c>
      <c r="M6335" s="2">
        <v>42616</v>
      </c>
      <c r="N6335" s="1" t="s">
        <v>8</v>
      </c>
      <c r="O6335" s="1" t="s">
        <v>68</v>
      </c>
    </row>
    <row r="6336" spans="1:15" ht="28.8" x14ac:dyDescent="0.3">
      <c r="A6336" s="1" t="s">
        <v>10465</v>
      </c>
      <c r="B6336" s="1" t="str">
        <f>"S A Roberts Groundworks Ltd."</f>
        <v>S A Roberts Groundworks Ltd.</v>
      </c>
      <c r="C6336" s="1" t="s">
        <v>10466</v>
      </c>
      <c r="F6336" s="1" t="s">
        <v>198</v>
      </c>
      <c r="H6336" s="1" t="s">
        <v>10467</v>
      </c>
      <c r="I6336" s="1" t="s">
        <v>19</v>
      </c>
      <c r="J6336" s="1" t="s">
        <v>6</v>
      </c>
      <c r="K6336" s="1" t="s">
        <v>24</v>
      </c>
      <c r="L6336" s="1">
        <v>3862457</v>
      </c>
      <c r="M6336" s="2">
        <v>42615</v>
      </c>
      <c r="N6336" s="1" t="s">
        <v>8</v>
      </c>
      <c r="O6336" s="2">
        <v>43710</v>
      </c>
    </row>
    <row r="6337" spans="1:15" ht="28.8" x14ac:dyDescent="0.3">
      <c r="A6337" s="1" t="s">
        <v>10468</v>
      </c>
      <c r="B6337" s="1" t="str">
        <f>"R &amp; J Griffiths"</f>
        <v>R &amp; J Griffiths</v>
      </c>
      <c r="C6337" s="1" t="s">
        <v>10469</v>
      </c>
      <c r="D6337" s="1" t="s">
        <v>10470</v>
      </c>
      <c r="F6337" s="1" t="s">
        <v>2950</v>
      </c>
      <c r="H6337" s="1" t="s">
        <v>10471</v>
      </c>
      <c r="I6337" s="1" t="s">
        <v>125</v>
      </c>
      <c r="J6337" s="1" t="s">
        <v>6</v>
      </c>
      <c r="K6337" s="1" t="s">
        <v>24</v>
      </c>
      <c r="M6337" s="2">
        <v>42615</v>
      </c>
      <c r="N6337" s="1" t="s">
        <v>8</v>
      </c>
      <c r="O6337" s="2">
        <v>43710</v>
      </c>
    </row>
    <row r="6338" spans="1:15" ht="28.8" x14ac:dyDescent="0.3">
      <c r="A6338" s="1" t="s">
        <v>10472</v>
      </c>
      <c r="B6338" s="1" t="str">
        <f>"Merthyr Tydfil Housing Association"</f>
        <v>Merthyr Tydfil Housing Association</v>
      </c>
      <c r="C6338" s="1" t="s">
        <v>10473</v>
      </c>
      <c r="F6338" s="1" t="s">
        <v>739</v>
      </c>
      <c r="H6338" s="1" t="s">
        <v>10474</v>
      </c>
      <c r="I6338" s="1" t="s">
        <v>125</v>
      </c>
      <c r="J6338" s="1" t="s">
        <v>6</v>
      </c>
      <c r="K6338" s="1" t="s">
        <v>24</v>
      </c>
      <c r="L6338" s="1" t="s">
        <v>10475</v>
      </c>
      <c r="M6338" s="2">
        <v>42615</v>
      </c>
      <c r="N6338" s="1" t="s">
        <v>8</v>
      </c>
      <c r="O6338" s="2">
        <v>43710</v>
      </c>
    </row>
    <row r="6339" spans="1:15" ht="43.2" x14ac:dyDescent="0.3">
      <c r="A6339" s="1" t="s">
        <v>10476</v>
      </c>
      <c r="B6339" s="1" t="str">
        <f>"Clwyd Compounders Ltd"</f>
        <v>Clwyd Compounders Ltd</v>
      </c>
      <c r="C6339" s="1" t="s">
        <v>6962</v>
      </c>
      <c r="F6339" s="1" t="s">
        <v>198</v>
      </c>
      <c r="H6339" s="1" t="s">
        <v>6963</v>
      </c>
      <c r="I6339" s="1" t="s">
        <v>19</v>
      </c>
      <c r="J6339" s="1" t="s">
        <v>67</v>
      </c>
      <c r="K6339" s="1" t="s">
        <v>14</v>
      </c>
      <c r="M6339" s="2">
        <v>42615</v>
      </c>
      <c r="N6339" s="1" t="s">
        <v>8</v>
      </c>
      <c r="O6339" s="1" t="s">
        <v>68</v>
      </c>
    </row>
    <row r="6340" spans="1:15" ht="43.2" x14ac:dyDescent="0.3">
      <c r="A6340" s="1" t="s">
        <v>10477</v>
      </c>
      <c r="B6340" s="1" t="str">
        <f>"SCRAP DEALER"</f>
        <v>SCRAP DEALER</v>
      </c>
      <c r="C6340" s="1" t="s">
        <v>10478</v>
      </c>
      <c r="F6340" s="1" t="s">
        <v>170</v>
      </c>
      <c r="H6340" s="1" t="s">
        <v>10479</v>
      </c>
      <c r="I6340" s="1" t="s">
        <v>188</v>
      </c>
      <c r="J6340" s="1" t="s">
        <v>67</v>
      </c>
      <c r="K6340" s="1" t="s">
        <v>14</v>
      </c>
      <c r="M6340" s="2">
        <v>42615</v>
      </c>
      <c r="N6340" s="1" t="s">
        <v>8</v>
      </c>
      <c r="O6340" s="1" t="s">
        <v>68</v>
      </c>
    </row>
    <row r="6341" spans="1:15" ht="28.8" x14ac:dyDescent="0.3">
      <c r="A6341" s="1" t="s">
        <v>10480</v>
      </c>
      <c r="B6341" s="1" t="str">
        <f>"CRL Group Limited"</f>
        <v>CRL Group Limited</v>
      </c>
      <c r="C6341" s="1" t="s">
        <v>10481</v>
      </c>
      <c r="D6341" s="1" t="s">
        <v>5967</v>
      </c>
      <c r="F6341" s="1" t="s">
        <v>359</v>
      </c>
      <c r="H6341" s="1" t="s">
        <v>10482</v>
      </c>
      <c r="I6341" s="1" t="s">
        <v>19</v>
      </c>
      <c r="J6341" s="1" t="s">
        <v>6</v>
      </c>
      <c r="K6341" s="1" t="s">
        <v>24</v>
      </c>
      <c r="L6341" s="1">
        <v>1472275</v>
      </c>
      <c r="M6341" s="2">
        <v>42615</v>
      </c>
      <c r="N6341" s="1" t="s">
        <v>8</v>
      </c>
      <c r="O6341" s="2">
        <v>43710</v>
      </c>
    </row>
    <row r="6342" spans="1:15" ht="28.8" x14ac:dyDescent="0.3">
      <c r="A6342" s="1" t="s">
        <v>10483</v>
      </c>
      <c r="B6342" s="1" t="str">
        <f>"BSD ROOFING LIMITED"</f>
        <v>BSD ROOFING LIMITED</v>
      </c>
      <c r="C6342" s="1" t="s">
        <v>10484</v>
      </c>
      <c r="F6342" s="1" t="s">
        <v>8841</v>
      </c>
      <c r="H6342" s="1" t="s">
        <v>10485</v>
      </c>
      <c r="I6342" s="1" t="s">
        <v>19</v>
      </c>
      <c r="J6342" s="1" t="s">
        <v>6</v>
      </c>
      <c r="K6342" s="1" t="s">
        <v>34</v>
      </c>
      <c r="L6342" s="1">
        <v>7259586</v>
      </c>
      <c r="M6342" s="2">
        <v>42615</v>
      </c>
      <c r="N6342" s="1" t="s">
        <v>8</v>
      </c>
      <c r="O6342" s="2">
        <v>43710</v>
      </c>
    </row>
    <row r="6343" spans="1:15" ht="43.2" x14ac:dyDescent="0.3">
      <c r="A6343" s="1" t="s">
        <v>23637</v>
      </c>
      <c r="B6343" s="1" t="str">
        <f>"Alan Williams A m Williams plumbing and heating"</f>
        <v>Alan Williams A m Williams plumbing and heating</v>
      </c>
      <c r="C6343" s="1" t="s">
        <v>4089</v>
      </c>
      <c r="F6343" s="1" t="s">
        <v>1051</v>
      </c>
      <c r="H6343" s="1" t="s">
        <v>4090</v>
      </c>
      <c r="I6343" s="1" t="s">
        <v>5</v>
      </c>
      <c r="J6343" s="1" t="s">
        <v>6</v>
      </c>
      <c r="K6343" s="1" t="s">
        <v>24</v>
      </c>
      <c r="M6343" s="2">
        <v>42615</v>
      </c>
      <c r="N6343" s="1" t="s">
        <v>8</v>
      </c>
      <c r="O6343" s="2">
        <v>43710</v>
      </c>
    </row>
    <row r="6344" spans="1:15" ht="43.2" x14ac:dyDescent="0.3">
      <c r="A6344" s="1" t="s">
        <v>23638</v>
      </c>
      <c r="B6344" s="1" t="str">
        <f>"Daniel  Jones"</f>
        <v>Daniel  Jones</v>
      </c>
      <c r="C6344" s="1" t="s">
        <v>23639</v>
      </c>
      <c r="F6344" s="1" t="s">
        <v>23640</v>
      </c>
      <c r="H6344" s="1" t="s">
        <v>23641</v>
      </c>
      <c r="I6344" s="1" t="s">
        <v>5</v>
      </c>
      <c r="J6344" s="1" t="s">
        <v>67</v>
      </c>
      <c r="K6344" s="1" t="s">
        <v>14</v>
      </c>
      <c r="M6344" s="2">
        <v>42615</v>
      </c>
      <c r="N6344" s="1" t="s">
        <v>8</v>
      </c>
      <c r="O6344" s="1" t="s">
        <v>68</v>
      </c>
    </row>
    <row r="6345" spans="1:15" ht="28.8" x14ac:dyDescent="0.3">
      <c r="A6345" s="1" t="s">
        <v>9362</v>
      </c>
      <c r="B6345" s="1" t="str">
        <f>"Pride Developments Ltd"</f>
        <v>Pride Developments Ltd</v>
      </c>
      <c r="C6345" s="1" t="s">
        <v>9363</v>
      </c>
      <c r="D6345" s="1" t="s">
        <v>9364</v>
      </c>
      <c r="F6345" s="1" t="s">
        <v>9365</v>
      </c>
      <c r="H6345" s="1" t="s">
        <v>9366</v>
      </c>
      <c r="I6345" s="1" t="s">
        <v>19</v>
      </c>
      <c r="J6345" s="1" t="s">
        <v>6</v>
      </c>
      <c r="K6345" s="1" t="s">
        <v>24</v>
      </c>
      <c r="L6345" s="1">
        <v>6679882</v>
      </c>
      <c r="M6345" s="2">
        <v>42614</v>
      </c>
      <c r="N6345" s="1" t="s">
        <v>8</v>
      </c>
      <c r="O6345" s="2">
        <v>43709</v>
      </c>
    </row>
    <row r="6346" spans="1:15" ht="28.8" x14ac:dyDescent="0.3">
      <c r="A6346" s="1" t="s">
        <v>9367</v>
      </c>
      <c r="B6346" s="1" t="str">
        <f>"ECO CARBON TRADERS LIMITED"</f>
        <v>ECO CARBON TRADERS LIMITED</v>
      </c>
      <c r="C6346" s="1" t="s">
        <v>9368</v>
      </c>
      <c r="D6346" s="1" t="s">
        <v>1937</v>
      </c>
      <c r="F6346" s="1" t="s">
        <v>156</v>
      </c>
      <c r="H6346" s="1" t="s">
        <v>9369</v>
      </c>
      <c r="I6346" s="1" t="s">
        <v>19</v>
      </c>
      <c r="J6346" s="1" t="s">
        <v>6</v>
      </c>
      <c r="K6346" s="1" t="s">
        <v>34</v>
      </c>
      <c r="L6346" s="1">
        <v>8619571</v>
      </c>
      <c r="M6346" s="2">
        <v>42614</v>
      </c>
      <c r="N6346" s="1" t="s">
        <v>8</v>
      </c>
      <c r="O6346" s="2">
        <v>43709</v>
      </c>
    </row>
    <row r="6347" spans="1:15" ht="28.8" x14ac:dyDescent="0.3">
      <c r="A6347" s="1" t="s">
        <v>9370</v>
      </c>
      <c r="B6347" s="1" t="str">
        <f>"Alwyn Jones Ltd."</f>
        <v>Alwyn Jones Ltd.</v>
      </c>
      <c r="C6347" s="1" t="s">
        <v>8431</v>
      </c>
      <c r="F6347" s="1" t="s">
        <v>2434</v>
      </c>
      <c r="H6347" s="1" t="s">
        <v>8432</v>
      </c>
      <c r="I6347" s="1" t="s">
        <v>19</v>
      </c>
      <c r="J6347" s="1" t="s">
        <v>6</v>
      </c>
      <c r="K6347" s="1" t="s">
        <v>24</v>
      </c>
      <c r="L6347" s="1">
        <v>4259982</v>
      </c>
      <c r="M6347" s="2">
        <v>42614</v>
      </c>
      <c r="N6347" s="1" t="s">
        <v>8</v>
      </c>
      <c r="O6347" s="2">
        <v>43709</v>
      </c>
    </row>
    <row r="6348" spans="1:15" ht="28.8" x14ac:dyDescent="0.3">
      <c r="A6348" s="1" t="s">
        <v>9371</v>
      </c>
      <c r="B6348" s="1" t="str">
        <f>"BRYN THOMAS CRANES LTD"</f>
        <v>BRYN THOMAS CRANES LTD</v>
      </c>
      <c r="C6348" s="1" t="s">
        <v>9372</v>
      </c>
      <c r="F6348" s="1" t="s">
        <v>4507</v>
      </c>
      <c r="H6348" s="1" t="s">
        <v>2687</v>
      </c>
      <c r="I6348" s="1" t="s">
        <v>19</v>
      </c>
      <c r="J6348" s="1" t="s">
        <v>6</v>
      </c>
      <c r="K6348" s="1" t="s">
        <v>34</v>
      </c>
      <c r="L6348" s="1">
        <v>7436233</v>
      </c>
      <c r="M6348" s="2">
        <v>42614</v>
      </c>
      <c r="N6348" s="1" t="s">
        <v>8</v>
      </c>
      <c r="O6348" s="2">
        <v>43722</v>
      </c>
    </row>
    <row r="6349" spans="1:15" ht="28.8" x14ac:dyDescent="0.3">
      <c r="A6349" s="1" t="s">
        <v>9373</v>
      </c>
      <c r="B6349" s="1" t="str">
        <f>"GEOFF BINNION GAS SERVICES LIMITED"</f>
        <v>GEOFF BINNION GAS SERVICES LIMITED</v>
      </c>
      <c r="C6349" s="1" t="s">
        <v>9374</v>
      </c>
      <c r="F6349" s="1" t="s">
        <v>198</v>
      </c>
      <c r="H6349" s="1" t="s">
        <v>9375</v>
      </c>
      <c r="I6349" s="1" t="s">
        <v>19</v>
      </c>
      <c r="J6349" s="1" t="s">
        <v>6</v>
      </c>
      <c r="K6349" s="1" t="s">
        <v>24</v>
      </c>
      <c r="L6349" s="1">
        <v>7212303</v>
      </c>
      <c r="M6349" s="2">
        <v>42614</v>
      </c>
      <c r="N6349" s="1" t="s">
        <v>8</v>
      </c>
      <c r="O6349" s="2">
        <v>43709</v>
      </c>
    </row>
    <row r="6350" spans="1:15" ht="28.8" x14ac:dyDescent="0.3">
      <c r="A6350" s="1" t="s">
        <v>9376</v>
      </c>
      <c r="B6350" s="1" t="str">
        <f>"Finishing Touches Cleaning Ltd"</f>
        <v>Finishing Touches Cleaning Ltd</v>
      </c>
      <c r="C6350" s="1" t="s">
        <v>9377</v>
      </c>
      <c r="D6350" s="1" t="s">
        <v>6219</v>
      </c>
      <c r="F6350" s="1" t="s">
        <v>42</v>
      </c>
      <c r="H6350" s="1" t="s">
        <v>9378</v>
      </c>
      <c r="I6350" s="1" t="s">
        <v>19</v>
      </c>
      <c r="J6350" s="1" t="s">
        <v>6</v>
      </c>
      <c r="K6350" s="1" t="s">
        <v>24</v>
      </c>
      <c r="L6350" s="1">
        <v>9040362</v>
      </c>
      <c r="M6350" s="2">
        <v>42614</v>
      </c>
      <c r="N6350" s="1" t="s">
        <v>8</v>
      </c>
      <c r="O6350" s="2">
        <v>43709</v>
      </c>
    </row>
    <row r="6351" spans="1:15" ht="28.8" x14ac:dyDescent="0.3">
      <c r="A6351" s="1" t="s">
        <v>10462</v>
      </c>
      <c r="B6351" s="1" t="str">
        <f>"G. L. Davies a'i Fab"</f>
        <v>G. L. Davies a'i Fab</v>
      </c>
      <c r="C6351" s="1" t="s">
        <v>10463</v>
      </c>
      <c r="F6351" s="1" t="s">
        <v>1400</v>
      </c>
      <c r="H6351" s="1" t="s">
        <v>10464</v>
      </c>
      <c r="I6351" s="1" t="s">
        <v>125</v>
      </c>
      <c r="J6351" s="1" t="s">
        <v>6</v>
      </c>
      <c r="K6351" s="1" t="s">
        <v>24</v>
      </c>
      <c r="M6351" s="2">
        <v>42614</v>
      </c>
      <c r="N6351" s="1" t="s">
        <v>8</v>
      </c>
      <c r="O6351" s="2">
        <v>43709</v>
      </c>
    </row>
    <row r="6352" spans="1:15" ht="43.2" x14ac:dyDescent="0.3">
      <c r="A6352" s="1" t="s">
        <v>22849</v>
      </c>
      <c r="B6352" s="1" t="str">
        <f>"Graham Goodwin"</f>
        <v>Graham Goodwin</v>
      </c>
      <c r="C6352" s="1" t="s">
        <v>22850</v>
      </c>
      <c r="F6352" s="1" t="s">
        <v>146</v>
      </c>
      <c r="H6352" s="1" t="s">
        <v>22851</v>
      </c>
      <c r="I6352" s="1" t="s">
        <v>5</v>
      </c>
      <c r="J6352" s="1" t="s">
        <v>67</v>
      </c>
      <c r="K6352" s="1" t="s">
        <v>14</v>
      </c>
      <c r="M6352" s="2">
        <v>42614</v>
      </c>
      <c r="N6352" s="1" t="s">
        <v>8</v>
      </c>
      <c r="O6352" s="1" t="s">
        <v>68</v>
      </c>
    </row>
    <row r="6353" spans="1:15" ht="28.8" x14ac:dyDescent="0.3">
      <c r="A6353" s="1" t="s">
        <v>22852</v>
      </c>
      <c r="B6353" s="1" t="str">
        <f>"Craig Evans Shovel&amp;Shift"</f>
        <v>Craig Evans Shovel&amp;Shift</v>
      </c>
      <c r="C6353" s="1" t="s">
        <v>22853</v>
      </c>
      <c r="F6353" s="1" t="s">
        <v>27</v>
      </c>
      <c r="H6353" s="1" t="s">
        <v>22854</v>
      </c>
      <c r="I6353" s="1" t="s">
        <v>5</v>
      </c>
      <c r="J6353" s="1" t="s">
        <v>6</v>
      </c>
      <c r="K6353" s="1" t="s">
        <v>24</v>
      </c>
      <c r="M6353" s="2">
        <v>42614</v>
      </c>
      <c r="N6353" s="1" t="s">
        <v>8</v>
      </c>
      <c r="O6353" s="2">
        <v>43709</v>
      </c>
    </row>
    <row r="6354" spans="1:15" ht="28.8" x14ac:dyDescent="0.3">
      <c r="A6354" s="1" t="s">
        <v>22855</v>
      </c>
      <c r="B6354" s="1" t="str">
        <f>"Ian Blain Roberts and Blain"</f>
        <v>Ian Blain Roberts and Blain</v>
      </c>
      <c r="C6354" s="1" t="s">
        <v>22856</v>
      </c>
      <c r="D6354" s="1" t="s">
        <v>7222</v>
      </c>
      <c r="F6354" s="1" t="s">
        <v>1260</v>
      </c>
      <c r="H6354" s="1" t="s">
        <v>22857</v>
      </c>
      <c r="I6354" s="1" t="s">
        <v>5</v>
      </c>
      <c r="J6354" s="1" t="s">
        <v>6</v>
      </c>
      <c r="K6354" s="1" t="s">
        <v>24</v>
      </c>
      <c r="M6354" s="2">
        <v>42614</v>
      </c>
      <c r="N6354" s="1" t="s">
        <v>8</v>
      </c>
      <c r="O6354" s="2">
        <v>43709</v>
      </c>
    </row>
    <row r="6355" spans="1:15" x14ac:dyDescent="0.3">
      <c r="A6355" s="1" t="s">
        <v>22858</v>
      </c>
      <c r="B6355" s="1" t="str">
        <f>"Timothy Faulkner T.J's"</f>
        <v>Timothy Faulkner T.J's</v>
      </c>
      <c r="C6355" s="1" t="s">
        <v>22859</v>
      </c>
      <c r="D6355" s="1" t="s">
        <v>7222</v>
      </c>
      <c r="F6355" s="1" t="s">
        <v>1260</v>
      </c>
      <c r="H6355" s="1" t="s">
        <v>22860</v>
      </c>
      <c r="I6355" s="1" t="s">
        <v>5</v>
      </c>
      <c r="J6355" s="1" t="s">
        <v>6</v>
      </c>
      <c r="K6355" s="1" t="s">
        <v>24</v>
      </c>
      <c r="M6355" s="2">
        <v>42614</v>
      </c>
      <c r="N6355" s="1" t="s">
        <v>8</v>
      </c>
      <c r="O6355" s="2">
        <v>43709</v>
      </c>
    </row>
    <row r="6356" spans="1:15" ht="43.2" x14ac:dyDescent="0.3">
      <c r="A6356" s="1" t="s">
        <v>22861</v>
      </c>
      <c r="B6356" s="1" t="str">
        <f>"Peter Taylor"</f>
        <v>Peter Taylor</v>
      </c>
      <c r="C6356" s="1" t="s">
        <v>22862</v>
      </c>
      <c r="F6356" s="1" t="s">
        <v>865</v>
      </c>
      <c r="H6356" s="1" t="s">
        <v>22863</v>
      </c>
      <c r="I6356" s="1" t="s">
        <v>5</v>
      </c>
      <c r="J6356" s="1" t="s">
        <v>67</v>
      </c>
      <c r="K6356" s="1" t="s">
        <v>24</v>
      </c>
      <c r="M6356" s="2">
        <v>42614</v>
      </c>
      <c r="N6356" s="1" t="s">
        <v>8</v>
      </c>
      <c r="O6356" s="1" t="s">
        <v>68</v>
      </c>
    </row>
    <row r="6357" spans="1:15" ht="43.2" x14ac:dyDescent="0.3">
      <c r="A6357" s="1" t="s">
        <v>23627</v>
      </c>
      <c r="B6357" s="1" t="str">
        <f>"Mike Fox"</f>
        <v>Mike Fox</v>
      </c>
      <c r="C6357" s="1" t="s">
        <v>23628</v>
      </c>
      <c r="F6357" s="1" t="s">
        <v>65</v>
      </c>
      <c r="H6357" s="1" t="s">
        <v>23629</v>
      </c>
      <c r="I6357" s="1" t="s">
        <v>5</v>
      </c>
      <c r="J6357" s="1" t="s">
        <v>67</v>
      </c>
      <c r="K6357" s="1" t="s">
        <v>14</v>
      </c>
      <c r="M6357" s="2">
        <v>42614</v>
      </c>
      <c r="N6357" s="1" t="s">
        <v>8</v>
      </c>
      <c r="O6357" s="1" t="s">
        <v>68</v>
      </c>
    </row>
    <row r="6358" spans="1:15" ht="43.2" x14ac:dyDescent="0.3">
      <c r="A6358" s="1" t="s">
        <v>23630</v>
      </c>
      <c r="B6358" s="1" t="str">
        <f>"John Barry  Williams M B Williams Building Contractors"</f>
        <v>John Barry  Williams M B Williams Building Contractors</v>
      </c>
      <c r="C6358" s="1" t="s">
        <v>23631</v>
      </c>
      <c r="D6358" s="1" t="s">
        <v>23632</v>
      </c>
      <c r="F6358" s="1" t="s">
        <v>710</v>
      </c>
      <c r="H6358" s="1" t="s">
        <v>23633</v>
      </c>
      <c r="I6358" s="1" t="s">
        <v>5</v>
      </c>
      <c r="J6358" s="1" t="s">
        <v>6</v>
      </c>
      <c r="K6358" s="1" t="s">
        <v>24</v>
      </c>
      <c r="M6358" s="2">
        <v>42614</v>
      </c>
      <c r="N6358" s="1" t="s">
        <v>8</v>
      </c>
      <c r="O6358" s="2">
        <v>43709</v>
      </c>
    </row>
    <row r="6359" spans="1:15" ht="43.2" x14ac:dyDescent="0.3">
      <c r="A6359" s="1" t="s">
        <v>23634</v>
      </c>
      <c r="B6359" s="1" t="str">
        <f>"David Morrissey MOZBROZ GENERAL BUILDER"</f>
        <v>David Morrissey MOZBROZ GENERAL BUILDER</v>
      </c>
      <c r="C6359" s="1" t="s">
        <v>23635</v>
      </c>
      <c r="F6359" s="1" t="s">
        <v>3242</v>
      </c>
      <c r="H6359" s="1" t="s">
        <v>23636</v>
      </c>
      <c r="I6359" s="1" t="s">
        <v>5</v>
      </c>
      <c r="J6359" s="1" t="s">
        <v>6</v>
      </c>
      <c r="K6359" s="1" t="s">
        <v>24</v>
      </c>
      <c r="M6359" s="2">
        <v>42614</v>
      </c>
      <c r="N6359" s="1" t="s">
        <v>8</v>
      </c>
      <c r="O6359" s="2">
        <v>43709</v>
      </c>
    </row>
    <row r="6360" spans="1:15" ht="28.8" x14ac:dyDescent="0.3">
      <c r="A6360" s="1" t="s">
        <v>8188</v>
      </c>
      <c r="B6360" s="1" t="str">
        <f>"City and County of Swansea"</f>
        <v>City and County of Swansea</v>
      </c>
      <c r="C6360" s="1" t="s">
        <v>8189</v>
      </c>
      <c r="F6360" s="1" t="s">
        <v>65</v>
      </c>
      <c r="H6360" s="1" t="s">
        <v>8190</v>
      </c>
      <c r="I6360" s="1" t="s">
        <v>188</v>
      </c>
      <c r="J6360" s="1" t="s">
        <v>6</v>
      </c>
      <c r="K6360" s="1" t="s">
        <v>34</v>
      </c>
      <c r="M6360" s="2">
        <v>42613</v>
      </c>
      <c r="N6360" s="1" t="s">
        <v>8</v>
      </c>
      <c r="O6360" s="2">
        <v>43708</v>
      </c>
    </row>
    <row r="6361" spans="1:15" ht="43.2" x14ac:dyDescent="0.3">
      <c r="A6361" s="1" t="s">
        <v>8191</v>
      </c>
      <c r="B6361" s="1" t="str">
        <f>"LLANTWIT MAJOR AUTOCENTRE"</f>
        <v>LLANTWIT MAJOR AUTOCENTRE</v>
      </c>
      <c r="C6361" s="1" t="s">
        <v>8192</v>
      </c>
      <c r="F6361" s="1" t="s">
        <v>504</v>
      </c>
      <c r="H6361" s="1" t="s">
        <v>8193</v>
      </c>
      <c r="I6361" s="1" t="s">
        <v>19</v>
      </c>
      <c r="J6361" s="1" t="s">
        <v>67</v>
      </c>
      <c r="K6361" s="1" t="s">
        <v>14</v>
      </c>
      <c r="M6361" s="2">
        <v>42613</v>
      </c>
      <c r="N6361" s="1" t="s">
        <v>8</v>
      </c>
      <c r="O6361" s="1" t="s">
        <v>68</v>
      </c>
    </row>
    <row r="6362" spans="1:15" ht="28.8" x14ac:dyDescent="0.3">
      <c r="A6362" s="1" t="s">
        <v>8194</v>
      </c>
      <c r="B6362" s="1" t="str">
        <f>"llantwit major autocentre ltd"</f>
        <v>llantwit major autocentre ltd</v>
      </c>
      <c r="C6362" s="1" t="s">
        <v>8192</v>
      </c>
      <c r="F6362" s="1" t="s">
        <v>504</v>
      </c>
      <c r="H6362" s="1" t="s">
        <v>8193</v>
      </c>
      <c r="I6362" s="1" t="s">
        <v>19</v>
      </c>
      <c r="J6362" s="1" t="s">
        <v>6</v>
      </c>
      <c r="K6362" s="1" t="s">
        <v>24</v>
      </c>
      <c r="L6362" s="1">
        <v>4828405</v>
      </c>
      <c r="M6362" s="2">
        <v>42613</v>
      </c>
      <c r="N6362" s="1" t="s">
        <v>8</v>
      </c>
      <c r="O6362" s="2">
        <v>43708</v>
      </c>
    </row>
    <row r="6363" spans="1:15" ht="28.8" x14ac:dyDescent="0.3">
      <c r="A6363" s="1" t="s">
        <v>8195</v>
      </c>
      <c r="B6363" s="1" t="str">
        <f>"Transformations Wales Ltd."</f>
        <v>Transformations Wales Ltd.</v>
      </c>
      <c r="C6363" s="1" t="s">
        <v>8196</v>
      </c>
      <c r="F6363" s="1" t="s">
        <v>174</v>
      </c>
      <c r="H6363" s="1" t="s">
        <v>8197</v>
      </c>
      <c r="I6363" s="1" t="s">
        <v>19</v>
      </c>
      <c r="J6363" s="1" t="s">
        <v>6</v>
      </c>
      <c r="K6363" s="1" t="s">
        <v>34</v>
      </c>
      <c r="L6363" s="1">
        <v>6003224</v>
      </c>
      <c r="M6363" s="2">
        <v>42613</v>
      </c>
      <c r="N6363" s="1" t="s">
        <v>8</v>
      </c>
      <c r="O6363" s="2">
        <v>43708</v>
      </c>
    </row>
    <row r="6364" spans="1:15" ht="28.8" x14ac:dyDescent="0.3">
      <c r="A6364" s="1" t="s">
        <v>8198</v>
      </c>
      <c r="B6364" s="1" t="str">
        <f>"EW GRIFFITHS CYF"</f>
        <v>EW GRIFFITHS CYF</v>
      </c>
      <c r="C6364" s="1" t="s">
        <v>8199</v>
      </c>
      <c r="D6364" s="1" t="s">
        <v>8200</v>
      </c>
      <c r="F6364" s="1" t="s">
        <v>8201</v>
      </c>
      <c r="H6364" s="1" t="s">
        <v>8202</v>
      </c>
      <c r="I6364" s="1" t="s">
        <v>19</v>
      </c>
      <c r="J6364" s="1" t="s">
        <v>6</v>
      </c>
      <c r="K6364" s="1" t="s">
        <v>34</v>
      </c>
      <c r="L6364" s="1">
        <v>4992673</v>
      </c>
      <c r="M6364" s="2">
        <v>42613</v>
      </c>
      <c r="N6364" s="1" t="s">
        <v>8</v>
      </c>
      <c r="O6364" s="2">
        <v>43708</v>
      </c>
    </row>
    <row r="6365" spans="1:15" x14ac:dyDescent="0.3">
      <c r="A6365" s="1" t="s">
        <v>9356</v>
      </c>
      <c r="B6365" s="1" t="str">
        <f>"Karl Jones &amp; Sons Ltd."</f>
        <v>Karl Jones &amp; Sons Ltd.</v>
      </c>
      <c r="C6365" s="1" t="s">
        <v>9357</v>
      </c>
      <c r="D6365" s="1" t="s">
        <v>5644</v>
      </c>
      <c r="F6365" s="1" t="s">
        <v>6400</v>
      </c>
      <c r="H6365" s="1" t="s">
        <v>9358</v>
      </c>
      <c r="I6365" s="1" t="s">
        <v>19</v>
      </c>
      <c r="J6365" s="1" t="s">
        <v>6</v>
      </c>
      <c r="K6365" s="1" t="s">
        <v>24</v>
      </c>
      <c r="L6365" s="1">
        <v>5451653</v>
      </c>
      <c r="M6365" s="2">
        <v>42613</v>
      </c>
      <c r="N6365" s="1" t="s">
        <v>8</v>
      </c>
      <c r="O6365" s="2">
        <v>43708</v>
      </c>
    </row>
    <row r="6366" spans="1:15" ht="43.2" x14ac:dyDescent="0.3">
      <c r="A6366" s="1" t="s">
        <v>9359</v>
      </c>
      <c r="B6366" s="1" t="str">
        <f>"PENTLEPOIR GARAGE LTD"</f>
        <v>PENTLEPOIR GARAGE LTD</v>
      </c>
      <c r="C6366" s="1" t="s">
        <v>9360</v>
      </c>
      <c r="F6366" s="1" t="s">
        <v>5291</v>
      </c>
      <c r="H6366" s="1" t="s">
        <v>9361</v>
      </c>
      <c r="I6366" s="1" t="s">
        <v>19</v>
      </c>
      <c r="J6366" s="1" t="s">
        <v>67</v>
      </c>
      <c r="K6366" s="1" t="s">
        <v>14</v>
      </c>
      <c r="M6366" s="2">
        <v>42613</v>
      </c>
      <c r="N6366" s="1" t="s">
        <v>8</v>
      </c>
      <c r="O6366" s="1" t="s">
        <v>68</v>
      </c>
    </row>
    <row r="6367" spans="1:15" ht="28.8" x14ac:dyDescent="0.3">
      <c r="A6367" s="1" t="s">
        <v>22091</v>
      </c>
      <c r="B6367" s="1" t="str">
        <f>"IAIN WILLIAM  RITCHIE-PROUDFOOT"</f>
        <v>IAIN WILLIAM  RITCHIE-PROUDFOOT</v>
      </c>
      <c r="C6367" s="1" t="s">
        <v>22092</v>
      </c>
      <c r="F6367" s="1" t="s">
        <v>65</v>
      </c>
      <c r="H6367" s="1" t="s">
        <v>22093</v>
      </c>
      <c r="I6367" s="1" t="s">
        <v>5</v>
      </c>
      <c r="J6367" s="1" t="s">
        <v>6</v>
      </c>
      <c r="K6367" s="1" t="s">
        <v>24</v>
      </c>
      <c r="M6367" s="2">
        <v>42613</v>
      </c>
      <c r="N6367" s="1" t="s">
        <v>8</v>
      </c>
      <c r="O6367" s="2">
        <v>43708</v>
      </c>
    </row>
    <row r="6368" spans="1:15" ht="28.8" x14ac:dyDescent="0.3">
      <c r="A6368" s="1" t="s">
        <v>22094</v>
      </c>
      <c r="B6368" s="1" t="str">
        <f>"Gavin O'shea Go Maintenance "</f>
        <v xml:space="preserve">Gavin O'shea Go Maintenance </v>
      </c>
      <c r="C6368" s="1" t="s">
        <v>22095</v>
      </c>
      <c r="F6368" s="1" t="s">
        <v>3726</v>
      </c>
      <c r="H6368" s="1" t="s">
        <v>22096</v>
      </c>
      <c r="I6368" s="1" t="s">
        <v>5</v>
      </c>
      <c r="J6368" s="1" t="s">
        <v>6</v>
      </c>
      <c r="K6368" s="1" t="s">
        <v>34</v>
      </c>
      <c r="M6368" s="2">
        <v>42613</v>
      </c>
      <c r="N6368" s="1" t="s">
        <v>8</v>
      </c>
      <c r="O6368" s="2">
        <v>43708</v>
      </c>
    </row>
    <row r="6369" spans="1:15" ht="28.8" x14ac:dyDescent="0.3">
      <c r="A6369" s="1" t="s">
        <v>22841</v>
      </c>
      <c r="B6369" s="1" t="str">
        <f>"Shaun Mccarthy Swansea West"</f>
        <v>Shaun Mccarthy Swansea West</v>
      </c>
      <c r="C6369" s="1" t="s">
        <v>22842</v>
      </c>
      <c r="F6369" s="1" t="s">
        <v>65</v>
      </c>
      <c r="H6369" s="1" t="s">
        <v>22843</v>
      </c>
      <c r="I6369" s="1" t="s">
        <v>5</v>
      </c>
      <c r="J6369" s="1" t="s">
        <v>6</v>
      </c>
      <c r="K6369" s="1" t="s">
        <v>34</v>
      </c>
      <c r="M6369" s="2">
        <v>42613</v>
      </c>
      <c r="N6369" s="1" t="s">
        <v>8</v>
      </c>
      <c r="O6369" s="2">
        <v>43708</v>
      </c>
    </row>
    <row r="6370" spans="1:15" ht="43.2" x14ac:dyDescent="0.3">
      <c r="A6370" s="1" t="s">
        <v>22844</v>
      </c>
      <c r="B6370" s="1" t="str">
        <f>"Andrew Evans"</f>
        <v>Andrew Evans</v>
      </c>
      <c r="C6370" s="1" t="s">
        <v>22845</v>
      </c>
      <c r="F6370" s="1" t="s">
        <v>65</v>
      </c>
      <c r="H6370" s="1" t="s">
        <v>10321</v>
      </c>
      <c r="I6370" s="1" t="s">
        <v>5</v>
      </c>
      <c r="J6370" s="1" t="s">
        <v>67</v>
      </c>
      <c r="K6370" s="1" t="s">
        <v>14</v>
      </c>
      <c r="M6370" s="2">
        <v>42613</v>
      </c>
      <c r="N6370" s="1" t="s">
        <v>8</v>
      </c>
      <c r="O6370" s="1" t="s">
        <v>68</v>
      </c>
    </row>
    <row r="6371" spans="1:15" ht="28.8" x14ac:dyDescent="0.3">
      <c r="A6371" s="1" t="s">
        <v>22846</v>
      </c>
      <c r="B6371" s="1" t="str">
        <f>"Anthony Jenkins A&amp;J Landscapes"</f>
        <v>Anthony Jenkins A&amp;J Landscapes</v>
      </c>
      <c r="C6371" s="1" t="s">
        <v>22847</v>
      </c>
      <c r="F6371" s="1" t="s">
        <v>27</v>
      </c>
      <c r="H6371" s="1" t="s">
        <v>22848</v>
      </c>
      <c r="I6371" s="1" t="s">
        <v>5</v>
      </c>
      <c r="J6371" s="1" t="s">
        <v>6</v>
      </c>
      <c r="K6371" s="1" t="s">
        <v>24</v>
      </c>
      <c r="M6371" s="2">
        <v>42613</v>
      </c>
      <c r="N6371" s="1" t="s">
        <v>8</v>
      </c>
      <c r="O6371" s="2">
        <v>43708</v>
      </c>
    </row>
    <row r="6372" spans="1:15" ht="28.8" x14ac:dyDescent="0.3">
      <c r="A6372" s="1" t="s">
        <v>7079</v>
      </c>
      <c r="B6372" s="1" t="str">
        <f>"AKR DEVELOPMENTS LTD"</f>
        <v>AKR DEVELOPMENTS LTD</v>
      </c>
      <c r="C6372" s="1" t="s">
        <v>7080</v>
      </c>
      <c r="F6372" s="1" t="s">
        <v>710</v>
      </c>
      <c r="H6372" s="1" t="s">
        <v>7081</v>
      </c>
      <c r="I6372" s="1" t="s">
        <v>19</v>
      </c>
      <c r="J6372" s="1" t="s">
        <v>6</v>
      </c>
      <c r="K6372" s="1" t="s">
        <v>24</v>
      </c>
      <c r="L6372" s="1">
        <v>5569569</v>
      </c>
      <c r="M6372" s="2">
        <v>42612</v>
      </c>
      <c r="N6372" s="1" t="s">
        <v>8</v>
      </c>
      <c r="O6372" s="2">
        <v>43707</v>
      </c>
    </row>
    <row r="6373" spans="1:15" ht="43.2" x14ac:dyDescent="0.3">
      <c r="A6373" s="1" t="s">
        <v>7082</v>
      </c>
      <c r="B6373" s="1" t="str">
        <f>"IGLUN STORITVE D.O.O."</f>
        <v>IGLUN STORITVE D.O.O.</v>
      </c>
      <c r="C6373" s="1" t="s">
        <v>7083</v>
      </c>
      <c r="D6373" s="1" t="s">
        <v>7084</v>
      </c>
      <c r="G6373" s="1" t="s">
        <v>7085</v>
      </c>
      <c r="I6373" s="1" t="s">
        <v>19</v>
      </c>
      <c r="J6373" s="1" t="s">
        <v>67</v>
      </c>
      <c r="K6373" s="1" t="s">
        <v>24</v>
      </c>
      <c r="M6373" s="2">
        <v>42612</v>
      </c>
      <c r="N6373" s="1" t="s">
        <v>8</v>
      </c>
      <c r="O6373" s="1" t="s">
        <v>68</v>
      </c>
    </row>
    <row r="6374" spans="1:15" ht="28.8" x14ac:dyDescent="0.3">
      <c r="A6374" s="1" t="s">
        <v>8185</v>
      </c>
      <c r="B6374" s="1" t="str">
        <f>"Gary Catton Haulage Ltd."</f>
        <v>Gary Catton Haulage Ltd.</v>
      </c>
      <c r="C6374" s="1" t="s">
        <v>8186</v>
      </c>
      <c r="F6374" s="1" t="s">
        <v>1346</v>
      </c>
      <c r="H6374" s="1" t="s">
        <v>8187</v>
      </c>
      <c r="I6374" s="1" t="s">
        <v>19</v>
      </c>
      <c r="J6374" s="1" t="s">
        <v>6</v>
      </c>
      <c r="K6374" s="1" t="s">
        <v>34</v>
      </c>
      <c r="L6374" s="1">
        <v>3115129</v>
      </c>
      <c r="M6374" s="2">
        <v>42612</v>
      </c>
      <c r="N6374" s="1" t="s">
        <v>8</v>
      </c>
      <c r="O6374" s="2">
        <v>43717</v>
      </c>
    </row>
    <row r="6375" spans="1:15" ht="28.8" x14ac:dyDescent="0.3">
      <c r="A6375" s="1" t="s">
        <v>21286</v>
      </c>
      <c r="B6375" s="1" t="str">
        <f>"Robert Roger Evans"</f>
        <v>Robert Roger Evans</v>
      </c>
      <c r="C6375" s="1" t="s">
        <v>21287</v>
      </c>
      <c r="F6375" s="1" t="s">
        <v>1346</v>
      </c>
      <c r="H6375" s="1" t="s">
        <v>21288</v>
      </c>
      <c r="I6375" s="1" t="s">
        <v>5</v>
      </c>
      <c r="J6375" s="1" t="s">
        <v>6</v>
      </c>
      <c r="K6375" s="1" t="s">
        <v>34</v>
      </c>
      <c r="M6375" s="2">
        <v>42612</v>
      </c>
      <c r="N6375" s="1" t="s">
        <v>8</v>
      </c>
      <c r="O6375" s="2">
        <v>43707</v>
      </c>
    </row>
    <row r="6376" spans="1:15" ht="28.8" x14ac:dyDescent="0.3">
      <c r="A6376" s="1" t="s">
        <v>22075</v>
      </c>
      <c r="B6376" s="1" t="str">
        <f>"DANIEL HARRIS Harris Salvage"</f>
        <v>DANIEL HARRIS Harris Salvage</v>
      </c>
      <c r="C6376" s="1" t="s">
        <v>22076</v>
      </c>
      <c r="F6376" s="1" t="s">
        <v>1321</v>
      </c>
      <c r="H6376" s="1" t="s">
        <v>22077</v>
      </c>
      <c r="I6376" s="1" t="s">
        <v>5</v>
      </c>
      <c r="J6376" s="1" t="s">
        <v>6</v>
      </c>
      <c r="K6376" s="1" t="s">
        <v>24</v>
      </c>
      <c r="M6376" s="2">
        <v>42612</v>
      </c>
      <c r="N6376" s="1" t="s">
        <v>8</v>
      </c>
      <c r="O6376" s="2">
        <v>43707</v>
      </c>
    </row>
    <row r="6377" spans="1:15" ht="28.8" x14ac:dyDescent="0.3">
      <c r="A6377" s="1" t="s">
        <v>22078</v>
      </c>
      <c r="B6377" s="1" t="str">
        <f>"Colin  Jones Services Rendered"</f>
        <v>Colin  Jones Services Rendered</v>
      </c>
      <c r="C6377" s="1" t="s">
        <v>22079</v>
      </c>
      <c r="F6377" s="1" t="s">
        <v>865</v>
      </c>
      <c r="H6377" s="1" t="s">
        <v>22080</v>
      </c>
      <c r="I6377" s="1" t="s">
        <v>5</v>
      </c>
      <c r="J6377" s="1" t="s">
        <v>6</v>
      </c>
      <c r="K6377" s="1" t="s">
        <v>34</v>
      </c>
      <c r="M6377" s="2">
        <v>42612</v>
      </c>
      <c r="N6377" s="1" t="s">
        <v>8</v>
      </c>
      <c r="O6377" s="2">
        <v>43707</v>
      </c>
    </row>
    <row r="6378" spans="1:15" ht="43.2" x14ac:dyDescent="0.3">
      <c r="A6378" s="1" t="s">
        <v>22081</v>
      </c>
      <c r="B6378" s="1" t="str">
        <f>"tracy hughes"</f>
        <v>tracy hughes</v>
      </c>
      <c r="C6378" s="1" t="s">
        <v>22082</v>
      </c>
      <c r="D6378" s="1" t="s">
        <v>22083</v>
      </c>
      <c r="F6378" s="1" t="s">
        <v>7801</v>
      </c>
      <c r="H6378" s="1" t="s">
        <v>22084</v>
      </c>
      <c r="I6378" s="1" t="s">
        <v>5</v>
      </c>
      <c r="J6378" s="1" t="s">
        <v>67</v>
      </c>
      <c r="K6378" s="1" t="s">
        <v>14</v>
      </c>
      <c r="M6378" s="2">
        <v>42612</v>
      </c>
      <c r="N6378" s="1" t="s">
        <v>8</v>
      </c>
      <c r="O6378" s="1" t="s">
        <v>68</v>
      </c>
    </row>
    <row r="6379" spans="1:15" ht="28.8" x14ac:dyDescent="0.3">
      <c r="A6379" s="1" t="s">
        <v>22085</v>
      </c>
      <c r="B6379" s="1" t="str">
        <f>"James McGivney"</f>
        <v>James McGivney</v>
      </c>
      <c r="C6379" s="1" t="s">
        <v>22086</v>
      </c>
      <c r="F6379" s="1" t="s">
        <v>2152</v>
      </c>
      <c r="H6379" s="1" t="s">
        <v>22087</v>
      </c>
      <c r="I6379" s="1" t="s">
        <v>5</v>
      </c>
      <c r="J6379" s="1" t="s">
        <v>6</v>
      </c>
      <c r="K6379" s="1" t="s">
        <v>34</v>
      </c>
      <c r="M6379" s="2">
        <v>42612</v>
      </c>
      <c r="N6379" s="1" t="s">
        <v>8</v>
      </c>
      <c r="O6379" s="2">
        <v>43707</v>
      </c>
    </row>
    <row r="6380" spans="1:15" ht="28.8" x14ac:dyDescent="0.3">
      <c r="A6380" s="1" t="s">
        <v>22088</v>
      </c>
      <c r="B6380" s="1" t="str">
        <f>"Christine Abdie KC's House Clearance"</f>
        <v>Christine Abdie KC's House Clearance</v>
      </c>
      <c r="C6380" s="1" t="s">
        <v>22089</v>
      </c>
      <c r="F6380" s="1" t="s">
        <v>91</v>
      </c>
      <c r="H6380" s="1" t="s">
        <v>22090</v>
      </c>
      <c r="I6380" s="1" t="s">
        <v>5</v>
      </c>
      <c r="J6380" s="1" t="s">
        <v>6</v>
      </c>
      <c r="K6380" s="1" t="s">
        <v>24</v>
      </c>
      <c r="M6380" s="2">
        <v>42612</v>
      </c>
      <c r="N6380" s="1" t="s">
        <v>8</v>
      </c>
      <c r="O6380" s="2">
        <v>43707</v>
      </c>
    </row>
    <row r="6381" spans="1:15" ht="43.2" x14ac:dyDescent="0.3">
      <c r="A6381" s="1" t="s">
        <v>21280</v>
      </c>
      <c r="B6381" s="1" t="str">
        <f>"D Huw Richards"</f>
        <v>D Huw Richards</v>
      </c>
      <c r="C6381" s="1" t="s">
        <v>21281</v>
      </c>
      <c r="F6381" s="1" t="s">
        <v>416</v>
      </c>
      <c r="H6381" s="1" t="s">
        <v>21282</v>
      </c>
      <c r="I6381" s="1" t="s">
        <v>5</v>
      </c>
      <c r="J6381" s="1" t="s">
        <v>67</v>
      </c>
      <c r="K6381" s="1" t="s">
        <v>14</v>
      </c>
      <c r="M6381" s="2">
        <v>42611</v>
      </c>
      <c r="N6381" s="1" t="s">
        <v>8</v>
      </c>
      <c r="O6381" s="1" t="s">
        <v>68</v>
      </c>
    </row>
    <row r="6382" spans="1:15" ht="28.8" x14ac:dyDescent="0.3">
      <c r="A6382" s="1" t="s">
        <v>21283</v>
      </c>
      <c r="B6382" s="1" t="str">
        <f>"Daniel Thomas DT CLEAR AND CLEAN"</f>
        <v>Daniel Thomas DT CLEAR AND CLEAN</v>
      </c>
      <c r="C6382" s="1" t="s">
        <v>21284</v>
      </c>
      <c r="F6382" s="1" t="s">
        <v>380</v>
      </c>
      <c r="H6382" s="1" t="s">
        <v>21285</v>
      </c>
      <c r="I6382" s="1" t="s">
        <v>5</v>
      </c>
      <c r="J6382" s="1" t="s">
        <v>6</v>
      </c>
      <c r="K6382" s="1" t="s">
        <v>24</v>
      </c>
      <c r="M6382" s="2">
        <v>42611</v>
      </c>
      <c r="N6382" s="1" t="s">
        <v>8</v>
      </c>
      <c r="O6382" s="2">
        <v>43706</v>
      </c>
    </row>
    <row r="6383" spans="1:15" ht="28.8" x14ac:dyDescent="0.3">
      <c r="A6383" s="1" t="s">
        <v>21277</v>
      </c>
      <c r="B6383" s="1" t="str">
        <f>"Allan Shrimpton Allan Shrimpton"</f>
        <v>Allan Shrimpton Allan Shrimpton</v>
      </c>
      <c r="C6383" s="1" t="s">
        <v>21278</v>
      </c>
      <c r="F6383" s="1" t="s">
        <v>1351</v>
      </c>
      <c r="H6383" s="1" t="s">
        <v>21279</v>
      </c>
      <c r="I6383" s="1" t="s">
        <v>5</v>
      </c>
      <c r="J6383" s="1" t="s">
        <v>6</v>
      </c>
      <c r="K6383" s="1" t="s">
        <v>24</v>
      </c>
      <c r="M6383" s="2">
        <v>42610</v>
      </c>
      <c r="N6383" s="1" t="s">
        <v>8</v>
      </c>
      <c r="O6383" s="2">
        <v>43705</v>
      </c>
    </row>
    <row r="6384" spans="1:15" ht="28.8" x14ac:dyDescent="0.3">
      <c r="A6384" s="1" t="s">
        <v>21274</v>
      </c>
      <c r="B6384" s="1" t="str">
        <f>"Simon Kucyj Simon Kucyj"</f>
        <v>Simon Kucyj Simon Kucyj</v>
      </c>
      <c r="C6384" s="1" t="s">
        <v>21275</v>
      </c>
      <c r="F6384" s="1" t="s">
        <v>438</v>
      </c>
      <c r="H6384" s="1" t="s">
        <v>21276</v>
      </c>
      <c r="I6384" s="1" t="s">
        <v>5</v>
      </c>
      <c r="J6384" s="1" t="s">
        <v>6</v>
      </c>
      <c r="K6384" s="1" t="s">
        <v>24</v>
      </c>
      <c r="M6384" s="2">
        <v>42609</v>
      </c>
      <c r="N6384" s="1" t="s">
        <v>8</v>
      </c>
      <c r="O6384" s="2">
        <v>43704</v>
      </c>
    </row>
    <row r="6385" spans="1:15" ht="28.8" x14ac:dyDescent="0.3">
      <c r="A6385" s="1" t="s">
        <v>5909</v>
      </c>
      <c r="B6385" s="1" t="str">
        <f>"Nwp Electrical &amp; Mechanical Ltd."</f>
        <v>Nwp Electrical &amp; Mechanical Ltd.</v>
      </c>
      <c r="C6385" s="1" t="s">
        <v>5910</v>
      </c>
      <c r="D6385" s="1" t="s">
        <v>5911</v>
      </c>
      <c r="F6385" s="1" t="s">
        <v>83</v>
      </c>
      <c r="H6385" s="1" t="s">
        <v>2237</v>
      </c>
      <c r="I6385" s="1" t="s">
        <v>19</v>
      </c>
      <c r="J6385" s="1" t="s">
        <v>6</v>
      </c>
      <c r="K6385" s="1" t="s">
        <v>24</v>
      </c>
      <c r="L6385" s="1">
        <v>6115752</v>
      </c>
      <c r="M6385" s="2">
        <v>42608</v>
      </c>
      <c r="N6385" s="1" t="s">
        <v>8</v>
      </c>
      <c r="O6385" s="2">
        <v>43703</v>
      </c>
    </row>
    <row r="6386" spans="1:15" x14ac:dyDescent="0.3">
      <c r="A6386" s="1" t="s">
        <v>7063</v>
      </c>
      <c r="B6386" s="1" t="str">
        <f>"D.C &amp; J Oliver"</f>
        <v>D.C &amp; J Oliver</v>
      </c>
      <c r="C6386" s="1" t="s">
        <v>7064</v>
      </c>
      <c r="F6386" s="1" t="s">
        <v>17</v>
      </c>
      <c r="H6386" s="1" t="s">
        <v>7065</v>
      </c>
      <c r="I6386" s="1" t="s">
        <v>125</v>
      </c>
      <c r="J6386" s="1" t="s">
        <v>6</v>
      </c>
      <c r="K6386" s="1" t="s">
        <v>24</v>
      </c>
      <c r="M6386" s="2">
        <v>42608</v>
      </c>
      <c r="N6386" s="1" t="s">
        <v>8</v>
      </c>
      <c r="O6386" s="2">
        <v>43703</v>
      </c>
    </row>
    <row r="6387" spans="1:15" ht="28.8" x14ac:dyDescent="0.3">
      <c r="A6387" s="1" t="s">
        <v>7066</v>
      </c>
      <c r="B6387" s="1" t="str">
        <f>"H &amp; C Jones"</f>
        <v>H &amp; C Jones</v>
      </c>
      <c r="C6387" s="1" t="s">
        <v>7067</v>
      </c>
      <c r="D6387" s="1" t="s">
        <v>7068</v>
      </c>
      <c r="F6387" s="1" t="s">
        <v>1184</v>
      </c>
      <c r="H6387" s="1" t="s">
        <v>7069</v>
      </c>
      <c r="I6387" s="1" t="s">
        <v>125</v>
      </c>
      <c r="J6387" s="1" t="s">
        <v>6</v>
      </c>
      <c r="K6387" s="1" t="s">
        <v>24</v>
      </c>
      <c r="M6387" s="2">
        <v>42608</v>
      </c>
      <c r="N6387" s="1" t="s">
        <v>8</v>
      </c>
      <c r="O6387" s="2">
        <v>43703</v>
      </c>
    </row>
    <row r="6388" spans="1:15" ht="43.2" x14ac:dyDescent="0.3">
      <c r="A6388" s="1" t="s">
        <v>7070</v>
      </c>
      <c r="B6388" s="1" t="str">
        <f>"heathley home heating"</f>
        <v>heathley home heating</v>
      </c>
      <c r="C6388" s="1" t="s">
        <v>7071</v>
      </c>
      <c r="D6388" s="1" t="s">
        <v>7072</v>
      </c>
      <c r="F6388" s="1" t="s">
        <v>7073</v>
      </c>
      <c r="H6388" s="1" t="s">
        <v>7074</v>
      </c>
      <c r="I6388" s="1" t="s">
        <v>19</v>
      </c>
      <c r="J6388" s="1" t="s">
        <v>67</v>
      </c>
      <c r="K6388" s="1" t="s">
        <v>14</v>
      </c>
      <c r="M6388" s="2">
        <v>42608</v>
      </c>
      <c r="N6388" s="1" t="s">
        <v>8</v>
      </c>
      <c r="O6388" s="1" t="s">
        <v>68</v>
      </c>
    </row>
    <row r="6389" spans="1:15" ht="28.8" x14ac:dyDescent="0.3">
      <c r="A6389" s="1" t="s">
        <v>7075</v>
      </c>
      <c r="B6389" s="1" t="str">
        <f>"Electronic Document Storage Ltd."</f>
        <v>Electronic Document Storage Ltd.</v>
      </c>
      <c r="C6389" s="1" t="s">
        <v>7076</v>
      </c>
      <c r="D6389" s="1" t="s">
        <v>7077</v>
      </c>
      <c r="F6389" s="1" t="s">
        <v>3519</v>
      </c>
      <c r="H6389" s="1" t="s">
        <v>7078</v>
      </c>
      <c r="I6389" s="1" t="s">
        <v>19</v>
      </c>
      <c r="J6389" s="1" t="s">
        <v>6</v>
      </c>
      <c r="K6389" s="1" t="s">
        <v>34</v>
      </c>
      <c r="L6389" s="1">
        <v>6135698</v>
      </c>
      <c r="M6389" s="2">
        <v>42608</v>
      </c>
      <c r="N6389" s="1" t="s">
        <v>8</v>
      </c>
      <c r="O6389" s="2">
        <v>43703</v>
      </c>
    </row>
    <row r="6390" spans="1:15" ht="43.2" x14ac:dyDescent="0.3">
      <c r="A6390" s="1" t="s">
        <v>20493</v>
      </c>
      <c r="B6390" s="1" t="str">
        <f>"Neil Parkinson"</f>
        <v>Neil Parkinson</v>
      </c>
      <c r="C6390" s="1" t="s">
        <v>20494</v>
      </c>
      <c r="F6390" s="1" t="s">
        <v>865</v>
      </c>
      <c r="H6390" s="1" t="s">
        <v>20495</v>
      </c>
      <c r="I6390" s="1" t="s">
        <v>5</v>
      </c>
      <c r="J6390" s="1" t="s">
        <v>67</v>
      </c>
      <c r="K6390" s="1" t="s">
        <v>14</v>
      </c>
      <c r="M6390" s="2">
        <v>42608</v>
      </c>
      <c r="N6390" s="1" t="s">
        <v>8</v>
      </c>
      <c r="O6390" s="1" t="s">
        <v>68</v>
      </c>
    </row>
    <row r="6391" spans="1:15" ht="28.8" x14ac:dyDescent="0.3">
      <c r="A6391" s="1" t="s">
        <v>21269</v>
      </c>
      <c r="B6391" s="1" t="str">
        <f>"John Stephens Blacksmiths Garage"</f>
        <v>John Stephens Blacksmiths Garage</v>
      </c>
      <c r="C6391" s="1" t="s">
        <v>21270</v>
      </c>
      <c r="F6391" s="1" t="s">
        <v>146</v>
      </c>
      <c r="H6391" s="1" t="s">
        <v>16867</v>
      </c>
      <c r="I6391" s="1" t="s">
        <v>5</v>
      </c>
      <c r="J6391" s="1" t="s">
        <v>6</v>
      </c>
      <c r="K6391" s="1" t="s">
        <v>24</v>
      </c>
      <c r="M6391" s="2">
        <v>42608</v>
      </c>
      <c r="N6391" s="1" t="s">
        <v>8</v>
      </c>
      <c r="O6391" s="2">
        <v>43703</v>
      </c>
    </row>
    <row r="6392" spans="1:15" ht="28.8" x14ac:dyDescent="0.3">
      <c r="A6392" s="1" t="s">
        <v>21271</v>
      </c>
      <c r="B6392" s="1" t="str">
        <f>"Paul Hows Hows It Done Cleaning Services"</f>
        <v>Paul Hows Hows It Done Cleaning Services</v>
      </c>
      <c r="C6392" s="1" t="s">
        <v>21272</v>
      </c>
      <c r="F6392" s="1" t="s">
        <v>134</v>
      </c>
      <c r="H6392" s="1" t="s">
        <v>21273</v>
      </c>
      <c r="I6392" s="1" t="s">
        <v>5</v>
      </c>
      <c r="J6392" s="1" t="s">
        <v>6</v>
      </c>
      <c r="K6392" s="1" t="s">
        <v>24</v>
      </c>
      <c r="M6392" s="2">
        <v>42608</v>
      </c>
      <c r="N6392" s="1" t="s">
        <v>8</v>
      </c>
      <c r="O6392" s="2">
        <v>43703</v>
      </c>
    </row>
    <row r="6393" spans="1:15" ht="43.2" x14ac:dyDescent="0.3">
      <c r="A6393" s="1" t="s">
        <v>5889</v>
      </c>
      <c r="B6393" s="1" t="str">
        <f>"Hill Insulation LTD"</f>
        <v>Hill Insulation LTD</v>
      </c>
      <c r="C6393" s="1" t="s">
        <v>5890</v>
      </c>
      <c r="D6393" s="1" t="s">
        <v>5891</v>
      </c>
      <c r="F6393" s="1" t="s">
        <v>65</v>
      </c>
      <c r="H6393" s="1" t="s">
        <v>5892</v>
      </c>
      <c r="I6393" s="1" t="s">
        <v>19</v>
      </c>
      <c r="J6393" s="1" t="s">
        <v>67</v>
      </c>
      <c r="K6393" s="1" t="s">
        <v>14</v>
      </c>
      <c r="M6393" s="2">
        <v>42607</v>
      </c>
      <c r="N6393" s="1" t="s">
        <v>8</v>
      </c>
      <c r="O6393" s="1" t="s">
        <v>68</v>
      </c>
    </row>
    <row r="6394" spans="1:15" ht="43.2" x14ac:dyDescent="0.3">
      <c r="A6394" s="1" t="s">
        <v>5893</v>
      </c>
      <c r="B6394" s="1" t="str">
        <f>"E C PLANT"</f>
        <v>E C PLANT</v>
      </c>
      <c r="C6394" s="1" t="s">
        <v>5894</v>
      </c>
      <c r="F6394" s="1" t="s">
        <v>1175</v>
      </c>
      <c r="H6394" s="1" t="s">
        <v>2995</v>
      </c>
      <c r="I6394" s="1" t="s">
        <v>125</v>
      </c>
      <c r="J6394" s="1" t="s">
        <v>6</v>
      </c>
      <c r="K6394" s="1" t="s">
        <v>24</v>
      </c>
      <c r="M6394" s="2">
        <v>42607</v>
      </c>
      <c r="N6394" s="1" t="s">
        <v>8</v>
      </c>
      <c r="O6394" s="2">
        <v>43702</v>
      </c>
    </row>
    <row r="6395" spans="1:15" ht="43.2" x14ac:dyDescent="0.3">
      <c r="A6395" s="1" t="s">
        <v>5895</v>
      </c>
      <c r="B6395" s="1" t="str">
        <f>"A R Edwards &amp; Son"</f>
        <v>A R Edwards &amp; Son</v>
      </c>
      <c r="C6395" s="1" t="s">
        <v>5896</v>
      </c>
      <c r="F6395" s="1" t="s">
        <v>156</v>
      </c>
      <c r="H6395" s="1" t="s">
        <v>5897</v>
      </c>
      <c r="I6395" s="1" t="s">
        <v>125</v>
      </c>
      <c r="J6395" s="1" t="s">
        <v>67</v>
      </c>
      <c r="K6395" s="1" t="s">
        <v>24</v>
      </c>
      <c r="M6395" s="2">
        <v>42607</v>
      </c>
      <c r="N6395" s="1" t="s">
        <v>8</v>
      </c>
      <c r="O6395" s="1" t="s">
        <v>68</v>
      </c>
    </row>
    <row r="6396" spans="1:15" ht="43.2" x14ac:dyDescent="0.3">
      <c r="A6396" s="1" t="s">
        <v>5898</v>
      </c>
      <c r="B6396" s="1" t="str">
        <f>"PENGAM PARTMART"</f>
        <v>PENGAM PARTMART</v>
      </c>
      <c r="C6396" s="1" t="s">
        <v>5899</v>
      </c>
      <c r="F6396" s="1" t="s">
        <v>364</v>
      </c>
      <c r="H6396" s="1" t="s">
        <v>5900</v>
      </c>
      <c r="I6396" s="1" t="s">
        <v>125</v>
      </c>
      <c r="J6396" s="1" t="s">
        <v>67</v>
      </c>
      <c r="K6396" s="1" t="s">
        <v>24</v>
      </c>
      <c r="M6396" s="2">
        <v>42607</v>
      </c>
      <c r="N6396" s="1" t="s">
        <v>8</v>
      </c>
      <c r="O6396" s="1" t="s">
        <v>68</v>
      </c>
    </row>
    <row r="6397" spans="1:15" ht="43.2" x14ac:dyDescent="0.3">
      <c r="A6397" s="1" t="s">
        <v>5901</v>
      </c>
      <c r="B6397" s="1" t="str">
        <f>"Premier Lifts Ltd"</f>
        <v>Premier Lifts Ltd</v>
      </c>
      <c r="C6397" s="1" t="s">
        <v>5902</v>
      </c>
      <c r="D6397" s="1" t="s">
        <v>5903</v>
      </c>
      <c r="F6397" s="1" t="s">
        <v>5904</v>
      </c>
      <c r="H6397" s="1" t="s">
        <v>5905</v>
      </c>
      <c r="I6397" s="1" t="s">
        <v>19</v>
      </c>
      <c r="J6397" s="1" t="s">
        <v>67</v>
      </c>
      <c r="K6397" s="1" t="s">
        <v>14</v>
      </c>
      <c r="M6397" s="2">
        <v>42607</v>
      </c>
      <c r="N6397" s="1" t="s">
        <v>8</v>
      </c>
      <c r="O6397" s="1" t="s">
        <v>68</v>
      </c>
    </row>
    <row r="6398" spans="1:15" ht="28.8" x14ac:dyDescent="0.3">
      <c r="A6398" s="1" t="s">
        <v>5906</v>
      </c>
      <c r="B6398" s="1" t="str">
        <f>"A K Developments Anglesey Ltd"</f>
        <v>A K Developments Anglesey Ltd</v>
      </c>
      <c r="C6398" s="1" t="s">
        <v>5907</v>
      </c>
      <c r="F6398" s="1" t="s">
        <v>5534</v>
      </c>
      <c r="H6398" s="1" t="s">
        <v>5908</v>
      </c>
      <c r="I6398" s="1" t="s">
        <v>19</v>
      </c>
      <c r="J6398" s="1" t="s">
        <v>6</v>
      </c>
      <c r="K6398" s="1" t="s">
        <v>24</v>
      </c>
      <c r="L6398" s="1">
        <v>4373081</v>
      </c>
      <c r="M6398" s="2">
        <v>42607</v>
      </c>
      <c r="N6398" s="1" t="s">
        <v>8</v>
      </c>
      <c r="O6398" s="2">
        <v>43702</v>
      </c>
    </row>
    <row r="6399" spans="1:15" ht="43.2" x14ac:dyDescent="0.3">
      <c r="A6399" s="1" t="s">
        <v>20481</v>
      </c>
      <c r="B6399" s="1" t="str">
        <f>"dean lewis"</f>
        <v>dean lewis</v>
      </c>
      <c r="C6399" s="1" t="s">
        <v>20482</v>
      </c>
      <c r="D6399" s="1" t="s">
        <v>9199</v>
      </c>
      <c r="F6399" s="1" t="s">
        <v>22</v>
      </c>
      <c r="H6399" s="1" t="s">
        <v>20483</v>
      </c>
      <c r="I6399" s="1" t="s">
        <v>5</v>
      </c>
      <c r="J6399" s="1" t="s">
        <v>67</v>
      </c>
      <c r="K6399" s="1" t="s">
        <v>14</v>
      </c>
      <c r="M6399" s="2">
        <v>42607</v>
      </c>
      <c r="N6399" s="1" t="s">
        <v>8</v>
      </c>
      <c r="O6399" s="1" t="s">
        <v>68</v>
      </c>
    </row>
    <row r="6400" spans="1:15" ht="43.2" x14ac:dyDescent="0.3">
      <c r="A6400" s="1" t="s">
        <v>20484</v>
      </c>
      <c r="B6400" s="1" t="str">
        <f>"Pete Thompson Pete thompson home improvements"</f>
        <v>Pete Thompson Pete thompson home improvements</v>
      </c>
      <c r="C6400" s="1" t="s">
        <v>20485</v>
      </c>
      <c r="F6400" s="1" t="s">
        <v>3242</v>
      </c>
      <c r="H6400" s="1" t="s">
        <v>20486</v>
      </c>
      <c r="I6400" s="1" t="s">
        <v>5</v>
      </c>
      <c r="J6400" s="1" t="s">
        <v>6</v>
      </c>
      <c r="K6400" s="1" t="s">
        <v>24</v>
      </c>
      <c r="M6400" s="2">
        <v>42607</v>
      </c>
      <c r="N6400" s="1" t="s">
        <v>8</v>
      </c>
      <c r="O6400" s="2">
        <v>43702</v>
      </c>
    </row>
    <row r="6401" spans="1:15" x14ac:dyDescent="0.3">
      <c r="A6401" s="1" t="s">
        <v>20487</v>
      </c>
      <c r="B6401" s="1" t="str">
        <f>"Kenneth Eyton-Jones"</f>
        <v>Kenneth Eyton-Jones</v>
      </c>
      <c r="C6401" s="1" t="s">
        <v>20488</v>
      </c>
      <c r="F6401" s="1" t="s">
        <v>790</v>
      </c>
      <c r="H6401" s="1" t="s">
        <v>20489</v>
      </c>
      <c r="I6401" s="1" t="s">
        <v>5</v>
      </c>
      <c r="J6401" s="1" t="s">
        <v>6</v>
      </c>
      <c r="K6401" s="1" t="s">
        <v>24</v>
      </c>
      <c r="M6401" s="2">
        <v>42607</v>
      </c>
      <c r="N6401" s="1" t="s">
        <v>8</v>
      </c>
      <c r="O6401" s="2">
        <v>43702</v>
      </c>
    </row>
    <row r="6402" spans="1:15" ht="28.8" x14ac:dyDescent="0.3">
      <c r="A6402" s="1" t="s">
        <v>20490</v>
      </c>
      <c r="B6402" s="1" t="str">
        <f>"Allan Daniel Jones"</f>
        <v>Allan Daniel Jones</v>
      </c>
      <c r="C6402" s="1" t="s">
        <v>20491</v>
      </c>
      <c r="F6402" s="1" t="s">
        <v>12</v>
      </c>
      <c r="H6402" s="1" t="s">
        <v>20492</v>
      </c>
      <c r="I6402" s="1" t="s">
        <v>5</v>
      </c>
      <c r="J6402" s="1" t="s">
        <v>6</v>
      </c>
      <c r="K6402" s="1" t="s">
        <v>24</v>
      </c>
      <c r="M6402" s="2">
        <v>42607</v>
      </c>
      <c r="N6402" s="1" t="s">
        <v>8</v>
      </c>
      <c r="O6402" s="2">
        <v>43702</v>
      </c>
    </row>
    <row r="6403" spans="1:15" ht="28.8" x14ac:dyDescent="0.3">
      <c r="A6403" s="1" t="s">
        <v>4726</v>
      </c>
      <c r="B6403" s="1" t="str">
        <f>"Steve Rees (Kitchens) Ltd."</f>
        <v>Steve Rees (Kitchens) Ltd.</v>
      </c>
      <c r="C6403" s="1" t="s">
        <v>4727</v>
      </c>
      <c r="F6403" s="1" t="s">
        <v>27</v>
      </c>
      <c r="H6403" s="1" t="s">
        <v>4728</v>
      </c>
      <c r="I6403" s="1" t="s">
        <v>19</v>
      </c>
      <c r="J6403" s="1" t="s">
        <v>6</v>
      </c>
      <c r="K6403" s="1" t="s">
        <v>1859</v>
      </c>
      <c r="L6403" s="1">
        <v>3985427</v>
      </c>
      <c r="M6403" s="2">
        <v>42606</v>
      </c>
      <c r="N6403" s="1" t="s">
        <v>8</v>
      </c>
      <c r="O6403" s="2">
        <v>43701</v>
      </c>
    </row>
    <row r="6404" spans="1:15" ht="28.8" x14ac:dyDescent="0.3">
      <c r="A6404" s="1" t="s">
        <v>4729</v>
      </c>
      <c r="B6404" s="1" t="str">
        <f>"T G Williams Builders ltd"</f>
        <v>T G Williams Builders ltd</v>
      </c>
      <c r="C6404" s="1" t="s">
        <v>4730</v>
      </c>
      <c r="F6404" s="1" t="s">
        <v>4731</v>
      </c>
      <c r="H6404" s="1" t="s">
        <v>4732</v>
      </c>
      <c r="I6404" s="1" t="s">
        <v>19</v>
      </c>
      <c r="J6404" s="1" t="s">
        <v>6</v>
      </c>
      <c r="K6404" s="1" t="s">
        <v>34</v>
      </c>
      <c r="L6404" s="1">
        <v>9737549</v>
      </c>
      <c r="M6404" s="2">
        <v>42606</v>
      </c>
      <c r="N6404" s="1" t="s">
        <v>8</v>
      </c>
      <c r="O6404" s="2">
        <v>43710</v>
      </c>
    </row>
    <row r="6405" spans="1:15" ht="28.8" x14ac:dyDescent="0.3">
      <c r="A6405" s="1" t="s">
        <v>4733</v>
      </c>
      <c r="B6405" s="1" t="str">
        <f>"Simon Walker (Transport) Ltd"</f>
        <v>Simon Walker (Transport) Ltd</v>
      </c>
      <c r="C6405" s="1" t="s">
        <v>4734</v>
      </c>
      <c r="F6405" s="1" t="s">
        <v>298</v>
      </c>
      <c r="H6405" s="1" t="s">
        <v>4735</v>
      </c>
      <c r="I6405" s="1" t="s">
        <v>19</v>
      </c>
      <c r="J6405" s="1" t="s">
        <v>6</v>
      </c>
      <c r="K6405" s="1" t="s">
        <v>34</v>
      </c>
      <c r="L6405" s="1">
        <v>6076371</v>
      </c>
      <c r="M6405" s="2">
        <v>42606</v>
      </c>
      <c r="N6405" s="1" t="s">
        <v>8</v>
      </c>
      <c r="O6405" s="2">
        <v>43701</v>
      </c>
    </row>
    <row r="6406" spans="1:15" x14ac:dyDescent="0.3">
      <c r="A6406" s="1" t="s">
        <v>4736</v>
      </c>
      <c r="B6406" s="1" t="str">
        <f>"HMBS GROUP LTD"</f>
        <v>HMBS GROUP LTD</v>
      </c>
      <c r="C6406" s="1" t="s">
        <v>4737</v>
      </c>
      <c r="F6406" s="1" t="s">
        <v>438</v>
      </c>
      <c r="H6406" s="1" t="s">
        <v>4738</v>
      </c>
      <c r="I6406" s="1" t="s">
        <v>19</v>
      </c>
      <c r="J6406" s="1" t="s">
        <v>6</v>
      </c>
      <c r="K6406" s="1" t="s">
        <v>24</v>
      </c>
      <c r="L6406" s="1">
        <v>9602241</v>
      </c>
      <c r="M6406" s="2">
        <v>42606</v>
      </c>
      <c r="N6406" s="1" t="s">
        <v>8</v>
      </c>
      <c r="O6406" s="2">
        <v>43701</v>
      </c>
    </row>
    <row r="6407" spans="1:15" ht="43.2" x14ac:dyDescent="0.3">
      <c r="A6407" s="1" t="s">
        <v>4739</v>
      </c>
      <c r="B6407" s="1" t="str">
        <f>"ALAN HANCOCK ALUMINIUM DOORS &amp; WINDOWS LTD"</f>
        <v>ALAN HANCOCK ALUMINIUM DOORS &amp; WINDOWS LTD</v>
      </c>
      <c r="C6407" s="1" t="s">
        <v>4740</v>
      </c>
      <c r="F6407" s="1" t="s">
        <v>65</v>
      </c>
      <c r="H6407" s="1" t="s">
        <v>4741</v>
      </c>
      <c r="I6407" s="1" t="s">
        <v>19</v>
      </c>
      <c r="J6407" s="1" t="s">
        <v>6</v>
      </c>
      <c r="K6407" s="1" t="s">
        <v>1859</v>
      </c>
      <c r="L6407" s="1">
        <v>6813385</v>
      </c>
      <c r="M6407" s="2">
        <v>42606</v>
      </c>
      <c r="N6407" s="1" t="s">
        <v>8</v>
      </c>
      <c r="O6407" s="2">
        <v>43701</v>
      </c>
    </row>
    <row r="6408" spans="1:15" ht="43.2" x14ac:dyDescent="0.3">
      <c r="A6408" s="1" t="s">
        <v>19705</v>
      </c>
      <c r="B6408" s="1" t="str">
        <f>"nathan wyllie"</f>
        <v>nathan wyllie</v>
      </c>
      <c r="C6408" s="1" t="s">
        <v>19706</v>
      </c>
      <c r="F6408" s="1" t="s">
        <v>996</v>
      </c>
      <c r="H6408" s="1" t="s">
        <v>19707</v>
      </c>
      <c r="I6408" s="1" t="s">
        <v>5</v>
      </c>
      <c r="J6408" s="1" t="s">
        <v>67</v>
      </c>
      <c r="K6408" s="1" t="s">
        <v>14</v>
      </c>
      <c r="M6408" s="2">
        <v>42606</v>
      </c>
      <c r="N6408" s="1" t="s">
        <v>8</v>
      </c>
      <c r="O6408" s="1" t="s">
        <v>68</v>
      </c>
    </row>
    <row r="6409" spans="1:15" ht="43.2" x14ac:dyDescent="0.3">
      <c r="A6409" s="1" t="s">
        <v>19708</v>
      </c>
      <c r="B6409" s="1" t="str">
        <f>"nathan wyllie n.a.w.solutions"</f>
        <v>nathan wyllie n.a.w.solutions</v>
      </c>
      <c r="C6409" s="1" t="s">
        <v>19706</v>
      </c>
      <c r="F6409" s="1" t="s">
        <v>996</v>
      </c>
      <c r="H6409" s="1" t="s">
        <v>19707</v>
      </c>
      <c r="I6409" s="1" t="s">
        <v>5</v>
      </c>
      <c r="J6409" s="1" t="s">
        <v>67</v>
      </c>
      <c r="K6409" s="1" t="s">
        <v>24</v>
      </c>
      <c r="M6409" s="2">
        <v>42606</v>
      </c>
      <c r="N6409" s="1" t="s">
        <v>8</v>
      </c>
      <c r="O6409" s="1" t="s">
        <v>68</v>
      </c>
    </row>
    <row r="6410" spans="1:15" ht="28.8" x14ac:dyDescent="0.3">
      <c r="A6410" s="1" t="s">
        <v>19709</v>
      </c>
      <c r="B6410" s="1" t="str">
        <f>"Brian Edwards C&amp; e services "</f>
        <v xml:space="preserve">Brian Edwards C&amp; e services </v>
      </c>
      <c r="C6410" s="1" t="s">
        <v>19710</v>
      </c>
      <c r="D6410" s="1" t="s">
        <v>19711</v>
      </c>
      <c r="F6410" s="1" t="s">
        <v>42</v>
      </c>
      <c r="H6410" s="1" t="s">
        <v>19712</v>
      </c>
      <c r="I6410" s="1" t="s">
        <v>5</v>
      </c>
      <c r="J6410" s="1" t="s">
        <v>6</v>
      </c>
      <c r="K6410" s="1" t="s">
        <v>24</v>
      </c>
      <c r="M6410" s="2">
        <v>42606</v>
      </c>
      <c r="N6410" s="1" t="s">
        <v>8</v>
      </c>
      <c r="O6410" s="2">
        <v>43701</v>
      </c>
    </row>
    <row r="6411" spans="1:15" ht="43.2" x14ac:dyDescent="0.3">
      <c r="A6411" s="1" t="s">
        <v>3613</v>
      </c>
      <c r="B6411" s="1" t="str">
        <f>"AE&amp;S Ltd"</f>
        <v>AE&amp;S Ltd</v>
      </c>
      <c r="C6411" s="1" t="s">
        <v>3614</v>
      </c>
      <c r="F6411" s="1" t="s">
        <v>3615</v>
      </c>
      <c r="H6411" s="1" t="s">
        <v>3616</v>
      </c>
      <c r="I6411" s="1" t="s">
        <v>19</v>
      </c>
      <c r="J6411" s="1" t="s">
        <v>67</v>
      </c>
      <c r="K6411" s="1" t="s">
        <v>14</v>
      </c>
      <c r="M6411" s="2">
        <v>42605</v>
      </c>
      <c r="N6411" s="1" t="s">
        <v>8</v>
      </c>
      <c r="O6411" s="1" t="s">
        <v>68</v>
      </c>
    </row>
    <row r="6412" spans="1:15" ht="28.8" x14ac:dyDescent="0.3">
      <c r="A6412" s="1" t="s">
        <v>3617</v>
      </c>
      <c r="B6412" s="1" t="str">
        <f>"Spencer Industrial (North Wales) Limited"</f>
        <v>Spencer Industrial (North Wales) Limited</v>
      </c>
      <c r="C6412" s="1" t="s">
        <v>3618</v>
      </c>
      <c r="F6412" s="1" t="s">
        <v>2277</v>
      </c>
      <c r="H6412" s="1" t="s">
        <v>3619</v>
      </c>
      <c r="I6412" s="1" t="s">
        <v>19</v>
      </c>
      <c r="J6412" s="1" t="s">
        <v>6</v>
      </c>
      <c r="K6412" s="1" t="s">
        <v>34</v>
      </c>
      <c r="L6412" s="1">
        <v>1021233</v>
      </c>
      <c r="M6412" s="2">
        <v>42605</v>
      </c>
      <c r="N6412" s="1" t="s">
        <v>8</v>
      </c>
      <c r="O6412" s="2">
        <v>43700</v>
      </c>
    </row>
    <row r="6413" spans="1:15" ht="43.2" x14ac:dyDescent="0.3">
      <c r="A6413" s="1" t="s">
        <v>3620</v>
      </c>
      <c r="B6413" s="1" t="str">
        <f>"Drury Car and Commercial Ltd"</f>
        <v>Drury Car and Commercial Ltd</v>
      </c>
      <c r="C6413" s="1" t="s">
        <v>3621</v>
      </c>
      <c r="F6413" s="1" t="s">
        <v>2277</v>
      </c>
      <c r="H6413" s="1" t="s">
        <v>3622</v>
      </c>
      <c r="I6413" s="1" t="s">
        <v>19</v>
      </c>
      <c r="J6413" s="1" t="s">
        <v>67</v>
      </c>
      <c r="K6413" s="1" t="s">
        <v>24</v>
      </c>
      <c r="L6413" s="1">
        <v>8449283</v>
      </c>
      <c r="M6413" s="2">
        <v>42605</v>
      </c>
      <c r="N6413" s="1" t="s">
        <v>8</v>
      </c>
      <c r="O6413" s="1" t="s">
        <v>68</v>
      </c>
    </row>
    <row r="6414" spans="1:15" ht="43.2" x14ac:dyDescent="0.3">
      <c r="A6414" s="1" t="s">
        <v>3623</v>
      </c>
      <c r="B6414" s="1" t="str">
        <f>"Dodrefn Perkins Furniture Ltd."</f>
        <v>Dodrefn Perkins Furniture Ltd.</v>
      </c>
      <c r="C6414" s="1" t="s">
        <v>3624</v>
      </c>
      <c r="F6414" s="1" t="s">
        <v>710</v>
      </c>
      <c r="H6414" s="1" t="s">
        <v>3625</v>
      </c>
      <c r="I6414" s="1" t="s">
        <v>19</v>
      </c>
      <c r="J6414" s="1" t="s">
        <v>67</v>
      </c>
      <c r="K6414" s="1" t="s">
        <v>24</v>
      </c>
      <c r="L6414" s="1">
        <v>4094256</v>
      </c>
      <c r="M6414" s="2">
        <v>42605</v>
      </c>
      <c r="N6414" s="1" t="s">
        <v>8</v>
      </c>
      <c r="O6414" s="1" t="s">
        <v>68</v>
      </c>
    </row>
    <row r="6415" spans="1:15" ht="43.2" x14ac:dyDescent="0.3">
      <c r="A6415" s="1" t="s">
        <v>4706</v>
      </c>
      <c r="B6415" s="1" t="str">
        <f>"CRS GROUP LTD"</f>
        <v>CRS GROUP LTD</v>
      </c>
      <c r="C6415" s="1" t="s">
        <v>4707</v>
      </c>
      <c r="D6415" s="1" t="s">
        <v>4708</v>
      </c>
      <c r="F6415" s="1" t="s">
        <v>4708</v>
      </c>
      <c r="H6415" s="1" t="s">
        <v>4709</v>
      </c>
      <c r="I6415" s="1" t="s">
        <v>19</v>
      </c>
      <c r="J6415" s="1" t="s">
        <v>67</v>
      </c>
      <c r="K6415" s="1" t="s">
        <v>14</v>
      </c>
      <c r="M6415" s="2">
        <v>42605</v>
      </c>
      <c r="N6415" s="1" t="s">
        <v>8</v>
      </c>
      <c r="O6415" s="1" t="s">
        <v>68</v>
      </c>
    </row>
    <row r="6416" spans="1:15" ht="28.8" x14ac:dyDescent="0.3">
      <c r="A6416" s="1" t="s">
        <v>4710</v>
      </c>
      <c r="B6416" s="1" t="str">
        <f>"Timkon Services Ltd"</f>
        <v>Timkon Services Ltd</v>
      </c>
      <c r="C6416" s="1" t="s">
        <v>4711</v>
      </c>
      <c r="D6416" s="1" t="s">
        <v>4712</v>
      </c>
      <c r="F6416" s="1" t="s">
        <v>4713</v>
      </c>
      <c r="H6416" s="1" t="s">
        <v>4714</v>
      </c>
      <c r="I6416" s="1" t="s">
        <v>19</v>
      </c>
      <c r="J6416" s="1" t="s">
        <v>6</v>
      </c>
      <c r="K6416" s="1" t="s">
        <v>24</v>
      </c>
      <c r="L6416" s="1">
        <v>2665608</v>
      </c>
      <c r="M6416" s="2">
        <v>42605</v>
      </c>
      <c r="N6416" s="1" t="s">
        <v>8</v>
      </c>
      <c r="O6416" s="2">
        <v>43700</v>
      </c>
    </row>
    <row r="6417" spans="1:15" ht="28.8" x14ac:dyDescent="0.3">
      <c r="A6417" s="1" t="s">
        <v>4715</v>
      </c>
      <c r="B6417" s="1" t="str">
        <f>"H.M Thomas (Loughor) Roofers LTD"</f>
        <v>H.M Thomas (Loughor) Roofers LTD</v>
      </c>
      <c r="C6417" s="1" t="s">
        <v>4716</v>
      </c>
      <c r="F6417" s="1" t="s">
        <v>65</v>
      </c>
      <c r="H6417" s="1" t="s">
        <v>4717</v>
      </c>
      <c r="I6417" s="1" t="s">
        <v>19</v>
      </c>
      <c r="J6417" s="1" t="s">
        <v>6</v>
      </c>
      <c r="K6417" s="1" t="s">
        <v>34</v>
      </c>
      <c r="L6417" s="1">
        <v>1228613</v>
      </c>
      <c r="M6417" s="2">
        <v>42605</v>
      </c>
      <c r="N6417" s="1" t="s">
        <v>8</v>
      </c>
      <c r="O6417" s="2">
        <v>43700</v>
      </c>
    </row>
    <row r="6418" spans="1:15" ht="28.8" x14ac:dyDescent="0.3">
      <c r="A6418" s="1" t="s">
        <v>4718</v>
      </c>
      <c r="B6418" s="1" t="str">
        <f>"Antlin Plumbing &amp; Heating"</f>
        <v>Antlin Plumbing &amp; Heating</v>
      </c>
      <c r="C6418" s="1" t="s">
        <v>4719</v>
      </c>
      <c r="F6418" s="1" t="s">
        <v>65</v>
      </c>
      <c r="H6418" s="1" t="s">
        <v>2011</v>
      </c>
      <c r="I6418" s="1" t="s">
        <v>19</v>
      </c>
      <c r="J6418" s="1" t="s">
        <v>6</v>
      </c>
      <c r="K6418" s="1" t="s">
        <v>24</v>
      </c>
      <c r="L6418" s="1">
        <v>7890433</v>
      </c>
      <c r="M6418" s="2">
        <v>42605</v>
      </c>
      <c r="N6418" s="1" t="s">
        <v>8</v>
      </c>
      <c r="O6418" s="2">
        <v>43700</v>
      </c>
    </row>
    <row r="6419" spans="1:15" ht="28.8" x14ac:dyDescent="0.3">
      <c r="A6419" s="1" t="s">
        <v>4720</v>
      </c>
      <c r="B6419" s="1" t="str">
        <f>"Garry Walker Gas And Heating Services"</f>
        <v>Garry Walker Gas And Heating Services</v>
      </c>
      <c r="C6419" s="1" t="s">
        <v>4721</v>
      </c>
      <c r="F6419" s="1" t="s">
        <v>198</v>
      </c>
      <c r="H6419" s="1" t="s">
        <v>4722</v>
      </c>
      <c r="I6419" s="1" t="s">
        <v>19</v>
      </c>
      <c r="J6419" s="1" t="s">
        <v>6</v>
      </c>
      <c r="K6419" s="1" t="s">
        <v>24</v>
      </c>
      <c r="L6419" s="1">
        <v>7789801</v>
      </c>
      <c r="M6419" s="2">
        <v>42605</v>
      </c>
      <c r="N6419" s="1" t="s">
        <v>8</v>
      </c>
      <c r="O6419" s="2">
        <v>43700</v>
      </c>
    </row>
    <row r="6420" spans="1:15" x14ac:dyDescent="0.3">
      <c r="A6420" s="1" t="s">
        <v>4723</v>
      </c>
      <c r="B6420" s="1" t="str">
        <f>"Ctc Groundworks Ltd."</f>
        <v>Ctc Groundworks Ltd.</v>
      </c>
      <c r="C6420" s="1" t="s">
        <v>4724</v>
      </c>
      <c r="F6420" s="1" t="s">
        <v>438</v>
      </c>
      <c r="H6420" s="1" t="s">
        <v>4725</v>
      </c>
      <c r="I6420" s="1" t="s">
        <v>19</v>
      </c>
      <c r="J6420" s="1" t="s">
        <v>6</v>
      </c>
      <c r="K6420" s="1" t="s">
        <v>24</v>
      </c>
      <c r="L6420" s="1">
        <v>5873679</v>
      </c>
      <c r="M6420" s="2">
        <v>42605</v>
      </c>
      <c r="N6420" s="1" t="s">
        <v>8</v>
      </c>
      <c r="O6420" s="2">
        <v>43700</v>
      </c>
    </row>
    <row r="6421" spans="1:15" ht="43.2" x14ac:dyDescent="0.3">
      <c r="A6421" s="1" t="s">
        <v>18890</v>
      </c>
      <c r="B6421" s="1" t="str">
        <f>"robert power"</f>
        <v>robert power</v>
      </c>
      <c r="C6421" s="1" t="s">
        <v>18891</v>
      </c>
      <c r="F6421" s="1" t="s">
        <v>8803</v>
      </c>
      <c r="H6421" s="1" t="s">
        <v>18892</v>
      </c>
      <c r="I6421" s="1" t="s">
        <v>5</v>
      </c>
      <c r="J6421" s="1" t="s">
        <v>67</v>
      </c>
      <c r="K6421" s="1" t="s">
        <v>14</v>
      </c>
      <c r="M6421" s="2">
        <v>42605</v>
      </c>
      <c r="N6421" s="1" t="s">
        <v>8</v>
      </c>
      <c r="O6421" s="1" t="s">
        <v>68</v>
      </c>
    </row>
    <row r="6422" spans="1:15" ht="28.8" x14ac:dyDescent="0.3">
      <c r="A6422" s="1" t="s">
        <v>18893</v>
      </c>
      <c r="B6422" s="1" t="str">
        <f>"roddy lewis"</f>
        <v>roddy lewis</v>
      </c>
      <c r="C6422" s="1" t="s">
        <v>18894</v>
      </c>
      <c r="F6422" s="1" t="s">
        <v>9949</v>
      </c>
      <c r="H6422" s="1" t="s">
        <v>18895</v>
      </c>
      <c r="I6422" s="1" t="s">
        <v>5</v>
      </c>
      <c r="J6422" s="1" t="s">
        <v>6</v>
      </c>
      <c r="K6422" s="1" t="s">
        <v>34</v>
      </c>
      <c r="M6422" s="2">
        <v>42605</v>
      </c>
      <c r="N6422" s="1" t="s">
        <v>8</v>
      </c>
      <c r="O6422" s="2">
        <v>43700</v>
      </c>
    </row>
    <row r="6423" spans="1:15" ht="43.2" x14ac:dyDescent="0.3">
      <c r="A6423" s="1" t="s">
        <v>18896</v>
      </c>
      <c r="B6423" s="1" t="str">
        <f>"Ian Roberts"</f>
        <v>Ian Roberts</v>
      </c>
      <c r="C6423" s="1" t="s">
        <v>18897</v>
      </c>
      <c r="F6423" s="1" t="s">
        <v>3242</v>
      </c>
      <c r="H6423" s="1" t="s">
        <v>18898</v>
      </c>
      <c r="I6423" s="1" t="s">
        <v>5</v>
      </c>
      <c r="J6423" s="1" t="s">
        <v>67</v>
      </c>
      <c r="K6423" s="1" t="s">
        <v>24</v>
      </c>
      <c r="M6423" s="2">
        <v>42605</v>
      </c>
      <c r="N6423" s="1" t="s">
        <v>8</v>
      </c>
      <c r="O6423" s="1" t="s">
        <v>68</v>
      </c>
    </row>
    <row r="6424" spans="1:15" ht="28.8" x14ac:dyDescent="0.3">
      <c r="A6424" s="1" t="s">
        <v>18899</v>
      </c>
      <c r="B6424" s="1" t="str">
        <f>"Alan Robinson Adr landscapes"</f>
        <v>Alan Robinson Adr landscapes</v>
      </c>
      <c r="C6424" s="1" t="s">
        <v>18900</v>
      </c>
      <c r="F6424" s="1" t="s">
        <v>18901</v>
      </c>
      <c r="H6424" s="1" t="s">
        <v>18902</v>
      </c>
      <c r="I6424" s="1" t="s">
        <v>5</v>
      </c>
      <c r="J6424" s="1" t="s">
        <v>6</v>
      </c>
      <c r="K6424" s="1" t="s">
        <v>24</v>
      </c>
      <c r="M6424" s="2">
        <v>42605</v>
      </c>
      <c r="N6424" s="1" t="s">
        <v>8</v>
      </c>
      <c r="O6424" s="2">
        <v>43700</v>
      </c>
    </row>
    <row r="6425" spans="1:15" ht="43.2" x14ac:dyDescent="0.3">
      <c r="A6425" s="1" t="s">
        <v>18903</v>
      </c>
      <c r="B6425" s="1" t="str">
        <f>"Stephen Florence"</f>
        <v>Stephen Florence</v>
      </c>
      <c r="C6425" s="1" t="s">
        <v>18904</v>
      </c>
      <c r="F6425" s="1" t="s">
        <v>10925</v>
      </c>
      <c r="H6425" s="1" t="s">
        <v>18905</v>
      </c>
      <c r="I6425" s="1" t="s">
        <v>5</v>
      </c>
      <c r="J6425" s="1" t="s">
        <v>67</v>
      </c>
      <c r="K6425" s="1" t="s">
        <v>14</v>
      </c>
      <c r="M6425" s="2">
        <v>42605</v>
      </c>
      <c r="N6425" s="1" t="s">
        <v>8</v>
      </c>
      <c r="O6425" s="1" t="s">
        <v>68</v>
      </c>
    </row>
    <row r="6426" spans="1:15" ht="43.2" x14ac:dyDescent="0.3">
      <c r="A6426" s="1" t="s">
        <v>19700</v>
      </c>
      <c r="B6426" s="1" t="str">
        <f>"Michael Tierney"</f>
        <v>Michael Tierney</v>
      </c>
      <c r="C6426" s="1" t="s">
        <v>19701</v>
      </c>
      <c r="F6426" s="1" t="s">
        <v>83</v>
      </c>
      <c r="H6426" s="1" t="s">
        <v>19702</v>
      </c>
      <c r="I6426" s="1" t="s">
        <v>5</v>
      </c>
      <c r="J6426" s="1" t="s">
        <v>67</v>
      </c>
      <c r="K6426" s="1" t="s">
        <v>24</v>
      </c>
      <c r="M6426" s="2">
        <v>42605</v>
      </c>
      <c r="N6426" s="1" t="s">
        <v>8</v>
      </c>
      <c r="O6426" s="1" t="s">
        <v>68</v>
      </c>
    </row>
    <row r="6427" spans="1:15" ht="43.2" x14ac:dyDescent="0.3">
      <c r="A6427" s="1" t="s">
        <v>19703</v>
      </c>
      <c r="B6427" s="1" t="str">
        <f>"Richard  Beynon"</f>
        <v>Richard  Beynon</v>
      </c>
      <c r="C6427" s="1" t="s">
        <v>19704</v>
      </c>
      <c r="F6427" s="1" t="s">
        <v>65</v>
      </c>
      <c r="H6427" s="1" t="s">
        <v>19228</v>
      </c>
      <c r="I6427" s="1" t="s">
        <v>5</v>
      </c>
      <c r="J6427" s="1" t="s">
        <v>67</v>
      </c>
      <c r="K6427" s="1" t="s">
        <v>14</v>
      </c>
      <c r="M6427" s="2">
        <v>42605</v>
      </c>
      <c r="N6427" s="1" t="s">
        <v>8</v>
      </c>
      <c r="O6427" s="1" t="s">
        <v>68</v>
      </c>
    </row>
    <row r="6428" spans="1:15" ht="43.2" x14ac:dyDescent="0.3">
      <c r="A6428" s="1" t="s">
        <v>3591</v>
      </c>
      <c r="B6428" s="1" t="str">
        <f>"LLETTYSHENKIN CONSTRUCTION CO  LTD"</f>
        <v>LLETTYSHENKIN CONSTRUCTION CO  LTD</v>
      </c>
      <c r="C6428" s="1" t="s">
        <v>3592</v>
      </c>
      <c r="D6428" s="1" t="s">
        <v>1503</v>
      </c>
      <c r="F6428" s="1" t="s">
        <v>996</v>
      </c>
      <c r="H6428" s="1" t="s">
        <v>1504</v>
      </c>
      <c r="I6428" s="1" t="s">
        <v>19</v>
      </c>
      <c r="J6428" s="1" t="s">
        <v>6</v>
      </c>
      <c r="K6428" s="1" t="s">
        <v>24</v>
      </c>
      <c r="L6428" s="1">
        <v>4140241</v>
      </c>
      <c r="M6428" s="2">
        <v>42604</v>
      </c>
      <c r="N6428" s="1" t="s">
        <v>8</v>
      </c>
      <c r="O6428" s="2">
        <v>43699</v>
      </c>
    </row>
    <row r="6429" spans="1:15" x14ac:dyDescent="0.3">
      <c r="A6429" s="1" t="s">
        <v>3593</v>
      </c>
      <c r="B6429" s="1" t="str">
        <f>"Utility Contractors Ltd."</f>
        <v>Utility Contractors Ltd.</v>
      </c>
      <c r="C6429" s="1" t="s">
        <v>3594</v>
      </c>
      <c r="D6429" s="1" t="s">
        <v>3595</v>
      </c>
      <c r="F6429" s="1" t="s">
        <v>83</v>
      </c>
      <c r="H6429" s="1" t="s">
        <v>3596</v>
      </c>
      <c r="I6429" s="1" t="s">
        <v>19</v>
      </c>
      <c r="J6429" s="1" t="s">
        <v>6</v>
      </c>
      <c r="K6429" s="1" t="s">
        <v>24</v>
      </c>
      <c r="L6429" s="1">
        <v>5239916</v>
      </c>
      <c r="M6429" s="2">
        <v>42604</v>
      </c>
      <c r="N6429" s="1" t="s">
        <v>8</v>
      </c>
      <c r="O6429" s="2">
        <v>43699</v>
      </c>
    </row>
    <row r="6430" spans="1:15" ht="28.8" x14ac:dyDescent="0.3">
      <c r="A6430" s="1" t="s">
        <v>3597</v>
      </c>
      <c r="B6430" s="1" t="str">
        <f>"EFS SYSTEMS (UK) LTD"</f>
        <v>EFS SYSTEMS (UK) LTD</v>
      </c>
      <c r="C6430" s="1" t="s">
        <v>3598</v>
      </c>
      <c r="D6430" s="1" t="s">
        <v>1264</v>
      </c>
      <c r="F6430" s="1" t="s">
        <v>556</v>
      </c>
      <c r="H6430" s="1" t="s">
        <v>3599</v>
      </c>
      <c r="I6430" s="1" t="s">
        <v>19</v>
      </c>
      <c r="J6430" s="1" t="s">
        <v>6</v>
      </c>
      <c r="K6430" s="1" t="s">
        <v>34</v>
      </c>
      <c r="L6430" s="1">
        <v>7971674</v>
      </c>
      <c r="M6430" s="2">
        <v>42604</v>
      </c>
      <c r="N6430" s="1" t="s">
        <v>8</v>
      </c>
      <c r="O6430" s="2">
        <v>43699</v>
      </c>
    </row>
    <row r="6431" spans="1:15" ht="28.8" x14ac:dyDescent="0.3">
      <c r="A6431" s="1" t="s">
        <v>3600</v>
      </c>
      <c r="B6431" s="1" t="str">
        <f>"Elite Plumbing &amp; Heating"</f>
        <v>Elite Plumbing &amp; Heating</v>
      </c>
      <c r="C6431" s="1" t="s">
        <v>3601</v>
      </c>
      <c r="D6431" s="1" t="s">
        <v>3602</v>
      </c>
      <c r="F6431" s="1" t="s">
        <v>3603</v>
      </c>
      <c r="H6431" s="1" t="s">
        <v>2704</v>
      </c>
      <c r="I6431" s="1" t="s">
        <v>125</v>
      </c>
      <c r="J6431" s="1" t="s">
        <v>6</v>
      </c>
      <c r="K6431" s="1" t="s">
        <v>34</v>
      </c>
      <c r="M6431" s="2">
        <v>42604</v>
      </c>
      <c r="N6431" s="1" t="s">
        <v>8</v>
      </c>
      <c r="O6431" s="2">
        <v>43699</v>
      </c>
    </row>
    <row r="6432" spans="1:15" ht="28.8" x14ac:dyDescent="0.3">
      <c r="A6432" s="1" t="s">
        <v>3604</v>
      </c>
      <c r="B6432" s="1" t="str">
        <f>"A C S Wade Ltd."</f>
        <v>A C S Wade Ltd.</v>
      </c>
      <c r="C6432" s="1" t="s">
        <v>3605</v>
      </c>
      <c r="D6432" s="1" t="s">
        <v>3606</v>
      </c>
      <c r="F6432" s="1" t="s">
        <v>83</v>
      </c>
      <c r="H6432" s="1" t="s">
        <v>3607</v>
      </c>
      <c r="I6432" s="1" t="s">
        <v>19</v>
      </c>
      <c r="J6432" s="1" t="s">
        <v>6</v>
      </c>
      <c r="K6432" s="1" t="s">
        <v>24</v>
      </c>
      <c r="L6432" s="1">
        <v>1440589</v>
      </c>
      <c r="M6432" s="2">
        <v>42604</v>
      </c>
      <c r="N6432" s="1" t="s">
        <v>8</v>
      </c>
      <c r="O6432" s="2">
        <v>43699</v>
      </c>
    </row>
    <row r="6433" spans="1:15" ht="43.2" x14ac:dyDescent="0.3">
      <c r="A6433" s="1" t="s">
        <v>3608</v>
      </c>
      <c r="B6433" s="1" t="str">
        <f>"atg airports Limited"</f>
        <v>atg airports Limited</v>
      </c>
      <c r="C6433" s="1" t="s">
        <v>3609</v>
      </c>
      <c r="D6433" s="1" t="s">
        <v>3610</v>
      </c>
      <c r="F6433" s="1" t="s">
        <v>3611</v>
      </c>
      <c r="H6433" s="1" t="s">
        <v>3612</v>
      </c>
      <c r="I6433" s="1" t="s">
        <v>19</v>
      </c>
      <c r="J6433" s="1" t="s">
        <v>67</v>
      </c>
      <c r="K6433" s="1" t="s">
        <v>14</v>
      </c>
      <c r="M6433" s="2">
        <v>42604</v>
      </c>
      <c r="N6433" s="1" t="s">
        <v>8</v>
      </c>
      <c r="O6433" s="1" t="s">
        <v>68</v>
      </c>
    </row>
    <row r="6434" spans="1:15" ht="43.2" x14ac:dyDescent="0.3">
      <c r="A6434" s="1" t="s">
        <v>17405</v>
      </c>
      <c r="B6434" s="1" t="str">
        <f>"ONE2C LTD"</f>
        <v>ONE2C LTD</v>
      </c>
      <c r="C6434" s="1" t="s">
        <v>17406</v>
      </c>
      <c r="F6434" s="1" t="s">
        <v>27</v>
      </c>
      <c r="H6434" s="1" t="s">
        <v>17407</v>
      </c>
      <c r="I6434" s="1" t="s">
        <v>19</v>
      </c>
      <c r="J6434" s="1" t="s">
        <v>67</v>
      </c>
      <c r="K6434" s="1" t="s">
        <v>34</v>
      </c>
      <c r="L6434" s="1">
        <v>6993058</v>
      </c>
      <c r="M6434" s="2">
        <v>42604</v>
      </c>
      <c r="N6434" s="1" t="s">
        <v>8</v>
      </c>
      <c r="O6434" s="1" t="s">
        <v>68</v>
      </c>
    </row>
    <row r="6435" spans="1:15" ht="28.8" x14ac:dyDescent="0.3">
      <c r="A6435" s="1" t="s">
        <v>17408</v>
      </c>
      <c r="B6435" s="1" t="str">
        <f>"M W W Maintenance Ltd."</f>
        <v>M W W Maintenance Ltd.</v>
      </c>
      <c r="C6435" s="1" t="s">
        <v>17409</v>
      </c>
      <c r="F6435" s="1" t="s">
        <v>508</v>
      </c>
      <c r="H6435" s="1" t="s">
        <v>17410</v>
      </c>
      <c r="I6435" s="1" t="s">
        <v>19</v>
      </c>
      <c r="J6435" s="1" t="s">
        <v>6</v>
      </c>
      <c r="K6435" s="1" t="s">
        <v>24</v>
      </c>
      <c r="L6435" s="1">
        <v>4519369</v>
      </c>
      <c r="M6435" s="2">
        <v>42604</v>
      </c>
      <c r="N6435" s="1" t="s">
        <v>8</v>
      </c>
      <c r="O6435" s="2">
        <v>43699</v>
      </c>
    </row>
    <row r="6436" spans="1:15" ht="28.8" x14ac:dyDescent="0.3">
      <c r="A6436" s="1" t="s">
        <v>18354</v>
      </c>
      <c r="B6436" s="1" t="str">
        <f>"Genesis Distribution Ltd."</f>
        <v>Genesis Distribution Ltd.</v>
      </c>
      <c r="C6436" s="1" t="s">
        <v>18355</v>
      </c>
      <c r="D6436" s="1" t="s">
        <v>379</v>
      </c>
      <c r="E6436" s="1" t="s">
        <v>1457</v>
      </c>
      <c r="F6436" s="1" t="s">
        <v>380</v>
      </c>
      <c r="H6436" s="1" t="s">
        <v>1458</v>
      </c>
      <c r="I6436" s="1" t="s">
        <v>19</v>
      </c>
      <c r="J6436" s="1" t="s">
        <v>6</v>
      </c>
      <c r="K6436" s="1" t="s">
        <v>24</v>
      </c>
      <c r="L6436" s="1">
        <v>3321551</v>
      </c>
      <c r="M6436" s="2">
        <v>42604</v>
      </c>
      <c r="N6436" s="1" t="s">
        <v>8</v>
      </c>
      <c r="O6436" s="2">
        <v>43699</v>
      </c>
    </row>
    <row r="6437" spans="1:15" ht="43.2" x14ac:dyDescent="0.3">
      <c r="A6437" s="1" t="s">
        <v>18356</v>
      </c>
      <c r="B6437" s="1" t="str">
        <f>"Comyn Ching &amp; Co (Solray) Ltd"</f>
        <v>Comyn Ching &amp; Co (Solray) Ltd</v>
      </c>
      <c r="C6437" s="1" t="s">
        <v>17597</v>
      </c>
      <c r="D6437" s="1" t="s">
        <v>578</v>
      </c>
      <c r="F6437" s="1" t="s">
        <v>65</v>
      </c>
      <c r="H6437" s="1" t="s">
        <v>889</v>
      </c>
      <c r="I6437" s="1" t="s">
        <v>19</v>
      </c>
      <c r="J6437" s="1" t="s">
        <v>67</v>
      </c>
      <c r="K6437" s="1" t="s">
        <v>14</v>
      </c>
      <c r="M6437" s="2">
        <v>42604</v>
      </c>
      <c r="N6437" s="1" t="s">
        <v>8</v>
      </c>
      <c r="O6437" s="1" t="s">
        <v>68</v>
      </c>
    </row>
    <row r="6438" spans="1:15" ht="28.8" x14ac:dyDescent="0.3">
      <c r="A6438" s="1" t="s">
        <v>18357</v>
      </c>
      <c r="B6438" s="1" t="str">
        <f>"D L HUGHES LTD"</f>
        <v>D L HUGHES LTD</v>
      </c>
      <c r="C6438" s="1" t="s">
        <v>18358</v>
      </c>
      <c r="F6438" s="1" t="s">
        <v>359</v>
      </c>
      <c r="H6438" s="1" t="s">
        <v>18359</v>
      </c>
      <c r="I6438" s="1" t="s">
        <v>19</v>
      </c>
      <c r="J6438" s="1" t="s">
        <v>6</v>
      </c>
      <c r="K6438" s="1" t="s">
        <v>24</v>
      </c>
      <c r="L6438" s="1">
        <v>4230104</v>
      </c>
      <c r="M6438" s="2">
        <v>42604</v>
      </c>
      <c r="N6438" s="1" t="s">
        <v>8</v>
      </c>
      <c r="O6438" s="2">
        <v>43715</v>
      </c>
    </row>
    <row r="6439" spans="1:15" ht="43.2" x14ac:dyDescent="0.3">
      <c r="A6439" s="1" t="s">
        <v>18360</v>
      </c>
      <c r="B6439" s="1" t="str">
        <f>"Hywel Dda University Health Board"</f>
        <v>Hywel Dda University Health Board</v>
      </c>
      <c r="C6439" s="1" t="s">
        <v>18361</v>
      </c>
      <c r="F6439" s="1" t="s">
        <v>3519</v>
      </c>
      <c r="H6439" s="1" t="s">
        <v>18362</v>
      </c>
      <c r="I6439" s="1" t="s">
        <v>188</v>
      </c>
      <c r="J6439" s="1" t="s">
        <v>67</v>
      </c>
      <c r="K6439" s="1" t="s">
        <v>14</v>
      </c>
      <c r="M6439" s="2">
        <v>42604</v>
      </c>
      <c r="N6439" s="1" t="s">
        <v>8</v>
      </c>
      <c r="O6439" s="1" t="s">
        <v>68</v>
      </c>
    </row>
    <row r="6440" spans="1:15" ht="43.2" x14ac:dyDescent="0.3">
      <c r="A6440" s="1" t="s">
        <v>18363</v>
      </c>
      <c r="B6440" s="1" t="str">
        <f>"SC LEXAR COM SRL"</f>
        <v>SC LEXAR COM SRL</v>
      </c>
      <c r="C6440" s="1" t="s">
        <v>18364</v>
      </c>
      <c r="G6440" s="1" t="s">
        <v>8073</v>
      </c>
      <c r="I6440" s="1" t="s">
        <v>19</v>
      </c>
      <c r="J6440" s="1" t="s">
        <v>67</v>
      </c>
      <c r="K6440" s="1" t="s">
        <v>14</v>
      </c>
      <c r="M6440" s="2">
        <v>42604</v>
      </c>
      <c r="N6440" s="1" t="s">
        <v>8</v>
      </c>
      <c r="O6440" s="1" t="s">
        <v>68</v>
      </c>
    </row>
    <row r="6441" spans="1:15" ht="43.2" x14ac:dyDescent="0.3">
      <c r="A6441" s="1" t="s">
        <v>18365</v>
      </c>
      <c r="B6441" s="1" t="str">
        <f>"LM CONTRACTS LIMITED"</f>
        <v>LM CONTRACTS LIMITED</v>
      </c>
      <c r="C6441" s="1" t="s">
        <v>13365</v>
      </c>
      <c r="D6441" s="1" t="s">
        <v>746</v>
      </c>
      <c r="F6441" s="1" t="s">
        <v>1346</v>
      </c>
      <c r="H6441" s="1" t="s">
        <v>13366</v>
      </c>
      <c r="I6441" s="1" t="s">
        <v>19</v>
      </c>
      <c r="J6441" s="1" t="s">
        <v>67</v>
      </c>
      <c r="K6441" s="1" t="s">
        <v>24</v>
      </c>
      <c r="L6441" s="1">
        <v>8118913</v>
      </c>
      <c r="M6441" s="2">
        <v>42604</v>
      </c>
      <c r="N6441" s="1" t="s">
        <v>8</v>
      </c>
      <c r="O6441" s="1" t="s">
        <v>68</v>
      </c>
    </row>
    <row r="6442" spans="1:15" ht="43.2" x14ac:dyDescent="0.3">
      <c r="A6442" s="1" t="s">
        <v>18881</v>
      </c>
      <c r="B6442" s="1" t="str">
        <f>"Ruth Price"</f>
        <v>Ruth Price</v>
      </c>
      <c r="C6442" s="1" t="s">
        <v>5237</v>
      </c>
      <c r="F6442" s="1" t="s">
        <v>7147</v>
      </c>
      <c r="H6442" s="1" t="s">
        <v>18882</v>
      </c>
      <c r="I6442" s="1" t="s">
        <v>5</v>
      </c>
      <c r="J6442" s="1" t="s">
        <v>67</v>
      </c>
      <c r="K6442" s="1" t="s">
        <v>24</v>
      </c>
      <c r="M6442" s="2">
        <v>42604</v>
      </c>
      <c r="N6442" s="1" t="s">
        <v>8</v>
      </c>
      <c r="O6442" s="1" t="s">
        <v>68</v>
      </c>
    </row>
    <row r="6443" spans="1:15" ht="43.2" x14ac:dyDescent="0.3">
      <c r="A6443" s="1" t="s">
        <v>18883</v>
      </c>
      <c r="B6443" s="1" t="str">
        <f>"Warren Tyler Mosswood Garden Contracts"</f>
        <v>Warren Tyler Mosswood Garden Contracts</v>
      </c>
      <c r="C6443" s="1" t="s">
        <v>18884</v>
      </c>
      <c r="F6443" s="1" t="s">
        <v>18885</v>
      </c>
      <c r="H6443" s="1" t="s">
        <v>18886</v>
      </c>
      <c r="I6443" s="1" t="s">
        <v>5</v>
      </c>
      <c r="J6443" s="1" t="s">
        <v>6</v>
      </c>
      <c r="K6443" s="1" t="s">
        <v>24</v>
      </c>
      <c r="M6443" s="2">
        <v>42604</v>
      </c>
      <c r="N6443" s="1" t="s">
        <v>8</v>
      </c>
      <c r="O6443" s="2">
        <v>43699</v>
      </c>
    </row>
    <row r="6444" spans="1:15" ht="28.8" x14ac:dyDescent="0.3">
      <c r="A6444" s="1" t="s">
        <v>18887</v>
      </c>
      <c r="B6444" s="1" t="str">
        <f>"SIMON GRIFFITHS S.J.Griffiths &amp; Sons"</f>
        <v>SIMON GRIFFITHS S.J.Griffiths &amp; Sons</v>
      </c>
      <c r="C6444" s="1" t="s">
        <v>18888</v>
      </c>
      <c r="D6444" s="1" t="s">
        <v>658</v>
      </c>
      <c r="F6444" s="1" t="s">
        <v>12</v>
      </c>
      <c r="H6444" s="1" t="s">
        <v>18889</v>
      </c>
      <c r="I6444" s="1" t="s">
        <v>5</v>
      </c>
      <c r="J6444" s="1" t="s">
        <v>6</v>
      </c>
      <c r="K6444" s="1" t="s">
        <v>24</v>
      </c>
      <c r="M6444" s="2">
        <v>42604</v>
      </c>
      <c r="N6444" s="1" t="s">
        <v>8</v>
      </c>
      <c r="O6444" s="2">
        <v>43699</v>
      </c>
    </row>
    <row r="6445" spans="1:15" ht="28.8" x14ac:dyDescent="0.3">
      <c r="A6445" s="1" t="s">
        <v>29210</v>
      </c>
      <c r="B6445" s="1" t="str">
        <f>"Martin  Hopkins  Martin Hopkins "</f>
        <v xml:space="preserve">Martin  Hopkins  Martin Hopkins </v>
      </c>
      <c r="C6445" s="1" t="s">
        <v>29211</v>
      </c>
      <c r="F6445" s="1" t="s">
        <v>174</v>
      </c>
      <c r="H6445" s="1" t="s">
        <v>29212</v>
      </c>
      <c r="I6445" s="1" t="s">
        <v>5</v>
      </c>
      <c r="J6445" s="1" t="s">
        <v>6</v>
      </c>
      <c r="K6445" s="1" t="s">
        <v>34</v>
      </c>
      <c r="M6445" s="2">
        <v>42604</v>
      </c>
      <c r="N6445" s="1" t="s">
        <v>8</v>
      </c>
      <c r="O6445" s="2">
        <v>43699</v>
      </c>
    </row>
    <row r="6446" spans="1:15" ht="28.8" x14ac:dyDescent="0.3">
      <c r="A6446" s="1" t="s">
        <v>29213</v>
      </c>
      <c r="B6446" s="1" t="str">
        <f>"Gareth  Powell  CMK Sand&amp;Gravel"</f>
        <v>Gareth  Powell  CMK Sand&amp;Gravel</v>
      </c>
      <c r="C6446" s="1" t="s">
        <v>29214</v>
      </c>
      <c r="F6446" s="1" t="s">
        <v>27</v>
      </c>
      <c r="H6446" s="1" t="s">
        <v>29215</v>
      </c>
      <c r="I6446" s="1" t="s">
        <v>5</v>
      </c>
      <c r="J6446" s="1" t="s">
        <v>6</v>
      </c>
      <c r="K6446" s="1" t="s">
        <v>24</v>
      </c>
      <c r="M6446" s="2">
        <v>42604</v>
      </c>
      <c r="N6446" s="1" t="s">
        <v>8</v>
      </c>
      <c r="O6446" s="2">
        <v>43699</v>
      </c>
    </row>
    <row r="6447" spans="1:15" ht="43.2" x14ac:dyDescent="0.3">
      <c r="A6447" s="1" t="s">
        <v>29946</v>
      </c>
      <c r="B6447" s="1" t="str">
        <f>"Mark Cleaver Cardiff waste clearance"</f>
        <v>Mark Cleaver Cardiff waste clearance</v>
      </c>
      <c r="C6447" s="1" t="s">
        <v>29947</v>
      </c>
      <c r="F6447" s="1" t="s">
        <v>27</v>
      </c>
      <c r="H6447" s="1" t="s">
        <v>22503</v>
      </c>
      <c r="I6447" s="1" t="s">
        <v>5</v>
      </c>
      <c r="J6447" s="1" t="s">
        <v>67</v>
      </c>
      <c r="K6447" s="1" t="s">
        <v>24</v>
      </c>
      <c r="M6447" s="2">
        <v>42604</v>
      </c>
      <c r="N6447" s="1" t="s">
        <v>8</v>
      </c>
      <c r="O6447" s="1" t="s">
        <v>68</v>
      </c>
    </row>
    <row r="6448" spans="1:15" ht="28.8" x14ac:dyDescent="0.3">
      <c r="A6448" s="1" t="s">
        <v>29948</v>
      </c>
      <c r="B6448" s="1" t="str">
        <f>"david brazel DAVID BRAZEL"</f>
        <v>david brazel DAVID BRAZEL</v>
      </c>
      <c r="C6448" s="1" t="s">
        <v>29949</v>
      </c>
      <c r="F6448" s="1" t="s">
        <v>328</v>
      </c>
      <c r="H6448" s="1" t="s">
        <v>15291</v>
      </c>
      <c r="I6448" s="1" t="s">
        <v>5</v>
      </c>
      <c r="J6448" s="1" t="s">
        <v>6</v>
      </c>
      <c r="K6448" s="1" t="s">
        <v>24</v>
      </c>
      <c r="M6448" s="2">
        <v>42604</v>
      </c>
      <c r="N6448" s="1" t="s">
        <v>8</v>
      </c>
      <c r="O6448" s="2">
        <v>43699</v>
      </c>
    </row>
    <row r="6449" spans="1:15" ht="43.2" x14ac:dyDescent="0.3">
      <c r="A6449" s="1" t="s">
        <v>29950</v>
      </c>
      <c r="B6449" s="1" t="str">
        <f>"Ray Ford RD FORD PLUMBINGHEATING SERVICES"</f>
        <v>Ray Ford RD FORD PLUMBINGHEATING SERVICES</v>
      </c>
      <c r="C6449" s="1" t="s">
        <v>29951</v>
      </c>
      <c r="D6449" s="1" t="s">
        <v>560</v>
      </c>
      <c r="F6449" s="1" t="s">
        <v>123</v>
      </c>
      <c r="H6449" s="1" t="s">
        <v>29952</v>
      </c>
      <c r="I6449" s="1" t="s">
        <v>5</v>
      </c>
      <c r="J6449" s="1" t="s">
        <v>6</v>
      </c>
      <c r="K6449" s="1" t="s">
        <v>24</v>
      </c>
      <c r="M6449" s="2">
        <v>42604</v>
      </c>
      <c r="N6449" s="1" t="s">
        <v>8</v>
      </c>
      <c r="O6449" s="2">
        <v>43699</v>
      </c>
    </row>
    <row r="6450" spans="1:15" ht="43.2" x14ac:dyDescent="0.3">
      <c r="A6450" s="1" t="s">
        <v>29953</v>
      </c>
      <c r="B6450" s="1" t="str">
        <f>"Barry Tee"</f>
        <v>Barry Tee</v>
      </c>
      <c r="C6450" s="1" t="s">
        <v>29954</v>
      </c>
      <c r="F6450" s="1" t="s">
        <v>29955</v>
      </c>
      <c r="H6450" s="1" t="s">
        <v>29956</v>
      </c>
      <c r="I6450" s="1" t="s">
        <v>5</v>
      </c>
      <c r="J6450" s="1" t="s">
        <v>67</v>
      </c>
      <c r="K6450" s="1" t="s">
        <v>14</v>
      </c>
      <c r="M6450" s="2">
        <v>42604</v>
      </c>
      <c r="N6450" s="1" t="s">
        <v>8</v>
      </c>
      <c r="O6450" s="1" t="s">
        <v>68</v>
      </c>
    </row>
    <row r="6451" spans="1:15" x14ac:dyDescent="0.3">
      <c r="A6451" s="1" t="s">
        <v>17402</v>
      </c>
      <c r="B6451" s="1" t="str">
        <f>"H &amp; A R Ellis"</f>
        <v>H &amp; A R Ellis</v>
      </c>
      <c r="C6451" s="1" t="s">
        <v>17403</v>
      </c>
      <c r="F6451" s="1" t="s">
        <v>37</v>
      </c>
      <c r="H6451" s="1" t="s">
        <v>17404</v>
      </c>
      <c r="I6451" s="1" t="s">
        <v>125</v>
      </c>
      <c r="J6451" s="1" t="s">
        <v>6</v>
      </c>
      <c r="K6451" s="1" t="s">
        <v>24</v>
      </c>
      <c r="M6451" s="2">
        <v>42603</v>
      </c>
      <c r="N6451" s="1" t="s">
        <v>8</v>
      </c>
      <c r="O6451" s="2">
        <v>43698</v>
      </c>
    </row>
    <row r="6452" spans="1:15" ht="28.8" x14ac:dyDescent="0.3">
      <c r="A6452" s="1" t="s">
        <v>29207</v>
      </c>
      <c r="B6452" s="1" t="str">
        <f>"Gary  Thomas  Gary Thomas "</f>
        <v xml:space="preserve">Gary  Thomas  Gary Thomas </v>
      </c>
      <c r="C6452" s="1" t="s">
        <v>29208</v>
      </c>
      <c r="F6452" s="1" t="s">
        <v>37</v>
      </c>
      <c r="H6452" s="1" t="s">
        <v>29209</v>
      </c>
      <c r="I6452" s="1" t="s">
        <v>5</v>
      </c>
      <c r="J6452" s="1" t="s">
        <v>6</v>
      </c>
      <c r="K6452" s="1" t="s">
        <v>24</v>
      </c>
      <c r="M6452" s="2">
        <v>42603</v>
      </c>
      <c r="N6452" s="1" t="s">
        <v>8</v>
      </c>
      <c r="O6452" s="2">
        <v>43698</v>
      </c>
    </row>
    <row r="6453" spans="1:15" ht="43.2" x14ac:dyDescent="0.3">
      <c r="A6453" s="1" t="s">
        <v>17395</v>
      </c>
      <c r="B6453" s="1" t="str">
        <f>"Planscape Contractors"</f>
        <v>Planscape Contractors</v>
      </c>
      <c r="C6453" s="1" t="s">
        <v>17396</v>
      </c>
      <c r="F6453" s="1" t="s">
        <v>4252</v>
      </c>
      <c r="H6453" s="1" t="s">
        <v>17397</v>
      </c>
      <c r="I6453" s="1" t="s">
        <v>125</v>
      </c>
      <c r="J6453" s="1" t="s">
        <v>67</v>
      </c>
      <c r="K6453" s="1" t="s">
        <v>24</v>
      </c>
      <c r="M6453" s="2">
        <v>42602</v>
      </c>
      <c r="N6453" s="1" t="s">
        <v>8</v>
      </c>
      <c r="O6453" s="1" t="s">
        <v>68</v>
      </c>
    </row>
    <row r="6454" spans="1:15" ht="43.2" x14ac:dyDescent="0.3">
      <c r="A6454" s="1" t="s">
        <v>17398</v>
      </c>
      <c r="B6454" s="1" t="str">
        <f>"CHATTELS LTD"</f>
        <v>CHATTELS LTD</v>
      </c>
      <c r="C6454" s="1" t="s">
        <v>1088</v>
      </c>
      <c r="D6454" s="1" t="s">
        <v>1089</v>
      </c>
      <c r="F6454" s="1" t="s">
        <v>306</v>
      </c>
      <c r="H6454" s="1" t="s">
        <v>1090</v>
      </c>
      <c r="I6454" s="1" t="s">
        <v>19</v>
      </c>
      <c r="J6454" s="1" t="s">
        <v>6</v>
      </c>
      <c r="K6454" s="1" t="s">
        <v>24</v>
      </c>
      <c r="L6454" s="1">
        <v>4880418</v>
      </c>
      <c r="M6454" s="2">
        <v>42602</v>
      </c>
      <c r="N6454" s="1" t="s">
        <v>8</v>
      </c>
      <c r="O6454" s="2">
        <v>43697</v>
      </c>
    </row>
    <row r="6455" spans="1:15" ht="43.2" x14ac:dyDescent="0.3">
      <c r="A6455" s="1" t="s">
        <v>17399</v>
      </c>
      <c r="B6455" s="1" t="str">
        <f>"Tony rowland"</f>
        <v>Tony rowland</v>
      </c>
      <c r="C6455" s="1" t="s">
        <v>17400</v>
      </c>
      <c r="F6455" s="1" t="s">
        <v>170</v>
      </c>
      <c r="H6455" s="1" t="s">
        <v>17401</v>
      </c>
      <c r="I6455" s="1" t="s">
        <v>188</v>
      </c>
      <c r="J6455" s="1" t="s">
        <v>67</v>
      </c>
      <c r="K6455" s="1" t="s">
        <v>14</v>
      </c>
      <c r="M6455" s="2">
        <v>42602</v>
      </c>
      <c r="N6455" s="1" t="s">
        <v>8</v>
      </c>
      <c r="O6455" s="1" t="s">
        <v>68</v>
      </c>
    </row>
    <row r="6456" spans="1:15" ht="43.2" x14ac:dyDescent="0.3">
      <c r="A6456" s="1" t="s">
        <v>29204</v>
      </c>
      <c r="B6456" s="1" t="str">
        <f>"James Ashley"</f>
        <v>James Ashley</v>
      </c>
      <c r="C6456" s="1" t="s">
        <v>29205</v>
      </c>
      <c r="F6456" s="1" t="s">
        <v>930</v>
      </c>
      <c r="H6456" s="1" t="s">
        <v>29206</v>
      </c>
      <c r="I6456" s="1" t="s">
        <v>5</v>
      </c>
      <c r="J6456" s="1" t="s">
        <v>67</v>
      </c>
      <c r="K6456" s="1" t="s">
        <v>14</v>
      </c>
      <c r="M6456" s="2">
        <v>42602</v>
      </c>
      <c r="N6456" s="1" t="s">
        <v>8</v>
      </c>
      <c r="O6456" s="1" t="s">
        <v>68</v>
      </c>
    </row>
    <row r="6457" spans="1:15" ht="43.2" x14ac:dyDescent="0.3">
      <c r="A6457" s="1" t="s">
        <v>16406</v>
      </c>
      <c r="B6457" s="1" t="str">
        <f>"Megcon transport ltd"</f>
        <v>Megcon transport ltd</v>
      </c>
      <c r="C6457" s="1" t="s">
        <v>16407</v>
      </c>
      <c r="F6457" s="1" t="s">
        <v>22</v>
      </c>
      <c r="H6457" s="1" t="s">
        <v>16408</v>
      </c>
      <c r="I6457" s="1" t="s">
        <v>19</v>
      </c>
      <c r="J6457" s="1" t="s">
        <v>67</v>
      </c>
      <c r="K6457" s="1" t="s">
        <v>14</v>
      </c>
      <c r="M6457" s="2">
        <v>42601</v>
      </c>
      <c r="N6457" s="1" t="s">
        <v>8</v>
      </c>
      <c r="O6457" s="1" t="s">
        <v>68</v>
      </c>
    </row>
    <row r="6458" spans="1:15" ht="28.8" x14ac:dyDescent="0.3">
      <c r="A6458" s="1" t="s">
        <v>16409</v>
      </c>
      <c r="B6458" s="1" t="str">
        <f>"Anwyl Construction Co. Ltd."</f>
        <v>Anwyl Construction Co. Ltd.</v>
      </c>
      <c r="C6458" s="1" t="s">
        <v>16410</v>
      </c>
      <c r="D6458" s="1" t="s">
        <v>8368</v>
      </c>
      <c r="F6458" s="1" t="s">
        <v>1346</v>
      </c>
      <c r="H6458" s="1" t="s">
        <v>16411</v>
      </c>
      <c r="I6458" s="1" t="s">
        <v>19</v>
      </c>
      <c r="J6458" s="1" t="s">
        <v>6</v>
      </c>
      <c r="K6458" s="1" t="s">
        <v>24</v>
      </c>
      <c r="L6458" s="1">
        <v>435323</v>
      </c>
      <c r="M6458" s="2">
        <v>42601</v>
      </c>
      <c r="N6458" s="1" t="s">
        <v>8</v>
      </c>
      <c r="O6458" s="2">
        <v>43696</v>
      </c>
    </row>
    <row r="6459" spans="1:15" ht="28.8" x14ac:dyDescent="0.3">
      <c r="A6459" s="1" t="s">
        <v>16412</v>
      </c>
      <c r="B6459" s="1" t="str">
        <f>"S &amp; R TRANSPORT SERVICES LTD"</f>
        <v>S &amp; R TRANSPORT SERVICES LTD</v>
      </c>
      <c r="C6459" s="1" t="s">
        <v>16413</v>
      </c>
      <c r="F6459" s="1" t="s">
        <v>6825</v>
      </c>
      <c r="H6459" s="1" t="s">
        <v>16156</v>
      </c>
      <c r="I6459" s="1" t="s">
        <v>19</v>
      </c>
      <c r="J6459" s="1" t="s">
        <v>6</v>
      </c>
      <c r="K6459" s="1" t="s">
        <v>24</v>
      </c>
      <c r="L6459" s="1">
        <v>5906864</v>
      </c>
      <c r="M6459" s="2">
        <v>42601</v>
      </c>
      <c r="N6459" s="1" t="s">
        <v>8</v>
      </c>
      <c r="O6459" s="2">
        <v>43696</v>
      </c>
    </row>
    <row r="6460" spans="1:15" ht="28.8" x14ac:dyDescent="0.3">
      <c r="A6460" s="1" t="s">
        <v>16414</v>
      </c>
      <c r="B6460" s="1" t="str">
        <f>"Peter Broughton Ltd"</f>
        <v>Peter Broughton Ltd</v>
      </c>
      <c r="C6460" s="1" t="s">
        <v>16415</v>
      </c>
      <c r="D6460" s="1" t="s">
        <v>13091</v>
      </c>
      <c r="F6460" s="1" t="s">
        <v>123</v>
      </c>
      <c r="H6460" s="1" t="s">
        <v>13092</v>
      </c>
      <c r="I6460" s="1" t="s">
        <v>19</v>
      </c>
      <c r="J6460" s="1" t="s">
        <v>6</v>
      </c>
      <c r="K6460" s="1" t="s">
        <v>34</v>
      </c>
      <c r="L6460" s="1">
        <v>908707</v>
      </c>
      <c r="M6460" s="2">
        <v>42601</v>
      </c>
      <c r="N6460" s="1" t="s">
        <v>8</v>
      </c>
      <c r="O6460" s="2">
        <v>43696</v>
      </c>
    </row>
    <row r="6461" spans="1:15" ht="28.8" x14ac:dyDescent="0.3">
      <c r="A6461" s="1" t="s">
        <v>16416</v>
      </c>
      <c r="B6461" s="1" t="str">
        <f>"Spectrum Windows Ltd."</f>
        <v>Spectrum Windows Ltd.</v>
      </c>
      <c r="C6461" s="1" t="s">
        <v>16417</v>
      </c>
      <c r="F6461" s="1" t="s">
        <v>3242</v>
      </c>
      <c r="H6461" s="1" t="s">
        <v>16418</v>
      </c>
      <c r="I6461" s="1" t="s">
        <v>19</v>
      </c>
      <c r="J6461" s="1" t="s">
        <v>6</v>
      </c>
      <c r="K6461" s="1" t="s">
        <v>24</v>
      </c>
      <c r="L6461" s="1">
        <v>4668199</v>
      </c>
      <c r="M6461" s="2">
        <v>42601</v>
      </c>
      <c r="N6461" s="1" t="s">
        <v>8</v>
      </c>
      <c r="O6461" s="2">
        <v>43696</v>
      </c>
    </row>
    <row r="6462" spans="1:15" x14ac:dyDescent="0.3">
      <c r="A6462" s="1" t="s">
        <v>17386</v>
      </c>
      <c r="B6462" s="1" t="str">
        <f>"Endecotts Ltd."</f>
        <v>Endecotts Ltd.</v>
      </c>
      <c r="C6462" s="1" t="s">
        <v>17387</v>
      </c>
      <c r="F6462" s="1" t="s">
        <v>170</v>
      </c>
      <c r="H6462" s="1" t="s">
        <v>17388</v>
      </c>
      <c r="I6462" s="1" t="s">
        <v>19</v>
      </c>
      <c r="J6462" s="1" t="s">
        <v>6</v>
      </c>
      <c r="K6462" s="1" t="s">
        <v>24</v>
      </c>
      <c r="L6462" s="1">
        <v>842205</v>
      </c>
      <c r="M6462" s="2">
        <v>42601</v>
      </c>
      <c r="N6462" s="1" t="s">
        <v>8</v>
      </c>
      <c r="O6462" s="2">
        <v>43696</v>
      </c>
    </row>
    <row r="6463" spans="1:15" ht="28.8" x14ac:dyDescent="0.3">
      <c r="A6463" s="1" t="s">
        <v>17389</v>
      </c>
      <c r="B6463" s="1" t="str">
        <f>"Evans Wilson &amp; Evans Ltd."</f>
        <v>Evans Wilson &amp; Evans Ltd.</v>
      </c>
      <c r="C6463" s="1" t="s">
        <v>17390</v>
      </c>
      <c r="F6463" s="1" t="s">
        <v>358</v>
      </c>
      <c r="H6463" s="1" t="s">
        <v>17391</v>
      </c>
      <c r="I6463" s="1" t="s">
        <v>19</v>
      </c>
      <c r="J6463" s="1" t="s">
        <v>6</v>
      </c>
      <c r="K6463" s="1" t="s">
        <v>24</v>
      </c>
      <c r="L6463" s="1">
        <v>2141919</v>
      </c>
      <c r="M6463" s="2">
        <v>42601</v>
      </c>
      <c r="N6463" s="1" t="s">
        <v>8</v>
      </c>
      <c r="O6463" s="2">
        <v>43696</v>
      </c>
    </row>
    <row r="6464" spans="1:15" ht="28.8" x14ac:dyDescent="0.3">
      <c r="A6464" s="1" t="s">
        <v>17392</v>
      </c>
      <c r="B6464" s="1" t="str">
        <f>"Eliots Classic Landscapes Ltd."</f>
        <v>Eliots Classic Landscapes Ltd.</v>
      </c>
      <c r="C6464" s="1" t="s">
        <v>17393</v>
      </c>
      <c r="F6464" s="1" t="s">
        <v>416</v>
      </c>
      <c r="H6464" s="1" t="s">
        <v>17394</v>
      </c>
      <c r="I6464" s="1" t="s">
        <v>19</v>
      </c>
      <c r="J6464" s="1" t="s">
        <v>6</v>
      </c>
      <c r="K6464" s="1" t="s">
        <v>34</v>
      </c>
      <c r="L6464" s="1">
        <v>5083722</v>
      </c>
      <c r="M6464" s="2">
        <v>42601</v>
      </c>
      <c r="N6464" s="1" t="s">
        <v>8</v>
      </c>
      <c r="O6464" s="2">
        <v>43696</v>
      </c>
    </row>
    <row r="6465" spans="1:15" ht="28.8" x14ac:dyDescent="0.3">
      <c r="A6465" s="1" t="s">
        <v>28470</v>
      </c>
      <c r="B6465" s="1" t="str">
        <f>"Elwyn Thomas Thomas &amp; Felgate"</f>
        <v>Elwyn Thomas Thomas &amp; Felgate</v>
      </c>
      <c r="C6465" s="1" t="s">
        <v>28471</v>
      </c>
      <c r="F6465" s="1" t="s">
        <v>83</v>
      </c>
      <c r="H6465" s="1" t="s">
        <v>18869</v>
      </c>
      <c r="I6465" s="1" t="s">
        <v>5</v>
      </c>
      <c r="J6465" s="1" t="s">
        <v>6</v>
      </c>
      <c r="K6465" s="1" t="s">
        <v>24</v>
      </c>
      <c r="M6465" s="2">
        <v>42601</v>
      </c>
      <c r="N6465" s="1" t="s">
        <v>8</v>
      </c>
      <c r="O6465" s="2">
        <v>43696</v>
      </c>
    </row>
    <row r="6466" spans="1:15" ht="28.8" x14ac:dyDescent="0.3">
      <c r="A6466" s="1" t="s">
        <v>28472</v>
      </c>
      <c r="B6466" s="1" t="str">
        <f>"Peter Gore Peter Gore Plumbing &amp; Heating"</f>
        <v>Peter Gore Peter Gore Plumbing &amp; Heating</v>
      </c>
      <c r="C6466" s="1" t="s">
        <v>28473</v>
      </c>
      <c r="F6466" s="1" t="s">
        <v>214</v>
      </c>
      <c r="H6466" s="1" t="s">
        <v>28474</v>
      </c>
      <c r="I6466" s="1" t="s">
        <v>5</v>
      </c>
      <c r="J6466" s="1" t="s">
        <v>6</v>
      </c>
      <c r="K6466" s="1" t="s">
        <v>24</v>
      </c>
      <c r="M6466" s="2">
        <v>42601</v>
      </c>
      <c r="N6466" s="1" t="s">
        <v>8</v>
      </c>
      <c r="O6466" s="2">
        <v>43696</v>
      </c>
    </row>
    <row r="6467" spans="1:15" x14ac:dyDescent="0.3">
      <c r="A6467" s="1" t="s">
        <v>28475</v>
      </c>
      <c r="B6467" s="1" t="str">
        <f>"Alun  John"</f>
        <v>Alun  John</v>
      </c>
      <c r="C6467" s="1" t="s">
        <v>28476</v>
      </c>
      <c r="D6467" s="1" t="s">
        <v>21090</v>
      </c>
      <c r="F6467" s="1" t="s">
        <v>380</v>
      </c>
      <c r="H6467" s="1" t="s">
        <v>28477</v>
      </c>
      <c r="I6467" s="1" t="s">
        <v>5</v>
      </c>
      <c r="J6467" s="1" t="s">
        <v>6</v>
      </c>
      <c r="K6467" s="1" t="s">
        <v>24</v>
      </c>
      <c r="M6467" s="2">
        <v>42601</v>
      </c>
      <c r="N6467" s="1" t="s">
        <v>8</v>
      </c>
      <c r="O6467" s="2">
        <v>43696</v>
      </c>
    </row>
    <row r="6468" spans="1:15" ht="43.2" x14ac:dyDescent="0.3">
      <c r="A6468" s="1" t="s">
        <v>29195</v>
      </c>
      <c r="B6468" s="1" t="str">
        <f>"Andy Lloyd"</f>
        <v>Andy Lloyd</v>
      </c>
      <c r="C6468" s="1" t="s">
        <v>29196</v>
      </c>
      <c r="D6468" s="1" t="s">
        <v>3437</v>
      </c>
      <c r="F6468" s="1" t="s">
        <v>123</v>
      </c>
      <c r="H6468" s="1" t="s">
        <v>29197</v>
      </c>
      <c r="I6468" s="1" t="s">
        <v>5</v>
      </c>
      <c r="J6468" s="1" t="s">
        <v>67</v>
      </c>
      <c r="K6468" s="1" t="s">
        <v>14</v>
      </c>
      <c r="M6468" s="2">
        <v>42601</v>
      </c>
      <c r="N6468" s="1" t="s">
        <v>8</v>
      </c>
      <c r="O6468" s="1" t="s">
        <v>68</v>
      </c>
    </row>
    <row r="6469" spans="1:15" ht="43.2" x14ac:dyDescent="0.3">
      <c r="A6469" s="1" t="s">
        <v>29198</v>
      </c>
      <c r="B6469" s="1" t="str">
        <f>"Katherine  Greaves "</f>
        <v xml:space="preserve">Katherine  Greaves </v>
      </c>
      <c r="C6469" s="1" t="s">
        <v>29199</v>
      </c>
      <c r="F6469" s="1" t="s">
        <v>24719</v>
      </c>
      <c r="H6469" s="1" t="s">
        <v>29200</v>
      </c>
      <c r="I6469" s="1" t="s">
        <v>5</v>
      </c>
      <c r="J6469" s="1" t="s">
        <v>67</v>
      </c>
      <c r="K6469" s="1" t="s">
        <v>14</v>
      </c>
      <c r="M6469" s="2">
        <v>42601</v>
      </c>
      <c r="N6469" s="1" t="s">
        <v>8</v>
      </c>
      <c r="O6469" s="1" t="s">
        <v>68</v>
      </c>
    </row>
    <row r="6470" spans="1:15" ht="43.2" x14ac:dyDescent="0.3">
      <c r="A6470" s="1" t="s">
        <v>29201</v>
      </c>
      <c r="B6470" s="1" t="str">
        <f>"Liam donaldson L.D. Masonry &amp; Landscaping"</f>
        <v>Liam donaldson L.D. Masonry &amp; Landscaping</v>
      </c>
      <c r="C6470" s="1" t="s">
        <v>29202</v>
      </c>
      <c r="F6470" s="1" t="s">
        <v>9414</v>
      </c>
      <c r="H6470" s="1" t="s">
        <v>29203</v>
      </c>
      <c r="I6470" s="1" t="s">
        <v>5</v>
      </c>
      <c r="J6470" s="1" t="s">
        <v>67</v>
      </c>
      <c r="K6470" s="1" t="s">
        <v>24</v>
      </c>
      <c r="M6470" s="2">
        <v>42601</v>
      </c>
      <c r="N6470" s="1" t="s">
        <v>8</v>
      </c>
      <c r="O6470" s="1" t="s">
        <v>68</v>
      </c>
    </row>
    <row r="6471" spans="1:15" ht="28.8" x14ac:dyDescent="0.3">
      <c r="A6471" s="1" t="s">
        <v>15365</v>
      </c>
      <c r="B6471" s="1" t="str">
        <f>"North Wales Haulage Services Ltd"</f>
        <v>North Wales Haulage Services Ltd</v>
      </c>
      <c r="C6471" s="1" t="s">
        <v>15366</v>
      </c>
      <c r="D6471" s="1" t="s">
        <v>1108</v>
      </c>
      <c r="F6471" s="1" t="s">
        <v>6084</v>
      </c>
      <c r="H6471" s="1" t="s">
        <v>15367</v>
      </c>
      <c r="I6471" s="1" t="s">
        <v>19</v>
      </c>
      <c r="J6471" s="1" t="s">
        <v>6</v>
      </c>
      <c r="K6471" s="1" t="s">
        <v>34</v>
      </c>
      <c r="L6471" s="1">
        <v>7334978</v>
      </c>
      <c r="M6471" s="2">
        <v>42600</v>
      </c>
      <c r="N6471" s="1" t="s">
        <v>8</v>
      </c>
      <c r="O6471" s="2">
        <v>43695</v>
      </c>
    </row>
    <row r="6472" spans="1:15" x14ac:dyDescent="0.3">
      <c r="A6472" s="1" t="s">
        <v>16390</v>
      </c>
      <c r="B6472" s="1" t="str">
        <f>"Bubble construction ltd"</f>
        <v>Bubble construction ltd</v>
      </c>
      <c r="C6472" s="1" t="s">
        <v>16391</v>
      </c>
      <c r="F6472" s="1" t="s">
        <v>1556</v>
      </c>
      <c r="H6472" s="1" t="s">
        <v>16392</v>
      </c>
      <c r="I6472" s="1" t="s">
        <v>19</v>
      </c>
      <c r="J6472" s="1" t="s">
        <v>6</v>
      </c>
      <c r="K6472" s="1" t="s">
        <v>24</v>
      </c>
      <c r="L6472" s="1">
        <v>5751357</v>
      </c>
      <c r="M6472" s="2">
        <v>42600</v>
      </c>
      <c r="N6472" s="1" t="s">
        <v>8</v>
      </c>
      <c r="O6472" s="2">
        <v>43695</v>
      </c>
    </row>
    <row r="6473" spans="1:15" ht="28.8" x14ac:dyDescent="0.3">
      <c r="A6473" s="1" t="s">
        <v>16393</v>
      </c>
      <c r="B6473" s="1" t="str">
        <f>"Gwyn Roberts Builders Ltd."</f>
        <v>Gwyn Roberts Builders Ltd.</v>
      </c>
      <c r="C6473" s="1" t="s">
        <v>16394</v>
      </c>
      <c r="F6473" s="1" t="s">
        <v>2281</v>
      </c>
      <c r="H6473" s="1" t="s">
        <v>16395</v>
      </c>
      <c r="I6473" s="1" t="s">
        <v>19</v>
      </c>
      <c r="J6473" s="1" t="s">
        <v>6</v>
      </c>
      <c r="K6473" s="1" t="s">
        <v>34</v>
      </c>
      <c r="L6473" s="1">
        <v>6256473</v>
      </c>
      <c r="M6473" s="2">
        <v>42600</v>
      </c>
      <c r="N6473" s="1" t="s">
        <v>8</v>
      </c>
      <c r="O6473" s="2">
        <v>43695</v>
      </c>
    </row>
    <row r="6474" spans="1:15" ht="28.8" x14ac:dyDescent="0.3">
      <c r="A6474" s="1" t="s">
        <v>16396</v>
      </c>
      <c r="B6474" s="1" t="str">
        <f>"Gwynne J Thomas Limited"</f>
        <v>Gwynne J Thomas Limited</v>
      </c>
      <c r="C6474" s="1" t="s">
        <v>16397</v>
      </c>
      <c r="F6474" s="1" t="s">
        <v>416</v>
      </c>
      <c r="H6474" s="1" t="s">
        <v>16398</v>
      </c>
      <c r="I6474" s="1" t="s">
        <v>19</v>
      </c>
      <c r="J6474" s="1" t="s">
        <v>6</v>
      </c>
      <c r="K6474" s="1" t="s">
        <v>24</v>
      </c>
      <c r="L6474" s="1">
        <v>8118668</v>
      </c>
      <c r="M6474" s="2">
        <v>42600</v>
      </c>
      <c r="N6474" s="1" t="s">
        <v>8</v>
      </c>
      <c r="O6474" s="2">
        <v>43695</v>
      </c>
    </row>
    <row r="6475" spans="1:15" ht="28.8" x14ac:dyDescent="0.3">
      <c r="A6475" s="1" t="s">
        <v>16399</v>
      </c>
      <c r="B6475" s="1" t="str">
        <f>"Best Construction Ltd."</f>
        <v>Best Construction Ltd.</v>
      </c>
      <c r="C6475" s="1" t="s">
        <v>16400</v>
      </c>
      <c r="F6475" s="1" t="s">
        <v>607</v>
      </c>
      <c r="H6475" s="1" t="s">
        <v>16401</v>
      </c>
      <c r="I6475" s="1" t="s">
        <v>19</v>
      </c>
      <c r="J6475" s="1" t="s">
        <v>6</v>
      </c>
      <c r="K6475" s="1" t="s">
        <v>34</v>
      </c>
      <c r="L6475" s="1">
        <v>2238230</v>
      </c>
      <c r="M6475" s="2">
        <v>42600</v>
      </c>
      <c r="N6475" s="1" t="s">
        <v>8</v>
      </c>
      <c r="O6475" s="2">
        <v>43695</v>
      </c>
    </row>
    <row r="6476" spans="1:15" ht="43.2" x14ac:dyDescent="0.3">
      <c r="A6476" s="1" t="s">
        <v>16402</v>
      </c>
      <c r="B6476" s="1" t="str">
        <f>"FLOOREX CARPETS LTD"</f>
        <v>FLOOREX CARPETS LTD</v>
      </c>
      <c r="C6476" s="1" t="s">
        <v>16403</v>
      </c>
      <c r="F6476" s="1" t="s">
        <v>380</v>
      </c>
      <c r="H6476" s="1" t="s">
        <v>1846</v>
      </c>
      <c r="I6476" s="1" t="s">
        <v>19</v>
      </c>
      <c r="J6476" s="1" t="s">
        <v>67</v>
      </c>
      <c r="K6476" s="1" t="s">
        <v>34</v>
      </c>
      <c r="L6476" s="1">
        <v>1906585</v>
      </c>
      <c r="M6476" s="2">
        <v>42600</v>
      </c>
      <c r="N6476" s="1" t="s">
        <v>8</v>
      </c>
      <c r="O6476" s="1" t="s">
        <v>68</v>
      </c>
    </row>
    <row r="6477" spans="1:15" ht="43.2" x14ac:dyDescent="0.3">
      <c r="A6477" s="1" t="s">
        <v>16404</v>
      </c>
      <c r="B6477" s="1" t="str">
        <f>"Denbigh Building Plastics Ltd."</f>
        <v>Denbigh Building Plastics Ltd.</v>
      </c>
      <c r="C6477" s="1" t="s">
        <v>16405</v>
      </c>
      <c r="D6477" s="1" t="s">
        <v>5613</v>
      </c>
      <c r="F6477" s="1" t="s">
        <v>1169</v>
      </c>
      <c r="H6477" s="1" t="s">
        <v>5614</v>
      </c>
      <c r="I6477" s="1" t="s">
        <v>19</v>
      </c>
      <c r="J6477" s="1" t="s">
        <v>67</v>
      </c>
      <c r="K6477" s="1" t="s">
        <v>34</v>
      </c>
      <c r="L6477" s="1">
        <v>5067328</v>
      </c>
      <c r="M6477" s="2">
        <v>42600</v>
      </c>
      <c r="N6477" s="1" t="s">
        <v>8</v>
      </c>
      <c r="O6477" s="1" t="s">
        <v>68</v>
      </c>
    </row>
    <row r="6478" spans="1:15" ht="28.8" x14ac:dyDescent="0.3">
      <c r="A6478" s="1" t="s">
        <v>27691</v>
      </c>
      <c r="B6478" s="1" t="str">
        <f>"Alistar Williams Alistar Williams"</f>
        <v>Alistar Williams Alistar Williams</v>
      </c>
      <c r="C6478" s="1" t="s">
        <v>27692</v>
      </c>
      <c r="F6478" s="1" t="s">
        <v>65</v>
      </c>
      <c r="H6478" s="1" t="s">
        <v>27693</v>
      </c>
      <c r="I6478" s="1" t="s">
        <v>5</v>
      </c>
      <c r="J6478" s="1" t="s">
        <v>6</v>
      </c>
      <c r="K6478" s="1" t="s">
        <v>24</v>
      </c>
      <c r="M6478" s="2">
        <v>42600</v>
      </c>
      <c r="N6478" s="1" t="s">
        <v>8</v>
      </c>
      <c r="O6478" s="2">
        <v>43695</v>
      </c>
    </row>
    <row r="6479" spans="1:15" ht="43.2" x14ac:dyDescent="0.3">
      <c r="A6479" s="1" t="s">
        <v>28461</v>
      </c>
      <c r="B6479" s="1" t="str">
        <f>"Roger Jackson"</f>
        <v>Roger Jackson</v>
      </c>
      <c r="C6479" s="1" t="s">
        <v>28462</v>
      </c>
      <c r="F6479" s="1" t="s">
        <v>96</v>
      </c>
      <c r="H6479" s="1" t="s">
        <v>28463</v>
      </c>
      <c r="I6479" s="1" t="s">
        <v>5</v>
      </c>
      <c r="J6479" s="1" t="s">
        <v>67</v>
      </c>
      <c r="K6479" s="1" t="s">
        <v>14</v>
      </c>
      <c r="M6479" s="2">
        <v>42600</v>
      </c>
      <c r="N6479" s="1" t="s">
        <v>8</v>
      </c>
      <c r="O6479" s="1" t="s">
        <v>68</v>
      </c>
    </row>
    <row r="6480" spans="1:15" ht="28.8" x14ac:dyDescent="0.3">
      <c r="A6480" s="1" t="s">
        <v>28464</v>
      </c>
      <c r="B6480" s="1" t="str">
        <f>"Adrian Gwyn Pritchard"</f>
        <v>Adrian Gwyn Pritchard</v>
      </c>
      <c r="C6480" s="1" t="s">
        <v>28465</v>
      </c>
      <c r="F6480" s="1" t="s">
        <v>22</v>
      </c>
      <c r="H6480" s="1" t="s">
        <v>28466</v>
      </c>
      <c r="I6480" s="1" t="s">
        <v>5</v>
      </c>
      <c r="J6480" s="1" t="s">
        <v>6</v>
      </c>
      <c r="K6480" s="1" t="s">
        <v>34</v>
      </c>
      <c r="M6480" s="2">
        <v>42600</v>
      </c>
      <c r="N6480" s="1" t="s">
        <v>8</v>
      </c>
      <c r="O6480" s="2">
        <v>43695</v>
      </c>
    </row>
    <row r="6481" spans="1:15" ht="43.2" x14ac:dyDescent="0.3">
      <c r="A6481" s="1" t="s">
        <v>28467</v>
      </c>
      <c r="B6481" s="1" t="str">
        <f>"Jonathan Armstrong"</f>
        <v>Jonathan Armstrong</v>
      </c>
      <c r="C6481" s="1" t="s">
        <v>28468</v>
      </c>
      <c r="F6481" s="1" t="s">
        <v>42</v>
      </c>
      <c r="H6481" s="1" t="s">
        <v>28469</v>
      </c>
      <c r="I6481" s="1" t="s">
        <v>5</v>
      </c>
      <c r="J6481" s="1" t="s">
        <v>67</v>
      </c>
      <c r="K6481" s="1" t="s">
        <v>14</v>
      </c>
      <c r="M6481" s="2">
        <v>42600</v>
      </c>
      <c r="N6481" s="1" t="s">
        <v>8</v>
      </c>
      <c r="O6481" s="1" t="s">
        <v>68</v>
      </c>
    </row>
    <row r="6482" spans="1:15" x14ac:dyDescent="0.3">
      <c r="A6482" s="1" t="s">
        <v>15347</v>
      </c>
      <c r="B6482" s="1" t="str">
        <f>"Minshull Windows Ltd."</f>
        <v>Minshull Windows Ltd.</v>
      </c>
      <c r="C6482" s="1" t="s">
        <v>15348</v>
      </c>
      <c r="F6482" s="1" t="s">
        <v>324</v>
      </c>
      <c r="H6482" s="1" t="s">
        <v>15349</v>
      </c>
      <c r="I6482" s="1" t="s">
        <v>19</v>
      </c>
      <c r="J6482" s="1" t="s">
        <v>6</v>
      </c>
      <c r="K6482" s="1" t="s">
        <v>24</v>
      </c>
      <c r="L6482" s="1">
        <v>6713270</v>
      </c>
      <c r="M6482" s="2">
        <v>42599</v>
      </c>
      <c r="N6482" s="1" t="s">
        <v>8</v>
      </c>
      <c r="O6482" s="2">
        <v>43694</v>
      </c>
    </row>
    <row r="6483" spans="1:15" ht="28.8" x14ac:dyDescent="0.3">
      <c r="A6483" s="1" t="s">
        <v>15350</v>
      </c>
      <c r="B6483" s="1" t="str">
        <f>"LNC Floorcoverings"</f>
        <v>LNC Floorcoverings</v>
      </c>
      <c r="C6483" s="1" t="s">
        <v>15351</v>
      </c>
      <c r="D6483" s="1" t="s">
        <v>1576</v>
      </c>
      <c r="F6483" s="1" t="s">
        <v>298</v>
      </c>
      <c r="H6483" s="1" t="s">
        <v>1577</v>
      </c>
      <c r="I6483" s="1" t="s">
        <v>19</v>
      </c>
      <c r="J6483" s="1" t="s">
        <v>6</v>
      </c>
      <c r="K6483" s="1" t="s">
        <v>24</v>
      </c>
      <c r="L6483" s="1">
        <v>5549629</v>
      </c>
      <c r="M6483" s="2">
        <v>42599</v>
      </c>
      <c r="N6483" s="1" t="s">
        <v>8</v>
      </c>
      <c r="O6483" s="2">
        <v>43694</v>
      </c>
    </row>
    <row r="6484" spans="1:15" ht="28.8" x14ac:dyDescent="0.3">
      <c r="A6484" s="1" t="s">
        <v>15352</v>
      </c>
      <c r="B6484" s="1" t="str">
        <f>"Borley Engineering Services Ltd"</f>
        <v>Borley Engineering Services Ltd</v>
      </c>
      <c r="C6484" s="1" t="s">
        <v>15353</v>
      </c>
      <c r="F6484" s="1" t="s">
        <v>27</v>
      </c>
      <c r="H6484" s="1" t="s">
        <v>15354</v>
      </c>
      <c r="I6484" s="1" t="s">
        <v>19</v>
      </c>
      <c r="J6484" s="1" t="s">
        <v>6</v>
      </c>
      <c r="K6484" s="1" t="s">
        <v>34</v>
      </c>
      <c r="L6484" s="1">
        <v>2745902</v>
      </c>
      <c r="M6484" s="2">
        <v>42599</v>
      </c>
      <c r="N6484" s="1" t="s">
        <v>8</v>
      </c>
      <c r="O6484" s="2">
        <v>43694</v>
      </c>
    </row>
    <row r="6485" spans="1:15" ht="28.8" x14ac:dyDescent="0.3">
      <c r="A6485" s="1" t="s">
        <v>15355</v>
      </c>
      <c r="B6485" s="1" t="str">
        <f>"Mamhilad Recycling Services"</f>
        <v>Mamhilad Recycling Services</v>
      </c>
      <c r="C6485" s="1" t="s">
        <v>15356</v>
      </c>
      <c r="D6485" s="1" t="s">
        <v>15357</v>
      </c>
      <c r="F6485" s="1" t="s">
        <v>230</v>
      </c>
      <c r="H6485" s="1" t="s">
        <v>15358</v>
      </c>
      <c r="I6485" s="1" t="s">
        <v>19</v>
      </c>
      <c r="J6485" s="1" t="s">
        <v>6</v>
      </c>
      <c r="K6485" s="1" t="s">
        <v>34</v>
      </c>
      <c r="L6485" s="1">
        <v>10183212</v>
      </c>
      <c r="M6485" s="2">
        <v>42599</v>
      </c>
      <c r="N6485" s="1" t="s">
        <v>8</v>
      </c>
      <c r="O6485" s="2">
        <v>43694</v>
      </c>
    </row>
    <row r="6486" spans="1:15" ht="28.8" x14ac:dyDescent="0.3">
      <c r="A6486" s="1" t="s">
        <v>15359</v>
      </c>
      <c r="B6486" s="1" t="str">
        <f>"J Campbell Construction Ltd."</f>
        <v>J Campbell Construction Ltd.</v>
      </c>
      <c r="C6486" s="1" t="s">
        <v>15360</v>
      </c>
      <c r="F6486" s="1" t="s">
        <v>3242</v>
      </c>
      <c r="H6486" s="1" t="s">
        <v>3243</v>
      </c>
      <c r="I6486" s="1" t="s">
        <v>19</v>
      </c>
      <c r="J6486" s="1" t="s">
        <v>6</v>
      </c>
      <c r="K6486" s="1" t="s">
        <v>34</v>
      </c>
      <c r="L6486" s="1">
        <v>4202354</v>
      </c>
      <c r="M6486" s="2">
        <v>42599</v>
      </c>
      <c r="N6486" s="1" t="s">
        <v>8</v>
      </c>
      <c r="O6486" s="2">
        <v>43694</v>
      </c>
    </row>
    <row r="6487" spans="1:15" ht="43.2" x14ac:dyDescent="0.3">
      <c r="A6487" s="1" t="s">
        <v>15361</v>
      </c>
      <c r="B6487" s="1" t="str">
        <f>"prestige auto salvage ltd"</f>
        <v>prestige auto salvage ltd</v>
      </c>
      <c r="C6487" s="1" t="s">
        <v>15362</v>
      </c>
      <c r="F6487" s="1" t="s">
        <v>15363</v>
      </c>
      <c r="H6487" s="1" t="s">
        <v>15364</v>
      </c>
      <c r="I6487" s="1" t="s">
        <v>19</v>
      </c>
      <c r="J6487" s="1" t="s">
        <v>67</v>
      </c>
      <c r="K6487" s="1" t="s">
        <v>14</v>
      </c>
      <c r="M6487" s="2">
        <v>42599</v>
      </c>
      <c r="N6487" s="1" t="s">
        <v>8</v>
      </c>
      <c r="O6487" s="1" t="s">
        <v>68</v>
      </c>
    </row>
    <row r="6488" spans="1:15" ht="28.8" x14ac:dyDescent="0.3">
      <c r="A6488" s="1" t="s">
        <v>27677</v>
      </c>
      <c r="B6488" s="1" t="str">
        <f>"Andrew Kaler TA A Klass Freight Sevices"</f>
        <v>Andrew Kaler TA A Klass Freight Sevices</v>
      </c>
      <c r="C6488" s="1" t="s">
        <v>27678</v>
      </c>
      <c r="F6488" s="1" t="s">
        <v>556</v>
      </c>
      <c r="H6488" s="1" t="s">
        <v>987</v>
      </c>
      <c r="I6488" s="1" t="s">
        <v>5</v>
      </c>
      <c r="J6488" s="1" t="s">
        <v>6</v>
      </c>
      <c r="K6488" s="1" t="s">
        <v>34</v>
      </c>
      <c r="M6488" s="2">
        <v>42599</v>
      </c>
      <c r="N6488" s="1" t="s">
        <v>8</v>
      </c>
      <c r="O6488" s="2">
        <v>43694</v>
      </c>
    </row>
    <row r="6489" spans="1:15" ht="43.2" x14ac:dyDescent="0.3">
      <c r="A6489" s="1" t="s">
        <v>27679</v>
      </c>
      <c r="B6489" s="1" t="str">
        <f>"Robert Simmons"</f>
        <v>Robert Simmons</v>
      </c>
      <c r="C6489" s="1" t="s">
        <v>27680</v>
      </c>
      <c r="D6489" s="1" t="s">
        <v>27681</v>
      </c>
      <c r="F6489" s="1" t="s">
        <v>1511</v>
      </c>
      <c r="H6489" s="1" t="s">
        <v>27682</v>
      </c>
      <c r="I6489" s="1" t="s">
        <v>5</v>
      </c>
      <c r="J6489" s="1" t="s">
        <v>67</v>
      </c>
      <c r="K6489" s="1" t="s">
        <v>14</v>
      </c>
      <c r="M6489" s="2">
        <v>42599</v>
      </c>
      <c r="N6489" s="1" t="s">
        <v>8</v>
      </c>
      <c r="O6489" s="1" t="s">
        <v>68</v>
      </c>
    </row>
    <row r="6490" spans="1:15" ht="57.6" x14ac:dyDescent="0.3">
      <c r="A6490" s="1" t="s">
        <v>27683</v>
      </c>
      <c r="B6490" s="1" t="str">
        <f>"STEWART SMALLWOOD Smallwood Electrical Services"</f>
        <v>STEWART SMALLWOOD Smallwood Electrical Services</v>
      </c>
      <c r="C6490" s="1" t="s">
        <v>27684</v>
      </c>
      <c r="F6490" s="1" t="s">
        <v>380</v>
      </c>
      <c r="H6490" s="1" t="s">
        <v>6790</v>
      </c>
      <c r="I6490" s="1" t="s">
        <v>5</v>
      </c>
      <c r="J6490" s="1" t="s">
        <v>6</v>
      </c>
      <c r="K6490" s="1" t="s">
        <v>24</v>
      </c>
      <c r="M6490" s="2">
        <v>42599</v>
      </c>
      <c r="N6490" s="1" t="s">
        <v>8</v>
      </c>
      <c r="O6490" s="2">
        <v>43722</v>
      </c>
    </row>
    <row r="6491" spans="1:15" ht="28.8" x14ac:dyDescent="0.3">
      <c r="A6491" s="1" t="s">
        <v>27685</v>
      </c>
      <c r="B6491" s="1" t="str">
        <f>"Wayne Swallow Wayne Peter Swallow"</f>
        <v>Wayne Swallow Wayne Peter Swallow</v>
      </c>
      <c r="C6491" s="1" t="s">
        <v>27686</v>
      </c>
      <c r="F6491" s="1" t="s">
        <v>277</v>
      </c>
      <c r="H6491" s="1" t="s">
        <v>27687</v>
      </c>
      <c r="I6491" s="1" t="s">
        <v>5</v>
      </c>
      <c r="J6491" s="1" t="s">
        <v>6</v>
      </c>
      <c r="K6491" s="1" t="s">
        <v>24</v>
      </c>
      <c r="M6491" s="2">
        <v>42599</v>
      </c>
      <c r="N6491" s="1" t="s">
        <v>8</v>
      </c>
      <c r="O6491" s="2">
        <v>43694</v>
      </c>
    </row>
    <row r="6492" spans="1:15" ht="28.8" x14ac:dyDescent="0.3">
      <c r="A6492" s="1" t="s">
        <v>27688</v>
      </c>
      <c r="B6492" s="1" t="str">
        <f>"Mark Hughman MHB Builders"</f>
        <v>Mark Hughman MHB Builders</v>
      </c>
      <c r="C6492" s="1" t="s">
        <v>27689</v>
      </c>
      <c r="F6492" s="1" t="s">
        <v>4831</v>
      </c>
      <c r="H6492" s="1" t="s">
        <v>27690</v>
      </c>
      <c r="I6492" s="1" t="s">
        <v>5</v>
      </c>
      <c r="J6492" s="1" t="s">
        <v>6</v>
      </c>
      <c r="K6492" s="1" t="s">
        <v>24</v>
      </c>
      <c r="M6492" s="2">
        <v>42599</v>
      </c>
      <c r="N6492" s="1" t="s">
        <v>8</v>
      </c>
      <c r="O6492" s="2">
        <v>43694</v>
      </c>
    </row>
    <row r="6493" spans="1:15" ht="28.8" x14ac:dyDescent="0.3">
      <c r="A6493" s="1" t="s">
        <v>14434</v>
      </c>
      <c r="B6493" s="1" t="str">
        <f>"IDEAL WORKS LTD"</f>
        <v>IDEAL WORKS LTD</v>
      </c>
      <c r="C6493" s="1" t="s">
        <v>14435</v>
      </c>
      <c r="F6493" s="1" t="s">
        <v>65</v>
      </c>
      <c r="H6493" s="1" t="s">
        <v>14436</v>
      </c>
      <c r="I6493" s="1" t="s">
        <v>19</v>
      </c>
      <c r="J6493" s="1" t="s">
        <v>6</v>
      </c>
      <c r="K6493" s="1" t="s">
        <v>34</v>
      </c>
      <c r="L6493" s="1">
        <v>8515614</v>
      </c>
      <c r="M6493" s="2">
        <v>42598</v>
      </c>
      <c r="N6493" s="1" t="s">
        <v>8</v>
      </c>
      <c r="O6493" s="2">
        <v>43693</v>
      </c>
    </row>
    <row r="6494" spans="1:15" ht="28.8" x14ac:dyDescent="0.3">
      <c r="A6494" s="1" t="s">
        <v>14437</v>
      </c>
      <c r="B6494" s="1" t="str">
        <f>"Install Integrated Skips Ltd"</f>
        <v>Install Integrated Skips Ltd</v>
      </c>
      <c r="C6494" s="1" t="s">
        <v>14438</v>
      </c>
      <c r="F6494" s="1" t="s">
        <v>706</v>
      </c>
      <c r="H6494" s="1" t="s">
        <v>966</v>
      </c>
      <c r="I6494" s="1" t="s">
        <v>19</v>
      </c>
      <c r="J6494" s="1" t="s">
        <v>6</v>
      </c>
      <c r="K6494" s="1" t="s">
        <v>24</v>
      </c>
      <c r="L6494" s="1">
        <v>9979665</v>
      </c>
      <c r="M6494" s="2">
        <v>42598</v>
      </c>
      <c r="N6494" s="1" t="s">
        <v>8</v>
      </c>
      <c r="O6494" s="2">
        <v>43693</v>
      </c>
    </row>
    <row r="6495" spans="1:15" ht="43.2" x14ac:dyDescent="0.3">
      <c r="A6495" s="1" t="s">
        <v>14439</v>
      </c>
      <c r="B6495" s="1" t="str">
        <f>"Mumbles Electric (Installation &amp; Maintenance) Ltd."</f>
        <v>Mumbles Electric (Installation &amp; Maintenance) Ltd.</v>
      </c>
      <c r="C6495" s="1" t="s">
        <v>14440</v>
      </c>
      <c r="F6495" s="1" t="s">
        <v>65</v>
      </c>
      <c r="H6495" s="1" t="s">
        <v>14441</v>
      </c>
      <c r="I6495" s="1" t="s">
        <v>19</v>
      </c>
      <c r="J6495" s="1" t="s">
        <v>6</v>
      </c>
      <c r="K6495" s="1" t="s">
        <v>24</v>
      </c>
      <c r="L6495" s="1">
        <v>4890135</v>
      </c>
      <c r="M6495" s="2">
        <v>42598</v>
      </c>
      <c r="N6495" s="1" t="s">
        <v>8</v>
      </c>
      <c r="O6495" s="2">
        <v>43693</v>
      </c>
    </row>
    <row r="6496" spans="1:15" ht="28.8" x14ac:dyDescent="0.3">
      <c r="A6496" s="1" t="s">
        <v>14442</v>
      </c>
      <c r="B6496" s="1" t="str">
        <f>"N.R. Hope &amp; Sons"</f>
        <v>N.R. Hope &amp; Sons</v>
      </c>
      <c r="C6496" s="1" t="s">
        <v>14443</v>
      </c>
      <c r="F6496" s="1" t="s">
        <v>146</v>
      </c>
      <c r="H6496" s="1" t="s">
        <v>14444</v>
      </c>
      <c r="I6496" s="1" t="s">
        <v>125</v>
      </c>
      <c r="J6496" s="1" t="s">
        <v>6</v>
      </c>
      <c r="K6496" s="1" t="s">
        <v>34</v>
      </c>
      <c r="M6496" s="2">
        <v>42598</v>
      </c>
      <c r="N6496" s="1" t="s">
        <v>8</v>
      </c>
      <c r="O6496" s="2">
        <v>43693</v>
      </c>
    </row>
    <row r="6497" spans="1:15" ht="28.8" x14ac:dyDescent="0.3">
      <c r="A6497" s="1" t="s">
        <v>26797</v>
      </c>
      <c r="B6497" s="1" t="str">
        <f>"David Glyn Williams"</f>
        <v>David Glyn Williams</v>
      </c>
      <c r="C6497" s="1" t="s">
        <v>26798</v>
      </c>
      <c r="D6497" s="1" t="s">
        <v>26799</v>
      </c>
      <c r="F6497" s="1" t="s">
        <v>790</v>
      </c>
      <c r="H6497" s="1" t="s">
        <v>8202</v>
      </c>
      <c r="I6497" s="1" t="s">
        <v>5</v>
      </c>
      <c r="J6497" s="1" t="s">
        <v>6</v>
      </c>
      <c r="K6497" s="1" t="s">
        <v>24</v>
      </c>
      <c r="M6497" s="2">
        <v>42598</v>
      </c>
      <c r="N6497" s="1" t="s">
        <v>8</v>
      </c>
      <c r="O6497" s="2">
        <v>43693</v>
      </c>
    </row>
    <row r="6498" spans="1:15" ht="28.8" x14ac:dyDescent="0.3">
      <c r="A6498" s="1" t="s">
        <v>26800</v>
      </c>
      <c r="B6498" s="1" t="str">
        <f>"Gary Jones jones construction"</f>
        <v>Gary Jones jones construction</v>
      </c>
      <c r="C6498" s="1" t="s">
        <v>26801</v>
      </c>
      <c r="F6498" s="1" t="s">
        <v>174</v>
      </c>
      <c r="H6498" s="1" t="s">
        <v>26802</v>
      </c>
      <c r="I6498" s="1" t="s">
        <v>5</v>
      </c>
      <c r="J6498" s="1" t="s">
        <v>6</v>
      </c>
      <c r="K6498" s="1" t="s">
        <v>24</v>
      </c>
      <c r="M6498" s="2">
        <v>42598</v>
      </c>
      <c r="N6498" s="1" t="s">
        <v>8</v>
      </c>
      <c r="O6498" s="2">
        <v>43693</v>
      </c>
    </row>
    <row r="6499" spans="1:15" ht="43.2" x14ac:dyDescent="0.3">
      <c r="A6499" s="1" t="s">
        <v>26803</v>
      </c>
      <c r="B6499" s="1" t="str">
        <f>"Bryan Collis"</f>
        <v>Bryan Collis</v>
      </c>
      <c r="C6499" s="1" t="s">
        <v>26804</v>
      </c>
      <c r="F6499" s="1" t="s">
        <v>65</v>
      </c>
      <c r="H6499" s="1" t="s">
        <v>26805</v>
      </c>
      <c r="I6499" s="1" t="s">
        <v>5</v>
      </c>
      <c r="J6499" s="1" t="s">
        <v>67</v>
      </c>
      <c r="K6499" s="1" t="s">
        <v>14</v>
      </c>
      <c r="M6499" s="2">
        <v>42598</v>
      </c>
      <c r="N6499" s="1" t="s">
        <v>8</v>
      </c>
      <c r="O6499" s="1" t="s">
        <v>68</v>
      </c>
    </row>
    <row r="6500" spans="1:15" ht="43.2" x14ac:dyDescent="0.3">
      <c r="A6500" s="1" t="s">
        <v>13591</v>
      </c>
      <c r="B6500" s="1" t="str">
        <f>"Vaynor Stores Limited"</f>
        <v>Vaynor Stores Limited</v>
      </c>
      <c r="C6500" s="1" t="s">
        <v>13592</v>
      </c>
      <c r="D6500" s="1" t="s">
        <v>13593</v>
      </c>
      <c r="F6500" s="1" t="s">
        <v>3465</v>
      </c>
      <c r="H6500" s="1" t="s">
        <v>13594</v>
      </c>
      <c r="I6500" s="1" t="s">
        <v>19</v>
      </c>
      <c r="J6500" s="1" t="s">
        <v>67</v>
      </c>
      <c r="K6500" s="1" t="s">
        <v>14</v>
      </c>
      <c r="M6500" s="2">
        <v>42597</v>
      </c>
      <c r="N6500" s="1" t="s">
        <v>8</v>
      </c>
      <c r="O6500" s="1" t="s">
        <v>68</v>
      </c>
    </row>
    <row r="6501" spans="1:15" ht="28.8" x14ac:dyDescent="0.3">
      <c r="A6501" s="1" t="s">
        <v>13595</v>
      </c>
      <c r="B6501" s="1" t="str">
        <f>"Parkinsons (Machines &amp; Vehicles) Ltd."</f>
        <v>Parkinsons (Machines &amp; Vehicles) Ltd.</v>
      </c>
      <c r="C6501" s="1" t="s">
        <v>13596</v>
      </c>
      <c r="F6501" s="1" t="s">
        <v>198</v>
      </c>
      <c r="H6501" s="1" t="s">
        <v>13597</v>
      </c>
      <c r="I6501" s="1" t="s">
        <v>19</v>
      </c>
      <c r="J6501" s="1" t="s">
        <v>6</v>
      </c>
      <c r="K6501" s="1" t="s">
        <v>24</v>
      </c>
      <c r="L6501" s="1">
        <v>1213015</v>
      </c>
      <c r="M6501" s="2">
        <v>42597</v>
      </c>
      <c r="N6501" s="1" t="s">
        <v>8</v>
      </c>
      <c r="O6501" s="2">
        <v>43776</v>
      </c>
    </row>
    <row r="6502" spans="1:15" ht="28.8" x14ac:dyDescent="0.3">
      <c r="A6502" s="1" t="s">
        <v>14427</v>
      </c>
      <c r="B6502" s="1" t="str">
        <f>"Gwynedd House Clearance"</f>
        <v>Gwynedd House Clearance</v>
      </c>
      <c r="C6502" s="1" t="s">
        <v>14428</v>
      </c>
      <c r="F6502" s="1" t="s">
        <v>710</v>
      </c>
      <c r="H6502" s="1" t="s">
        <v>14429</v>
      </c>
      <c r="I6502" s="1" t="s">
        <v>125</v>
      </c>
      <c r="J6502" s="1" t="s">
        <v>6</v>
      </c>
      <c r="K6502" s="1" t="s">
        <v>34</v>
      </c>
      <c r="M6502" s="2">
        <v>42597</v>
      </c>
      <c r="N6502" s="1" t="s">
        <v>8</v>
      </c>
      <c r="O6502" s="2">
        <v>43692</v>
      </c>
    </row>
    <row r="6503" spans="1:15" ht="28.8" x14ac:dyDescent="0.3">
      <c r="A6503" s="1" t="s">
        <v>14430</v>
      </c>
      <c r="B6503" s="1" t="str">
        <f>"Coastal Roofing Services LTD"</f>
        <v>Coastal Roofing Services LTD</v>
      </c>
      <c r="C6503" s="1" t="s">
        <v>14431</v>
      </c>
      <c r="F6503" s="1" t="s">
        <v>14432</v>
      </c>
      <c r="H6503" s="1" t="s">
        <v>14433</v>
      </c>
      <c r="I6503" s="1" t="s">
        <v>19</v>
      </c>
      <c r="J6503" s="1" t="s">
        <v>6</v>
      </c>
      <c r="K6503" s="1" t="s">
        <v>24</v>
      </c>
      <c r="L6503" s="1">
        <v>6817847</v>
      </c>
      <c r="M6503" s="2">
        <v>42597</v>
      </c>
      <c r="N6503" s="1" t="s">
        <v>8</v>
      </c>
      <c r="O6503" s="2">
        <v>43692</v>
      </c>
    </row>
    <row r="6504" spans="1:15" ht="28.8" x14ac:dyDescent="0.3">
      <c r="A6504" s="1" t="s">
        <v>26096</v>
      </c>
      <c r="B6504" s="1" t="str">
        <f>"Paul Wright Wright Platering"</f>
        <v>Paul Wright Wright Platering</v>
      </c>
      <c r="C6504" s="1" t="s">
        <v>26097</v>
      </c>
      <c r="F6504" s="1" t="s">
        <v>65</v>
      </c>
      <c r="H6504" s="1" t="s">
        <v>26098</v>
      </c>
      <c r="I6504" s="1" t="s">
        <v>5</v>
      </c>
      <c r="J6504" s="1" t="s">
        <v>6</v>
      </c>
      <c r="K6504" s="1" t="s">
        <v>34</v>
      </c>
      <c r="M6504" s="2">
        <v>42597</v>
      </c>
      <c r="N6504" s="1" t="s">
        <v>8</v>
      </c>
      <c r="O6504" s="2">
        <v>43692</v>
      </c>
    </row>
    <row r="6505" spans="1:15" ht="28.8" x14ac:dyDescent="0.3">
      <c r="A6505" s="1" t="s">
        <v>26791</v>
      </c>
      <c r="B6505" s="1" t="str">
        <f>"karl frank glazing services york"</f>
        <v>karl frank glazing services york</v>
      </c>
      <c r="C6505" s="1" t="s">
        <v>26792</v>
      </c>
      <c r="F6505" s="1" t="s">
        <v>9473</v>
      </c>
      <c r="H6505" s="1" t="s">
        <v>26793</v>
      </c>
      <c r="I6505" s="1" t="s">
        <v>5</v>
      </c>
      <c r="J6505" s="1" t="s">
        <v>6</v>
      </c>
      <c r="K6505" s="1" t="s">
        <v>24</v>
      </c>
      <c r="M6505" s="2">
        <v>42597</v>
      </c>
      <c r="N6505" s="1" t="s">
        <v>8</v>
      </c>
      <c r="O6505" s="2">
        <v>43692</v>
      </c>
    </row>
    <row r="6506" spans="1:15" ht="43.2" x14ac:dyDescent="0.3">
      <c r="A6506" s="1" t="s">
        <v>26794</v>
      </c>
      <c r="B6506" s="1" t="str">
        <f>"DEREK  DREW PRICE"</f>
        <v>DEREK  DREW PRICE</v>
      </c>
      <c r="C6506" s="1" t="s">
        <v>26795</v>
      </c>
      <c r="F6506" s="1" t="s">
        <v>65</v>
      </c>
      <c r="H6506" s="1" t="s">
        <v>26796</v>
      </c>
      <c r="I6506" s="1" t="s">
        <v>5</v>
      </c>
      <c r="J6506" s="1" t="s">
        <v>67</v>
      </c>
      <c r="K6506" s="1" t="s">
        <v>14</v>
      </c>
      <c r="M6506" s="2">
        <v>42597</v>
      </c>
      <c r="N6506" s="1" t="s">
        <v>8</v>
      </c>
      <c r="O6506" s="1" t="s">
        <v>68</v>
      </c>
    </row>
    <row r="6507" spans="1:15" ht="43.2" x14ac:dyDescent="0.3">
      <c r="A6507" s="1" t="s">
        <v>26088</v>
      </c>
      <c r="B6507" s="1" t="str">
        <f>"hywel fox"</f>
        <v>hywel fox</v>
      </c>
      <c r="C6507" s="1" t="s">
        <v>26089</v>
      </c>
      <c r="F6507" s="1" t="s">
        <v>4431</v>
      </c>
      <c r="H6507" s="1" t="s">
        <v>26090</v>
      </c>
      <c r="I6507" s="1" t="s">
        <v>5</v>
      </c>
      <c r="J6507" s="1" t="s">
        <v>67</v>
      </c>
      <c r="K6507" s="1" t="s">
        <v>14</v>
      </c>
      <c r="M6507" s="2">
        <v>42596</v>
      </c>
      <c r="N6507" s="1" t="s">
        <v>8</v>
      </c>
      <c r="O6507" s="1" t="s">
        <v>68</v>
      </c>
    </row>
    <row r="6508" spans="1:15" ht="28.8" x14ac:dyDescent="0.3">
      <c r="A6508" s="1" t="s">
        <v>26091</v>
      </c>
      <c r="B6508" s="1" t="str">
        <f>"martin davies M.D.Building Services"</f>
        <v>martin davies M.D.Building Services</v>
      </c>
      <c r="C6508" s="1" t="s">
        <v>26092</v>
      </c>
      <c r="F6508" s="1" t="s">
        <v>1351</v>
      </c>
      <c r="H6508" s="1" t="s">
        <v>23884</v>
      </c>
      <c r="I6508" s="1" t="s">
        <v>5</v>
      </c>
      <c r="J6508" s="1" t="s">
        <v>6</v>
      </c>
      <c r="K6508" s="1" t="s">
        <v>34</v>
      </c>
      <c r="M6508" s="2">
        <v>42596</v>
      </c>
      <c r="N6508" s="1" t="s">
        <v>8</v>
      </c>
      <c r="O6508" s="2">
        <v>43691</v>
      </c>
    </row>
    <row r="6509" spans="1:15" ht="28.8" x14ac:dyDescent="0.3">
      <c r="A6509" s="1" t="s">
        <v>26093</v>
      </c>
      <c r="B6509" s="1" t="str">
        <f>"Carl Jones Total building maintenance"</f>
        <v>Carl Jones Total building maintenance</v>
      </c>
      <c r="C6509" s="1" t="s">
        <v>26094</v>
      </c>
      <c r="F6509" s="1" t="s">
        <v>12</v>
      </c>
      <c r="H6509" s="1" t="s">
        <v>26095</v>
      </c>
      <c r="I6509" s="1" t="s">
        <v>5</v>
      </c>
      <c r="J6509" s="1" t="s">
        <v>6</v>
      </c>
      <c r="K6509" s="1" t="s">
        <v>24</v>
      </c>
      <c r="M6509" s="2">
        <v>42596</v>
      </c>
      <c r="N6509" s="1" t="s">
        <v>8</v>
      </c>
      <c r="O6509" s="2">
        <v>43691</v>
      </c>
    </row>
    <row r="6510" spans="1:15" x14ac:dyDescent="0.3">
      <c r="A6510" s="1" t="s">
        <v>13582</v>
      </c>
      <c r="B6510" s="1" t="str">
        <f>"Clifton Glass Ltd."</f>
        <v>Clifton Glass Ltd.</v>
      </c>
      <c r="C6510" s="1" t="s">
        <v>13583</v>
      </c>
      <c r="F6510" s="1" t="s">
        <v>3242</v>
      </c>
      <c r="H6510" s="1" t="s">
        <v>13584</v>
      </c>
      <c r="I6510" s="1" t="s">
        <v>19</v>
      </c>
      <c r="J6510" s="1" t="s">
        <v>6</v>
      </c>
      <c r="K6510" s="1" t="s">
        <v>24</v>
      </c>
      <c r="L6510" s="1">
        <v>6034046</v>
      </c>
      <c r="M6510" s="2">
        <v>42594</v>
      </c>
      <c r="N6510" s="1" t="s">
        <v>8</v>
      </c>
      <c r="O6510" s="2">
        <v>43689</v>
      </c>
    </row>
    <row r="6511" spans="1:15" ht="28.8" x14ac:dyDescent="0.3">
      <c r="A6511" s="1" t="s">
        <v>13585</v>
      </c>
      <c r="B6511" s="1" t="str">
        <f>"Groves Gas"</f>
        <v>Groves Gas</v>
      </c>
      <c r="C6511" s="1" t="s">
        <v>13586</v>
      </c>
      <c r="F6511" s="1" t="s">
        <v>380</v>
      </c>
      <c r="H6511" s="1" t="s">
        <v>13587</v>
      </c>
      <c r="I6511" s="1" t="s">
        <v>19</v>
      </c>
      <c r="J6511" s="1" t="s">
        <v>6</v>
      </c>
      <c r="K6511" s="1" t="s">
        <v>34</v>
      </c>
      <c r="L6511" s="1">
        <v>8840259</v>
      </c>
      <c r="M6511" s="2">
        <v>42594</v>
      </c>
      <c r="N6511" s="1" t="s">
        <v>8</v>
      </c>
      <c r="O6511" s="2">
        <v>43689</v>
      </c>
    </row>
    <row r="6512" spans="1:15" ht="43.2" x14ac:dyDescent="0.3">
      <c r="A6512" s="1" t="s">
        <v>13588</v>
      </c>
      <c r="B6512" s="1" t="str">
        <f>"Matthews Auto Salvage"</f>
        <v>Matthews Auto Salvage</v>
      </c>
      <c r="C6512" s="1" t="s">
        <v>13589</v>
      </c>
      <c r="F6512" s="1" t="s">
        <v>119</v>
      </c>
      <c r="H6512" s="1" t="s">
        <v>13590</v>
      </c>
      <c r="I6512" s="1" t="s">
        <v>125</v>
      </c>
      <c r="J6512" s="1" t="s">
        <v>67</v>
      </c>
      <c r="K6512" s="1" t="s">
        <v>34</v>
      </c>
      <c r="M6512" s="2">
        <v>42594</v>
      </c>
      <c r="N6512" s="1" t="s">
        <v>8</v>
      </c>
      <c r="O6512" s="1" t="s">
        <v>68</v>
      </c>
    </row>
    <row r="6513" spans="1:15" ht="43.2" x14ac:dyDescent="0.3">
      <c r="A6513" s="1" t="s">
        <v>26077</v>
      </c>
      <c r="B6513" s="1" t="str">
        <f>"Ian Cakebread Cakebread Plumbing &amp; Home Maintenan"</f>
        <v>Ian Cakebread Cakebread Plumbing &amp; Home Maintenan</v>
      </c>
      <c r="C6513" s="1" t="s">
        <v>26078</v>
      </c>
      <c r="F6513" s="1" t="s">
        <v>6637</v>
      </c>
      <c r="H6513" s="1" t="s">
        <v>26079</v>
      </c>
      <c r="I6513" s="1" t="s">
        <v>5</v>
      </c>
      <c r="J6513" s="1" t="s">
        <v>6</v>
      </c>
      <c r="K6513" s="1" t="s">
        <v>34</v>
      </c>
      <c r="M6513" s="2">
        <v>42594</v>
      </c>
      <c r="N6513" s="1" t="s">
        <v>8</v>
      </c>
      <c r="O6513" s="2">
        <v>43689</v>
      </c>
    </row>
    <row r="6514" spans="1:15" ht="28.8" x14ac:dyDescent="0.3">
      <c r="A6514" s="1" t="s">
        <v>26080</v>
      </c>
      <c r="B6514" s="1" t="str">
        <f>"John Griffiths John Griffiths"</f>
        <v>John Griffiths John Griffiths</v>
      </c>
      <c r="C6514" s="1" t="s">
        <v>26081</v>
      </c>
      <c r="F6514" s="1" t="s">
        <v>532</v>
      </c>
      <c r="H6514" s="1" t="s">
        <v>26082</v>
      </c>
      <c r="I6514" s="1" t="s">
        <v>5</v>
      </c>
      <c r="J6514" s="1" t="s">
        <v>6</v>
      </c>
      <c r="K6514" s="1" t="s">
        <v>34</v>
      </c>
      <c r="M6514" s="2">
        <v>42594</v>
      </c>
      <c r="N6514" s="1" t="s">
        <v>8</v>
      </c>
      <c r="O6514" s="2">
        <v>43689</v>
      </c>
    </row>
    <row r="6515" spans="1:15" ht="28.8" x14ac:dyDescent="0.3">
      <c r="A6515" s="1" t="s">
        <v>26083</v>
      </c>
      <c r="B6515" s="1" t="str">
        <f>"Peter Crittall Crittall Installation Services"</f>
        <v>Peter Crittall Crittall Installation Services</v>
      </c>
      <c r="C6515" s="1" t="s">
        <v>26084</v>
      </c>
      <c r="D6515" s="1" t="s">
        <v>26085</v>
      </c>
      <c r="F6515" s="1" t="s">
        <v>26086</v>
      </c>
      <c r="H6515" s="1" t="s">
        <v>26087</v>
      </c>
      <c r="I6515" s="1" t="s">
        <v>5</v>
      </c>
      <c r="J6515" s="1" t="s">
        <v>6</v>
      </c>
      <c r="K6515" s="1" t="s">
        <v>24</v>
      </c>
      <c r="M6515" s="2">
        <v>42594</v>
      </c>
      <c r="N6515" s="1" t="s">
        <v>8</v>
      </c>
      <c r="O6515" s="2">
        <v>43689</v>
      </c>
    </row>
    <row r="6516" spans="1:15" ht="43.2" x14ac:dyDescent="0.3">
      <c r="A6516" s="1" t="s">
        <v>12458</v>
      </c>
      <c r="B6516" s="1" t="str">
        <f>"Gwent specsavers domiciliary"</f>
        <v>Gwent specsavers domiciliary</v>
      </c>
      <c r="C6516" s="1" t="s">
        <v>12459</v>
      </c>
      <c r="F6516" s="1" t="s">
        <v>103</v>
      </c>
      <c r="H6516" s="1" t="s">
        <v>1094</v>
      </c>
      <c r="I6516" s="1" t="s">
        <v>19</v>
      </c>
      <c r="J6516" s="1" t="s">
        <v>67</v>
      </c>
      <c r="K6516" s="1" t="s">
        <v>14</v>
      </c>
      <c r="M6516" s="2">
        <v>42593</v>
      </c>
      <c r="N6516" s="1" t="s">
        <v>8</v>
      </c>
      <c r="O6516" s="1" t="s">
        <v>68</v>
      </c>
    </row>
    <row r="6517" spans="1:15" ht="28.8" x14ac:dyDescent="0.3">
      <c r="A6517" s="1" t="s">
        <v>12460</v>
      </c>
      <c r="B6517" s="1" t="str">
        <f>"GREENOW LTD"</f>
        <v>GREENOW LTD</v>
      </c>
      <c r="C6517" s="1" t="s">
        <v>12461</v>
      </c>
      <c r="D6517" s="1" t="s">
        <v>2623</v>
      </c>
      <c r="F6517" s="1" t="s">
        <v>65</v>
      </c>
      <c r="H6517" s="1" t="s">
        <v>12462</v>
      </c>
      <c r="I6517" s="1" t="s">
        <v>19</v>
      </c>
      <c r="J6517" s="1" t="s">
        <v>6</v>
      </c>
      <c r="K6517" s="1" t="s">
        <v>24</v>
      </c>
      <c r="L6517" s="1">
        <v>7203850</v>
      </c>
      <c r="M6517" s="2">
        <v>42593</v>
      </c>
      <c r="N6517" s="1" t="s">
        <v>8</v>
      </c>
      <c r="O6517" s="2">
        <v>43688</v>
      </c>
    </row>
    <row r="6518" spans="1:15" x14ac:dyDescent="0.3">
      <c r="A6518" s="1" t="s">
        <v>12463</v>
      </c>
      <c r="B6518" s="1" t="str">
        <f>"DAVIES &amp; MORGAN"</f>
        <v>DAVIES &amp; MORGAN</v>
      </c>
      <c r="C6518" s="1" t="s">
        <v>12464</v>
      </c>
      <c r="F6518" s="1" t="s">
        <v>17</v>
      </c>
      <c r="H6518" s="1" t="s">
        <v>12465</v>
      </c>
      <c r="I6518" s="1" t="s">
        <v>125</v>
      </c>
      <c r="J6518" s="1" t="s">
        <v>6</v>
      </c>
      <c r="K6518" s="1" t="s">
        <v>24</v>
      </c>
      <c r="M6518" s="2">
        <v>42593</v>
      </c>
      <c r="N6518" s="1" t="s">
        <v>8</v>
      </c>
      <c r="O6518" s="2">
        <v>43688</v>
      </c>
    </row>
    <row r="6519" spans="1:15" ht="28.8" x14ac:dyDescent="0.3">
      <c r="A6519" s="1" t="s">
        <v>12466</v>
      </c>
      <c r="B6519" s="1" t="str">
        <f>"WHIRLWIND UTILITIES LTD"</f>
        <v>WHIRLWIND UTILITIES LTD</v>
      </c>
      <c r="C6519" s="1" t="s">
        <v>3813</v>
      </c>
      <c r="F6519" s="1" t="s">
        <v>198</v>
      </c>
      <c r="H6519" s="1" t="s">
        <v>3814</v>
      </c>
      <c r="I6519" s="1" t="s">
        <v>19</v>
      </c>
      <c r="J6519" s="1" t="s">
        <v>6</v>
      </c>
      <c r="K6519" s="1" t="s">
        <v>34</v>
      </c>
      <c r="L6519" s="1">
        <v>5593035</v>
      </c>
      <c r="M6519" s="2">
        <v>42593</v>
      </c>
      <c r="N6519" s="1" t="s">
        <v>8</v>
      </c>
      <c r="O6519" s="2">
        <v>43688</v>
      </c>
    </row>
    <row r="6520" spans="1:15" ht="28.8" x14ac:dyDescent="0.3">
      <c r="A6520" s="1" t="s">
        <v>13571</v>
      </c>
      <c r="B6520" s="1" t="str">
        <f>"A1 Gardening Services"</f>
        <v>A1 Gardening Services</v>
      </c>
      <c r="C6520" s="1" t="s">
        <v>13572</v>
      </c>
      <c r="F6520" s="1" t="s">
        <v>65</v>
      </c>
      <c r="H6520" s="1" t="s">
        <v>13573</v>
      </c>
      <c r="I6520" s="1" t="s">
        <v>125</v>
      </c>
      <c r="J6520" s="1" t="s">
        <v>6</v>
      </c>
      <c r="K6520" s="1" t="s">
        <v>24</v>
      </c>
      <c r="M6520" s="2">
        <v>42593</v>
      </c>
      <c r="N6520" s="1" t="s">
        <v>8</v>
      </c>
      <c r="O6520" s="2">
        <v>43688</v>
      </c>
    </row>
    <row r="6521" spans="1:15" ht="28.8" x14ac:dyDescent="0.3">
      <c r="A6521" s="1" t="s">
        <v>13574</v>
      </c>
      <c r="B6521" s="1" t="str">
        <f>"Delta Group Ltd "</f>
        <v xml:space="preserve">Delta Group Ltd </v>
      </c>
      <c r="C6521" s="1" t="s">
        <v>13575</v>
      </c>
      <c r="D6521" s="1" t="s">
        <v>746</v>
      </c>
      <c r="F6521" s="1" t="s">
        <v>1346</v>
      </c>
      <c r="H6521" s="1" t="s">
        <v>13576</v>
      </c>
      <c r="I6521" s="1" t="s">
        <v>19</v>
      </c>
      <c r="J6521" s="1" t="s">
        <v>6</v>
      </c>
      <c r="K6521" s="1" t="s">
        <v>24</v>
      </c>
      <c r="L6521" s="1">
        <v>2516134</v>
      </c>
      <c r="M6521" s="2">
        <v>42593</v>
      </c>
      <c r="N6521" s="1" t="s">
        <v>8</v>
      </c>
      <c r="O6521" s="2">
        <v>43688</v>
      </c>
    </row>
    <row r="6522" spans="1:15" ht="43.2" x14ac:dyDescent="0.3">
      <c r="A6522" s="1" t="s">
        <v>13577</v>
      </c>
      <c r="B6522" s="1" t="str">
        <f>"Dragon Taxis"</f>
        <v>Dragon Taxis</v>
      </c>
      <c r="C6522" s="1" t="s">
        <v>13578</v>
      </c>
      <c r="D6522" s="1" t="s">
        <v>9447</v>
      </c>
      <c r="E6522" s="1" t="s">
        <v>9448</v>
      </c>
      <c r="F6522" s="1" t="s">
        <v>27</v>
      </c>
      <c r="H6522" s="1" t="s">
        <v>9449</v>
      </c>
      <c r="I6522" s="1" t="s">
        <v>19</v>
      </c>
      <c r="J6522" s="1" t="s">
        <v>67</v>
      </c>
      <c r="K6522" s="1" t="s">
        <v>14</v>
      </c>
      <c r="M6522" s="2">
        <v>42593</v>
      </c>
      <c r="N6522" s="1" t="s">
        <v>8</v>
      </c>
      <c r="O6522" s="1" t="s">
        <v>68</v>
      </c>
    </row>
    <row r="6523" spans="1:15" ht="28.8" x14ac:dyDescent="0.3">
      <c r="A6523" s="1" t="s">
        <v>13579</v>
      </c>
      <c r="B6523" s="1" t="str">
        <f>"E N Roberts"</f>
        <v>E N Roberts</v>
      </c>
      <c r="C6523" s="1" t="s">
        <v>13580</v>
      </c>
      <c r="D6523" s="1" t="s">
        <v>3595</v>
      </c>
      <c r="F6523" s="1" t="s">
        <v>83</v>
      </c>
      <c r="H6523" s="1" t="s">
        <v>13581</v>
      </c>
      <c r="I6523" s="1" t="s">
        <v>125</v>
      </c>
      <c r="J6523" s="1" t="s">
        <v>6</v>
      </c>
      <c r="K6523" s="1" t="s">
        <v>34</v>
      </c>
      <c r="M6523" s="2">
        <v>42593</v>
      </c>
      <c r="N6523" s="1" t="s">
        <v>8</v>
      </c>
      <c r="O6523" s="2">
        <v>43688</v>
      </c>
    </row>
    <row r="6524" spans="1:15" ht="43.2" x14ac:dyDescent="0.3">
      <c r="A6524" s="1" t="s">
        <v>25359</v>
      </c>
      <c r="B6524" s="1" t="str">
        <f>"hywel Evans"</f>
        <v>hywel Evans</v>
      </c>
      <c r="C6524" s="1" t="s">
        <v>25360</v>
      </c>
      <c r="F6524" s="1" t="s">
        <v>710</v>
      </c>
      <c r="H6524" s="1" t="s">
        <v>25361</v>
      </c>
      <c r="I6524" s="1" t="s">
        <v>5</v>
      </c>
      <c r="J6524" s="1" t="s">
        <v>67</v>
      </c>
      <c r="K6524" s="1" t="s">
        <v>14</v>
      </c>
      <c r="M6524" s="2">
        <v>42593</v>
      </c>
      <c r="N6524" s="1" t="s">
        <v>8</v>
      </c>
      <c r="O6524" s="1" t="s">
        <v>68</v>
      </c>
    </row>
    <row r="6525" spans="1:15" ht="28.8" x14ac:dyDescent="0.3">
      <c r="A6525" s="1" t="s">
        <v>25362</v>
      </c>
      <c r="B6525" s="1" t="str">
        <f>"Darren Clare Green Gardens"</f>
        <v>Darren Clare Green Gardens</v>
      </c>
      <c r="C6525" s="1" t="s">
        <v>25363</v>
      </c>
      <c r="F6525" s="1" t="s">
        <v>27</v>
      </c>
      <c r="H6525" s="1" t="s">
        <v>25364</v>
      </c>
      <c r="I6525" s="1" t="s">
        <v>5</v>
      </c>
      <c r="J6525" s="1" t="s">
        <v>6</v>
      </c>
      <c r="K6525" s="1" t="s">
        <v>34</v>
      </c>
      <c r="M6525" s="2">
        <v>42593</v>
      </c>
      <c r="N6525" s="1" t="s">
        <v>8</v>
      </c>
      <c r="O6525" s="2">
        <v>43688</v>
      </c>
    </row>
    <row r="6526" spans="1:15" ht="43.2" x14ac:dyDescent="0.3">
      <c r="A6526" s="1" t="s">
        <v>26075</v>
      </c>
      <c r="B6526" s="1" t="str">
        <f>"Thomas Jones Pembrokeshire Caravan Dismantlers"</f>
        <v>Thomas Jones Pembrokeshire Caravan Dismantlers</v>
      </c>
      <c r="C6526" s="1" t="s">
        <v>26076</v>
      </c>
      <c r="F6526" s="1" t="s">
        <v>438</v>
      </c>
      <c r="H6526" s="1" t="s">
        <v>16864</v>
      </c>
      <c r="I6526" s="1" t="s">
        <v>5</v>
      </c>
      <c r="J6526" s="1" t="s">
        <v>6</v>
      </c>
      <c r="K6526" s="1" t="s">
        <v>24</v>
      </c>
      <c r="M6526" s="2">
        <v>42593</v>
      </c>
      <c r="N6526" s="1" t="s">
        <v>8</v>
      </c>
      <c r="O6526" s="2">
        <v>43688</v>
      </c>
    </row>
    <row r="6527" spans="1:15" x14ac:dyDescent="0.3">
      <c r="A6527" s="1" t="s">
        <v>12437</v>
      </c>
      <c r="B6527" s="1" t="str">
        <f>"Cawley Brothers Ltd."</f>
        <v>Cawley Brothers Ltd.</v>
      </c>
      <c r="C6527" s="1" t="s">
        <v>12438</v>
      </c>
      <c r="F6527" s="1" t="s">
        <v>7543</v>
      </c>
      <c r="H6527" s="1" t="s">
        <v>12439</v>
      </c>
      <c r="I6527" s="1" t="s">
        <v>19</v>
      </c>
      <c r="J6527" s="1" t="s">
        <v>6</v>
      </c>
      <c r="K6527" s="1" t="s">
        <v>24</v>
      </c>
      <c r="L6527" s="1">
        <v>6526310</v>
      </c>
      <c r="M6527" s="2">
        <v>42592</v>
      </c>
      <c r="N6527" s="1" t="s">
        <v>8</v>
      </c>
      <c r="O6527" s="2">
        <v>43687</v>
      </c>
    </row>
    <row r="6528" spans="1:15" ht="28.8" x14ac:dyDescent="0.3">
      <c r="A6528" s="1" t="s">
        <v>12440</v>
      </c>
      <c r="B6528" s="1" t="str">
        <f>"RV Services South West Ltd"</f>
        <v>RV Services South West Ltd</v>
      </c>
      <c r="C6528" s="1" t="s">
        <v>12441</v>
      </c>
      <c r="D6528" s="1" t="s">
        <v>12442</v>
      </c>
      <c r="E6528" s="1" t="s">
        <v>12443</v>
      </c>
      <c r="F6528" s="1" t="s">
        <v>5459</v>
      </c>
      <c r="H6528" s="1" t="s">
        <v>12444</v>
      </c>
      <c r="I6528" s="1" t="s">
        <v>19</v>
      </c>
      <c r="J6528" s="1" t="s">
        <v>6</v>
      </c>
      <c r="K6528" s="1" t="s">
        <v>34</v>
      </c>
      <c r="L6528" s="1">
        <v>1106974</v>
      </c>
      <c r="M6528" s="2">
        <v>42592</v>
      </c>
      <c r="N6528" s="1" t="s">
        <v>8</v>
      </c>
      <c r="O6528" s="2">
        <v>43687</v>
      </c>
    </row>
    <row r="6529" spans="1:15" ht="28.8" x14ac:dyDescent="0.3">
      <c r="A6529" s="1" t="s">
        <v>12445</v>
      </c>
      <c r="B6529" s="1" t="str">
        <f>"R J &amp; M R Moseley"</f>
        <v>R J &amp; M R Moseley</v>
      </c>
      <c r="C6529" s="1" t="s">
        <v>12446</v>
      </c>
      <c r="F6529" s="1" t="s">
        <v>2961</v>
      </c>
      <c r="H6529" s="1" t="s">
        <v>12447</v>
      </c>
      <c r="I6529" s="1" t="s">
        <v>125</v>
      </c>
      <c r="J6529" s="1" t="s">
        <v>6</v>
      </c>
      <c r="K6529" s="1" t="s">
        <v>24</v>
      </c>
      <c r="M6529" s="2">
        <v>42592</v>
      </c>
      <c r="N6529" s="1" t="s">
        <v>8</v>
      </c>
      <c r="O6529" s="2">
        <v>43687</v>
      </c>
    </row>
    <row r="6530" spans="1:15" ht="43.2" x14ac:dyDescent="0.3">
      <c r="A6530" s="1" t="s">
        <v>12448</v>
      </c>
      <c r="B6530" s="1" t="str">
        <f>"Clive Price Transport LTD"</f>
        <v>Clive Price Transport LTD</v>
      </c>
      <c r="C6530" s="1" t="s">
        <v>12449</v>
      </c>
      <c r="F6530" s="1" t="s">
        <v>3337</v>
      </c>
      <c r="H6530" s="1" t="s">
        <v>12450</v>
      </c>
      <c r="I6530" s="1" t="s">
        <v>19</v>
      </c>
      <c r="J6530" s="1" t="s">
        <v>67</v>
      </c>
      <c r="K6530" s="1" t="s">
        <v>34</v>
      </c>
      <c r="L6530" s="1">
        <v>8345059</v>
      </c>
      <c r="M6530" s="2">
        <v>42592</v>
      </c>
      <c r="N6530" s="1" t="s">
        <v>8</v>
      </c>
      <c r="O6530" s="1" t="s">
        <v>68</v>
      </c>
    </row>
    <row r="6531" spans="1:15" ht="28.8" x14ac:dyDescent="0.3">
      <c r="A6531" s="1" t="s">
        <v>12451</v>
      </c>
      <c r="B6531" s="1" t="str">
        <f>"county windows cambridge ltd"</f>
        <v>county windows cambridge ltd</v>
      </c>
      <c r="C6531" s="1" t="s">
        <v>12452</v>
      </c>
      <c r="F6531" s="1" t="s">
        <v>12453</v>
      </c>
      <c r="H6531" s="1" t="s">
        <v>12454</v>
      </c>
      <c r="I6531" s="1" t="s">
        <v>19</v>
      </c>
      <c r="J6531" s="1" t="s">
        <v>6</v>
      </c>
      <c r="K6531" s="1" t="s">
        <v>34</v>
      </c>
      <c r="L6531" s="1">
        <v>8758754</v>
      </c>
      <c r="M6531" s="2">
        <v>42592</v>
      </c>
      <c r="N6531" s="1" t="s">
        <v>8</v>
      </c>
      <c r="O6531" s="2">
        <v>43687</v>
      </c>
    </row>
    <row r="6532" spans="1:15" ht="28.8" x14ac:dyDescent="0.3">
      <c r="A6532" s="1" t="s">
        <v>12455</v>
      </c>
      <c r="B6532" s="1" t="str">
        <f>"A A Allsorts House clearance "</f>
        <v xml:space="preserve">A A Allsorts House clearance </v>
      </c>
      <c r="C6532" s="1" t="s">
        <v>12456</v>
      </c>
      <c r="F6532" s="1" t="s">
        <v>42</v>
      </c>
      <c r="H6532" s="1" t="s">
        <v>12457</v>
      </c>
      <c r="I6532" s="1" t="s">
        <v>125</v>
      </c>
      <c r="J6532" s="1" t="s">
        <v>6</v>
      </c>
      <c r="K6532" s="1" t="s">
        <v>24</v>
      </c>
      <c r="M6532" s="2">
        <v>42592</v>
      </c>
      <c r="N6532" s="1" t="s">
        <v>8</v>
      </c>
      <c r="O6532" s="2">
        <v>43687</v>
      </c>
    </row>
    <row r="6533" spans="1:15" ht="28.8" x14ac:dyDescent="0.3">
      <c r="A6533" s="1" t="s">
        <v>25356</v>
      </c>
      <c r="B6533" s="1" t="str">
        <f>"Robert Dix Spotlessly Clean"</f>
        <v>Robert Dix Spotlessly Clean</v>
      </c>
      <c r="C6533" s="1" t="s">
        <v>25357</v>
      </c>
      <c r="F6533" s="1" t="s">
        <v>380</v>
      </c>
      <c r="H6533" s="1" t="s">
        <v>25358</v>
      </c>
      <c r="I6533" s="1" t="s">
        <v>5</v>
      </c>
      <c r="J6533" s="1" t="s">
        <v>6</v>
      </c>
      <c r="K6533" s="1" t="s">
        <v>24</v>
      </c>
      <c r="M6533" s="2">
        <v>42592</v>
      </c>
      <c r="N6533" s="1" t="s">
        <v>8</v>
      </c>
      <c r="O6533" s="2">
        <v>43687</v>
      </c>
    </row>
    <row r="6534" spans="1:15" ht="28.8" x14ac:dyDescent="0.3">
      <c r="A6534" s="1" t="s">
        <v>11567</v>
      </c>
      <c r="B6534" s="1" t="str">
        <f>"Dragon Pallets Limited"</f>
        <v>Dragon Pallets Limited</v>
      </c>
      <c r="C6534" s="1" t="s">
        <v>11568</v>
      </c>
      <c r="F6534" s="1" t="s">
        <v>323</v>
      </c>
      <c r="H6534" s="1" t="s">
        <v>3971</v>
      </c>
      <c r="I6534" s="1" t="s">
        <v>19</v>
      </c>
      <c r="J6534" s="1" t="s">
        <v>6</v>
      </c>
      <c r="K6534" s="1" t="s">
        <v>24</v>
      </c>
      <c r="L6534" s="1">
        <v>2391692</v>
      </c>
      <c r="M6534" s="2">
        <v>42591</v>
      </c>
      <c r="N6534" s="1" t="s">
        <v>8</v>
      </c>
      <c r="O6534" s="2">
        <v>43686</v>
      </c>
    </row>
    <row r="6535" spans="1:15" ht="43.2" x14ac:dyDescent="0.3">
      <c r="A6535" s="1" t="s">
        <v>11569</v>
      </c>
      <c r="B6535" s="1" t="str">
        <f>"Premier Clean UK Ltd"</f>
        <v>Premier Clean UK Ltd</v>
      </c>
      <c r="C6535" s="1" t="s">
        <v>11570</v>
      </c>
      <c r="D6535" s="1" t="s">
        <v>11571</v>
      </c>
      <c r="F6535" s="1" t="s">
        <v>214</v>
      </c>
      <c r="H6535" s="1" t="s">
        <v>8574</v>
      </c>
      <c r="I6535" s="1" t="s">
        <v>19</v>
      </c>
      <c r="J6535" s="1" t="s">
        <v>67</v>
      </c>
      <c r="K6535" s="1" t="s">
        <v>14</v>
      </c>
      <c r="M6535" s="2">
        <v>42591</v>
      </c>
      <c r="N6535" s="1" t="s">
        <v>8</v>
      </c>
      <c r="O6535" s="1" t="s">
        <v>68</v>
      </c>
    </row>
    <row r="6536" spans="1:15" ht="28.8" x14ac:dyDescent="0.3">
      <c r="A6536" s="1" t="s">
        <v>11572</v>
      </c>
      <c r="B6536" s="1" t="str">
        <f>"RCD UTILITY SERVICES LIMITED"</f>
        <v>RCD UTILITY SERVICES LIMITED</v>
      </c>
      <c r="C6536" s="1" t="s">
        <v>6480</v>
      </c>
      <c r="D6536" s="1" t="s">
        <v>6481</v>
      </c>
      <c r="F6536" s="1" t="s">
        <v>27</v>
      </c>
      <c r="H6536" s="1" t="s">
        <v>6482</v>
      </c>
      <c r="I6536" s="1" t="s">
        <v>19</v>
      </c>
      <c r="J6536" s="1" t="s">
        <v>6</v>
      </c>
      <c r="K6536" s="1" t="s">
        <v>34</v>
      </c>
      <c r="L6536" s="1">
        <v>4733332</v>
      </c>
      <c r="M6536" s="2">
        <v>42591</v>
      </c>
      <c r="N6536" s="1" t="s">
        <v>8</v>
      </c>
      <c r="O6536" s="2">
        <v>43686</v>
      </c>
    </row>
    <row r="6537" spans="1:15" ht="28.8" x14ac:dyDescent="0.3">
      <c r="A6537" s="1" t="s">
        <v>11573</v>
      </c>
      <c r="B6537" s="1" t="str">
        <f>"PARKER PLANT HIRE LTD"</f>
        <v>PARKER PLANT HIRE LTD</v>
      </c>
      <c r="C6537" s="1" t="s">
        <v>11574</v>
      </c>
      <c r="F6537" s="1" t="s">
        <v>2852</v>
      </c>
      <c r="H6537" s="1" t="s">
        <v>11575</v>
      </c>
      <c r="I6537" s="1" t="s">
        <v>19</v>
      </c>
      <c r="J6537" s="1" t="s">
        <v>6</v>
      </c>
      <c r="K6537" s="1" t="s">
        <v>34</v>
      </c>
      <c r="L6537" s="1">
        <v>1100537</v>
      </c>
      <c r="M6537" s="2">
        <v>42591</v>
      </c>
      <c r="N6537" s="1" t="s">
        <v>8</v>
      </c>
      <c r="O6537" s="2">
        <v>43686</v>
      </c>
    </row>
    <row r="6538" spans="1:15" ht="28.8" x14ac:dyDescent="0.3">
      <c r="A6538" s="1" t="s">
        <v>11576</v>
      </c>
      <c r="B6538" s="1" t="str">
        <f>"J &amp; AV Rogers Associates"</f>
        <v>J &amp; AV Rogers Associates</v>
      </c>
      <c r="C6538" s="1" t="s">
        <v>11577</v>
      </c>
      <c r="F6538" s="1" t="s">
        <v>1230</v>
      </c>
      <c r="H6538" s="1" t="s">
        <v>11578</v>
      </c>
      <c r="I6538" s="1" t="s">
        <v>125</v>
      </c>
      <c r="J6538" s="1" t="s">
        <v>6</v>
      </c>
      <c r="K6538" s="1" t="s">
        <v>24</v>
      </c>
      <c r="M6538" s="2">
        <v>42591</v>
      </c>
      <c r="N6538" s="1" t="s">
        <v>8</v>
      </c>
      <c r="O6538" s="2">
        <v>43686</v>
      </c>
    </row>
    <row r="6539" spans="1:15" ht="28.8" x14ac:dyDescent="0.3">
      <c r="A6539" s="1" t="s">
        <v>11579</v>
      </c>
      <c r="B6539" s="1" t="str">
        <f>"Richard Craig Davies Ltd."</f>
        <v>Richard Craig Davies Ltd.</v>
      </c>
      <c r="C6539" s="1" t="s">
        <v>11580</v>
      </c>
      <c r="F6539" s="1" t="s">
        <v>174</v>
      </c>
      <c r="H6539" s="1" t="s">
        <v>11581</v>
      </c>
      <c r="I6539" s="1" t="s">
        <v>19</v>
      </c>
      <c r="J6539" s="1" t="s">
        <v>6</v>
      </c>
      <c r="K6539" s="1" t="s">
        <v>34</v>
      </c>
      <c r="L6539" s="1">
        <v>6942604</v>
      </c>
      <c r="M6539" s="2">
        <v>42591</v>
      </c>
      <c r="N6539" s="1" t="s">
        <v>8</v>
      </c>
      <c r="O6539" s="2">
        <v>43686</v>
      </c>
    </row>
    <row r="6540" spans="1:15" ht="28.8" x14ac:dyDescent="0.3">
      <c r="A6540" s="1" t="s">
        <v>11582</v>
      </c>
      <c r="B6540" s="1" t="str">
        <f>"PARKER BROTHERS (CONTRACTORS) LTD"</f>
        <v>PARKER BROTHERS (CONTRACTORS) LTD</v>
      </c>
      <c r="C6540" s="1" t="s">
        <v>11583</v>
      </c>
      <c r="F6540" s="1" t="s">
        <v>2852</v>
      </c>
      <c r="H6540" s="1" t="s">
        <v>11575</v>
      </c>
      <c r="I6540" s="1" t="s">
        <v>19</v>
      </c>
      <c r="J6540" s="1" t="s">
        <v>6</v>
      </c>
      <c r="K6540" s="1" t="s">
        <v>34</v>
      </c>
      <c r="L6540" s="1">
        <v>1600895</v>
      </c>
      <c r="M6540" s="2">
        <v>42591</v>
      </c>
      <c r="N6540" s="1" t="s">
        <v>8</v>
      </c>
      <c r="O6540" s="2">
        <v>43686</v>
      </c>
    </row>
    <row r="6541" spans="1:15" ht="43.2" x14ac:dyDescent="0.3">
      <c r="A6541" s="1" t="s">
        <v>11584</v>
      </c>
      <c r="B6541" s="1" t="str">
        <f>"The Bear"</f>
        <v>The Bear</v>
      </c>
      <c r="C6541" s="1" t="s">
        <v>11585</v>
      </c>
      <c r="F6541" s="1" t="s">
        <v>5301</v>
      </c>
      <c r="H6541" s="1" t="s">
        <v>11586</v>
      </c>
      <c r="I6541" s="1" t="s">
        <v>125</v>
      </c>
      <c r="J6541" s="1" t="s">
        <v>67</v>
      </c>
      <c r="K6541" s="1" t="s">
        <v>14</v>
      </c>
      <c r="M6541" s="2">
        <v>42591</v>
      </c>
      <c r="N6541" s="1" t="s">
        <v>8</v>
      </c>
      <c r="O6541" s="1" t="s">
        <v>68</v>
      </c>
    </row>
    <row r="6542" spans="1:15" ht="43.2" x14ac:dyDescent="0.3">
      <c r="A6542" s="1" t="s">
        <v>24513</v>
      </c>
      <c r="B6542" s="1" t="str">
        <f>"Tomas Manga Manga Fencing and Landscaping "</f>
        <v xml:space="preserve">Tomas Manga Manga Fencing and Landscaping </v>
      </c>
      <c r="C6542" s="1" t="s">
        <v>24514</v>
      </c>
      <c r="F6542" s="1" t="s">
        <v>21355</v>
      </c>
      <c r="H6542" s="1" t="s">
        <v>24515</v>
      </c>
      <c r="I6542" s="1" t="s">
        <v>5</v>
      </c>
      <c r="J6542" s="1" t="s">
        <v>6</v>
      </c>
      <c r="K6542" s="1" t="s">
        <v>24</v>
      </c>
      <c r="M6542" s="2">
        <v>42591</v>
      </c>
      <c r="N6542" s="1" t="s">
        <v>8</v>
      </c>
      <c r="O6542" s="2">
        <v>43686</v>
      </c>
    </row>
    <row r="6543" spans="1:15" ht="28.8" x14ac:dyDescent="0.3">
      <c r="A6543" s="1" t="s">
        <v>24516</v>
      </c>
      <c r="B6543" s="1" t="str">
        <f>"oliver whittal-williams Clutter Clearance"</f>
        <v>oliver whittal-williams Clutter Clearance</v>
      </c>
      <c r="C6543" s="1" t="s">
        <v>24517</v>
      </c>
      <c r="D6543" s="1" t="s">
        <v>24518</v>
      </c>
      <c r="F6543" s="1" t="s">
        <v>205</v>
      </c>
      <c r="H6543" s="1" t="s">
        <v>24519</v>
      </c>
      <c r="I6543" s="1" t="s">
        <v>5</v>
      </c>
      <c r="J6543" s="1" t="s">
        <v>6</v>
      </c>
      <c r="K6543" s="1" t="s">
        <v>24</v>
      </c>
      <c r="M6543" s="2">
        <v>42591</v>
      </c>
      <c r="N6543" s="1" t="s">
        <v>8</v>
      </c>
      <c r="O6543" s="2">
        <v>43686</v>
      </c>
    </row>
    <row r="6544" spans="1:15" ht="28.8" x14ac:dyDescent="0.3">
      <c r="A6544" s="1" t="s">
        <v>24520</v>
      </c>
      <c r="B6544" s="1" t="str">
        <f>"Luke Rice"</f>
        <v>Luke Rice</v>
      </c>
      <c r="C6544" s="1" t="s">
        <v>24521</v>
      </c>
      <c r="D6544" s="1" t="s">
        <v>658</v>
      </c>
      <c r="F6544" s="1" t="s">
        <v>12</v>
      </c>
      <c r="H6544" s="1" t="s">
        <v>18889</v>
      </c>
      <c r="I6544" s="1" t="s">
        <v>5</v>
      </c>
      <c r="J6544" s="1" t="s">
        <v>6</v>
      </c>
      <c r="K6544" s="1" t="s">
        <v>34</v>
      </c>
      <c r="M6544" s="2">
        <v>42591</v>
      </c>
      <c r="N6544" s="1" t="s">
        <v>8</v>
      </c>
      <c r="O6544" s="2">
        <v>43686</v>
      </c>
    </row>
    <row r="6545" spans="1:15" ht="43.2" x14ac:dyDescent="0.3">
      <c r="A6545" s="1" t="s">
        <v>24522</v>
      </c>
      <c r="B6545" s="1" t="str">
        <f>"Matthew  Edwards M.Edwards Pallet Services"</f>
        <v>Matthew  Edwards M.Edwards Pallet Services</v>
      </c>
      <c r="C6545" s="1" t="s">
        <v>24523</v>
      </c>
      <c r="F6545" s="1" t="s">
        <v>24524</v>
      </c>
      <c r="H6545" s="1" t="s">
        <v>6951</v>
      </c>
      <c r="I6545" s="1" t="s">
        <v>5</v>
      </c>
      <c r="J6545" s="1" t="s">
        <v>6</v>
      </c>
      <c r="K6545" s="1" t="s">
        <v>34</v>
      </c>
      <c r="M6545" s="2">
        <v>42591</v>
      </c>
      <c r="N6545" s="1" t="s">
        <v>8</v>
      </c>
      <c r="O6545" s="2">
        <v>43686</v>
      </c>
    </row>
    <row r="6546" spans="1:15" ht="28.8" x14ac:dyDescent="0.3">
      <c r="A6546" s="1" t="s">
        <v>25352</v>
      </c>
      <c r="B6546" s="1" t="str">
        <f>"david andrew a &amp; m fencing"</f>
        <v>david andrew a &amp; m fencing</v>
      </c>
      <c r="C6546" s="1" t="s">
        <v>25353</v>
      </c>
      <c r="F6546" s="1" t="s">
        <v>25354</v>
      </c>
      <c r="H6546" s="1" t="s">
        <v>25355</v>
      </c>
      <c r="I6546" s="1" t="s">
        <v>5</v>
      </c>
      <c r="J6546" s="1" t="s">
        <v>6</v>
      </c>
      <c r="K6546" s="1" t="s">
        <v>24</v>
      </c>
      <c r="M6546" s="2">
        <v>42591</v>
      </c>
      <c r="N6546" s="1" t="s">
        <v>8</v>
      </c>
      <c r="O6546" s="2">
        <v>43686</v>
      </c>
    </row>
    <row r="6547" spans="1:15" x14ac:dyDescent="0.3">
      <c r="A6547" s="1" t="s">
        <v>10530</v>
      </c>
      <c r="B6547" s="1" t="str">
        <f>"L &amp; J BUILDERS UK LTD"</f>
        <v>L &amp; J BUILDERS UK LTD</v>
      </c>
      <c r="C6547" s="1" t="s">
        <v>10531</v>
      </c>
      <c r="F6547" s="1" t="s">
        <v>1700</v>
      </c>
      <c r="H6547" s="1" t="s">
        <v>10532</v>
      </c>
      <c r="I6547" s="1" t="s">
        <v>19</v>
      </c>
      <c r="J6547" s="1" t="s">
        <v>6</v>
      </c>
      <c r="K6547" s="1" t="s">
        <v>24</v>
      </c>
      <c r="L6547" s="1">
        <v>6169124</v>
      </c>
      <c r="M6547" s="2">
        <v>42590</v>
      </c>
      <c r="N6547" s="1" t="s">
        <v>8</v>
      </c>
      <c r="O6547" s="2">
        <v>43685</v>
      </c>
    </row>
    <row r="6548" spans="1:15" ht="28.8" x14ac:dyDescent="0.3">
      <c r="A6548" s="1" t="s">
        <v>10533</v>
      </c>
      <c r="B6548" s="1" t="str">
        <f>"J Chadwick"</f>
        <v>J Chadwick</v>
      </c>
      <c r="C6548" s="1" t="s">
        <v>10534</v>
      </c>
      <c r="F6548" s="1" t="s">
        <v>1346</v>
      </c>
      <c r="H6548" s="1" t="s">
        <v>960</v>
      </c>
      <c r="I6548" s="1" t="s">
        <v>125</v>
      </c>
      <c r="J6548" s="1" t="s">
        <v>6</v>
      </c>
      <c r="K6548" s="1" t="s">
        <v>34</v>
      </c>
      <c r="M6548" s="2">
        <v>42590</v>
      </c>
      <c r="N6548" s="1" t="s">
        <v>8</v>
      </c>
      <c r="O6548" s="2">
        <v>43685</v>
      </c>
    </row>
    <row r="6549" spans="1:15" ht="43.2" x14ac:dyDescent="0.3">
      <c r="A6549" s="1" t="s">
        <v>10535</v>
      </c>
      <c r="B6549" s="1" t="str">
        <f>"Gordon Overthrow Glazing Ltd."</f>
        <v>Gordon Overthrow Glazing Ltd.</v>
      </c>
      <c r="C6549" s="1" t="s">
        <v>10536</v>
      </c>
      <c r="D6549" s="1" t="s">
        <v>8406</v>
      </c>
      <c r="E6549" s="1" t="s">
        <v>3595</v>
      </c>
      <c r="F6549" s="1" t="s">
        <v>83</v>
      </c>
      <c r="H6549" s="1" t="s">
        <v>8407</v>
      </c>
      <c r="I6549" s="1" t="s">
        <v>19</v>
      </c>
      <c r="J6549" s="1" t="s">
        <v>67</v>
      </c>
      <c r="K6549" s="1" t="s">
        <v>24</v>
      </c>
      <c r="L6549" s="1">
        <v>6022759</v>
      </c>
      <c r="M6549" s="2">
        <v>42590</v>
      </c>
      <c r="N6549" s="1" t="s">
        <v>8</v>
      </c>
      <c r="O6549" s="1" t="s">
        <v>68</v>
      </c>
    </row>
    <row r="6550" spans="1:15" ht="43.2" x14ac:dyDescent="0.3">
      <c r="A6550" s="1" t="s">
        <v>10537</v>
      </c>
      <c r="B6550" s="1" t="str">
        <f>"Gordon Overthrow Glazing Ltd."</f>
        <v>Gordon Overthrow Glazing Ltd.</v>
      </c>
      <c r="C6550" s="1" t="s">
        <v>10536</v>
      </c>
      <c r="D6550" s="1" t="s">
        <v>8406</v>
      </c>
      <c r="E6550" s="1" t="s">
        <v>3595</v>
      </c>
      <c r="F6550" s="1" t="s">
        <v>83</v>
      </c>
      <c r="H6550" s="1" t="s">
        <v>8407</v>
      </c>
      <c r="I6550" s="1" t="s">
        <v>19</v>
      </c>
      <c r="J6550" s="1" t="s">
        <v>67</v>
      </c>
      <c r="K6550" s="1" t="s">
        <v>24</v>
      </c>
      <c r="L6550" s="1">
        <v>6022759</v>
      </c>
      <c r="M6550" s="2">
        <v>42590</v>
      </c>
      <c r="N6550" s="1" t="s">
        <v>8</v>
      </c>
      <c r="O6550" s="1" t="s">
        <v>68</v>
      </c>
    </row>
    <row r="6551" spans="1:15" ht="28.8" x14ac:dyDescent="0.3">
      <c r="A6551" s="1" t="s">
        <v>10538</v>
      </c>
      <c r="B6551" s="1" t="str">
        <f>"Cuddy Demolition &amp; Dismantling Ltd."</f>
        <v>Cuddy Demolition &amp; Dismantling Ltd.</v>
      </c>
      <c r="C6551" s="1" t="s">
        <v>10539</v>
      </c>
      <c r="F6551" s="1" t="s">
        <v>174</v>
      </c>
      <c r="H6551" s="1" t="s">
        <v>10540</v>
      </c>
      <c r="I6551" s="1" t="s">
        <v>19</v>
      </c>
      <c r="J6551" s="1" t="s">
        <v>6</v>
      </c>
      <c r="K6551" s="1" t="s">
        <v>24</v>
      </c>
      <c r="L6551" s="1">
        <v>2892963</v>
      </c>
      <c r="M6551" s="2">
        <v>42590</v>
      </c>
      <c r="N6551" s="1" t="s">
        <v>8</v>
      </c>
      <c r="O6551" s="2">
        <v>43685</v>
      </c>
    </row>
    <row r="6552" spans="1:15" ht="43.2" x14ac:dyDescent="0.3">
      <c r="A6552" s="1" t="s">
        <v>10541</v>
      </c>
      <c r="B6552" s="1" t="str">
        <f>"University of South Wales"</f>
        <v>University of South Wales</v>
      </c>
      <c r="C6552" s="1" t="s">
        <v>10542</v>
      </c>
      <c r="D6552" s="1" t="s">
        <v>277</v>
      </c>
      <c r="F6552" s="1" t="s">
        <v>8659</v>
      </c>
      <c r="H6552" s="1" t="s">
        <v>10543</v>
      </c>
      <c r="I6552" s="1" t="s">
        <v>1872</v>
      </c>
      <c r="J6552" s="1" t="s">
        <v>67</v>
      </c>
      <c r="K6552" s="1" t="s">
        <v>24</v>
      </c>
      <c r="M6552" s="2">
        <v>42590</v>
      </c>
      <c r="N6552" s="1" t="s">
        <v>8</v>
      </c>
      <c r="O6552" s="1" t="s">
        <v>68</v>
      </c>
    </row>
    <row r="6553" spans="1:15" ht="28.8" x14ac:dyDescent="0.3">
      <c r="A6553" s="1" t="s">
        <v>10544</v>
      </c>
      <c r="B6553" s="1" t="str">
        <f>"Actavo (PDC) Ltd"</f>
        <v>Actavo (PDC) Ltd</v>
      </c>
      <c r="C6553" s="1" t="s">
        <v>10545</v>
      </c>
      <c r="D6553" s="1" t="s">
        <v>8020</v>
      </c>
      <c r="E6553" s="1" t="s">
        <v>8021</v>
      </c>
      <c r="F6553" s="1" t="s">
        <v>2906</v>
      </c>
      <c r="H6553" s="1" t="s">
        <v>8022</v>
      </c>
      <c r="I6553" s="1" t="s">
        <v>19</v>
      </c>
      <c r="J6553" s="1" t="s">
        <v>6</v>
      </c>
      <c r="K6553" s="1" t="s">
        <v>34</v>
      </c>
      <c r="L6553" s="1">
        <v>3585908</v>
      </c>
      <c r="M6553" s="2">
        <v>42590</v>
      </c>
      <c r="N6553" s="1" t="s">
        <v>8</v>
      </c>
      <c r="O6553" s="2">
        <v>43685</v>
      </c>
    </row>
    <row r="6554" spans="1:15" ht="43.2" x14ac:dyDescent="0.3">
      <c r="A6554" s="1" t="s">
        <v>11554</v>
      </c>
      <c r="B6554" s="1" t="str">
        <f>"Tate Refrigeration LTD"</f>
        <v>Tate Refrigeration LTD</v>
      </c>
      <c r="C6554" s="1" t="s">
        <v>11555</v>
      </c>
      <c r="F6554" s="1" t="s">
        <v>65</v>
      </c>
      <c r="H6554" s="1" t="s">
        <v>11556</v>
      </c>
      <c r="I6554" s="1" t="s">
        <v>19</v>
      </c>
      <c r="J6554" s="1" t="s">
        <v>67</v>
      </c>
      <c r="K6554" s="1" t="s">
        <v>14</v>
      </c>
      <c r="M6554" s="2">
        <v>42590</v>
      </c>
      <c r="N6554" s="1" t="s">
        <v>8</v>
      </c>
      <c r="O6554" s="1" t="s">
        <v>68</v>
      </c>
    </row>
    <row r="6555" spans="1:15" ht="28.8" x14ac:dyDescent="0.3">
      <c r="A6555" s="1" t="s">
        <v>11557</v>
      </c>
      <c r="B6555" s="1" t="str">
        <f>"OLIGAS Ltd"</f>
        <v>OLIGAS Ltd</v>
      </c>
      <c r="C6555" s="1" t="s">
        <v>11558</v>
      </c>
      <c r="F6555" s="1" t="s">
        <v>1556</v>
      </c>
      <c r="H6555" s="1" t="s">
        <v>11559</v>
      </c>
      <c r="I6555" s="1" t="s">
        <v>19</v>
      </c>
      <c r="J6555" s="1" t="s">
        <v>6</v>
      </c>
      <c r="K6555" s="1" t="s">
        <v>24</v>
      </c>
      <c r="L6555" s="1">
        <v>10304859</v>
      </c>
      <c r="M6555" s="2">
        <v>42590</v>
      </c>
      <c r="N6555" s="1" t="s">
        <v>8</v>
      </c>
      <c r="O6555" s="2">
        <v>43685</v>
      </c>
    </row>
    <row r="6556" spans="1:15" ht="28.8" x14ac:dyDescent="0.3">
      <c r="A6556" s="1" t="s">
        <v>11560</v>
      </c>
      <c r="B6556" s="1" t="str">
        <f>"Street Construction LTD"</f>
        <v>Street Construction LTD</v>
      </c>
      <c r="C6556" s="1" t="s">
        <v>11561</v>
      </c>
      <c r="F6556" s="1" t="s">
        <v>11562</v>
      </c>
      <c r="H6556" s="1" t="s">
        <v>11563</v>
      </c>
      <c r="I6556" s="1" t="s">
        <v>19</v>
      </c>
      <c r="J6556" s="1" t="s">
        <v>6</v>
      </c>
      <c r="K6556" s="1" t="s">
        <v>24</v>
      </c>
      <c r="L6556" s="1">
        <v>4799168</v>
      </c>
      <c r="M6556" s="2">
        <v>42590</v>
      </c>
      <c r="N6556" s="1" t="s">
        <v>8</v>
      </c>
      <c r="O6556" s="2">
        <v>43685</v>
      </c>
    </row>
    <row r="6557" spans="1:15" ht="43.2" x14ac:dyDescent="0.3">
      <c r="A6557" s="1" t="s">
        <v>11564</v>
      </c>
      <c r="B6557" s="1" t="str">
        <f>"Worldcare (Wales) ltd"</f>
        <v>Worldcare (Wales) ltd</v>
      </c>
      <c r="C6557" s="1" t="s">
        <v>11565</v>
      </c>
      <c r="F6557" s="1" t="s">
        <v>6080</v>
      </c>
      <c r="H6557" s="1" t="s">
        <v>11566</v>
      </c>
      <c r="I6557" s="1" t="s">
        <v>19</v>
      </c>
      <c r="J6557" s="1" t="s">
        <v>6</v>
      </c>
      <c r="K6557" s="1" t="s">
        <v>24</v>
      </c>
      <c r="L6557" s="1">
        <v>2737941</v>
      </c>
      <c r="M6557" s="2">
        <v>42590</v>
      </c>
      <c r="N6557" s="1" t="s">
        <v>8</v>
      </c>
      <c r="O6557" s="2">
        <v>43702</v>
      </c>
    </row>
    <row r="6558" spans="1:15" ht="28.8" x14ac:dyDescent="0.3">
      <c r="A6558" s="1" t="s">
        <v>24510</v>
      </c>
      <c r="B6558" s="1" t="str">
        <f>"Philip Newman Mr Philip Newman"</f>
        <v>Philip Newman Mr Philip Newman</v>
      </c>
      <c r="C6558" s="1" t="s">
        <v>24511</v>
      </c>
      <c r="F6558" s="1" t="s">
        <v>865</v>
      </c>
      <c r="H6558" s="1" t="s">
        <v>24512</v>
      </c>
      <c r="I6558" s="1" t="s">
        <v>5</v>
      </c>
      <c r="J6558" s="1" t="s">
        <v>6</v>
      </c>
      <c r="K6558" s="1" t="s">
        <v>24</v>
      </c>
      <c r="M6558" s="2">
        <v>42590</v>
      </c>
      <c r="N6558" s="1" t="s">
        <v>8</v>
      </c>
      <c r="O6558" s="2">
        <v>43685</v>
      </c>
    </row>
    <row r="6559" spans="1:15" ht="28.8" x14ac:dyDescent="0.3">
      <c r="A6559" s="1" t="s">
        <v>10527</v>
      </c>
      <c r="B6559" s="1" t="str">
        <f>"H. Whittaker &amp; Son Cymru Ltd"</f>
        <v>H. Whittaker &amp; Son Cymru Ltd</v>
      </c>
      <c r="C6559" s="1" t="s">
        <v>10528</v>
      </c>
      <c r="F6559" s="1" t="s">
        <v>1184</v>
      </c>
      <c r="H6559" s="1" t="s">
        <v>10529</v>
      </c>
      <c r="I6559" s="1" t="s">
        <v>19</v>
      </c>
      <c r="J6559" s="1" t="s">
        <v>6</v>
      </c>
      <c r="K6559" s="1" t="s">
        <v>24</v>
      </c>
      <c r="L6559" s="1">
        <v>4431631</v>
      </c>
      <c r="M6559" s="2">
        <v>42589</v>
      </c>
      <c r="N6559" s="1" t="s">
        <v>8</v>
      </c>
      <c r="O6559" s="2">
        <v>43686</v>
      </c>
    </row>
    <row r="6560" spans="1:15" ht="28.8" x14ac:dyDescent="0.3">
      <c r="A6560" s="1" t="s">
        <v>23653</v>
      </c>
      <c r="B6560" s="1" t="str">
        <f>"Tom Preece Tom Preece"</f>
        <v>Tom Preece Tom Preece</v>
      </c>
      <c r="C6560" s="1" t="s">
        <v>23654</v>
      </c>
      <c r="F6560" s="1" t="s">
        <v>865</v>
      </c>
      <c r="H6560" s="1" t="s">
        <v>23655</v>
      </c>
      <c r="I6560" s="1" t="s">
        <v>5</v>
      </c>
      <c r="J6560" s="1" t="s">
        <v>6</v>
      </c>
      <c r="K6560" s="1" t="s">
        <v>24</v>
      </c>
      <c r="M6560" s="2">
        <v>42589</v>
      </c>
      <c r="N6560" s="1" t="s">
        <v>8</v>
      </c>
      <c r="O6560" s="2">
        <v>43684</v>
      </c>
    </row>
    <row r="6561" spans="1:15" ht="28.8" x14ac:dyDescent="0.3">
      <c r="A6561" s="1" t="s">
        <v>23656</v>
      </c>
      <c r="B6561" s="1" t="str">
        <f>"merfyn roberts roberts transport"</f>
        <v>merfyn roberts roberts transport</v>
      </c>
      <c r="C6561" s="1" t="s">
        <v>23657</v>
      </c>
      <c r="F6561" s="1" t="s">
        <v>1051</v>
      </c>
      <c r="H6561" s="1" t="s">
        <v>23658</v>
      </c>
      <c r="I6561" s="1" t="s">
        <v>5</v>
      </c>
      <c r="J6561" s="1" t="s">
        <v>6</v>
      </c>
      <c r="K6561" s="1" t="s">
        <v>24</v>
      </c>
      <c r="M6561" s="2">
        <v>42589</v>
      </c>
      <c r="N6561" s="1" t="s">
        <v>8</v>
      </c>
      <c r="O6561" s="2">
        <v>43684</v>
      </c>
    </row>
    <row r="6562" spans="1:15" ht="28.8" x14ac:dyDescent="0.3">
      <c r="A6562" s="1" t="s">
        <v>23659</v>
      </c>
      <c r="B6562" s="1" t="str">
        <f>"mark davies M.D.Services"</f>
        <v>mark davies M.D.Services</v>
      </c>
      <c r="C6562" s="1" t="s">
        <v>23660</v>
      </c>
      <c r="D6562" s="1" t="s">
        <v>18297</v>
      </c>
      <c r="F6562" s="1" t="s">
        <v>1351</v>
      </c>
      <c r="H6562" s="1" t="s">
        <v>23661</v>
      </c>
      <c r="I6562" s="1" t="s">
        <v>5</v>
      </c>
      <c r="J6562" s="1" t="s">
        <v>6</v>
      </c>
      <c r="K6562" s="1" t="s">
        <v>24</v>
      </c>
      <c r="M6562" s="2">
        <v>42589</v>
      </c>
      <c r="N6562" s="1" t="s">
        <v>8</v>
      </c>
      <c r="O6562" s="2">
        <v>43684</v>
      </c>
    </row>
    <row r="6563" spans="1:15" ht="28.8" x14ac:dyDescent="0.3">
      <c r="A6563" s="1" t="s">
        <v>10524</v>
      </c>
      <c r="B6563" s="1" t="str">
        <f>"TWYN CAR DISMANTLERS LTD"</f>
        <v>TWYN CAR DISMANTLERS LTD</v>
      </c>
      <c r="C6563" s="1" t="s">
        <v>10525</v>
      </c>
      <c r="F6563" s="1" t="s">
        <v>621</v>
      </c>
      <c r="H6563" s="1" t="s">
        <v>10526</v>
      </c>
      <c r="I6563" s="1" t="s">
        <v>19</v>
      </c>
      <c r="J6563" s="1" t="s">
        <v>6</v>
      </c>
      <c r="K6563" s="1" t="s">
        <v>34</v>
      </c>
      <c r="L6563" s="1">
        <v>4999526</v>
      </c>
      <c r="M6563" s="2">
        <v>42588</v>
      </c>
      <c r="N6563" s="1" t="s">
        <v>8</v>
      </c>
      <c r="O6563" s="2">
        <v>43683</v>
      </c>
    </row>
    <row r="6564" spans="1:15" ht="28.8" x14ac:dyDescent="0.3">
      <c r="A6564" s="1" t="s">
        <v>23650</v>
      </c>
      <c r="B6564" s="1" t="str">
        <f>"Michael Michael MCM Removals"</f>
        <v>Michael Michael MCM Removals</v>
      </c>
      <c r="C6564" s="1" t="s">
        <v>23651</v>
      </c>
      <c r="F6564" s="1" t="s">
        <v>21696</v>
      </c>
      <c r="H6564" s="1" t="s">
        <v>23652</v>
      </c>
      <c r="I6564" s="1" t="s">
        <v>5</v>
      </c>
      <c r="J6564" s="1" t="s">
        <v>6</v>
      </c>
      <c r="K6564" s="1" t="s">
        <v>34</v>
      </c>
      <c r="M6564" s="2">
        <v>42588</v>
      </c>
      <c r="N6564" s="1" t="s">
        <v>8</v>
      </c>
      <c r="O6564" s="2">
        <v>43683</v>
      </c>
    </row>
    <row r="6565" spans="1:15" ht="28.8" x14ac:dyDescent="0.3">
      <c r="A6565" s="1" t="s">
        <v>9438</v>
      </c>
      <c r="B6565" s="1" t="str">
        <f>"L E Jones Ltd"</f>
        <v>L E Jones Ltd</v>
      </c>
      <c r="C6565" s="1" t="s">
        <v>9439</v>
      </c>
      <c r="F6565" s="1" t="s">
        <v>1700</v>
      </c>
      <c r="H6565" s="1" t="s">
        <v>9440</v>
      </c>
      <c r="I6565" s="1" t="s">
        <v>19</v>
      </c>
      <c r="J6565" s="1" t="s">
        <v>6</v>
      </c>
      <c r="K6565" s="1" t="s">
        <v>24</v>
      </c>
      <c r="L6565" s="1">
        <v>2179772</v>
      </c>
      <c r="M6565" s="2">
        <v>42587</v>
      </c>
      <c r="N6565" s="1" t="s">
        <v>8</v>
      </c>
      <c r="O6565" s="2">
        <v>43682</v>
      </c>
    </row>
    <row r="6566" spans="1:15" ht="28.8" x14ac:dyDescent="0.3">
      <c r="A6566" s="1" t="s">
        <v>9441</v>
      </c>
      <c r="B6566" s="1" t="str">
        <f>"Top Notch Joinery"</f>
        <v>Top Notch Joinery</v>
      </c>
      <c r="C6566" s="1" t="s">
        <v>9442</v>
      </c>
      <c r="D6566" s="1" t="s">
        <v>9443</v>
      </c>
      <c r="F6566" s="1" t="s">
        <v>4204</v>
      </c>
      <c r="H6566" s="1" t="s">
        <v>9444</v>
      </c>
      <c r="I6566" s="1" t="s">
        <v>125</v>
      </c>
      <c r="J6566" s="1" t="s">
        <v>6</v>
      </c>
      <c r="K6566" s="1" t="s">
        <v>24</v>
      </c>
      <c r="M6566" s="2">
        <v>42587</v>
      </c>
      <c r="N6566" s="1" t="s">
        <v>8</v>
      </c>
      <c r="O6566" s="2">
        <v>43682</v>
      </c>
    </row>
    <row r="6567" spans="1:15" ht="28.8" x14ac:dyDescent="0.3">
      <c r="A6567" s="1" t="s">
        <v>22879</v>
      </c>
      <c r="B6567" s="1" t="str">
        <f>"Philip  Hughes hughes clearance"</f>
        <v>Philip  Hughes hughes clearance</v>
      </c>
      <c r="C6567" s="1" t="s">
        <v>22880</v>
      </c>
      <c r="F6567" s="1" t="s">
        <v>739</v>
      </c>
      <c r="H6567" s="1" t="s">
        <v>22881</v>
      </c>
      <c r="I6567" s="1" t="s">
        <v>5</v>
      </c>
      <c r="J6567" s="1" t="s">
        <v>6</v>
      </c>
      <c r="K6567" s="1" t="s">
        <v>24</v>
      </c>
      <c r="M6567" s="2">
        <v>42587</v>
      </c>
      <c r="N6567" s="1" t="s">
        <v>8</v>
      </c>
      <c r="O6567" s="2">
        <v>43682</v>
      </c>
    </row>
    <row r="6568" spans="1:15" ht="43.2" x14ac:dyDescent="0.3">
      <c r="A6568" s="1" t="s">
        <v>22882</v>
      </c>
      <c r="B6568" s="1" t="str">
        <f>"STEVEN STANNARD K.J.S house and garden clearance "</f>
        <v xml:space="preserve">STEVEN STANNARD K.J.S house and garden clearance </v>
      </c>
      <c r="C6568" s="1" t="s">
        <v>22883</v>
      </c>
      <c r="F6568" s="1" t="s">
        <v>42</v>
      </c>
      <c r="H6568" s="1" t="s">
        <v>901</v>
      </c>
      <c r="I6568" s="1" t="s">
        <v>5</v>
      </c>
      <c r="J6568" s="1" t="s">
        <v>6</v>
      </c>
      <c r="K6568" s="1" t="s">
        <v>24</v>
      </c>
      <c r="M6568" s="2">
        <v>42587</v>
      </c>
      <c r="N6568" s="1" t="s">
        <v>8</v>
      </c>
      <c r="O6568" s="2">
        <v>43682</v>
      </c>
    </row>
    <row r="6569" spans="1:15" ht="28.8" x14ac:dyDescent="0.3">
      <c r="A6569" s="1" t="s">
        <v>22884</v>
      </c>
      <c r="B6569" s="1" t="str">
        <f>"Thomas John Boucher John Boucher Electrical"</f>
        <v>Thomas John Boucher John Boucher Electrical</v>
      </c>
      <c r="C6569" s="1" t="s">
        <v>22885</v>
      </c>
      <c r="F6569" s="1" t="s">
        <v>8319</v>
      </c>
      <c r="H6569" s="1" t="s">
        <v>22886</v>
      </c>
      <c r="I6569" s="1" t="s">
        <v>5</v>
      </c>
      <c r="J6569" s="1" t="s">
        <v>6</v>
      </c>
      <c r="K6569" s="1" t="s">
        <v>24</v>
      </c>
      <c r="M6569" s="2">
        <v>42587</v>
      </c>
      <c r="N6569" s="1" t="s">
        <v>8</v>
      </c>
      <c r="O6569" s="2">
        <v>43682</v>
      </c>
    </row>
    <row r="6570" spans="1:15" ht="43.2" x14ac:dyDescent="0.3">
      <c r="A6570" s="1" t="s">
        <v>22887</v>
      </c>
      <c r="B6570" s="1" t="str">
        <f>"Andrew Mayne Gas Mayne Plumbing &amp; Heating"</f>
        <v>Andrew Mayne Gas Mayne Plumbing &amp; Heating</v>
      </c>
      <c r="C6570" s="1" t="s">
        <v>22888</v>
      </c>
      <c r="F6570" s="1" t="s">
        <v>134</v>
      </c>
      <c r="H6570" s="1" t="s">
        <v>14452</v>
      </c>
      <c r="I6570" s="1" t="s">
        <v>5</v>
      </c>
      <c r="J6570" s="1" t="s">
        <v>6</v>
      </c>
      <c r="K6570" s="1" t="s">
        <v>34</v>
      </c>
      <c r="M6570" s="2">
        <v>42587</v>
      </c>
      <c r="N6570" s="1" t="s">
        <v>8</v>
      </c>
      <c r="O6570" s="2">
        <v>43682</v>
      </c>
    </row>
    <row r="6571" spans="1:15" ht="43.2" x14ac:dyDescent="0.3">
      <c r="A6571" s="1" t="s">
        <v>22889</v>
      </c>
      <c r="B6571" s="1" t="str">
        <f>"Sam Blease"</f>
        <v>Sam Blease</v>
      </c>
      <c r="C6571" s="1" t="s">
        <v>22890</v>
      </c>
      <c r="F6571" s="1" t="s">
        <v>1180</v>
      </c>
      <c r="H6571" s="1" t="s">
        <v>22891</v>
      </c>
      <c r="I6571" s="1" t="s">
        <v>5</v>
      </c>
      <c r="J6571" s="1" t="s">
        <v>67</v>
      </c>
      <c r="K6571" s="1" t="s">
        <v>14</v>
      </c>
      <c r="M6571" s="2">
        <v>42587</v>
      </c>
      <c r="N6571" s="1" t="s">
        <v>8</v>
      </c>
      <c r="O6571" s="1" t="s">
        <v>68</v>
      </c>
    </row>
    <row r="6572" spans="1:15" ht="43.2" x14ac:dyDescent="0.3">
      <c r="A6572" s="1" t="s">
        <v>8248</v>
      </c>
      <c r="B6572" s="1" t="str">
        <f>"H&amp;E Group Ltd"</f>
        <v>H&amp;E Group Ltd</v>
      </c>
      <c r="C6572" s="1" t="s">
        <v>8249</v>
      </c>
      <c r="F6572" s="1" t="s">
        <v>65</v>
      </c>
      <c r="H6572" s="1" t="s">
        <v>8250</v>
      </c>
      <c r="I6572" s="1" t="s">
        <v>19</v>
      </c>
      <c r="J6572" s="1" t="s">
        <v>67</v>
      </c>
      <c r="K6572" s="1" t="s">
        <v>14</v>
      </c>
      <c r="M6572" s="2">
        <v>42586</v>
      </c>
      <c r="N6572" s="1" t="s">
        <v>8</v>
      </c>
      <c r="O6572" s="1" t="s">
        <v>68</v>
      </c>
    </row>
    <row r="6573" spans="1:15" ht="43.2" x14ac:dyDescent="0.3">
      <c r="A6573" s="1" t="s">
        <v>8251</v>
      </c>
      <c r="B6573" s="1" t="str">
        <f>"GMF Motor Factors Limited"</f>
        <v>GMF Motor Factors Limited</v>
      </c>
      <c r="C6573" s="1" t="s">
        <v>8252</v>
      </c>
      <c r="D6573" s="1" t="s">
        <v>2130</v>
      </c>
      <c r="F6573" s="1" t="s">
        <v>42</v>
      </c>
      <c r="H6573" s="1" t="s">
        <v>2131</v>
      </c>
      <c r="I6573" s="1" t="s">
        <v>19</v>
      </c>
      <c r="J6573" s="1" t="s">
        <v>67</v>
      </c>
      <c r="K6573" s="1" t="s">
        <v>14</v>
      </c>
      <c r="M6573" s="2">
        <v>42586</v>
      </c>
      <c r="N6573" s="1" t="s">
        <v>8</v>
      </c>
      <c r="O6573" s="1" t="s">
        <v>68</v>
      </c>
    </row>
    <row r="6574" spans="1:15" ht="28.8" x14ac:dyDescent="0.3">
      <c r="A6574" s="1" t="s">
        <v>8253</v>
      </c>
      <c r="B6574" s="1" t="str">
        <f>"A E Global Heating"</f>
        <v>A E Global Heating</v>
      </c>
      <c r="C6574" s="1" t="s">
        <v>8254</v>
      </c>
      <c r="D6574" s="1" t="s">
        <v>8255</v>
      </c>
      <c r="E6574" s="1" t="s">
        <v>500</v>
      </c>
      <c r="F6574" s="1" t="s">
        <v>27</v>
      </c>
      <c r="H6574" s="1" t="s">
        <v>8256</v>
      </c>
      <c r="I6574" s="1" t="s">
        <v>19</v>
      </c>
      <c r="J6574" s="1" t="s">
        <v>6</v>
      </c>
      <c r="K6574" s="1" t="s">
        <v>34</v>
      </c>
      <c r="L6574" s="1">
        <v>10063796</v>
      </c>
      <c r="M6574" s="2">
        <v>42586</v>
      </c>
      <c r="N6574" s="1" t="s">
        <v>8</v>
      </c>
      <c r="O6574" s="2">
        <v>43681</v>
      </c>
    </row>
    <row r="6575" spans="1:15" ht="28.8" x14ac:dyDescent="0.3">
      <c r="A6575" s="1" t="s">
        <v>8257</v>
      </c>
      <c r="B6575" s="1" t="str">
        <f>"Linney Cooper Ltd "</f>
        <v xml:space="preserve">Linney Cooper Ltd </v>
      </c>
      <c r="C6575" s="1" t="s">
        <v>8258</v>
      </c>
      <c r="F6575" s="1" t="s">
        <v>3242</v>
      </c>
      <c r="H6575" s="1" t="s">
        <v>3243</v>
      </c>
      <c r="I6575" s="1" t="s">
        <v>19</v>
      </c>
      <c r="J6575" s="1" t="s">
        <v>6</v>
      </c>
      <c r="K6575" s="1" t="s">
        <v>34</v>
      </c>
      <c r="L6575" s="1">
        <v>801547</v>
      </c>
      <c r="M6575" s="2">
        <v>42586</v>
      </c>
      <c r="N6575" s="1" t="s">
        <v>8</v>
      </c>
      <c r="O6575" s="2">
        <v>43681</v>
      </c>
    </row>
    <row r="6576" spans="1:15" ht="28.8" x14ac:dyDescent="0.3">
      <c r="A6576" s="1" t="s">
        <v>8259</v>
      </c>
      <c r="B6576" s="1" t="str">
        <f>"Goenviro"</f>
        <v>Goenviro</v>
      </c>
      <c r="C6576" s="1" t="s">
        <v>8260</v>
      </c>
      <c r="D6576" s="1" t="s">
        <v>3365</v>
      </c>
      <c r="F6576" s="1" t="s">
        <v>123</v>
      </c>
      <c r="H6576" s="1" t="s">
        <v>8261</v>
      </c>
      <c r="I6576" s="1" t="s">
        <v>125</v>
      </c>
      <c r="J6576" s="1" t="s">
        <v>6</v>
      </c>
      <c r="K6576" s="1" t="s">
        <v>24</v>
      </c>
      <c r="M6576" s="2">
        <v>42586</v>
      </c>
      <c r="N6576" s="1" t="s">
        <v>8</v>
      </c>
      <c r="O6576" s="2">
        <v>43681</v>
      </c>
    </row>
    <row r="6577" spans="1:15" ht="28.8" x14ac:dyDescent="0.3">
      <c r="A6577" s="1" t="s">
        <v>8262</v>
      </c>
      <c r="B6577" s="1" t="str">
        <f>"C.WYNNE &amp; SONS LTD"</f>
        <v>C.WYNNE &amp; SONS LTD</v>
      </c>
      <c r="C6577" s="1" t="s">
        <v>8263</v>
      </c>
      <c r="D6577" s="1" t="s">
        <v>8264</v>
      </c>
      <c r="E6577" s="1" t="s">
        <v>6799</v>
      </c>
      <c r="F6577" s="1" t="s">
        <v>83</v>
      </c>
      <c r="H6577" s="1" t="s">
        <v>8265</v>
      </c>
      <c r="I6577" s="1" t="s">
        <v>19</v>
      </c>
      <c r="J6577" s="1" t="s">
        <v>6</v>
      </c>
      <c r="K6577" s="1" t="s">
        <v>34</v>
      </c>
      <c r="L6577" s="1">
        <v>633976</v>
      </c>
      <c r="M6577" s="2">
        <v>42586</v>
      </c>
      <c r="N6577" s="1" t="s">
        <v>8</v>
      </c>
      <c r="O6577" s="2">
        <v>43681</v>
      </c>
    </row>
    <row r="6578" spans="1:15" ht="28.8" x14ac:dyDescent="0.3">
      <c r="A6578" s="1" t="s">
        <v>9420</v>
      </c>
      <c r="B6578" s="1" t="str">
        <f>"R E Salvage &amp; Auto's"</f>
        <v>R E Salvage &amp; Auto's</v>
      </c>
      <c r="C6578" s="1" t="s">
        <v>9421</v>
      </c>
      <c r="D6578" s="1" t="s">
        <v>9422</v>
      </c>
      <c r="F6578" s="1" t="s">
        <v>27</v>
      </c>
      <c r="H6578" s="1" t="s">
        <v>9423</v>
      </c>
      <c r="I6578" s="1" t="s">
        <v>125</v>
      </c>
      <c r="J6578" s="1" t="s">
        <v>6</v>
      </c>
      <c r="K6578" s="1" t="s">
        <v>24</v>
      </c>
      <c r="M6578" s="2">
        <v>42586</v>
      </c>
      <c r="N6578" s="1" t="s">
        <v>8</v>
      </c>
      <c r="O6578" s="2">
        <v>43681</v>
      </c>
    </row>
    <row r="6579" spans="1:15" ht="43.2" x14ac:dyDescent="0.3">
      <c r="A6579" s="1" t="s">
        <v>9424</v>
      </c>
      <c r="B6579" s="1" t="str">
        <f>"Ruby Granite Ltd"</f>
        <v>Ruby Granite Ltd</v>
      </c>
      <c r="C6579" s="1" t="s">
        <v>9425</v>
      </c>
      <c r="F6579" s="1" t="s">
        <v>1184</v>
      </c>
      <c r="H6579" s="1" t="s">
        <v>2640</v>
      </c>
      <c r="I6579" s="1" t="s">
        <v>19</v>
      </c>
      <c r="J6579" s="1" t="s">
        <v>6</v>
      </c>
      <c r="K6579" s="1" t="s">
        <v>34</v>
      </c>
      <c r="L6579" s="1">
        <v>6942821</v>
      </c>
      <c r="M6579" s="2">
        <v>42586</v>
      </c>
      <c r="N6579" s="1" t="s">
        <v>8</v>
      </c>
      <c r="O6579" s="2">
        <v>43681</v>
      </c>
    </row>
    <row r="6580" spans="1:15" ht="43.2" x14ac:dyDescent="0.3">
      <c r="A6580" s="1" t="s">
        <v>9426</v>
      </c>
      <c r="B6580" s="1" t="str">
        <f>"Graft Heating Solutions Ltd."</f>
        <v>Graft Heating Solutions Ltd.</v>
      </c>
      <c r="C6580" s="1" t="s">
        <v>9427</v>
      </c>
      <c r="F6580" s="1" t="s">
        <v>739</v>
      </c>
      <c r="H6580" s="1" t="s">
        <v>9428</v>
      </c>
      <c r="I6580" s="1" t="s">
        <v>19</v>
      </c>
      <c r="J6580" s="1" t="s">
        <v>67</v>
      </c>
      <c r="K6580" s="1" t="s">
        <v>24</v>
      </c>
      <c r="L6580" s="1">
        <v>6653404</v>
      </c>
      <c r="M6580" s="2">
        <v>42586</v>
      </c>
      <c r="N6580" s="1" t="s">
        <v>8</v>
      </c>
      <c r="O6580" s="1" t="s">
        <v>68</v>
      </c>
    </row>
    <row r="6581" spans="1:15" x14ac:dyDescent="0.3">
      <c r="A6581" s="1" t="s">
        <v>9429</v>
      </c>
      <c r="B6581" s="1" t="str">
        <f>"Flintshire appliances"</f>
        <v>Flintshire appliances</v>
      </c>
      <c r="C6581" s="1" t="s">
        <v>9430</v>
      </c>
      <c r="F6581" s="1" t="s">
        <v>4507</v>
      </c>
      <c r="H6581" s="1" t="s">
        <v>9431</v>
      </c>
      <c r="I6581" s="1" t="s">
        <v>125</v>
      </c>
      <c r="J6581" s="1" t="s">
        <v>6</v>
      </c>
      <c r="K6581" s="1" t="s">
        <v>24</v>
      </c>
      <c r="M6581" s="2">
        <v>42586</v>
      </c>
      <c r="N6581" s="1" t="s">
        <v>8</v>
      </c>
      <c r="O6581" s="2">
        <v>43681</v>
      </c>
    </row>
    <row r="6582" spans="1:15" ht="43.2" x14ac:dyDescent="0.3">
      <c r="A6582" s="1" t="s">
        <v>9432</v>
      </c>
      <c r="B6582" s="1" t="str">
        <f>"DJ Williams Electrical Ltd"</f>
        <v>DJ Williams Electrical Ltd</v>
      </c>
      <c r="C6582" s="1" t="s">
        <v>9433</v>
      </c>
      <c r="F6582" s="1" t="s">
        <v>790</v>
      </c>
      <c r="H6582" s="1" t="s">
        <v>9434</v>
      </c>
      <c r="I6582" s="1" t="s">
        <v>19</v>
      </c>
      <c r="J6582" s="1" t="s">
        <v>67</v>
      </c>
      <c r="K6582" s="1" t="s">
        <v>14</v>
      </c>
      <c r="M6582" s="2">
        <v>42586</v>
      </c>
      <c r="N6582" s="1" t="s">
        <v>8</v>
      </c>
      <c r="O6582" s="1" t="s">
        <v>68</v>
      </c>
    </row>
    <row r="6583" spans="1:15" ht="43.2" x14ac:dyDescent="0.3">
      <c r="A6583" s="1" t="s">
        <v>9435</v>
      </c>
      <c r="B6583" s="1" t="str">
        <f>"L &amp; R Building Contractors Ltd."</f>
        <v>L &amp; R Building Contractors Ltd.</v>
      </c>
      <c r="C6583" s="1" t="s">
        <v>9436</v>
      </c>
      <c r="F6583" s="1" t="s">
        <v>37</v>
      </c>
      <c r="H6583" s="1" t="s">
        <v>9437</v>
      </c>
      <c r="I6583" s="1" t="s">
        <v>19</v>
      </c>
      <c r="J6583" s="1" t="s">
        <v>6</v>
      </c>
      <c r="K6583" s="1" t="s">
        <v>24</v>
      </c>
      <c r="L6583" s="1">
        <v>4884439</v>
      </c>
      <c r="M6583" s="2">
        <v>42586</v>
      </c>
      <c r="N6583" s="1" t="s">
        <v>8</v>
      </c>
      <c r="O6583" s="2">
        <v>43681</v>
      </c>
    </row>
    <row r="6584" spans="1:15" x14ac:dyDescent="0.3">
      <c r="A6584" s="1" t="s">
        <v>22112</v>
      </c>
      <c r="B6584" s="1" t="str">
        <f>"Iwan Jones Evans"</f>
        <v>Iwan Jones Evans</v>
      </c>
      <c r="C6584" s="1" t="s">
        <v>22113</v>
      </c>
      <c r="F6584" s="1" t="s">
        <v>7974</v>
      </c>
      <c r="H6584" s="1" t="s">
        <v>22114</v>
      </c>
      <c r="I6584" s="1" t="s">
        <v>5</v>
      </c>
      <c r="J6584" s="1" t="s">
        <v>6</v>
      </c>
      <c r="K6584" s="1" t="s">
        <v>24</v>
      </c>
      <c r="M6584" s="2">
        <v>42586</v>
      </c>
      <c r="N6584" s="1" t="s">
        <v>8</v>
      </c>
      <c r="O6584" s="2">
        <v>43681</v>
      </c>
    </row>
    <row r="6585" spans="1:15" ht="28.8" x14ac:dyDescent="0.3">
      <c r="A6585" s="1" t="s">
        <v>22115</v>
      </c>
      <c r="B6585" s="1" t="str">
        <f>"Thomas Murphy Thomas Murphy"</f>
        <v>Thomas Murphy Thomas Murphy</v>
      </c>
      <c r="C6585" s="1" t="s">
        <v>22116</v>
      </c>
      <c r="F6585" s="1" t="s">
        <v>12093</v>
      </c>
      <c r="H6585" s="1" t="s">
        <v>22117</v>
      </c>
      <c r="I6585" s="1" t="s">
        <v>5</v>
      </c>
      <c r="J6585" s="1" t="s">
        <v>6</v>
      </c>
      <c r="K6585" s="1" t="s">
        <v>24</v>
      </c>
      <c r="M6585" s="2">
        <v>42586</v>
      </c>
      <c r="N6585" s="1" t="s">
        <v>8</v>
      </c>
      <c r="O6585" s="2">
        <v>43681</v>
      </c>
    </row>
    <row r="6586" spans="1:15" ht="43.2" x14ac:dyDescent="0.3">
      <c r="A6586" s="1" t="s">
        <v>22118</v>
      </c>
      <c r="B6586" s="1" t="str">
        <f>"Stephen Williams Williams House &amp; Garden"</f>
        <v>Stephen Williams Williams House &amp; Garden</v>
      </c>
      <c r="C6586" s="1" t="s">
        <v>22119</v>
      </c>
      <c r="F6586" s="1" t="s">
        <v>27</v>
      </c>
      <c r="H6586" s="1" t="s">
        <v>22120</v>
      </c>
      <c r="I6586" s="1" t="s">
        <v>5</v>
      </c>
      <c r="J6586" s="1" t="s">
        <v>6</v>
      </c>
      <c r="K6586" s="1" t="s">
        <v>24</v>
      </c>
      <c r="M6586" s="2">
        <v>42586</v>
      </c>
      <c r="N6586" s="1" t="s">
        <v>8</v>
      </c>
      <c r="O6586" s="2">
        <v>43681</v>
      </c>
    </row>
    <row r="6587" spans="1:15" ht="28.8" x14ac:dyDescent="0.3">
      <c r="A6587" s="1" t="s">
        <v>22121</v>
      </c>
      <c r="B6587" s="1" t="str">
        <f>"Colin Victor  Bradshaw "</f>
        <v xml:space="preserve">Colin Victor  Bradshaw </v>
      </c>
      <c r="C6587" s="1" t="s">
        <v>22122</v>
      </c>
      <c r="D6587" s="1" t="s">
        <v>500</v>
      </c>
      <c r="F6587" s="1" t="s">
        <v>27</v>
      </c>
      <c r="H6587" s="1" t="s">
        <v>8135</v>
      </c>
      <c r="I6587" s="1" t="s">
        <v>5</v>
      </c>
      <c r="J6587" s="1" t="s">
        <v>6</v>
      </c>
      <c r="K6587" s="1" t="s">
        <v>24</v>
      </c>
      <c r="M6587" s="2">
        <v>42586</v>
      </c>
      <c r="N6587" s="1" t="s">
        <v>8</v>
      </c>
      <c r="O6587" s="2">
        <v>43681</v>
      </c>
    </row>
    <row r="6588" spans="1:15" ht="43.2" x14ac:dyDescent="0.3">
      <c r="A6588" s="1" t="s">
        <v>14401</v>
      </c>
      <c r="B6588" s="1" t="str">
        <f>"Blaze Fire Sprinklers Ltd"</f>
        <v>Blaze Fire Sprinklers Ltd</v>
      </c>
      <c r="C6588" s="1" t="s">
        <v>14402</v>
      </c>
      <c r="F6588" s="1" t="s">
        <v>65</v>
      </c>
      <c r="H6588" s="1" t="s">
        <v>3288</v>
      </c>
      <c r="I6588" s="1" t="s">
        <v>19</v>
      </c>
      <c r="J6588" s="1" t="s">
        <v>67</v>
      </c>
      <c r="K6588" s="1" t="s">
        <v>14</v>
      </c>
      <c r="M6588" s="2">
        <v>42585</v>
      </c>
      <c r="N6588" s="1" t="s">
        <v>8</v>
      </c>
      <c r="O6588" s="1" t="s">
        <v>68</v>
      </c>
    </row>
    <row r="6589" spans="1:15" ht="28.8" x14ac:dyDescent="0.3">
      <c r="A6589" s="1" t="s">
        <v>14403</v>
      </c>
      <c r="B6589" s="1" t="str">
        <f>"SUNDORNE PRODUCTS (LLANIDLOES) LTD"</f>
        <v>SUNDORNE PRODUCTS (LLANIDLOES) LTD</v>
      </c>
      <c r="C6589" s="1" t="s">
        <v>14404</v>
      </c>
      <c r="F6589" s="1" t="s">
        <v>2459</v>
      </c>
      <c r="H6589" s="1" t="s">
        <v>2880</v>
      </c>
      <c r="I6589" s="1" t="s">
        <v>19</v>
      </c>
      <c r="J6589" s="1" t="s">
        <v>6</v>
      </c>
      <c r="K6589" s="1" t="s">
        <v>34</v>
      </c>
      <c r="L6589" s="1">
        <v>3353423</v>
      </c>
      <c r="M6589" s="2">
        <v>42585</v>
      </c>
      <c r="N6589" s="1" t="s">
        <v>8</v>
      </c>
      <c r="O6589" s="2">
        <v>43680</v>
      </c>
    </row>
    <row r="6590" spans="1:15" ht="28.8" x14ac:dyDescent="0.3">
      <c r="A6590" s="1" t="s">
        <v>14405</v>
      </c>
      <c r="B6590" s="1" t="str">
        <f>"A R T SERVICES (CYMRU) LTD"</f>
        <v>A R T SERVICES (CYMRU) LTD</v>
      </c>
      <c r="C6590" s="1" t="s">
        <v>14406</v>
      </c>
      <c r="D6590" s="1" t="s">
        <v>14407</v>
      </c>
      <c r="F6590" s="1" t="s">
        <v>1346</v>
      </c>
      <c r="H6590" s="1" t="s">
        <v>14408</v>
      </c>
      <c r="I6590" s="1" t="s">
        <v>19</v>
      </c>
      <c r="J6590" s="1" t="s">
        <v>6</v>
      </c>
      <c r="K6590" s="1" t="s">
        <v>24</v>
      </c>
      <c r="L6590" s="1">
        <v>6966705</v>
      </c>
      <c r="M6590" s="2">
        <v>42585</v>
      </c>
      <c r="N6590" s="1" t="s">
        <v>8</v>
      </c>
      <c r="O6590" s="2">
        <v>43680</v>
      </c>
    </row>
    <row r="6591" spans="1:15" ht="28.8" x14ac:dyDescent="0.3">
      <c r="A6591" s="1" t="s">
        <v>14409</v>
      </c>
      <c r="B6591" s="1" t="str">
        <f>"GC ENTERPRISES (WALES) LTD"</f>
        <v>GC ENTERPRISES (WALES) LTD</v>
      </c>
      <c r="C6591" s="1" t="s">
        <v>14410</v>
      </c>
      <c r="D6591" s="1" t="s">
        <v>6091</v>
      </c>
      <c r="F6591" s="1" t="s">
        <v>4656</v>
      </c>
      <c r="H6591" s="1" t="s">
        <v>14411</v>
      </c>
      <c r="I6591" s="1" t="s">
        <v>19</v>
      </c>
      <c r="J6591" s="1" t="s">
        <v>6</v>
      </c>
      <c r="K6591" s="1" t="s">
        <v>34</v>
      </c>
      <c r="L6591" s="1">
        <v>6296414</v>
      </c>
      <c r="M6591" s="2">
        <v>42585</v>
      </c>
      <c r="N6591" s="1" t="s">
        <v>8</v>
      </c>
      <c r="O6591" s="2">
        <v>43680</v>
      </c>
    </row>
    <row r="6592" spans="1:15" ht="28.8" x14ac:dyDescent="0.3">
      <c r="A6592" s="1" t="s">
        <v>14412</v>
      </c>
      <c r="B6592" s="1" t="str">
        <f>"A &amp; S Transport (Chester) Ltd."</f>
        <v>A &amp; S Transport (Chester) Ltd.</v>
      </c>
      <c r="C6592" s="1" t="s">
        <v>12777</v>
      </c>
      <c r="F6592" s="1" t="s">
        <v>2950</v>
      </c>
      <c r="H6592" s="1" t="s">
        <v>12778</v>
      </c>
      <c r="I6592" s="1" t="s">
        <v>19</v>
      </c>
      <c r="J6592" s="1" t="s">
        <v>6</v>
      </c>
      <c r="K6592" s="1" t="s">
        <v>24</v>
      </c>
      <c r="L6592" s="1">
        <v>1914749</v>
      </c>
      <c r="M6592" s="2">
        <v>42585</v>
      </c>
      <c r="N6592" s="1" t="s">
        <v>8</v>
      </c>
      <c r="O6592" s="2">
        <v>43680</v>
      </c>
    </row>
    <row r="6593" spans="1:15" ht="28.8" x14ac:dyDescent="0.3">
      <c r="A6593" s="1" t="s">
        <v>14413</v>
      </c>
      <c r="B6593" s="1" t="str">
        <f>"AM2PM Catering Engineers Ltd"</f>
        <v>AM2PM Catering Engineers Ltd</v>
      </c>
      <c r="C6593" s="1" t="s">
        <v>14414</v>
      </c>
      <c r="F6593" s="1" t="s">
        <v>14415</v>
      </c>
      <c r="H6593" s="1" t="s">
        <v>14416</v>
      </c>
      <c r="I6593" s="1" t="s">
        <v>19</v>
      </c>
      <c r="J6593" s="1" t="s">
        <v>6</v>
      </c>
      <c r="K6593" s="1" t="s">
        <v>34</v>
      </c>
      <c r="L6593" s="1">
        <v>8360411</v>
      </c>
      <c r="M6593" s="2">
        <v>42585</v>
      </c>
      <c r="N6593" s="1" t="s">
        <v>8</v>
      </c>
      <c r="O6593" s="2">
        <v>43680</v>
      </c>
    </row>
    <row r="6594" spans="1:15" ht="43.2" x14ac:dyDescent="0.3">
      <c r="A6594" s="1" t="s">
        <v>22107</v>
      </c>
      <c r="B6594" s="1" t="str">
        <f>"Philip Barber"</f>
        <v>Philip Barber</v>
      </c>
      <c r="C6594" s="1" t="s">
        <v>22108</v>
      </c>
      <c r="F6594" s="1" t="s">
        <v>65</v>
      </c>
      <c r="H6594" s="1" t="s">
        <v>3937</v>
      </c>
      <c r="I6594" s="1" t="s">
        <v>5</v>
      </c>
      <c r="J6594" s="1" t="s">
        <v>67</v>
      </c>
      <c r="K6594" s="1" t="s">
        <v>14</v>
      </c>
      <c r="M6594" s="2">
        <v>42585</v>
      </c>
      <c r="N6594" s="1" t="s">
        <v>8</v>
      </c>
      <c r="O6594" s="1" t="s">
        <v>68</v>
      </c>
    </row>
    <row r="6595" spans="1:15" ht="43.2" x14ac:dyDescent="0.3">
      <c r="A6595" s="1" t="s">
        <v>22109</v>
      </c>
      <c r="B6595" s="1" t="str">
        <f>"Michael Taylor"</f>
        <v>Michael Taylor</v>
      </c>
      <c r="C6595" s="1" t="s">
        <v>22110</v>
      </c>
      <c r="F6595" s="1" t="s">
        <v>10925</v>
      </c>
      <c r="H6595" s="1" t="s">
        <v>22111</v>
      </c>
      <c r="I6595" s="1" t="s">
        <v>5</v>
      </c>
      <c r="J6595" s="1" t="s">
        <v>67</v>
      </c>
      <c r="K6595" s="1" t="s">
        <v>14</v>
      </c>
      <c r="M6595" s="2">
        <v>42585</v>
      </c>
      <c r="N6595" s="1" t="s">
        <v>8</v>
      </c>
      <c r="O6595" s="1" t="s">
        <v>68</v>
      </c>
    </row>
    <row r="6596" spans="1:15" ht="28.8" x14ac:dyDescent="0.3">
      <c r="A6596" s="1" t="s">
        <v>13548</v>
      </c>
      <c r="B6596" s="1" t="str">
        <f>"SMITHS PROTECTIVE COATINGS LIMITED"</f>
        <v>SMITHS PROTECTIVE COATINGS LIMITED</v>
      </c>
      <c r="C6596" s="1" t="s">
        <v>13549</v>
      </c>
      <c r="D6596" s="1" t="s">
        <v>13550</v>
      </c>
      <c r="F6596" s="1" t="s">
        <v>4635</v>
      </c>
      <c r="H6596" s="1" t="s">
        <v>4512</v>
      </c>
      <c r="I6596" s="1" t="s">
        <v>19</v>
      </c>
      <c r="J6596" s="1" t="s">
        <v>6</v>
      </c>
      <c r="K6596" s="1" t="s">
        <v>24</v>
      </c>
      <c r="L6596" s="1">
        <v>4305769</v>
      </c>
      <c r="M6596" s="2">
        <v>42584</v>
      </c>
      <c r="N6596" s="1" t="s">
        <v>8</v>
      </c>
      <c r="O6596" s="2">
        <v>43679</v>
      </c>
    </row>
    <row r="6597" spans="1:15" ht="43.2" x14ac:dyDescent="0.3">
      <c r="A6597" s="1" t="s">
        <v>13551</v>
      </c>
      <c r="B6597" s="1" t="str">
        <f>"D. Wyn Bowen &amp; Son"</f>
        <v>D. Wyn Bowen &amp; Son</v>
      </c>
      <c r="C6597" s="1" t="s">
        <v>13552</v>
      </c>
      <c r="F6597" s="1" t="s">
        <v>65</v>
      </c>
      <c r="H6597" s="1" t="s">
        <v>13553</v>
      </c>
      <c r="I6597" s="1" t="s">
        <v>125</v>
      </c>
      <c r="J6597" s="1" t="s">
        <v>67</v>
      </c>
      <c r="K6597" s="1" t="s">
        <v>24</v>
      </c>
      <c r="M6597" s="2">
        <v>42584</v>
      </c>
      <c r="N6597" s="1" t="s">
        <v>8</v>
      </c>
      <c r="O6597" s="1" t="s">
        <v>68</v>
      </c>
    </row>
    <row r="6598" spans="1:15" x14ac:dyDescent="0.3">
      <c r="A6598" s="1" t="s">
        <v>13554</v>
      </c>
      <c r="B6598" s="1" t="str">
        <f>"Van Blanc"</f>
        <v>Van Blanc</v>
      </c>
      <c r="C6598" s="1" t="s">
        <v>13555</v>
      </c>
      <c r="F6598" s="1" t="s">
        <v>5401</v>
      </c>
      <c r="H6598" s="1" t="s">
        <v>13556</v>
      </c>
      <c r="I6598" s="1" t="s">
        <v>125</v>
      </c>
      <c r="J6598" s="1" t="s">
        <v>6</v>
      </c>
      <c r="K6598" s="1" t="s">
        <v>24</v>
      </c>
      <c r="M6598" s="2">
        <v>42584</v>
      </c>
      <c r="N6598" s="1" t="s">
        <v>8</v>
      </c>
      <c r="O6598" s="2">
        <v>43679</v>
      </c>
    </row>
    <row r="6599" spans="1:15" ht="28.8" x14ac:dyDescent="0.3">
      <c r="A6599" s="1" t="s">
        <v>13557</v>
      </c>
      <c r="B6599" s="1" t="str">
        <f>"GREENSQUARES PRODUCTS LIMITED"</f>
        <v>GREENSQUARES PRODUCTS LIMITED</v>
      </c>
      <c r="C6599" s="1" t="s">
        <v>13558</v>
      </c>
      <c r="D6599" s="1" t="s">
        <v>13559</v>
      </c>
      <c r="F6599" s="1" t="s">
        <v>27</v>
      </c>
      <c r="H6599" s="1" t="s">
        <v>13560</v>
      </c>
      <c r="I6599" s="1" t="s">
        <v>19</v>
      </c>
      <c r="J6599" s="1" t="s">
        <v>6</v>
      </c>
      <c r="K6599" s="1" t="s">
        <v>34</v>
      </c>
      <c r="L6599" s="1">
        <v>5224758</v>
      </c>
      <c r="M6599" s="2">
        <v>42584</v>
      </c>
      <c r="N6599" s="1" t="s">
        <v>8</v>
      </c>
      <c r="O6599" s="2">
        <v>43679</v>
      </c>
    </row>
    <row r="6600" spans="1:15" ht="43.2" x14ac:dyDescent="0.3">
      <c r="A6600" s="1" t="s">
        <v>14388</v>
      </c>
      <c r="B6600" s="1" t="str">
        <f>"Liberty Steel Newport Limited"</f>
        <v>Liberty Steel Newport Limited</v>
      </c>
      <c r="C6600" s="1" t="s">
        <v>14389</v>
      </c>
      <c r="F6600" s="1" t="s">
        <v>156</v>
      </c>
      <c r="H6600" s="1" t="s">
        <v>14390</v>
      </c>
      <c r="I6600" s="1" t="s">
        <v>19</v>
      </c>
      <c r="J6600" s="1" t="s">
        <v>67</v>
      </c>
      <c r="K6600" s="1" t="s">
        <v>14</v>
      </c>
      <c r="M6600" s="2">
        <v>42584</v>
      </c>
      <c r="N6600" s="1" t="s">
        <v>8</v>
      </c>
      <c r="O6600" s="1" t="s">
        <v>68</v>
      </c>
    </row>
    <row r="6601" spans="1:15" ht="43.2" x14ac:dyDescent="0.3">
      <c r="A6601" s="1" t="s">
        <v>14391</v>
      </c>
      <c r="B6601" s="1" t="str">
        <f>"P&amp;A Grounds maintenance Ltd"</f>
        <v>P&amp;A Grounds maintenance Ltd</v>
      </c>
      <c r="C6601" s="1" t="s">
        <v>14392</v>
      </c>
      <c r="F6601" s="1" t="s">
        <v>380</v>
      </c>
      <c r="H6601" s="1" t="s">
        <v>14393</v>
      </c>
      <c r="I6601" s="1" t="s">
        <v>19</v>
      </c>
      <c r="J6601" s="1" t="s">
        <v>67</v>
      </c>
      <c r="K6601" s="1" t="s">
        <v>14</v>
      </c>
      <c r="M6601" s="2">
        <v>42584</v>
      </c>
      <c r="N6601" s="1" t="s">
        <v>8</v>
      </c>
      <c r="O6601" s="1" t="s">
        <v>68</v>
      </c>
    </row>
    <row r="6602" spans="1:15" ht="28.8" x14ac:dyDescent="0.3">
      <c r="A6602" s="1" t="s">
        <v>14394</v>
      </c>
      <c r="B6602" s="1" t="str">
        <f>"p&amp;a grounds maintenance ltd"</f>
        <v>p&amp;a grounds maintenance ltd</v>
      </c>
      <c r="C6602" s="1" t="s">
        <v>14392</v>
      </c>
      <c r="F6602" s="1" t="s">
        <v>380</v>
      </c>
      <c r="H6602" s="1" t="s">
        <v>14393</v>
      </c>
      <c r="I6602" s="1" t="s">
        <v>19</v>
      </c>
      <c r="J6602" s="1" t="s">
        <v>6</v>
      </c>
      <c r="K6602" s="1" t="s">
        <v>24</v>
      </c>
      <c r="L6602" s="1">
        <v>10009785</v>
      </c>
      <c r="M6602" s="2">
        <v>42584</v>
      </c>
      <c r="N6602" s="1" t="s">
        <v>8</v>
      </c>
      <c r="O6602" s="2">
        <v>43679</v>
      </c>
    </row>
    <row r="6603" spans="1:15" ht="28.8" x14ac:dyDescent="0.3">
      <c r="A6603" s="1" t="s">
        <v>14395</v>
      </c>
      <c r="B6603" s="1" t="str">
        <f>"J &amp; M Cook (Builders) Ltd."</f>
        <v>J &amp; M Cook (Builders) Ltd.</v>
      </c>
      <c r="C6603" s="1" t="s">
        <v>14396</v>
      </c>
      <c r="F6603" s="1" t="s">
        <v>103</v>
      </c>
      <c r="H6603" s="1" t="s">
        <v>14397</v>
      </c>
      <c r="I6603" s="1" t="s">
        <v>19</v>
      </c>
      <c r="J6603" s="1" t="s">
        <v>6</v>
      </c>
      <c r="K6603" s="1" t="s">
        <v>34</v>
      </c>
      <c r="L6603" s="1">
        <v>2260317</v>
      </c>
      <c r="M6603" s="2">
        <v>42584</v>
      </c>
      <c r="N6603" s="1" t="s">
        <v>8</v>
      </c>
      <c r="O6603" s="2">
        <v>43679</v>
      </c>
    </row>
    <row r="6604" spans="1:15" ht="28.8" x14ac:dyDescent="0.3">
      <c r="A6604" s="1" t="s">
        <v>14398</v>
      </c>
      <c r="B6604" s="1" t="str">
        <f>"TJS Contracts limited "</f>
        <v xml:space="preserve">TJS Contracts limited </v>
      </c>
      <c r="C6604" s="1" t="s">
        <v>14399</v>
      </c>
      <c r="F6604" s="1" t="s">
        <v>83</v>
      </c>
      <c r="H6604" s="1" t="s">
        <v>14400</v>
      </c>
      <c r="I6604" s="1" t="s">
        <v>19</v>
      </c>
      <c r="J6604" s="1" t="s">
        <v>6</v>
      </c>
      <c r="K6604" s="1" t="s">
        <v>24</v>
      </c>
      <c r="L6604" s="1">
        <v>10304866</v>
      </c>
      <c r="M6604" s="2">
        <v>42584</v>
      </c>
      <c r="N6604" s="1" t="s">
        <v>8</v>
      </c>
      <c r="O6604" s="2">
        <v>43679</v>
      </c>
    </row>
    <row r="6605" spans="1:15" ht="28.8" x14ac:dyDescent="0.3">
      <c r="A6605" s="1" t="s">
        <v>26776</v>
      </c>
      <c r="B6605" s="1" t="str">
        <f>"linsey rickwood polished2perfection"</f>
        <v>linsey rickwood polished2perfection</v>
      </c>
      <c r="C6605" s="1" t="s">
        <v>26777</v>
      </c>
      <c r="F6605" s="1" t="s">
        <v>42</v>
      </c>
      <c r="H6605" s="1" t="s">
        <v>26778</v>
      </c>
      <c r="I6605" s="1" t="s">
        <v>5</v>
      </c>
      <c r="J6605" s="1" t="s">
        <v>6</v>
      </c>
      <c r="K6605" s="1" t="s">
        <v>24</v>
      </c>
      <c r="M6605" s="2">
        <v>42584</v>
      </c>
      <c r="N6605" s="1" t="s">
        <v>8</v>
      </c>
      <c r="O6605" s="2">
        <v>43679</v>
      </c>
    </row>
    <row r="6606" spans="1:15" ht="28.8" x14ac:dyDescent="0.3">
      <c r="A6606" s="1" t="s">
        <v>26779</v>
      </c>
      <c r="B6606" s="1" t="str">
        <f>"Philip Watson Watsons maintenance "</f>
        <v xml:space="preserve">Philip Watson Watsons maintenance </v>
      </c>
      <c r="C6606" s="1" t="s">
        <v>26780</v>
      </c>
      <c r="F6606" s="1" t="s">
        <v>277</v>
      </c>
      <c r="H6606" s="1" t="s">
        <v>26781</v>
      </c>
      <c r="I6606" s="1" t="s">
        <v>5</v>
      </c>
      <c r="J6606" s="1" t="s">
        <v>6</v>
      </c>
      <c r="K6606" s="1" t="s">
        <v>24</v>
      </c>
      <c r="M6606" s="2">
        <v>42584</v>
      </c>
      <c r="N6606" s="1" t="s">
        <v>8</v>
      </c>
      <c r="O6606" s="2">
        <v>43679</v>
      </c>
    </row>
    <row r="6607" spans="1:15" x14ac:dyDescent="0.3">
      <c r="A6607" s="1" t="s">
        <v>12406</v>
      </c>
      <c r="B6607" s="1" t="str">
        <f>"Aberarth Roofing Ltd."</f>
        <v>Aberarth Roofing Ltd.</v>
      </c>
      <c r="C6607" s="1" t="s">
        <v>12407</v>
      </c>
      <c r="F6607" s="1" t="s">
        <v>5640</v>
      </c>
      <c r="H6607" s="1" t="s">
        <v>12408</v>
      </c>
      <c r="I6607" s="1" t="s">
        <v>19</v>
      </c>
      <c r="J6607" s="1" t="s">
        <v>6</v>
      </c>
      <c r="K6607" s="1" t="s">
        <v>24</v>
      </c>
      <c r="L6607" s="1">
        <v>4705370</v>
      </c>
      <c r="M6607" s="2">
        <v>42583</v>
      </c>
      <c r="N6607" s="1" t="s">
        <v>8</v>
      </c>
      <c r="O6607" s="2">
        <v>43678</v>
      </c>
    </row>
    <row r="6608" spans="1:15" ht="28.8" x14ac:dyDescent="0.3">
      <c r="A6608" s="1" t="s">
        <v>12409</v>
      </c>
      <c r="B6608" s="1" t="str">
        <f>"Ivor Duggan &amp; Sons Ltd."</f>
        <v>Ivor Duggan &amp; Sons Ltd.</v>
      </c>
      <c r="C6608" s="1" t="s">
        <v>12410</v>
      </c>
      <c r="F6608" s="1" t="s">
        <v>3337</v>
      </c>
      <c r="H6608" s="1" t="s">
        <v>12411</v>
      </c>
      <c r="I6608" s="1" t="s">
        <v>19</v>
      </c>
      <c r="J6608" s="1" t="s">
        <v>6</v>
      </c>
      <c r="K6608" s="1" t="s">
        <v>24</v>
      </c>
      <c r="L6608" s="1">
        <v>2143747</v>
      </c>
      <c r="M6608" s="2">
        <v>42583</v>
      </c>
      <c r="N6608" s="1" t="s">
        <v>8</v>
      </c>
      <c r="O6608" s="2">
        <v>43678</v>
      </c>
    </row>
    <row r="6609" spans="1:15" ht="28.8" x14ac:dyDescent="0.3">
      <c r="A6609" s="1" t="s">
        <v>12412</v>
      </c>
      <c r="B6609" s="1" t="str">
        <f>"A Parry Construction Co. Ltd."</f>
        <v>A Parry Construction Co. Ltd.</v>
      </c>
      <c r="C6609" s="1" t="s">
        <v>12413</v>
      </c>
      <c r="D6609" s="1" t="s">
        <v>9659</v>
      </c>
      <c r="F6609" s="1" t="s">
        <v>1169</v>
      </c>
      <c r="H6609" s="1" t="s">
        <v>12414</v>
      </c>
      <c r="I6609" s="1" t="s">
        <v>19</v>
      </c>
      <c r="J6609" s="1" t="s">
        <v>6</v>
      </c>
      <c r="K6609" s="1" t="s">
        <v>34</v>
      </c>
      <c r="L6609" s="1">
        <v>2614429</v>
      </c>
      <c r="M6609" s="2">
        <v>42583</v>
      </c>
      <c r="N6609" s="1" t="s">
        <v>8</v>
      </c>
      <c r="O6609" s="2">
        <v>43678</v>
      </c>
    </row>
    <row r="6610" spans="1:15" ht="43.2" x14ac:dyDescent="0.3">
      <c r="A6610" s="1" t="s">
        <v>12415</v>
      </c>
      <c r="B6610" s="1" t="str">
        <f>"M and K Foot and H Spencer"</f>
        <v>M and K Foot and H Spencer</v>
      </c>
      <c r="C6610" s="1" t="s">
        <v>12416</v>
      </c>
      <c r="F6610" s="1" t="s">
        <v>9261</v>
      </c>
      <c r="H6610" s="1" t="s">
        <v>12417</v>
      </c>
      <c r="I6610" s="1" t="s">
        <v>125</v>
      </c>
      <c r="J6610" s="1" t="s">
        <v>67</v>
      </c>
      <c r="K6610" s="1" t="s">
        <v>14</v>
      </c>
      <c r="M6610" s="2">
        <v>42583</v>
      </c>
      <c r="N6610" s="1" t="s">
        <v>8</v>
      </c>
      <c r="O6610" s="1" t="s">
        <v>68</v>
      </c>
    </row>
    <row r="6611" spans="1:15" x14ac:dyDescent="0.3">
      <c r="A6611" s="1" t="s">
        <v>12418</v>
      </c>
      <c r="B6611" s="1" t="str">
        <f>"S.A.&amp; E.C.Hughes"</f>
        <v>S.A.&amp; E.C.Hughes</v>
      </c>
      <c r="C6611" s="1" t="s">
        <v>12419</v>
      </c>
      <c r="F6611" s="1" t="s">
        <v>214</v>
      </c>
      <c r="H6611" s="1" t="s">
        <v>12420</v>
      </c>
      <c r="I6611" s="1" t="s">
        <v>125</v>
      </c>
      <c r="J6611" s="1" t="s">
        <v>6</v>
      </c>
      <c r="K6611" s="1" t="s">
        <v>24</v>
      </c>
      <c r="M6611" s="2">
        <v>42583</v>
      </c>
      <c r="N6611" s="1" t="s">
        <v>8</v>
      </c>
      <c r="O6611" s="2">
        <v>43678</v>
      </c>
    </row>
    <row r="6612" spans="1:15" ht="43.2" x14ac:dyDescent="0.3">
      <c r="A6612" s="1" t="s">
        <v>12421</v>
      </c>
      <c r="B6612" s="1" t="str">
        <f>"Bay Landscapes Ltd."</f>
        <v>Bay Landscapes Ltd.</v>
      </c>
      <c r="C6612" s="1" t="s">
        <v>12422</v>
      </c>
      <c r="D6612" s="1" t="s">
        <v>3287</v>
      </c>
      <c r="F6612" s="1" t="s">
        <v>65</v>
      </c>
      <c r="H6612" s="1" t="s">
        <v>9928</v>
      </c>
      <c r="I6612" s="1" t="s">
        <v>19</v>
      </c>
      <c r="J6612" s="1" t="s">
        <v>67</v>
      </c>
      <c r="K6612" s="1" t="s">
        <v>24</v>
      </c>
      <c r="L6612" s="1">
        <v>5668997</v>
      </c>
      <c r="M6612" s="2">
        <v>42583</v>
      </c>
      <c r="N6612" s="1" t="s">
        <v>8</v>
      </c>
      <c r="O6612" s="1" t="s">
        <v>68</v>
      </c>
    </row>
    <row r="6613" spans="1:15" ht="28.8" x14ac:dyDescent="0.3">
      <c r="A6613" s="1" t="s">
        <v>13535</v>
      </c>
      <c r="B6613" s="1" t="str">
        <f>"JG Pallet Services "</f>
        <v xml:space="preserve">JG Pallet Services </v>
      </c>
      <c r="C6613" s="1" t="s">
        <v>13536</v>
      </c>
      <c r="F6613" s="1" t="s">
        <v>1888</v>
      </c>
      <c r="H6613" s="1" t="s">
        <v>13537</v>
      </c>
      <c r="I6613" s="1" t="s">
        <v>125</v>
      </c>
      <c r="J6613" s="1" t="s">
        <v>6</v>
      </c>
      <c r="K6613" s="1" t="s">
        <v>24</v>
      </c>
      <c r="M6613" s="2">
        <v>42583</v>
      </c>
      <c r="N6613" s="1" t="s">
        <v>8</v>
      </c>
      <c r="O6613" s="2">
        <v>43678</v>
      </c>
    </row>
    <row r="6614" spans="1:15" ht="28.8" x14ac:dyDescent="0.3">
      <c r="A6614" s="1" t="s">
        <v>13538</v>
      </c>
      <c r="B6614" s="1" t="str">
        <f>"Bay Landscapes Ltd"</f>
        <v>Bay Landscapes Ltd</v>
      </c>
      <c r="C6614" s="1" t="s">
        <v>12422</v>
      </c>
      <c r="D6614" s="1" t="s">
        <v>3287</v>
      </c>
      <c r="F6614" s="1" t="s">
        <v>65</v>
      </c>
      <c r="H6614" s="1" t="s">
        <v>9928</v>
      </c>
      <c r="I6614" s="1" t="s">
        <v>19</v>
      </c>
      <c r="J6614" s="1" t="s">
        <v>6</v>
      </c>
      <c r="K6614" s="1" t="s">
        <v>24</v>
      </c>
      <c r="L6614" s="1">
        <v>5668997</v>
      </c>
      <c r="M6614" s="2">
        <v>42583</v>
      </c>
      <c r="N6614" s="1" t="s">
        <v>8</v>
      </c>
      <c r="O6614" s="2">
        <v>43678</v>
      </c>
    </row>
    <row r="6615" spans="1:15" ht="43.2" x14ac:dyDescent="0.3">
      <c r="A6615" s="1" t="s">
        <v>13539</v>
      </c>
      <c r="B6615" s="1" t="str">
        <f>"Partspeed Ltd"</f>
        <v>Partspeed Ltd</v>
      </c>
      <c r="C6615" s="1" t="s">
        <v>13540</v>
      </c>
      <c r="D6615" s="1" t="s">
        <v>13541</v>
      </c>
      <c r="F6615" s="1" t="s">
        <v>825</v>
      </c>
      <c r="H6615" s="1" t="s">
        <v>13542</v>
      </c>
      <c r="I6615" s="1" t="s">
        <v>19</v>
      </c>
      <c r="J6615" s="1" t="s">
        <v>67</v>
      </c>
      <c r="K6615" s="1" t="s">
        <v>14</v>
      </c>
      <c r="M6615" s="2">
        <v>42583</v>
      </c>
      <c r="N6615" s="1" t="s">
        <v>8</v>
      </c>
      <c r="O6615" s="1" t="s">
        <v>68</v>
      </c>
    </row>
    <row r="6616" spans="1:15" ht="43.2" x14ac:dyDescent="0.3">
      <c r="A6616" s="1" t="s">
        <v>13543</v>
      </c>
      <c r="B6616" s="1" t="str">
        <f>"Stephen Williams"</f>
        <v>Stephen Williams</v>
      </c>
      <c r="C6616" s="1" t="s">
        <v>13544</v>
      </c>
      <c r="F6616" s="1" t="s">
        <v>445</v>
      </c>
      <c r="H6616" s="1" t="s">
        <v>13545</v>
      </c>
      <c r="I6616" s="1" t="s">
        <v>188</v>
      </c>
      <c r="J6616" s="1" t="s">
        <v>67</v>
      </c>
      <c r="K6616" s="1" t="s">
        <v>24</v>
      </c>
      <c r="M6616" s="2">
        <v>42583</v>
      </c>
      <c r="N6616" s="1" t="s">
        <v>8</v>
      </c>
      <c r="O6616" s="1" t="s">
        <v>68</v>
      </c>
    </row>
    <row r="6617" spans="1:15" ht="28.8" x14ac:dyDescent="0.3">
      <c r="A6617" s="1" t="s">
        <v>13546</v>
      </c>
      <c r="B6617" s="1" t="str">
        <f>"AB CLEARANCES LTD"</f>
        <v>AB CLEARANCES LTD</v>
      </c>
      <c r="C6617" s="1" t="s">
        <v>13547</v>
      </c>
      <c r="F6617" s="1" t="s">
        <v>22</v>
      </c>
      <c r="H6617" s="1" t="s">
        <v>8799</v>
      </c>
      <c r="I6617" s="1" t="s">
        <v>19</v>
      </c>
      <c r="J6617" s="1" t="s">
        <v>6</v>
      </c>
      <c r="K6617" s="1" t="s">
        <v>24</v>
      </c>
      <c r="L6617" s="1">
        <v>8618313</v>
      </c>
      <c r="M6617" s="2">
        <v>42583</v>
      </c>
      <c r="N6617" s="1" t="s">
        <v>8</v>
      </c>
      <c r="O6617" s="2">
        <v>43678</v>
      </c>
    </row>
    <row r="6618" spans="1:15" ht="28.8" x14ac:dyDescent="0.3">
      <c r="A6618" s="1" t="s">
        <v>25323</v>
      </c>
      <c r="B6618" s="1" t="str">
        <f>"Jamie Taylor Taylor made timber solutions"</f>
        <v>Jamie Taylor Taylor made timber solutions</v>
      </c>
      <c r="C6618" s="1" t="s">
        <v>25324</v>
      </c>
      <c r="F6618" s="1" t="s">
        <v>438</v>
      </c>
      <c r="H6618" s="1" t="s">
        <v>25325</v>
      </c>
      <c r="I6618" s="1" t="s">
        <v>5</v>
      </c>
      <c r="J6618" s="1" t="s">
        <v>6</v>
      </c>
      <c r="K6618" s="1" t="s">
        <v>24</v>
      </c>
      <c r="M6618" s="2">
        <v>42583</v>
      </c>
      <c r="N6618" s="1" t="s">
        <v>8</v>
      </c>
      <c r="O6618" s="2">
        <v>43678</v>
      </c>
    </row>
    <row r="6619" spans="1:15" ht="28.8" x14ac:dyDescent="0.3">
      <c r="A6619" s="1" t="s">
        <v>25326</v>
      </c>
      <c r="B6619" s="1" t="str">
        <f>"William S Bethell"</f>
        <v>William S Bethell</v>
      </c>
      <c r="C6619" s="1" t="s">
        <v>25327</v>
      </c>
      <c r="F6619" s="1" t="s">
        <v>27</v>
      </c>
      <c r="H6619" s="1" t="s">
        <v>25328</v>
      </c>
      <c r="I6619" s="1" t="s">
        <v>5</v>
      </c>
      <c r="J6619" s="1" t="s">
        <v>6</v>
      </c>
      <c r="K6619" s="1" t="s">
        <v>34</v>
      </c>
      <c r="M6619" s="2">
        <v>42583</v>
      </c>
      <c r="N6619" s="1" t="s">
        <v>8</v>
      </c>
      <c r="O6619" s="2">
        <v>43678</v>
      </c>
    </row>
    <row r="6620" spans="1:15" ht="43.2" x14ac:dyDescent="0.3">
      <c r="A6620" s="1" t="s">
        <v>25329</v>
      </c>
      <c r="B6620" s="1" t="str">
        <f>"CARL BRIDGEWATER"</f>
        <v>CARL BRIDGEWATER</v>
      </c>
      <c r="C6620" s="1" t="s">
        <v>25330</v>
      </c>
      <c r="F6620" s="1" t="s">
        <v>3726</v>
      </c>
      <c r="H6620" s="1" t="s">
        <v>25331</v>
      </c>
      <c r="I6620" s="1" t="s">
        <v>5</v>
      </c>
      <c r="J6620" s="1" t="s">
        <v>67</v>
      </c>
      <c r="K6620" s="1" t="s">
        <v>34</v>
      </c>
      <c r="M6620" s="2">
        <v>42583</v>
      </c>
      <c r="N6620" s="1" t="s">
        <v>8</v>
      </c>
      <c r="O6620" s="1" t="s">
        <v>68</v>
      </c>
    </row>
    <row r="6621" spans="1:15" x14ac:dyDescent="0.3">
      <c r="A6621" s="1" t="s">
        <v>26052</v>
      </c>
      <c r="B6621" s="1" t="str">
        <f>"HENRY PRICE"</f>
        <v>HENRY PRICE</v>
      </c>
      <c r="C6621" s="1" t="s">
        <v>26053</v>
      </c>
      <c r="F6621" s="1" t="s">
        <v>1278</v>
      </c>
      <c r="H6621" s="1" t="s">
        <v>26054</v>
      </c>
      <c r="I6621" s="1" t="s">
        <v>5</v>
      </c>
      <c r="J6621" s="1" t="s">
        <v>6</v>
      </c>
      <c r="K6621" s="1" t="s">
        <v>24</v>
      </c>
      <c r="M6621" s="2">
        <v>42583</v>
      </c>
      <c r="N6621" s="1" t="s">
        <v>8</v>
      </c>
      <c r="O6621" s="2">
        <v>43678</v>
      </c>
    </row>
    <row r="6622" spans="1:15" ht="28.8" x14ac:dyDescent="0.3">
      <c r="A6622" s="1" t="s">
        <v>26055</v>
      </c>
      <c r="B6622" s="1" t="str">
        <f>"James Elliott Fuelspeed"</f>
        <v>James Elliott Fuelspeed</v>
      </c>
      <c r="C6622" s="1" t="s">
        <v>26056</v>
      </c>
      <c r="D6622" s="1" t="s">
        <v>26057</v>
      </c>
      <c r="F6622" s="1" t="s">
        <v>298</v>
      </c>
      <c r="H6622" s="1" t="s">
        <v>26058</v>
      </c>
      <c r="I6622" s="1" t="s">
        <v>5</v>
      </c>
      <c r="J6622" s="1" t="s">
        <v>6</v>
      </c>
      <c r="K6622" s="1" t="s">
        <v>34</v>
      </c>
      <c r="M6622" s="2">
        <v>42583</v>
      </c>
      <c r="N6622" s="1" t="s">
        <v>8</v>
      </c>
      <c r="O6622" s="2">
        <v>43678</v>
      </c>
    </row>
    <row r="6623" spans="1:15" ht="28.8" x14ac:dyDescent="0.3">
      <c r="A6623" s="1" t="s">
        <v>12403</v>
      </c>
      <c r="B6623" s="1" t="str">
        <f>"T T Roberts &amp; Son Ltd."</f>
        <v>T T Roberts &amp; Son Ltd.</v>
      </c>
      <c r="C6623" s="1" t="s">
        <v>12404</v>
      </c>
      <c r="F6623" s="1" t="s">
        <v>1408</v>
      </c>
      <c r="H6623" s="1" t="s">
        <v>12405</v>
      </c>
      <c r="I6623" s="1" t="s">
        <v>19</v>
      </c>
      <c r="J6623" s="1" t="s">
        <v>6</v>
      </c>
      <c r="K6623" s="1" t="s">
        <v>34</v>
      </c>
      <c r="L6623" s="1">
        <v>4702512</v>
      </c>
      <c r="M6623" s="2">
        <v>42582</v>
      </c>
      <c r="N6623" s="1" t="s">
        <v>8</v>
      </c>
      <c r="O6623" s="2">
        <v>43677</v>
      </c>
    </row>
    <row r="6624" spans="1:15" ht="43.2" x14ac:dyDescent="0.3">
      <c r="A6624" s="1" t="s">
        <v>25314</v>
      </c>
      <c r="B6624" s="1" t="str">
        <f>"Pete Price Pete Price"</f>
        <v>Pete Price Pete Price</v>
      </c>
      <c r="C6624" s="1" t="s">
        <v>25315</v>
      </c>
      <c r="F6624" s="1" t="s">
        <v>161</v>
      </c>
      <c r="H6624" s="1" t="s">
        <v>25316</v>
      </c>
      <c r="I6624" s="1" t="s">
        <v>5</v>
      </c>
      <c r="J6624" s="1" t="s">
        <v>6</v>
      </c>
      <c r="K6624" s="1" t="s">
        <v>24</v>
      </c>
      <c r="M6624" s="2">
        <v>42582</v>
      </c>
      <c r="N6624" s="1" t="s">
        <v>8</v>
      </c>
      <c r="O6624" s="2">
        <v>43677</v>
      </c>
    </row>
    <row r="6625" spans="1:15" ht="28.8" x14ac:dyDescent="0.3">
      <c r="A6625" s="1" t="s">
        <v>25317</v>
      </c>
      <c r="B6625" s="1" t="str">
        <f>"nigel clarke n c metal recycling "</f>
        <v xml:space="preserve">nigel clarke n c metal recycling </v>
      </c>
      <c r="C6625" s="1" t="s">
        <v>25318</v>
      </c>
      <c r="F6625" s="1" t="s">
        <v>103</v>
      </c>
      <c r="H6625" s="1" t="s">
        <v>25319</v>
      </c>
      <c r="I6625" s="1" t="s">
        <v>5</v>
      </c>
      <c r="J6625" s="1" t="s">
        <v>6</v>
      </c>
      <c r="K6625" s="1" t="s">
        <v>24</v>
      </c>
      <c r="M6625" s="2">
        <v>42582</v>
      </c>
      <c r="N6625" s="1" t="s">
        <v>8</v>
      </c>
      <c r="O6625" s="2">
        <v>43677</v>
      </c>
    </row>
    <row r="6626" spans="1:15" ht="28.8" x14ac:dyDescent="0.3">
      <c r="A6626" s="1" t="s">
        <v>25320</v>
      </c>
      <c r="B6626" s="1" t="str">
        <f>"geoffrey allport geoff allport"</f>
        <v>geoffrey allport geoff allport</v>
      </c>
      <c r="C6626" s="1" t="s">
        <v>25321</v>
      </c>
      <c r="F6626" s="1" t="s">
        <v>5291</v>
      </c>
      <c r="H6626" s="1" t="s">
        <v>25322</v>
      </c>
      <c r="I6626" s="1" t="s">
        <v>5</v>
      </c>
      <c r="J6626" s="1" t="s">
        <v>6</v>
      </c>
      <c r="K6626" s="1" t="s">
        <v>24</v>
      </c>
      <c r="M6626" s="2">
        <v>42582</v>
      </c>
      <c r="N6626" s="1" t="s">
        <v>8</v>
      </c>
      <c r="O6626" s="2">
        <v>43677</v>
      </c>
    </row>
    <row r="6627" spans="1:15" ht="28.8" x14ac:dyDescent="0.3">
      <c r="A6627" s="1" t="s">
        <v>12399</v>
      </c>
      <c r="B6627" s="1" t="str">
        <f>"G T  Roberts &amp; Son Ltd."</f>
        <v>G T  Roberts &amp; Son Ltd.</v>
      </c>
      <c r="C6627" s="1" t="s">
        <v>12400</v>
      </c>
      <c r="D6627" s="1" t="s">
        <v>12401</v>
      </c>
      <c r="F6627" s="1" t="s">
        <v>4731</v>
      </c>
      <c r="H6627" s="1" t="s">
        <v>12402</v>
      </c>
      <c r="I6627" s="1" t="s">
        <v>19</v>
      </c>
      <c r="J6627" s="1" t="s">
        <v>6</v>
      </c>
      <c r="K6627" s="1" t="s">
        <v>34</v>
      </c>
      <c r="L6627" s="1">
        <v>2601918</v>
      </c>
      <c r="M6627" s="2">
        <v>42581</v>
      </c>
      <c r="N6627" s="1" t="s">
        <v>8</v>
      </c>
      <c r="O6627" s="2">
        <v>43676</v>
      </c>
    </row>
    <row r="6628" spans="1:15" ht="28.8" x14ac:dyDescent="0.3">
      <c r="A6628" s="1" t="s">
        <v>25303</v>
      </c>
      <c r="B6628" s="1" t="str">
        <f>"John Dinwoodie colwyn contractors"</f>
        <v>John Dinwoodie colwyn contractors</v>
      </c>
      <c r="C6628" s="1" t="s">
        <v>25304</v>
      </c>
      <c r="F6628" s="1" t="s">
        <v>358</v>
      </c>
      <c r="H6628" s="1" t="s">
        <v>25305</v>
      </c>
      <c r="I6628" s="1" t="s">
        <v>5</v>
      </c>
      <c r="J6628" s="1" t="s">
        <v>6</v>
      </c>
      <c r="K6628" s="1" t="s">
        <v>24</v>
      </c>
      <c r="M6628" s="2">
        <v>42581</v>
      </c>
      <c r="N6628" s="1" t="s">
        <v>8</v>
      </c>
      <c r="O6628" s="2">
        <v>43676</v>
      </c>
    </row>
    <row r="6629" spans="1:15" ht="28.8" x14ac:dyDescent="0.3">
      <c r="A6629" s="1" t="s">
        <v>25306</v>
      </c>
      <c r="B6629" s="1" t="str">
        <f>"Richard Walton Walton Build"</f>
        <v>Richard Walton Walton Build</v>
      </c>
      <c r="C6629" s="1" t="s">
        <v>25307</v>
      </c>
      <c r="D6629" s="1" t="s">
        <v>8943</v>
      </c>
      <c r="F6629" s="1" t="s">
        <v>416</v>
      </c>
      <c r="H6629" s="1" t="s">
        <v>25308</v>
      </c>
      <c r="I6629" s="1" t="s">
        <v>5</v>
      </c>
      <c r="J6629" s="1" t="s">
        <v>6</v>
      </c>
      <c r="K6629" s="1" t="s">
        <v>34</v>
      </c>
      <c r="M6629" s="2">
        <v>42581</v>
      </c>
      <c r="N6629" s="1" t="s">
        <v>8</v>
      </c>
      <c r="O6629" s="2">
        <v>43676</v>
      </c>
    </row>
    <row r="6630" spans="1:15" ht="43.2" x14ac:dyDescent="0.3">
      <c r="A6630" s="1" t="s">
        <v>25309</v>
      </c>
      <c r="B6630" s="1" t="str">
        <f>"jayne palmer Uchaf Farm"</f>
        <v>jayne palmer Uchaf Farm</v>
      </c>
      <c r="C6630" s="1" t="s">
        <v>25310</v>
      </c>
      <c r="F6630" s="1" t="s">
        <v>16099</v>
      </c>
      <c r="H6630" s="1" t="s">
        <v>25311</v>
      </c>
      <c r="I6630" s="1" t="s">
        <v>5</v>
      </c>
      <c r="J6630" s="1" t="s">
        <v>67</v>
      </c>
      <c r="K6630" s="1" t="s">
        <v>24</v>
      </c>
      <c r="M6630" s="2">
        <v>42581</v>
      </c>
      <c r="N6630" s="1" t="s">
        <v>8</v>
      </c>
      <c r="O6630" s="1" t="s">
        <v>68</v>
      </c>
    </row>
    <row r="6631" spans="1:15" ht="43.2" x14ac:dyDescent="0.3">
      <c r="A6631" s="1" t="s">
        <v>25312</v>
      </c>
      <c r="B6631" s="1" t="str">
        <f>"Paul McAteer Paul Mcateer Property Maintenance"</f>
        <v>Paul McAteer Paul Mcateer Property Maintenance</v>
      </c>
      <c r="C6631" s="1" t="s">
        <v>25313</v>
      </c>
      <c r="F6631" s="1" t="s">
        <v>174</v>
      </c>
      <c r="H6631" s="1" t="s">
        <v>23734</v>
      </c>
      <c r="I6631" s="1" t="s">
        <v>5</v>
      </c>
      <c r="J6631" s="1" t="s">
        <v>6</v>
      </c>
      <c r="K6631" s="1" t="s">
        <v>34</v>
      </c>
      <c r="M6631" s="2">
        <v>42581</v>
      </c>
      <c r="N6631" s="1" t="s">
        <v>8</v>
      </c>
      <c r="O6631" s="2">
        <v>43676</v>
      </c>
    </row>
    <row r="6632" spans="1:15" ht="28.8" x14ac:dyDescent="0.3">
      <c r="A6632" s="1" t="s">
        <v>11484</v>
      </c>
      <c r="B6632" s="1" t="str">
        <f>"J M WEIGH &amp; SONS"</f>
        <v>J M WEIGH &amp; SONS</v>
      </c>
      <c r="C6632" s="1" t="s">
        <v>11485</v>
      </c>
      <c r="F6632" s="1" t="s">
        <v>2277</v>
      </c>
      <c r="H6632" s="1" t="s">
        <v>11486</v>
      </c>
      <c r="I6632" s="1" t="s">
        <v>125</v>
      </c>
      <c r="J6632" s="1" t="s">
        <v>6</v>
      </c>
      <c r="K6632" s="1" t="s">
        <v>24</v>
      </c>
      <c r="M6632" s="2">
        <v>42580</v>
      </c>
      <c r="N6632" s="1" t="s">
        <v>8</v>
      </c>
      <c r="O6632" s="2">
        <v>43675</v>
      </c>
    </row>
    <row r="6633" spans="1:15" ht="43.2" x14ac:dyDescent="0.3">
      <c r="A6633" s="1" t="s">
        <v>11487</v>
      </c>
      <c r="B6633" s="1" t="str">
        <f>"WILMSLOW ELECTRICAL SUPPLIES LTD"</f>
        <v>WILMSLOW ELECTRICAL SUPPLIES LTD</v>
      </c>
      <c r="C6633" s="1" t="s">
        <v>11488</v>
      </c>
      <c r="D6633" s="1" t="s">
        <v>11489</v>
      </c>
      <c r="F6633" s="1" t="s">
        <v>11490</v>
      </c>
      <c r="H6633" s="1" t="s">
        <v>11491</v>
      </c>
      <c r="I6633" s="1" t="s">
        <v>19</v>
      </c>
      <c r="J6633" s="1" t="s">
        <v>6</v>
      </c>
      <c r="K6633" s="1" t="s">
        <v>34</v>
      </c>
      <c r="L6633" s="1">
        <v>7611465</v>
      </c>
      <c r="M6633" s="2">
        <v>42580</v>
      </c>
      <c r="N6633" s="1" t="s">
        <v>8</v>
      </c>
      <c r="O6633" s="2">
        <v>43675</v>
      </c>
    </row>
    <row r="6634" spans="1:15" ht="43.2" x14ac:dyDescent="0.3">
      <c r="A6634" s="1" t="s">
        <v>11492</v>
      </c>
      <c r="B6634" s="1" t="str">
        <f>"Recycling everything Metal"</f>
        <v>Recycling everything Metal</v>
      </c>
      <c r="C6634" s="1" t="s">
        <v>11493</v>
      </c>
      <c r="F6634" s="1" t="s">
        <v>865</v>
      </c>
      <c r="H6634" s="1" t="s">
        <v>11494</v>
      </c>
      <c r="I6634" s="1" t="s">
        <v>1872</v>
      </c>
      <c r="J6634" s="1" t="s">
        <v>67</v>
      </c>
      <c r="K6634" s="1" t="s">
        <v>24</v>
      </c>
      <c r="M6634" s="2">
        <v>42580</v>
      </c>
      <c r="N6634" s="1" t="s">
        <v>8</v>
      </c>
      <c r="O6634" s="1" t="s">
        <v>68</v>
      </c>
    </row>
    <row r="6635" spans="1:15" x14ac:dyDescent="0.3">
      <c r="A6635" s="1" t="s">
        <v>24460</v>
      </c>
      <c r="B6635" s="1" t="str">
        <f>"Luke Charles L. Charles"</f>
        <v>Luke Charles L. Charles</v>
      </c>
      <c r="C6635" s="1" t="s">
        <v>24461</v>
      </c>
      <c r="F6635" s="1" t="s">
        <v>416</v>
      </c>
      <c r="H6635" s="1" t="s">
        <v>24462</v>
      </c>
      <c r="I6635" s="1" t="s">
        <v>5</v>
      </c>
      <c r="J6635" s="1" t="s">
        <v>6</v>
      </c>
      <c r="K6635" s="1" t="s">
        <v>24</v>
      </c>
      <c r="M6635" s="2">
        <v>42580</v>
      </c>
      <c r="N6635" s="1" t="s">
        <v>8</v>
      </c>
      <c r="O6635" s="2">
        <v>43675</v>
      </c>
    </row>
    <row r="6636" spans="1:15" ht="28.8" x14ac:dyDescent="0.3">
      <c r="A6636" s="1" t="s">
        <v>24463</v>
      </c>
      <c r="B6636" s="1" t="str">
        <f>"Philip Lock G.LOCK"</f>
        <v>Philip Lock G.LOCK</v>
      </c>
      <c r="C6636" s="1" t="s">
        <v>24464</v>
      </c>
      <c r="D6636" s="1" t="s">
        <v>2890</v>
      </c>
      <c r="F6636" s="1" t="s">
        <v>1321</v>
      </c>
      <c r="H6636" s="1" t="s">
        <v>2763</v>
      </c>
      <c r="I6636" s="1" t="s">
        <v>5</v>
      </c>
      <c r="J6636" s="1" t="s">
        <v>6</v>
      </c>
      <c r="K6636" s="1" t="s">
        <v>24</v>
      </c>
      <c r="M6636" s="2">
        <v>42580</v>
      </c>
      <c r="N6636" s="1" t="s">
        <v>8</v>
      </c>
      <c r="O6636" s="2">
        <v>43675</v>
      </c>
    </row>
    <row r="6637" spans="1:15" ht="28.8" x14ac:dyDescent="0.3">
      <c r="A6637" s="1" t="s">
        <v>24465</v>
      </c>
      <c r="B6637" s="1" t="str">
        <f>"David Barnes DB Site Solutions"</f>
        <v>David Barnes DB Site Solutions</v>
      </c>
      <c r="C6637" s="1" t="s">
        <v>24466</v>
      </c>
      <c r="D6637" s="1" t="s">
        <v>6063</v>
      </c>
      <c r="F6637" s="1" t="s">
        <v>277</v>
      </c>
      <c r="H6637" s="1" t="s">
        <v>24467</v>
      </c>
      <c r="I6637" s="1" t="s">
        <v>5</v>
      </c>
      <c r="J6637" s="1" t="s">
        <v>6</v>
      </c>
      <c r="K6637" s="1" t="s">
        <v>24</v>
      </c>
      <c r="M6637" s="2">
        <v>42580</v>
      </c>
      <c r="N6637" s="1" t="s">
        <v>8</v>
      </c>
      <c r="O6637" s="2">
        <v>43693</v>
      </c>
    </row>
    <row r="6638" spans="1:15" ht="28.8" x14ac:dyDescent="0.3">
      <c r="A6638" s="1" t="s">
        <v>24468</v>
      </c>
      <c r="B6638" s="1" t="str">
        <f>"lewis turner road runer removals"</f>
        <v>lewis turner road runer removals</v>
      </c>
      <c r="C6638" s="1" t="s">
        <v>24469</v>
      </c>
      <c r="F6638" s="1" t="s">
        <v>16099</v>
      </c>
      <c r="H6638" s="1" t="s">
        <v>24470</v>
      </c>
      <c r="I6638" s="1" t="s">
        <v>5</v>
      </c>
      <c r="J6638" s="1" t="s">
        <v>6</v>
      </c>
      <c r="K6638" s="1" t="s">
        <v>34</v>
      </c>
      <c r="M6638" s="2">
        <v>42580</v>
      </c>
      <c r="N6638" s="1" t="s">
        <v>8</v>
      </c>
      <c r="O6638" s="2">
        <v>43675</v>
      </c>
    </row>
    <row r="6639" spans="1:15" ht="28.8" x14ac:dyDescent="0.3">
      <c r="A6639" s="1" t="s">
        <v>10451</v>
      </c>
      <c r="B6639" s="1" t="str">
        <f>"P J Jones Plumbing &amp; Heating Ltd "</f>
        <v xml:space="preserve">P J Jones Plumbing &amp; Heating Ltd </v>
      </c>
      <c r="C6639" s="1" t="s">
        <v>10452</v>
      </c>
      <c r="F6639" s="1" t="s">
        <v>42</v>
      </c>
      <c r="H6639" s="1" t="s">
        <v>1154</v>
      </c>
      <c r="I6639" s="1" t="s">
        <v>19</v>
      </c>
      <c r="J6639" s="1" t="s">
        <v>6</v>
      </c>
      <c r="K6639" s="1" t="s">
        <v>34</v>
      </c>
      <c r="L6639" s="1">
        <v>3387373</v>
      </c>
      <c r="M6639" s="2">
        <v>42579</v>
      </c>
      <c r="N6639" s="1" t="s">
        <v>8</v>
      </c>
      <c r="O6639" s="2">
        <v>43674</v>
      </c>
    </row>
    <row r="6640" spans="1:15" ht="43.2" x14ac:dyDescent="0.3">
      <c r="A6640" s="1" t="s">
        <v>10453</v>
      </c>
      <c r="B6640" s="1" t="str">
        <f>"MSI Alarms LTD"</f>
        <v>MSI Alarms LTD</v>
      </c>
      <c r="C6640" s="1" t="s">
        <v>10454</v>
      </c>
      <c r="F6640" s="1" t="s">
        <v>3242</v>
      </c>
      <c r="H6640" s="1" t="s">
        <v>10455</v>
      </c>
      <c r="I6640" s="1" t="s">
        <v>19</v>
      </c>
      <c r="J6640" s="1" t="s">
        <v>67</v>
      </c>
      <c r="K6640" s="1" t="s">
        <v>14</v>
      </c>
      <c r="M6640" s="2">
        <v>42579</v>
      </c>
      <c r="N6640" s="1" t="s">
        <v>8</v>
      </c>
      <c r="O6640" s="1" t="s">
        <v>68</v>
      </c>
    </row>
    <row r="6641" spans="1:15" ht="43.2" x14ac:dyDescent="0.3">
      <c r="A6641" s="1" t="s">
        <v>10456</v>
      </c>
      <c r="B6641" s="1" t="str">
        <f>"Greenbox Global Uk ltd"</f>
        <v>Greenbox Global Uk ltd</v>
      </c>
      <c r="C6641" s="1" t="s">
        <v>10457</v>
      </c>
      <c r="D6641" s="1" t="s">
        <v>10458</v>
      </c>
      <c r="F6641" s="1" t="s">
        <v>170</v>
      </c>
      <c r="H6641" s="1" t="s">
        <v>10459</v>
      </c>
      <c r="I6641" s="1" t="s">
        <v>19</v>
      </c>
      <c r="J6641" s="1" t="s">
        <v>67</v>
      </c>
      <c r="K6641" s="1" t="s">
        <v>14</v>
      </c>
      <c r="M6641" s="2">
        <v>42579</v>
      </c>
      <c r="N6641" s="1" t="s">
        <v>8</v>
      </c>
      <c r="O6641" s="1" t="s">
        <v>68</v>
      </c>
    </row>
    <row r="6642" spans="1:15" ht="28.8" x14ac:dyDescent="0.3">
      <c r="A6642" s="1" t="s">
        <v>10460</v>
      </c>
      <c r="B6642" s="1" t="str">
        <f>"Du Construction Ltd."</f>
        <v>Du Construction Ltd.</v>
      </c>
      <c r="C6642" s="1" t="s">
        <v>10461</v>
      </c>
      <c r="D6642" s="1" t="s">
        <v>496</v>
      </c>
      <c r="F6642" s="1" t="s">
        <v>328</v>
      </c>
      <c r="H6642" s="1" t="s">
        <v>497</v>
      </c>
      <c r="I6642" s="1" t="s">
        <v>19</v>
      </c>
      <c r="J6642" s="1" t="s">
        <v>6</v>
      </c>
      <c r="K6642" s="1" t="s">
        <v>1859</v>
      </c>
      <c r="L6642" s="1">
        <v>3182086</v>
      </c>
      <c r="M6642" s="2">
        <v>42579</v>
      </c>
      <c r="N6642" s="1" t="s">
        <v>8</v>
      </c>
      <c r="O6642" s="2">
        <v>43674</v>
      </c>
    </row>
    <row r="6643" spans="1:15" ht="43.2" x14ac:dyDescent="0.3">
      <c r="A6643" s="1" t="s">
        <v>11478</v>
      </c>
      <c r="B6643" s="1" t="str">
        <f>"Linda Bird Ltd"</f>
        <v>Linda Bird Ltd</v>
      </c>
      <c r="C6643" s="1" t="s">
        <v>11479</v>
      </c>
      <c r="F6643" s="1" t="s">
        <v>170</v>
      </c>
      <c r="H6643" s="1" t="s">
        <v>11480</v>
      </c>
      <c r="I6643" s="1" t="s">
        <v>19</v>
      </c>
      <c r="J6643" s="1" t="s">
        <v>67</v>
      </c>
      <c r="K6643" s="1" t="s">
        <v>14</v>
      </c>
      <c r="M6643" s="2">
        <v>42579</v>
      </c>
      <c r="N6643" s="1" t="s">
        <v>8</v>
      </c>
      <c r="O6643" s="1" t="s">
        <v>68</v>
      </c>
    </row>
    <row r="6644" spans="1:15" ht="43.2" x14ac:dyDescent="0.3">
      <c r="A6644" s="1" t="s">
        <v>11481</v>
      </c>
      <c r="B6644" s="1" t="str">
        <f>"Builders A2Z"</f>
        <v>Builders A2Z</v>
      </c>
      <c r="C6644" s="1" t="s">
        <v>11482</v>
      </c>
      <c r="F6644" s="1" t="s">
        <v>4768</v>
      </c>
      <c r="H6644" s="1" t="s">
        <v>11483</v>
      </c>
      <c r="I6644" s="1" t="s">
        <v>19</v>
      </c>
      <c r="J6644" s="1" t="s">
        <v>67</v>
      </c>
      <c r="K6644" s="1" t="s">
        <v>14</v>
      </c>
      <c r="M6644" s="2">
        <v>42579</v>
      </c>
      <c r="N6644" s="1" t="s">
        <v>8</v>
      </c>
      <c r="O6644" s="1" t="s">
        <v>68</v>
      </c>
    </row>
    <row r="6645" spans="1:15" ht="28.8" x14ac:dyDescent="0.3">
      <c r="A6645" s="1" t="s">
        <v>23614</v>
      </c>
      <c r="B6645" s="1" t="str">
        <f>"Keith Young Young Contractors Cardiff"</f>
        <v>Keith Young Young Contractors Cardiff</v>
      </c>
      <c r="C6645" s="1" t="s">
        <v>23615</v>
      </c>
      <c r="F6645" s="1" t="s">
        <v>123</v>
      </c>
      <c r="H6645" s="1" t="s">
        <v>6515</v>
      </c>
      <c r="I6645" s="1" t="s">
        <v>5</v>
      </c>
      <c r="J6645" s="1" t="s">
        <v>6</v>
      </c>
      <c r="K6645" s="1" t="s">
        <v>34</v>
      </c>
      <c r="M6645" s="2">
        <v>42579</v>
      </c>
      <c r="N6645" s="1" t="s">
        <v>8</v>
      </c>
      <c r="O6645" s="2">
        <v>43674</v>
      </c>
    </row>
    <row r="6646" spans="1:15" x14ac:dyDescent="0.3">
      <c r="A6646" s="1" t="s">
        <v>23616</v>
      </c>
      <c r="B6646" s="1" t="str">
        <f>"Anthony Mayho"</f>
        <v>Anthony Mayho</v>
      </c>
      <c r="C6646" s="1" t="s">
        <v>23617</v>
      </c>
      <c r="F6646" s="1" t="s">
        <v>103</v>
      </c>
      <c r="H6646" s="1" t="s">
        <v>23618</v>
      </c>
      <c r="I6646" s="1" t="s">
        <v>5</v>
      </c>
      <c r="J6646" s="1" t="s">
        <v>6</v>
      </c>
      <c r="K6646" s="1" t="s">
        <v>24</v>
      </c>
      <c r="M6646" s="2">
        <v>42579</v>
      </c>
      <c r="N6646" s="1" t="s">
        <v>8</v>
      </c>
      <c r="O6646" s="2">
        <v>43674</v>
      </c>
    </row>
    <row r="6647" spans="1:15" ht="28.8" x14ac:dyDescent="0.3">
      <c r="A6647" s="1" t="s">
        <v>23619</v>
      </c>
      <c r="B6647" s="1" t="str">
        <f>"Elvis Evans Jack of all trades"</f>
        <v>Elvis Evans Jack of all trades</v>
      </c>
      <c r="C6647" s="1" t="s">
        <v>23620</v>
      </c>
      <c r="D6647" s="1" t="s">
        <v>23621</v>
      </c>
      <c r="F6647" s="1" t="s">
        <v>1991</v>
      </c>
      <c r="H6647" s="1" t="s">
        <v>23622</v>
      </c>
      <c r="I6647" s="1" t="s">
        <v>5</v>
      </c>
      <c r="J6647" s="1" t="s">
        <v>6</v>
      </c>
      <c r="K6647" s="1" t="s">
        <v>24</v>
      </c>
      <c r="M6647" s="2">
        <v>42579</v>
      </c>
      <c r="N6647" s="1" t="s">
        <v>8</v>
      </c>
      <c r="O6647" s="2">
        <v>43674</v>
      </c>
    </row>
    <row r="6648" spans="1:15" ht="43.2" x14ac:dyDescent="0.3">
      <c r="A6648" s="1" t="s">
        <v>23623</v>
      </c>
      <c r="B6648" s="1" t="str">
        <f>"jack brammer"</f>
        <v>jack brammer</v>
      </c>
      <c r="C6648" s="1" t="s">
        <v>23624</v>
      </c>
      <c r="F6648" s="1" t="s">
        <v>1184</v>
      </c>
      <c r="H6648" s="1" t="s">
        <v>23625</v>
      </c>
      <c r="I6648" s="1" t="s">
        <v>5</v>
      </c>
      <c r="J6648" s="1" t="s">
        <v>67</v>
      </c>
      <c r="K6648" s="1" t="s">
        <v>14</v>
      </c>
      <c r="M6648" s="2">
        <v>42579</v>
      </c>
      <c r="N6648" s="1" t="s">
        <v>8</v>
      </c>
      <c r="O6648" s="1" t="s">
        <v>68</v>
      </c>
    </row>
    <row r="6649" spans="1:15" ht="43.2" x14ac:dyDescent="0.3">
      <c r="A6649" s="1" t="s">
        <v>23626</v>
      </c>
      <c r="B6649" s="1" t="str">
        <f>"Gareth  Lewis Lewis electrical"</f>
        <v>Gareth  Lewis Lewis electrical</v>
      </c>
      <c r="C6649" s="1" t="s">
        <v>14723</v>
      </c>
      <c r="F6649" s="1" t="s">
        <v>65</v>
      </c>
      <c r="H6649" s="1" t="s">
        <v>14724</v>
      </c>
      <c r="I6649" s="1" t="s">
        <v>5</v>
      </c>
      <c r="J6649" s="1" t="s">
        <v>67</v>
      </c>
      <c r="K6649" s="1" t="s">
        <v>24</v>
      </c>
      <c r="M6649" s="2">
        <v>42579</v>
      </c>
      <c r="N6649" s="1" t="s">
        <v>8</v>
      </c>
      <c r="O6649" s="1" t="s">
        <v>68</v>
      </c>
    </row>
    <row r="6650" spans="1:15" ht="43.2" x14ac:dyDescent="0.3">
      <c r="A6650" s="1" t="s">
        <v>9293</v>
      </c>
      <c r="B6650" s="1" t="str">
        <f>"Measham Parish Council"</f>
        <v>Measham Parish Council</v>
      </c>
      <c r="C6650" s="1" t="s">
        <v>9294</v>
      </c>
      <c r="F6650" s="1" t="s">
        <v>6886</v>
      </c>
      <c r="H6650" s="1" t="s">
        <v>6887</v>
      </c>
      <c r="I6650" s="1" t="s">
        <v>188</v>
      </c>
      <c r="J6650" s="1" t="s">
        <v>67</v>
      </c>
      <c r="K6650" s="1" t="s">
        <v>14</v>
      </c>
      <c r="M6650" s="2">
        <v>42578</v>
      </c>
      <c r="N6650" s="1" t="s">
        <v>8</v>
      </c>
      <c r="O6650" s="1" t="s">
        <v>68</v>
      </c>
    </row>
    <row r="6651" spans="1:15" ht="28.8" x14ac:dyDescent="0.3">
      <c r="A6651" s="1" t="s">
        <v>9295</v>
      </c>
      <c r="B6651" s="1" t="str">
        <f>"DH &amp; LM Morgan"</f>
        <v>DH &amp; LM Morgan</v>
      </c>
      <c r="C6651" s="1" t="s">
        <v>9296</v>
      </c>
      <c r="F6651" s="1" t="s">
        <v>96</v>
      </c>
      <c r="H6651" s="1" t="s">
        <v>9297</v>
      </c>
      <c r="I6651" s="1" t="s">
        <v>125</v>
      </c>
      <c r="J6651" s="1" t="s">
        <v>6</v>
      </c>
      <c r="K6651" s="1" t="s">
        <v>34</v>
      </c>
      <c r="M6651" s="2">
        <v>42578</v>
      </c>
      <c r="N6651" s="1" t="s">
        <v>8</v>
      </c>
      <c r="O6651" s="2">
        <v>43694</v>
      </c>
    </row>
    <row r="6652" spans="1:15" ht="28.8" x14ac:dyDescent="0.3">
      <c r="A6652" s="1" t="s">
        <v>9298</v>
      </c>
      <c r="B6652" s="1" t="str">
        <f>"Alun R Jones"</f>
        <v>Alun R Jones</v>
      </c>
      <c r="C6652" s="1" t="s">
        <v>9299</v>
      </c>
      <c r="F6652" s="1" t="s">
        <v>1169</v>
      </c>
      <c r="H6652" s="1" t="s">
        <v>9300</v>
      </c>
      <c r="I6652" s="1" t="s">
        <v>125</v>
      </c>
      <c r="J6652" s="1" t="s">
        <v>6</v>
      </c>
      <c r="K6652" s="1" t="s">
        <v>24</v>
      </c>
      <c r="M6652" s="2">
        <v>42578</v>
      </c>
      <c r="N6652" s="1" t="s">
        <v>8</v>
      </c>
      <c r="O6652" s="2">
        <v>43673</v>
      </c>
    </row>
    <row r="6653" spans="1:15" ht="28.8" x14ac:dyDescent="0.3">
      <c r="A6653" s="1" t="s">
        <v>9301</v>
      </c>
      <c r="B6653" s="1" t="str">
        <f>"Warmserve Plumbing &amp; Heating LTD"</f>
        <v>Warmserve Plumbing &amp; Heating LTD</v>
      </c>
      <c r="C6653" s="1" t="s">
        <v>9302</v>
      </c>
      <c r="F6653" s="1" t="s">
        <v>65</v>
      </c>
      <c r="H6653" s="1" t="s">
        <v>843</v>
      </c>
      <c r="I6653" s="1" t="s">
        <v>19</v>
      </c>
      <c r="J6653" s="1" t="s">
        <v>6</v>
      </c>
      <c r="K6653" s="1" t="s">
        <v>24</v>
      </c>
      <c r="L6653" s="1">
        <v>8395055</v>
      </c>
      <c r="M6653" s="2">
        <v>42578</v>
      </c>
      <c r="N6653" s="1" t="s">
        <v>8</v>
      </c>
      <c r="O6653" s="2">
        <v>43673</v>
      </c>
    </row>
    <row r="6654" spans="1:15" x14ac:dyDescent="0.3">
      <c r="A6654" s="1" t="s">
        <v>9303</v>
      </c>
      <c r="B6654" s="1" t="str">
        <f>"Afan Landscapes Ltd."</f>
        <v>Afan Landscapes Ltd.</v>
      </c>
      <c r="C6654" s="1" t="s">
        <v>9304</v>
      </c>
      <c r="F6654" s="1" t="s">
        <v>1351</v>
      </c>
      <c r="H6654" s="1" t="s">
        <v>9305</v>
      </c>
      <c r="I6654" s="1" t="s">
        <v>19</v>
      </c>
      <c r="J6654" s="1" t="s">
        <v>6</v>
      </c>
      <c r="K6654" s="1" t="s">
        <v>24</v>
      </c>
      <c r="L6654" s="1">
        <v>1411253</v>
      </c>
      <c r="M6654" s="2">
        <v>42578</v>
      </c>
      <c r="N6654" s="1" t="s">
        <v>8</v>
      </c>
      <c r="O6654" s="2">
        <v>43673</v>
      </c>
    </row>
    <row r="6655" spans="1:15" ht="43.2" x14ac:dyDescent="0.3">
      <c r="A6655" s="1" t="s">
        <v>9306</v>
      </c>
      <c r="B6655" s="1" t="str">
        <f>"Aliard environmental services"</f>
        <v>Aliard environmental services</v>
      </c>
      <c r="C6655" s="1" t="s">
        <v>9307</v>
      </c>
      <c r="F6655" s="1" t="s">
        <v>27</v>
      </c>
      <c r="H6655" s="1" t="s">
        <v>9308</v>
      </c>
      <c r="I6655" s="1" t="s">
        <v>19</v>
      </c>
      <c r="J6655" s="1" t="s">
        <v>67</v>
      </c>
      <c r="K6655" s="1" t="s">
        <v>14</v>
      </c>
      <c r="M6655" s="2">
        <v>42578</v>
      </c>
      <c r="N6655" s="1" t="s">
        <v>8</v>
      </c>
      <c r="O6655" s="1" t="s">
        <v>68</v>
      </c>
    </row>
    <row r="6656" spans="1:15" ht="28.8" x14ac:dyDescent="0.3">
      <c r="A6656" s="1" t="s">
        <v>9309</v>
      </c>
      <c r="B6656" s="1" t="str">
        <f>"Greenrooms"</f>
        <v>Greenrooms</v>
      </c>
      <c r="C6656" s="1" t="s">
        <v>9310</v>
      </c>
      <c r="F6656" s="1" t="s">
        <v>170</v>
      </c>
      <c r="H6656" s="1" t="s">
        <v>9311</v>
      </c>
      <c r="I6656" s="1" t="s">
        <v>125</v>
      </c>
      <c r="J6656" s="1" t="s">
        <v>6</v>
      </c>
      <c r="K6656" s="1" t="s">
        <v>24</v>
      </c>
      <c r="M6656" s="2">
        <v>42578</v>
      </c>
      <c r="N6656" s="1" t="s">
        <v>8</v>
      </c>
      <c r="O6656" s="2">
        <v>43673</v>
      </c>
    </row>
    <row r="6657" spans="1:15" ht="43.2" x14ac:dyDescent="0.3">
      <c r="A6657" s="1" t="s">
        <v>22042</v>
      </c>
      <c r="B6657" s="1" t="str">
        <f>"justin cotter Handyman"</f>
        <v>justin cotter Handyman</v>
      </c>
      <c r="C6657" s="1" t="s">
        <v>22043</v>
      </c>
      <c r="F6657" s="1" t="s">
        <v>65</v>
      </c>
      <c r="H6657" s="1" t="s">
        <v>22044</v>
      </c>
      <c r="I6657" s="1" t="s">
        <v>5</v>
      </c>
      <c r="J6657" s="1" t="s">
        <v>67</v>
      </c>
      <c r="K6657" s="1" t="s">
        <v>24</v>
      </c>
      <c r="M6657" s="2">
        <v>42578</v>
      </c>
      <c r="N6657" s="1" t="s">
        <v>8</v>
      </c>
      <c r="O6657" s="1" t="s">
        <v>68</v>
      </c>
    </row>
    <row r="6658" spans="1:15" ht="28.8" x14ac:dyDescent="0.3">
      <c r="A6658" s="1" t="s">
        <v>22807</v>
      </c>
      <c r="B6658" s="1" t="str">
        <f>"David Barrett DSB Upvc Repairs"</f>
        <v>David Barrett DSB Upvc Repairs</v>
      </c>
      <c r="C6658" s="1" t="s">
        <v>22808</v>
      </c>
      <c r="F6658" s="1" t="s">
        <v>91</v>
      </c>
      <c r="H6658" s="1" t="s">
        <v>17593</v>
      </c>
      <c r="I6658" s="1" t="s">
        <v>5</v>
      </c>
      <c r="J6658" s="1" t="s">
        <v>6</v>
      </c>
      <c r="K6658" s="1" t="s">
        <v>24</v>
      </c>
      <c r="M6658" s="2">
        <v>42578</v>
      </c>
      <c r="N6658" s="1" t="s">
        <v>8</v>
      </c>
      <c r="O6658" s="2">
        <v>43673</v>
      </c>
    </row>
    <row r="6659" spans="1:15" ht="28.8" x14ac:dyDescent="0.3">
      <c r="A6659" s="1" t="s">
        <v>22809</v>
      </c>
      <c r="B6659" s="1" t="str">
        <f>"Stuart Ackrill S J Ackrill"</f>
        <v>Stuart Ackrill S J Ackrill</v>
      </c>
      <c r="C6659" s="1" t="s">
        <v>22810</v>
      </c>
      <c r="D6659" s="1" t="s">
        <v>22811</v>
      </c>
      <c r="F6659" s="1" t="s">
        <v>22812</v>
      </c>
      <c r="H6659" s="1" t="s">
        <v>22813</v>
      </c>
      <c r="I6659" s="1" t="s">
        <v>5</v>
      </c>
      <c r="J6659" s="1" t="s">
        <v>6</v>
      </c>
      <c r="K6659" s="1" t="s">
        <v>34</v>
      </c>
      <c r="M6659" s="2">
        <v>42578</v>
      </c>
      <c r="N6659" s="1" t="s">
        <v>8</v>
      </c>
      <c r="O6659" s="2">
        <v>43673</v>
      </c>
    </row>
    <row r="6660" spans="1:15" ht="28.8" x14ac:dyDescent="0.3">
      <c r="A6660" s="1" t="s">
        <v>22814</v>
      </c>
      <c r="B6660" s="1" t="str">
        <f>"Andrew Evans Andrew Evans"</f>
        <v>Andrew Evans Andrew Evans</v>
      </c>
      <c r="C6660" s="1" t="s">
        <v>22815</v>
      </c>
      <c r="F6660" s="1" t="s">
        <v>50</v>
      </c>
      <c r="H6660" s="1" t="s">
        <v>22816</v>
      </c>
      <c r="I6660" s="1" t="s">
        <v>5</v>
      </c>
      <c r="J6660" s="1" t="s">
        <v>6</v>
      </c>
      <c r="K6660" s="1" t="s">
        <v>34</v>
      </c>
      <c r="M6660" s="2">
        <v>42578</v>
      </c>
      <c r="N6660" s="1" t="s">
        <v>8</v>
      </c>
      <c r="O6660" s="2">
        <v>43673</v>
      </c>
    </row>
    <row r="6661" spans="1:15" ht="28.8" x14ac:dyDescent="0.3">
      <c r="A6661" s="1" t="s">
        <v>22817</v>
      </c>
      <c r="B6661" s="1" t="str">
        <f>"Mark  Sheard  Gasmark1"</f>
        <v>Mark  Sheard  Gasmark1</v>
      </c>
      <c r="C6661" s="1" t="s">
        <v>22818</v>
      </c>
      <c r="F6661" s="1" t="s">
        <v>9473</v>
      </c>
      <c r="H6661" s="1" t="s">
        <v>22819</v>
      </c>
      <c r="I6661" s="1" t="s">
        <v>5</v>
      </c>
      <c r="J6661" s="1" t="s">
        <v>6</v>
      </c>
      <c r="K6661" s="1" t="s">
        <v>34</v>
      </c>
      <c r="M6661" s="2">
        <v>42578</v>
      </c>
      <c r="N6661" s="1" t="s">
        <v>8</v>
      </c>
      <c r="O6661" s="2">
        <v>43673</v>
      </c>
    </row>
    <row r="6662" spans="1:15" ht="28.8" x14ac:dyDescent="0.3">
      <c r="A6662" s="1" t="s">
        <v>22820</v>
      </c>
      <c r="B6662" s="1" t="str">
        <f>"Graham Francis Grigg"</f>
        <v>Graham Francis Grigg</v>
      </c>
      <c r="C6662" s="1" t="s">
        <v>22821</v>
      </c>
      <c r="D6662" s="1" t="s">
        <v>22822</v>
      </c>
      <c r="F6662" s="1" t="s">
        <v>3142</v>
      </c>
      <c r="H6662" s="1" t="s">
        <v>5874</v>
      </c>
      <c r="I6662" s="1" t="s">
        <v>5</v>
      </c>
      <c r="J6662" s="1" t="s">
        <v>6</v>
      </c>
      <c r="K6662" s="1" t="s">
        <v>34</v>
      </c>
      <c r="M6662" s="2">
        <v>42578</v>
      </c>
      <c r="N6662" s="1" t="s">
        <v>8</v>
      </c>
      <c r="O6662" s="2">
        <v>43673</v>
      </c>
    </row>
    <row r="6663" spans="1:15" ht="43.2" x14ac:dyDescent="0.3">
      <c r="A6663" s="1" t="s">
        <v>22823</v>
      </c>
      <c r="B6663" s="1" t="str">
        <f>"David Rogers D Rogers ta Robingate Landscape"</f>
        <v>David Rogers D Rogers ta Robingate Landscape</v>
      </c>
      <c r="C6663" s="1" t="s">
        <v>22824</v>
      </c>
      <c r="D6663" s="1" t="s">
        <v>22825</v>
      </c>
      <c r="F6663" s="1" t="s">
        <v>8782</v>
      </c>
      <c r="H6663" s="1" t="s">
        <v>22826</v>
      </c>
      <c r="I6663" s="1" t="s">
        <v>5</v>
      </c>
      <c r="J6663" s="1" t="s">
        <v>6</v>
      </c>
      <c r="K6663" s="1" t="s">
        <v>34</v>
      </c>
      <c r="M6663" s="2">
        <v>42578</v>
      </c>
      <c r="N6663" s="1" t="s">
        <v>8</v>
      </c>
      <c r="O6663" s="2">
        <v>43673</v>
      </c>
    </row>
    <row r="6664" spans="1:15" ht="28.8" x14ac:dyDescent="0.3">
      <c r="A6664" s="1" t="s">
        <v>8118</v>
      </c>
      <c r="B6664" s="1" t="str">
        <f>"LANDSTRUCTION LTD"</f>
        <v>LANDSTRUCTION LTD</v>
      </c>
      <c r="C6664" s="1" t="s">
        <v>8119</v>
      </c>
      <c r="D6664" s="1" t="s">
        <v>8120</v>
      </c>
      <c r="F6664" s="1" t="s">
        <v>8121</v>
      </c>
      <c r="H6664" s="1" t="s">
        <v>8122</v>
      </c>
      <c r="I6664" s="1" t="s">
        <v>19</v>
      </c>
      <c r="J6664" s="1" t="s">
        <v>6</v>
      </c>
      <c r="K6664" s="1" t="s">
        <v>34</v>
      </c>
      <c r="L6664" s="1">
        <v>7405953</v>
      </c>
      <c r="M6664" s="2">
        <v>42577</v>
      </c>
      <c r="N6664" s="1" t="s">
        <v>8</v>
      </c>
      <c r="O6664" s="2">
        <v>43672</v>
      </c>
    </row>
    <row r="6665" spans="1:15" ht="43.2" x14ac:dyDescent="0.3">
      <c r="A6665" s="1" t="s">
        <v>8123</v>
      </c>
      <c r="B6665" s="1" t="str">
        <f>"N J Evans &amp; Son"</f>
        <v>N J Evans &amp; Son</v>
      </c>
      <c r="C6665" s="1" t="s">
        <v>8124</v>
      </c>
      <c r="F6665" s="1" t="s">
        <v>416</v>
      </c>
      <c r="H6665" s="1" t="s">
        <v>8125</v>
      </c>
      <c r="I6665" s="1" t="s">
        <v>125</v>
      </c>
      <c r="J6665" s="1" t="s">
        <v>67</v>
      </c>
      <c r="K6665" s="1" t="s">
        <v>24</v>
      </c>
      <c r="M6665" s="2">
        <v>42577</v>
      </c>
      <c r="N6665" s="1" t="s">
        <v>8</v>
      </c>
      <c r="O6665" s="1" t="s">
        <v>68</v>
      </c>
    </row>
    <row r="6666" spans="1:15" x14ac:dyDescent="0.3">
      <c r="A6666" s="1" t="s">
        <v>8126</v>
      </c>
      <c r="B6666" s="1" t="str">
        <f>"R.C.D Energy Ltd"</f>
        <v>R.C.D Energy Ltd</v>
      </c>
      <c r="C6666" s="1" t="s">
        <v>8127</v>
      </c>
      <c r="F6666" s="1" t="s">
        <v>4656</v>
      </c>
      <c r="H6666" s="1" t="s">
        <v>8128</v>
      </c>
      <c r="I6666" s="1" t="s">
        <v>19</v>
      </c>
      <c r="J6666" s="1" t="s">
        <v>6</v>
      </c>
      <c r="K6666" s="1" t="s">
        <v>24</v>
      </c>
      <c r="L6666" s="1">
        <v>9106560</v>
      </c>
      <c r="M6666" s="2">
        <v>42577</v>
      </c>
      <c r="N6666" s="1" t="s">
        <v>8</v>
      </c>
      <c r="O6666" s="2">
        <v>43679</v>
      </c>
    </row>
    <row r="6667" spans="1:15" ht="28.8" x14ac:dyDescent="0.3">
      <c r="A6667" s="1" t="s">
        <v>8129</v>
      </c>
      <c r="B6667" s="1" t="str">
        <f>"LESTER FABRICATIONS &amp; CLADDING CO LTD"</f>
        <v>LESTER FABRICATIONS &amp; CLADDING CO LTD</v>
      </c>
      <c r="C6667" s="1" t="s">
        <v>3618</v>
      </c>
      <c r="F6667" s="1" t="s">
        <v>2277</v>
      </c>
      <c r="H6667" s="1" t="s">
        <v>3619</v>
      </c>
      <c r="I6667" s="1" t="s">
        <v>19</v>
      </c>
      <c r="J6667" s="1" t="s">
        <v>6</v>
      </c>
      <c r="K6667" s="1" t="s">
        <v>34</v>
      </c>
      <c r="L6667" s="1">
        <v>1873478</v>
      </c>
      <c r="M6667" s="2">
        <v>42577</v>
      </c>
      <c r="N6667" s="1" t="s">
        <v>8</v>
      </c>
      <c r="O6667" s="2">
        <v>43672</v>
      </c>
    </row>
    <row r="6668" spans="1:15" ht="28.8" x14ac:dyDescent="0.3">
      <c r="A6668" s="1" t="s">
        <v>8130</v>
      </c>
      <c r="B6668" s="1" t="str">
        <f>"Richard H Powell &amp; Partners Ltd."</f>
        <v>Richard H Powell &amp; Partners Ltd.</v>
      </c>
      <c r="C6668" s="1" t="s">
        <v>8131</v>
      </c>
      <c r="F6668" s="1" t="s">
        <v>27</v>
      </c>
      <c r="H6668" s="1" t="s">
        <v>8132</v>
      </c>
      <c r="I6668" s="1" t="s">
        <v>19</v>
      </c>
      <c r="J6668" s="1" t="s">
        <v>6</v>
      </c>
      <c r="K6668" s="1" t="s">
        <v>24</v>
      </c>
      <c r="L6668" s="1">
        <v>1051190</v>
      </c>
      <c r="M6668" s="2">
        <v>42577</v>
      </c>
      <c r="N6668" s="1" t="s">
        <v>8</v>
      </c>
      <c r="O6668" s="2">
        <v>43672</v>
      </c>
    </row>
    <row r="6669" spans="1:15" ht="28.8" x14ac:dyDescent="0.3">
      <c r="A6669" s="1" t="s">
        <v>8133</v>
      </c>
      <c r="B6669" s="1" t="str">
        <f>"GMH VEHICLE RECYCLERS"</f>
        <v>GMH VEHICLE RECYCLERS</v>
      </c>
      <c r="C6669" s="1" t="s">
        <v>8134</v>
      </c>
      <c r="D6669" s="1" t="s">
        <v>500</v>
      </c>
      <c r="F6669" s="1" t="s">
        <v>27</v>
      </c>
      <c r="H6669" s="1" t="s">
        <v>8135</v>
      </c>
      <c r="I6669" s="1" t="s">
        <v>19</v>
      </c>
      <c r="J6669" s="1" t="s">
        <v>6</v>
      </c>
      <c r="K6669" s="1" t="s">
        <v>24</v>
      </c>
      <c r="L6669" s="1">
        <v>9578734</v>
      </c>
      <c r="M6669" s="2">
        <v>42577</v>
      </c>
      <c r="N6669" s="1" t="s">
        <v>8</v>
      </c>
      <c r="O6669" s="2">
        <v>43672</v>
      </c>
    </row>
    <row r="6670" spans="1:15" ht="43.2" x14ac:dyDescent="0.3">
      <c r="A6670" s="1" t="s">
        <v>8136</v>
      </c>
      <c r="B6670" s="1" t="str">
        <f>"Boiler Plant Maintenance (Cardiff) Ltd."</f>
        <v>Boiler Plant Maintenance (Cardiff) Ltd.</v>
      </c>
      <c r="C6670" s="1" t="s">
        <v>8137</v>
      </c>
      <c r="D6670" s="1" t="s">
        <v>8138</v>
      </c>
      <c r="F6670" s="1" t="s">
        <v>27</v>
      </c>
      <c r="H6670" s="1" t="s">
        <v>8139</v>
      </c>
      <c r="I6670" s="1" t="s">
        <v>19</v>
      </c>
      <c r="J6670" s="1" t="s">
        <v>67</v>
      </c>
      <c r="K6670" s="1" t="s">
        <v>24</v>
      </c>
      <c r="L6670" s="1">
        <v>3919685</v>
      </c>
      <c r="M6670" s="2">
        <v>42577</v>
      </c>
      <c r="N6670" s="1" t="s">
        <v>8</v>
      </c>
      <c r="O6670" s="1" t="s">
        <v>68</v>
      </c>
    </row>
    <row r="6671" spans="1:15" ht="28.8" x14ac:dyDescent="0.3">
      <c r="A6671" s="1" t="s">
        <v>8140</v>
      </c>
      <c r="B6671" s="1" t="str">
        <f>"Carl Vaughan Limited"</f>
        <v>Carl Vaughan Limited</v>
      </c>
      <c r="C6671" s="1" t="s">
        <v>8141</v>
      </c>
      <c r="F6671" s="1" t="s">
        <v>8142</v>
      </c>
      <c r="H6671" s="1" t="s">
        <v>8143</v>
      </c>
      <c r="I6671" s="1" t="s">
        <v>19</v>
      </c>
      <c r="J6671" s="1" t="s">
        <v>6</v>
      </c>
      <c r="K6671" s="1" t="s">
        <v>24</v>
      </c>
      <c r="L6671" s="1">
        <v>6462104</v>
      </c>
      <c r="M6671" s="2">
        <v>42577</v>
      </c>
      <c r="N6671" s="1" t="s">
        <v>8</v>
      </c>
      <c r="O6671" s="2">
        <v>43672</v>
      </c>
    </row>
    <row r="6672" spans="1:15" ht="28.8" x14ac:dyDescent="0.3">
      <c r="A6672" s="1" t="s">
        <v>8144</v>
      </c>
      <c r="B6672" s="1" t="str">
        <f>"All Electric Contractors Ltd"</f>
        <v>All Electric Contractors Ltd</v>
      </c>
      <c r="C6672" s="1" t="s">
        <v>8145</v>
      </c>
      <c r="D6672" s="1" t="s">
        <v>8146</v>
      </c>
      <c r="F6672" s="1" t="s">
        <v>1278</v>
      </c>
      <c r="H6672" s="1" t="s">
        <v>8147</v>
      </c>
      <c r="I6672" s="1" t="s">
        <v>19</v>
      </c>
      <c r="J6672" s="1" t="s">
        <v>6</v>
      </c>
      <c r="K6672" s="1" t="s">
        <v>24</v>
      </c>
      <c r="L6672" s="1">
        <v>8670342</v>
      </c>
      <c r="M6672" s="2">
        <v>42577</v>
      </c>
      <c r="N6672" s="1" t="s">
        <v>8</v>
      </c>
      <c r="O6672" s="2">
        <v>43672</v>
      </c>
    </row>
    <row r="6673" spans="1:15" ht="28.8" x14ac:dyDescent="0.3">
      <c r="A6673" s="1" t="s">
        <v>8148</v>
      </c>
      <c r="B6673" s="1" t="str">
        <f>"Ben Jones GroundWorks Ltd"</f>
        <v>Ben Jones GroundWorks Ltd</v>
      </c>
      <c r="C6673" s="1" t="s">
        <v>8149</v>
      </c>
      <c r="F6673" s="1" t="s">
        <v>2906</v>
      </c>
      <c r="H6673" s="1" t="s">
        <v>8150</v>
      </c>
      <c r="I6673" s="1" t="s">
        <v>19</v>
      </c>
      <c r="J6673" s="1" t="s">
        <v>6</v>
      </c>
      <c r="K6673" s="1" t="s">
        <v>34</v>
      </c>
      <c r="L6673" s="1">
        <v>9854790</v>
      </c>
      <c r="M6673" s="2">
        <v>42577</v>
      </c>
      <c r="N6673" s="1" t="s">
        <v>8</v>
      </c>
      <c r="O6673" s="2">
        <v>43672</v>
      </c>
    </row>
    <row r="6674" spans="1:15" ht="43.2" x14ac:dyDescent="0.3">
      <c r="A6674" s="1" t="s">
        <v>8151</v>
      </c>
      <c r="B6674" s="1" t="str">
        <f>"CARDIFF CONTAINER LINK LIMITED"</f>
        <v>CARDIFF CONTAINER LINK LIMITED</v>
      </c>
      <c r="C6674" s="1" t="s">
        <v>8152</v>
      </c>
      <c r="D6674" s="1" t="s">
        <v>123</v>
      </c>
      <c r="F6674" s="1" t="s">
        <v>211</v>
      </c>
      <c r="H6674" s="1" t="s">
        <v>8153</v>
      </c>
      <c r="I6674" s="1" t="s">
        <v>19</v>
      </c>
      <c r="J6674" s="1" t="s">
        <v>6</v>
      </c>
      <c r="K6674" s="1" t="s">
        <v>34</v>
      </c>
      <c r="L6674" s="1">
        <v>9930020</v>
      </c>
      <c r="M6674" s="2">
        <v>42577</v>
      </c>
      <c r="N6674" s="1" t="s">
        <v>8</v>
      </c>
      <c r="O6674" s="2">
        <v>43672</v>
      </c>
    </row>
    <row r="6675" spans="1:15" ht="28.8" x14ac:dyDescent="0.3">
      <c r="A6675" s="1" t="s">
        <v>8154</v>
      </c>
      <c r="B6675" s="1" t="str">
        <f>"Cardiff building services Ltd."</f>
        <v>Cardiff building services Ltd.</v>
      </c>
      <c r="C6675" s="1" t="s">
        <v>8155</v>
      </c>
      <c r="F6675" s="1" t="s">
        <v>27</v>
      </c>
      <c r="H6675" s="1" t="s">
        <v>8156</v>
      </c>
      <c r="I6675" s="1" t="s">
        <v>19</v>
      </c>
      <c r="J6675" s="1" t="s">
        <v>6</v>
      </c>
      <c r="K6675" s="1" t="s">
        <v>24</v>
      </c>
      <c r="L6675" s="1">
        <v>7531826</v>
      </c>
      <c r="M6675" s="2">
        <v>42577</v>
      </c>
      <c r="N6675" s="1" t="s">
        <v>8</v>
      </c>
      <c r="O6675" s="2">
        <v>43672</v>
      </c>
    </row>
    <row r="6676" spans="1:15" ht="28.8" x14ac:dyDescent="0.3">
      <c r="A6676" s="1" t="s">
        <v>21266</v>
      </c>
      <c r="B6676" s="1" t="str">
        <f>"Joseph  Cashman  Joseph cashman "</f>
        <v xml:space="preserve">Joseph  Cashman  Joseph cashman </v>
      </c>
      <c r="C6676" s="1" t="s">
        <v>21267</v>
      </c>
      <c r="F6676" s="1" t="s">
        <v>91</v>
      </c>
      <c r="H6676" s="1" t="s">
        <v>21268</v>
      </c>
      <c r="I6676" s="1" t="s">
        <v>5</v>
      </c>
      <c r="J6676" s="1" t="s">
        <v>6</v>
      </c>
      <c r="K6676" s="1" t="s">
        <v>24</v>
      </c>
      <c r="M6676" s="2">
        <v>42577</v>
      </c>
      <c r="N6676" s="1" t="s">
        <v>8</v>
      </c>
      <c r="O6676" s="2">
        <v>43672</v>
      </c>
    </row>
    <row r="6677" spans="1:15" ht="43.2" x14ac:dyDescent="0.3">
      <c r="A6677" s="1" t="s">
        <v>22031</v>
      </c>
      <c r="B6677" s="1" t="str">
        <f>"Risto Gojkovic"</f>
        <v>Risto Gojkovic</v>
      </c>
      <c r="C6677" s="1" t="s">
        <v>22032</v>
      </c>
      <c r="F6677" s="1" t="s">
        <v>170</v>
      </c>
      <c r="H6677" s="1" t="s">
        <v>22033</v>
      </c>
      <c r="I6677" s="1" t="s">
        <v>5</v>
      </c>
      <c r="J6677" s="1" t="s">
        <v>67</v>
      </c>
      <c r="K6677" s="1" t="s">
        <v>14</v>
      </c>
      <c r="M6677" s="2">
        <v>42577</v>
      </c>
      <c r="N6677" s="1" t="s">
        <v>8</v>
      </c>
      <c r="O6677" s="1" t="s">
        <v>68</v>
      </c>
    </row>
    <row r="6678" spans="1:15" ht="28.8" x14ac:dyDescent="0.3">
      <c r="A6678" s="1" t="s">
        <v>22034</v>
      </c>
      <c r="B6678" s="1" t="str">
        <f>"Robin Roberts R.Roberts &amp; Son"</f>
        <v>Robin Roberts R.Roberts &amp; Son</v>
      </c>
      <c r="C6678" s="1" t="s">
        <v>22035</v>
      </c>
      <c r="F6678" s="1" t="s">
        <v>1184</v>
      </c>
      <c r="H6678" s="1" t="s">
        <v>18017</v>
      </c>
      <c r="I6678" s="1" t="s">
        <v>5</v>
      </c>
      <c r="J6678" s="1" t="s">
        <v>6</v>
      </c>
      <c r="K6678" s="1" t="s">
        <v>24</v>
      </c>
      <c r="M6678" s="2">
        <v>42577</v>
      </c>
      <c r="N6678" s="1" t="s">
        <v>8</v>
      </c>
      <c r="O6678" s="2">
        <v>43672</v>
      </c>
    </row>
    <row r="6679" spans="1:15" ht="28.8" x14ac:dyDescent="0.3">
      <c r="A6679" s="1" t="s">
        <v>22036</v>
      </c>
      <c r="B6679" s="1" t="str">
        <f>"Ross Stinton Be clean cleaning services"</f>
        <v>Ross Stinton Be clean cleaning services</v>
      </c>
      <c r="C6679" s="1" t="s">
        <v>22037</v>
      </c>
      <c r="F6679" s="1" t="s">
        <v>380</v>
      </c>
      <c r="H6679" s="1" t="s">
        <v>22038</v>
      </c>
      <c r="I6679" s="1" t="s">
        <v>5</v>
      </c>
      <c r="J6679" s="1" t="s">
        <v>6</v>
      </c>
      <c r="K6679" s="1" t="s">
        <v>24</v>
      </c>
      <c r="M6679" s="2">
        <v>42577</v>
      </c>
      <c r="N6679" s="1" t="s">
        <v>8</v>
      </c>
      <c r="O6679" s="2">
        <v>43672</v>
      </c>
    </row>
    <row r="6680" spans="1:15" ht="28.8" x14ac:dyDescent="0.3">
      <c r="A6680" s="1" t="s">
        <v>22039</v>
      </c>
      <c r="B6680" s="1" t="str">
        <f>"William Barnsley Barnsley Plant"</f>
        <v>William Barnsley Barnsley Plant</v>
      </c>
      <c r="C6680" s="1" t="s">
        <v>22040</v>
      </c>
      <c r="F6680" s="1" t="s">
        <v>2757</v>
      </c>
      <c r="H6680" s="1" t="s">
        <v>22041</v>
      </c>
      <c r="I6680" s="1" t="s">
        <v>5</v>
      </c>
      <c r="J6680" s="1" t="s">
        <v>6</v>
      </c>
      <c r="K6680" s="1" t="s">
        <v>24</v>
      </c>
      <c r="M6680" s="2">
        <v>42577</v>
      </c>
      <c r="N6680" s="1" t="s">
        <v>8</v>
      </c>
      <c r="O6680" s="2">
        <v>43672</v>
      </c>
    </row>
    <row r="6681" spans="1:15" ht="28.8" x14ac:dyDescent="0.3">
      <c r="A6681" s="1" t="s">
        <v>5886</v>
      </c>
      <c r="B6681" s="1" t="str">
        <f>"J &amp; D Rubbish Removals"</f>
        <v>J &amp; D Rubbish Removals</v>
      </c>
      <c r="C6681" s="1" t="s">
        <v>5887</v>
      </c>
      <c r="F6681" s="1" t="s">
        <v>214</v>
      </c>
      <c r="H6681" s="1" t="s">
        <v>5888</v>
      </c>
      <c r="I6681" s="1" t="s">
        <v>125</v>
      </c>
      <c r="J6681" s="1" t="s">
        <v>6</v>
      </c>
      <c r="K6681" s="1" t="s">
        <v>24</v>
      </c>
      <c r="M6681" s="2">
        <v>42576</v>
      </c>
      <c r="N6681" s="1" t="s">
        <v>8</v>
      </c>
      <c r="O6681" s="2">
        <v>43671</v>
      </c>
    </row>
    <row r="6682" spans="1:15" ht="28.8" x14ac:dyDescent="0.3">
      <c r="A6682" s="1" t="s">
        <v>7043</v>
      </c>
      <c r="B6682" s="1" t="str">
        <f>"W B Griffiths &amp; Son Ltd"</f>
        <v>W B Griffiths &amp; Son Ltd</v>
      </c>
      <c r="C6682" s="1" t="s">
        <v>7044</v>
      </c>
      <c r="F6682" s="1" t="s">
        <v>438</v>
      </c>
      <c r="H6682" s="1" t="s">
        <v>7045</v>
      </c>
      <c r="I6682" s="1" t="s">
        <v>19</v>
      </c>
      <c r="J6682" s="1" t="s">
        <v>6</v>
      </c>
      <c r="K6682" s="1" t="s">
        <v>34</v>
      </c>
      <c r="L6682" s="1">
        <v>2590013</v>
      </c>
      <c r="M6682" s="2">
        <v>42576</v>
      </c>
      <c r="N6682" s="1" t="s">
        <v>8</v>
      </c>
      <c r="O6682" s="2">
        <v>43671</v>
      </c>
    </row>
    <row r="6683" spans="1:15" ht="28.8" x14ac:dyDescent="0.3">
      <c r="A6683" s="1" t="s">
        <v>7046</v>
      </c>
      <c r="B6683" s="1" t="str">
        <f>"N &amp; J Developments Ltd."</f>
        <v>N &amp; J Developments Ltd.</v>
      </c>
      <c r="C6683" s="1" t="s">
        <v>7047</v>
      </c>
      <c r="F6683" s="1" t="s">
        <v>3242</v>
      </c>
      <c r="H6683" s="1" t="s">
        <v>7048</v>
      </c>
      <c r="I6683" s="1" t="s">
        <v>19</v>
      </c>
      <c r="J6683" s="1" t="s">
        <v>6</v>
      </c>
      <c r="K6683" s="1" t="s">
        <v>24</v>
      </c>
      <c r="L6683" s="1">
        <v>5667887</v>
      </c>
      <c r="M6683" s="2">
        <v>42576</v>
      </c>
      <c r="N6683" s="1" t="s">
        <v>8</v>
      </c>
      <c r="O6683" s="2">
        <v>43671</v>
      </c>
    </row>
    <row r="6684" spans="1:15" ht="28.8" x14ac:dyDescent="0.3">
      <c r="A6684" s="1" t="s">
        <v>7049</v>
      </c>
      <c r="B6684" s="1" t="str">
        <f>"M Hiorns Building Contractor Ltd."</f>
        <v>M Hiorns Building Contractor Ltd.</v>
      </c>
      <c r="C6684" s="1" t="s">
        <v>7050</v>
      </c>
      <c r="D6684" s="1" t="s">
        <v>7051</v>
      </c>
      <c r="F6684" s="1" t="s">
        <v>42</v>
      </c>
      <c r="H6684" s="1" t="s">
        <v>4420</v>
      </c>
      <c r="I6684" s="1" t="s">
        <v>19</v>
      </c>
      <c r="J6684" s="1" t="s">
        <v>6</v>
      </c>
      <c r="K6684" s="1" t="s">
        <v>34</v>
      </c>
      <c r="L6684" s="1">
        <v>4579165</v>
      </c>
      <c r="M6684" s="2">
        <v>42576</v>
      </c>
      <c r="N6684" s="1" t="s">
        <v>8</v>
      </c>
      <c r="O6684" s="2">
        <v>43671</v>
      </c>
    </row>
    <row r="6685" spans="1:15" ht="43.2" x14ac:dyDescent="0.3">
      <c r="A6685" s="1" t="s">
        <v>7052</v>
      </c>
      <c r="B6685" s="1" t="str">
        <f>"DAVIES &amp; WILLIAMS LTD"</f>
        <v>DAVIES &amp; WILLIAMS LTD</v>
      </c>
      <c r="C6685" s="1" t="s">
        <v>7053</v>
      </c>
      <c r="F6685" s="1" t="s">
        <v>161</v>
      </c>
      <c r="H6685" s="1" t="s">
        <v>7054</v>
      </c>
      <c r="I6685" s="1" t="s">
        <v>19</v>
      </c>
      <c r="J6685" s="1" t="s">
        <v>67</v>
      </c>
      <c r="K6685" s="1" t="s">
        <v>24</v>
      </c>
      <c r="L6685" s="1">
        <v>4643414</v>
      </c>
      <c r="M6685" s="2">
        <v>42576</v>
      </c>
      <c r="N6685" s="1" t="s">
        <v>8</v>
      </c>
      <c r="O6685" s="1" t="s">
        <v>68</v>
      </c>
    </row>
    <row r="6686" spans="1:15" ht="28.8" x14ac:dyDescent="0.3">
      <c r="A6686" s="1" t="s">
        <v>7055</v>
      </c>
      <c r="B6686" s="1" t="str">
        <f>"K J Plumbing (Kent) Limited"</f>
        <v>K J Plumbing (Kent) Limited</v>
      </c>
      <c r="C6686" s="1" t="s">
        <v>7056</v>
      </c>
      <c r="F6686" s="1" t="s">
        <v>7057</v>
      </c>
      <c r="H6686" s="1" t="s">
        <v>7058</v>
      </c>
      <c r="I6686" s="1" t="s">
        <v>19</v>
      </c>
      <c r="J6686" s="1" t="s">
        <v>6</v>
      </c>
      <c r="K6686" s="1" t="s">
        <v>34</v>
      </c>
      <c r="L6686" s="1">
        <v>9971630</v>
      </c>
      <c r="M6686" s="2">
        <v>42576</v>
      </c>
      <c r="N6686" s="1" t="s">
        <v>8</v>
      </c>
      <c r="O6686" s="2">
        <v>43671</v>
      </c>
    </row>
    <row r="6687" spans="1:15" x14ac:dyDescent="0.3">
      <c r="A6687" s="1" t="s">
        <v>7059</v>
      </c>
      <c r="B6687" s="1" t="str">
        <f>"Ocb solutions ltd"</f>
        <v>Ocb solutions ltd</v>
      </c>
      <c r="C6687" s="1" t="s">
        <v>7060</v>
      </c>
      <c r="D6687" s="1" t="s">
        <v>7061</v>
      </c>
      <c r="F6687" s="1" t="s">
        <v>42</v>
      </c>
      <c r="H6687" s="1" t="s">
        <v>7062</v>
      </c>
      <c r="I6687" s="1" t="s">
        <v>19</v>
      </c>
      <c r="J6687" s="1" t="s">
        <v>6</v>
      </c>
      <c r="K6687" s="1" t="s">
        <v>24</v>
      </c>
      <c r="L6687" s="1">
        <v>9384912</v>
      </c>
      <c r="M6687" s="2">
        <v>42576</v>
      </c>
      <c r="N6687" s="1" t="s">
        <v>8</v>
      </c>
      <c r="O6687" s="2">
        <v>43671</v>
      </c>
    </row>
    <row r="6688" spans="1:15" ht="43.2" x14ac:dyDescent="0.3">
      <c r="A6688" s="1" t="s">
        <v>21254</v>
      </c>
      <c r="B6688" s="1" t="str">
        <f>"Luke Rawlins"</f>
        <v>Luke Rawlins</v>
      </c>
      <c r="C6688" s="1" t="s">
        <v>21255</v>
      </c>
      <c r="F6688" s="1" t="s">
        <v>865</v>
      </c>
      <c r="H6688" s="1" t="s">
        <v>21256</v>
      </c>
      <c r="I6688" s="1" t="s">
        <v>5</v>
      </c>
      <c r="J6688" s="1" t="s">
        <v>67</v>
      </c>
      <c r="K6688" s="1" t="s">
        <v>14</v>
      </c>
      <c r="M6688" s="2">
        <v>42576</v>
      </c>
      <c r="N6688" s="1" t="s">
        <v>8</v>
      </c>
      <c r="O6688" s="1" t="s">
        <v>68</v>
      </c>
    </row>
    <row r="6689" spans="1:15" ht="28.8" x14ac:dyDescent="0.3">
      <c r="A6689" s="1" t="s">
        <v>21257</v>
      </c>
      <c r="B6689" s="1" t="str">
        <f>"Gwyn I Davies"</f>
        <v>Gwyn I Davies</v>
      </c>
      <c r="C6689" s="1" t="s">
        <v>21258</v>
      </c>
      <c r="F6689" s="1" t="s">
        <v>445</v>
      </c>
      <c r="H6689" s="1" t="s">
        <v>21259</v>
      </c>
      <c r="I6689" s="1" t="s">
        <v>5</v>
      </c>
      <c r="J6689" s="1" t="s">
        <v>6</v>
      </c>
      <c r="K6689" s="1" t="s">
        <v>24</v>
      </c>
      <c r="M6689" s="2">
        <v>42576</v>
      </c>
      <c r="N6689" s="1" t="s">
        <v>8</v>
      </c>
      <c r="O6689" s="2">
        <v>43671</v>
      </c>
    </row>
    <row r="6690" spans="1:15" ht="28.8" x14ac:dyDescent="0.3">
      <c r="A6690" s="1" t="s">
        <v>21260</v>
      </c>
      <c r="B6690" s="1" t="str">
        <f>"Griffith Meirion Jones G M Jones"</f>
        <v>Griffith Meirion Jones G M Jones</v>
      </c>
      <c r="C6690" s="1" t="s">
        <v>21261</v>
      </c>
      <c r="F6690" s="1" t="s">
        <v>2030</v>
      </c>
      <c r="H6690" s="1" t="s">
        <v>21262</v>
      </c>
      <c r="I6690" s="1" t="s">
        <v>5</v>
      </c>
      <c r="J6690" s="1" t="s">
        <v>6</v>
      </c>
      <c r="K6690" s="1" t="s">
        <v>24</v>
      </c>
      <c r="M6690" s="2">
        <v>42576</v>
      </c>
      <c r="N6690" s="1" t="s">
        <v>8</v>
      </c>
      <c r="O6690" s="2">
        <v>43671</v>
      </c>
    </row>
    <row r="6691" spans="1:15" ht="28.8" x14ac:dyDescent="0.3">
      <c r="A6691" s="1" t="s">
        <v>21263</v>
      </c>
      <c r="B6691" s="1" t="str">
        <f>"Nathan Jenkins Firstcall property maintenance "</f>
        <v xml:space="preserve">Nathan Jenkins Firstcall property maintenance </v>
      </c>
      <c r="C6691" s="1" t="s">
        <v>21264</v>
      </c>
      <c r="F6691" s="1" t="s">
        <v>65</v>
      </c>
      <c r="H6691" s="1" t="s">
        <v>21265</v>
      </c>
      <c r="I6691" s="1" t="s">
        <v>5</v>
      </c>
      <c r="J6691" s="1" t="s">
        <v>6</v>
      </c>
      <c r="K6691" s="1" t="s">
        <v>24</v>
      </c>
      <c r="M6691" s="2">
        <v>42576</v>
      </c>
      <c r="N6691" s="1" t="s">
        <v>8</v>
      </c>
      <c r="O6691" s="2">
        <v>43671</v>
      </c>
    </row>
    <row r="6692" spans="1:15" x14ac:dyDescent="0.3">
      <c r="A6692" s="1" t="s">
        <v>5878</v>
      </c>
      <c r="B6692" s="1" t="str">
        <f>"Bedtime Too Limited"</f>
        <v>Bedtime Too Limited</v>
      </c>
      <c r="C6692" s="1" t="s">
        <v>5879</v>
      </c>
      <c r="F6692" s="1" t="s">
        <v>5880</v>
      </c>
      <c r="H6692" s="1" t="s">
        <v>5881</v>
      </c>
      <c r="I6692" s="1" t="s">
        <v>19</v>
      </c>
      <c r="J6692" s="1" t="s">
        <v>6</v>
      </c>
      <c r="K6692" s="1" t="s">
        <v>24</v>
      </c>
      <c r="L6692" s="1">
        <v>6061794</v>
      </c>
      <c r="M6692" s="2">
        <v>42575</v>
      </c>
      <c r="N6692" s="1" t="s">
        <v>8</v>
      </c>
      <c r="O6692" s="2">
        <v>43670</v>
      </c>
    </row>
    <row r="6693" spans="1:15" ht="28.8" x14ac:dyDescent="0.3">
      <c r="A6693" s="1" t="s">
        <v>5882</v>
      </c>
      <c r="B6693" s="1" t="str">
        <f>"G.L.F. Builders"</f>
        <v>G.L.F. Builders</v>
      </c>
      <c r="C6693" s="1" t="s">
        <v>5883</v>
      </c>
      <c r="D6693" s="1" t="s">
        <v>5884</v>
      </c>
      <c r="F6693" s="1" t="s">
        <v>532</v>
      </c>
      <c r="H6693" s="1" t="s">
        <v>5885</v>
      </c>
      <c r="I6693" s="1" t="s">
        <v>125</v>
      </c>
      <c r="J6693" s="1" t="s">
        <v>6</v>
      </c>
      <c r="K6693" s="1" t="s">
        <v>34</v>
      </c>
      <c r="M6693" s="2">
        <v>42575</v>
      </c>
      <c r="N6693" s="1" t="s">
        <v>8</v>
      </c>
      <c r="O6693" s="2">
        <v>43670</v>
      </c>
    </row>
    <row r="6694" spans="1:15" x14ac:dyDescent="0.3">
      <c r="A6694" s="1" t="s">
        <v>5872</v>
      </c>
      <c r="B6694" s="1" t="str">
        <f>"REDKITE GLASS LTD"</f>
        <v>REDKITE GLASS LTD</v>
      </c>
      <c r="C6694" s="1" t="s">
        <v>5873</v>
      </c>
      <c r="F6694" s="1" t="s">
        <v>3142</v>
      </c>
      <c r="H6694" s="1" t="s">
        <v>5874</v>
      </c>
      <c r="I6694" s="1" t="s">
        <v>19</v>
      </c>
      <c r="J6694" s="1" t="s">
        <v>6</v>
      </c>
      <c r="K6694" s="1" t="s">
        <v>24</v>
      </c>
      <c r="L6694" s="1">
        <v>4083700</v>
      </c>
      <c r="M6694" s="2">
        <v>42574</v>
      </c>
      <c r="N6694" s="1" t="s">
        <v>8</v>
      </c>
      <c r="O6694" s="2">
        <v>43669</v>
      </c>
    </row>
    <row r="6695" spans="1:15" ht="43.2" x14ac:dyDescent="0.3">
      <c r="A6695" s="1" t="s">
        <v>5875</v>
      </c>
      <c r="B6695" s="1" t="str">
        <f>"K P Auto Repairs"</f>
        <v>K P Auto Repairs</v>
      </c>
      <c r="C6695" s="1" t="s">
        <v>5876</v>
      </c>
      <c r="F6695" s="1" t="s">
        <v>198</v>
      </c>
      <c r="H6695" s="1" t="s">
        <v>5877</v>
      </c>
      <c r="I6695" s="1" t="s">
        <v>188</v>
      </c>
      <c r="J6695" s="1" t="s">
        <v>67</v>
      </c>
      <c r="K6695" s="1" t="s">
        <v>14</v>
      </c>
      <c r="M6695" s="2">
        <v>42574</v>
      </c>
      <c r="N6695" s="1" t="s">
        <v>8</v>
      </c>
      <c r="O6695" s="1" t="s">
        <v>68</v>
      </c>
    </row>
    <row r="6696" spans="1:15" ht="28.8" x14ac:dyDescent="0.3">
      <c r="A6696" s="1" t="s">
        <v>644</v>
      </c>
      <c r="B6696" s="1" t="str">
        <f>"J. &amp; M. GARNER (HAULAGE) LTD"</f>
        <v>J. &amp; M. GARNER (HAULAGE) LTD</v>
      </c>
      <c r="C6696" s="1" t="s">
        <v>645</v>
      </c>
      <c r="D6696" s="1" t="s">
        <v>323</v>
      </c>
      <c r="F6696" s="1" t="s">
        <v>324</v>
      </c>
      <c r="H6696" s="1" t="s">
        <v>646</v>
      </c>
      <c r="I6696" s="1" t="s">
        <v>19</v>
      </c>
      <c r="J6696" s="1" t="s">
        <v>6</v>
      </c>
      <c r="K6696" s="1" t="s">
        <v>24</v>
      </c>
      <c r="L6696" s="1">
        <v>1376589</v>
      </c>
      <c r="M6696" s="2">
        <v>42573</v>
      </c>
      <c r="N6696" s="1" t="s">
        <v>8</v>
      </c>
      <c r="O6696" s="2">
        <v>44764</v>
      </c>
    </row>
    <row r="6697" spans="1:15" x14ac:dyDescent="0.3">
      <c r="A6697" s="1" t="s">
        <v>4694</v>
      </c>
      <c r="B6697" s="1" t="str">
        <f>"ATLANTIC 03 LTD"</f>
        <v>ATLANTIC 03 LTD</v>
      </c>
      <c r="C6697" s="1" t="s">
        <v>4695</v>
      </c>
      <c r="D6697" s="1" t="s">
        <v>4696</v>
      </c>
      <c r="F6697" s="1" t="s">
        <v>64</v>
      </c>
      <c r="H6697" s="1" t="s">
        <v>4697</v>
      </c>
      <c r="I6697" s="1" t="s">
        <v>19</v>
      </c>
      <c r="J6697" s="1" t="s">
        <v>6</v>
      </c>
      <c r="K6697" s="1" t="s">
        <v>24</v>
      </c>
      <c r="L6697" s="1">
        <v>4838726</v>
      </c>
      <c r="M6697" s="2">
        <v>42573</v>
      </c>
      <c r="N6697" s="1" t="s">
        <v>8</v>
      </c>
      <c r="O6697" s="2">
        <v>43668</v>
      </c>
    </row>
    <row r="6698" spans="1:15" ht="28.8" x14ac:dyDescent="0.3">
      <c r="A6698" s="1" t="s">
        <v>4698</v>
      </c>
      <c r="B6698" s="1" t="str">
        <f>"PERSONNEL HYGIENE SERVICES LTD"</f>
        <v>PERSONNEL HYGIENE SERVICES LTD</v>
      </c>
      <c r="C6698" s="1" t="s">
        <v>4699</v>
      </c>
      <c r="D6698" s="1" t="s">
        <v>1842</v>
      </c>
      <c r="F6698" s="1" t="s">
        <v>103</v>
      </c>
      <c r="H6698" s="1" t="s">
        <v>4700</v>
      </c>
      <c r="I6698" s="1" t="s">
        <v>19</v>
      </c>
      <c r="J6698" s="1" t="s">
        <v>6</v>
      </c>
      <c r="K6698" s="1" t="s">
        <v>34</v>
      </c>
      <c r="L6698" s="1">
        <v>770813</v>
      </c>
      <c r="M6698" s="2">
        <v>42573</v>
      </c>
      <c r="N6698" s="1" t="s">
        <v>8</v>
      </c>
      <c r="O6698" s="2">
        <v>43668</v>
      </c>
    </row>
    <row r="6699" spans="1:15" ht="28.8" x14ac:dyDescent="0.3">
      <c r="A6699" s="1" t="s">
        <v>4701</v>
      </c>
      <c r="B6699" s="1" t="str">
        <f>"APT ICC Ltd"</f>
        <v>APT ICC Ltd</v>
      </c>
      <c r="C6699" s="1" t="s">
        <v>4702</v>
      </c>
      <c r="D6699" s="1" t="s">
        <v>1867</v>
      </c>
      <c r="F6699" s="1" t="s">
        <v>4656</v>
      </c>
      <c r="H6699" s="1" t="s">
        <v>3501</v>
      </c>
      <c r="I6699" s="1" t="s">
        <v>19</v>
      </c>
      <c r="J6699" s="1" t="s">
        <v>6</v>
      </c>
      <c r="K6699" s="1" t="s">
        <v>34</v>
      </c>
      <c r="L6699" s="1">
        <v>6984276</v>
      </c>
      <c r="M6699" s="2">
        <v>42573</v>
      </c>
      <c r="N6699" s="1" t="s">
        <v>8</v>
      </c>
      <c r="O6699" s="2">
        <v>43668</v>
      </c>
    </row>
    <row r="6700" spans="1:15" ht="28.8" x14ac:dyDescent="0.3">
      <c r="A6700" s="1" t="s">
        <v>4703</v>
      </c>
      <c r="B6700" s="1" t="str">
        <f>"Complete Kitchen &amp; Bathroom Install"</f>
        <v>Complete Kitchen &amp; Bathroom Install</v>
      </c>
      <c r="C6700" s="1" t="s">
        <v>4704</v>
      </c>
      <c r="F6700" s="1" t="s">
        <v>205</v>
      </c>
      <c r="H6700" s="1" t="s">
        <v>4705</v>
      </c>
      <c r="I6700" s="1" t="s">
        <v>19</v>
      </c>
      <c r="J6700" s="1" t="s">
        <v>6</v>
      </c>
      <c r="K6700" s="1" t="s">
        <v>34</v>
      </c>
      <c r="L6700" s="1">
        <v>9781126</v>
      </c>
      <c r="M6700" s="2">
        <v>42573</v>
      </c>
      <c r="N6700" s="1" t="s">
        <v>8</v>
      </c>
      <c r="O6700" s="2">
        <v>43668</v>
      </c>
    </row>
    <row r="6701" spans="1:15" ht="28.8" x14ac:dyDescent="0.3">
      <c r="A6701" s="1" t="s">
        <v>5863</v>
      </c>
      <c r="B6701" s="1" t="str">
        <f>"Victoria Wade Landscapes"</f>
        <v>Victoria Wade Landscapes</v>
      </c>
      <c r="C6701" s="1" t="s">
        <v>5864</v>
      </c>
      <c r="F6701" s="1" t="s">
        <v>930</v>
      </c>
      <c r="H6701" s="1" t="s">
        <v>5865</v>
      </c>
      <c r="I6701" s="1" t="s">
        <v>19</v>
      </c>
      <c r="J6701" s="1" t="s">
        <v>6</v>
      </c>
      <c r="K6701" s="1" t="s">
        <v>24</v>
      </c>
      <c r="L6701" s="1">
        <v>8435297</v>
      </c>
      <c r="M6701" s="2">
        <v>42573</v>
      </c>
      <c r="N6701" s="1" t="s">
        <v>8</v>
      </c>
      <c r="O6701" s="2">
        <v>43668</v>
      </c>
    </row>
    <row r="6702" spans="1:15" ht="28.8" x14ac:dyDescent="0.3">
      <c r="A6702" s="1" t="s">
        <v>5866</v>
      </c>
      <c r="B6702" s="1" t="str">
        <f>"Trottsco"</f>
        <v>Trottsco</v>
      </c>
      <c r="C6702" s="1" t="s">
        <v>5867</v>
      </c>
      <c r="F6702" s="1" t="s">
        <v>141</v>
      </c>
      <c r="H6702" s="1" t="s">
        <v>5868</v>
      </c>
      <c r="I6702" s="1" t="s">
        <v>19</v>
      </c>
      <c r="J6702" s="1" t="s">
        <v>6</v>
      </c>
      <c r="K6702" s="1" t="s">
        <v>34</v>
      </c>
      <c r="L6702" s="1">
        <v>8140661</v>
      </c>
      <c r="M6702" s="2">
        <v>42573</v>
      </c>
      <c r="N6702" s="1" t="s">
        <v>8</v>
      </c>
      <c r="O6702" s="2">
        <v>43668</v>
      </c>
    </row>
    <row r="6703" spans="1:15" ht="43.2" x14ac:dyDescent="0.3">
      <c r="A6703" s="1" t="s">
        <v>5869</v>
      </c>
      <c r="B6703" s="1" t="str">
        <f>"Kenfig Property Services"</f>
        <v>Kenfig Property Services</v>
      </c>
      <c r="C6703" s="1" t="s">
        <v>5870</v>
      </c>
      <c r="F6703" s="1" t="s">
        <v>865</v>
      </c>
      <c r="H6703" s="1" t="s">
        <v>5871</v>
      </c>
      <c r="I6703" s="1" t="s">
        <v>125</v>
      </c>
      <c r="J6703" s="1" t="s">
        <v>67</v>
      </c>
      <c r="K6703" s="1" t="s">
        <v>14</v>
      </c>
      <c r="M6703" s="2">
        <v>42573</v>
      </c>
      <c r="N6703" s="1" t="s">
        <v>8</v>
      </c>
      <c r="O6703" s="1" t="s">
        <v>68</v>
      </c>
    </row>
    <row r="6704" spans="1:15" ht="28.8" x14ac:dyDescent="0.3">
      <c r="A6704" s="1" t="s">
        <v>19682</v>
      </c>
      <c r="B6704" s="1" t="str">
        <f>"Mark Pennington M.C.Plumbing"</f>
        <v>Mark Pennington M.C.Plumbing</v>
      </c>
      <c r="C6704" s="1" t="s">
        <v>19683</v>
      </c>
      <c r="F6704" s="1" t="s">
        <v>5401</v>
      </c>
      <c r="H6704" s="1" t="s">
        <v>19684</v>
      </c>
      <c r="I6704" s="1" t="s">
        <v>5</v>
      </c>
      <c r="J6704" s="1" t="s">
        <v>6</v>
      </c>
      <c r="K6704" s="1" t="s">
        <v>24</v>
      </c>
      <c r="M6704" s="2">
        <v>42573</v>
      </c>
      <c r="N6704" s="1" t="s">
        <v>8</v>
      </c>
      <c r="O6704" s="2">
        <v>43668</v>
      </c>
    </row>
    <row r="6705" spans="1:15" ht="28.8" x14ac:dyDescent="0.3">
      <c r="A6705" s="1" t="s">
        <v>19685</v>
      </c>
      <c r="B6705" s="1" t="str">
        <f>"Alex James Alex James"</f>
        <v>Alex James Alex James</v>
      </c>
      <c r="C6705" s="1" t="s">
        <v>19686</v>
      </c>
      <c r="F6705" s="1" t="s">
        <v>65</v>
      </c>
      <c r="H6705" s="1" t="s">
        <v>19687</v>
      </c>
      <c r="I6705" s="1" t="s">
        <v>5</v>
      </c>
      <c r="J6705" s="1" t="s">
        <v>6</v>
      </c>
      <c r="K6705" s="1" t="s">
        <v>24</v>
      </c>
      <c r="M6705" s="2">
        <v>42573</v>
      </c>
      <c r="N6705" s="1" t="s">
        <v>8</v>
      </c>
      <c r="O6705" s="2">
        <v>43668</v>
      </c>
    </row>
    <row r="6706" spans="1:15" ht="28.8" x14ac:dyDescent="0.3">
      <c r="A6706" s="1" t="s">
        <v>19688</v>
      </c>
      <c r="B6706" s="1" t="str">
        <f>"kevin fuge kevin fuge"</f>
        <v>kevin fuge kevin fuge</v>
      </c>
      <c r="C6706" s="1" t="s">
        <v>19689</v>
      </c>
      <c r="F6706" s="1" t="s">
        <v>65</v>
      </c>
      <c r="H6706" s="1" t="s">
        <v>19690</v>
      </c>
      <c r="I6706" s="1" t="s">
        <v>5</v>
      </c>
      <c r="J6706" s="1" t="s">
        <v>6</v>
      </c>
      <c r="K6706" s="1" t="s">
        <v>24</v>
      </c>
      <c r="M6706" s="2">
        <v>42573</v>
      </c>
      <c r="N6706" s="1" t="s">
        <v>8</v>
      </c>
      <c r="O6706" s="2">
        <v>43668</v>
      </c>
    </row>
    <row r="6707" spans="1:15" ht="43.2" x14ac:dyDescent="0.3">
      <c r="A6707" s="1" t="s">
        <v>19691</v>
      </c>
      <c r="B6707" s="1" t="str">
        <f>"Malcolm Anthony Anthony Building Contractors"</f>
        <v>Malcolm Anthony Anthony Building Contractors</v>
      </c>
      <c r="C6707" s="1" t="s">
        <v>19692</v>
      </c>
      <c r="F6707" s="1" t="s">
        <v>65</v>
      </c>
      <c r="H6707" s="1" t="s">
        <v>19693</v>
      </c>
      <c r="I6707" s="1" t="s">
        <v>5</v>
      </c>
      <c r="J6707" s="1" t="s">
        <v>6</v>
      </c>
      <c r="K6707" s="1" t="s">
        <v>34</v>
      </c>
      <c r="M6707" s="2">
        <v>42573</v>
      </c>
      <c r="N6707" s="1" t="s">
        <v>8</v>
      </c>
      <c r="O6707" s="2">
        <v>43668</v>
      </c>
    </row>
    <row r="6708" spans="1:15" x14ac:dyDescent="0.3">
      <c r="A6708" s="1" t="s">
        <v>19694</v>
      </c>
      <c r="B6708" s="1" t="str">
        <f>"Gareth John Roberts"</f>
        <v>Gareth John Roberts</v>
      </c>
      <c r="C6708" s="1" t="s">
        <v>19695</v>
      </c>
      <c r="F6708" s="1" t="s">
        <v>374</v>
      </c>
      <c r="H6708" s="1" t="s">
        <v>19696</v>
      </c>
      <c r="I6708" s="1" t="s">
        <v>5</v>
      </c>
      <c r="J6708" s="1" t="s">
        <v>6</v>
      </c>
      <c r="K6708" s="1" t="s">
        <v>24</v>
      </c>
      <c r="M6708" s="2">
        <v>42573</v>
      </c>
      <c r="N6708" s="1" t="s">
        <v>8</v>
      </c>
      <c r="O6708" s="2">
        <v>43668</v>
      </c>
    </row>
    <row r="6709" spans="1:15" ht="28.8" x14ac:dyDescent="0.3">
      <c r="A6709" s="1" t="s">
        <v>19697</v>
      </c>
      <c r="B6709" s="1" t="str">
        <f>"ben simons 12"</f>
        <v>ben simons 12</v>
      </c>
      <c r="C6709" s="1" t="s">
        <v>19698</v>
      </c>
      <c r="F6709" s="1" t="s">
        <v>65</v>
      </c>
      <c r="H6709" s="1" t="s">
        <v>19699</v>
      </c>
      <c r="I6709" s="1" t="s">
        <v>5</v>
      </c>
      <c r="J6709" s="1" t="s">
        <v>6</v>
      </c>
      <c r="K6709" s="1" t="s">
        <v>34</v>
      </c>
      <c r="M6709" s="2">
        <v>42573</v>
      </c>
      <c r="N6709" s="1" t="s">
        <v>8</v>
      </c>
      <c r="O6709" s="2">
        <v>43668</v>
      </c>
    </row>
    <row r="6710" spans="1:15" ht="43.2" x14ac:dyDescent="0.3">
      <c r="A6710" s="1" t="s">
        <v>20478</v>
      </c>
      <c r="B6710" s="1" t="str">
        <f>"Kevin O'Donnell K &amp; P Garden Services"</f>
        <v>Kevin O'Donnell K &amp; P Garden Services</v>
      </c>
      <c r="C6710" s="1" t="s">
        <v>20479</v>
      </c>
      <c r="F6710" s="1" t="s">
        <v>1511</v>
      </c>
      <c r="H6710" s="1" t="s">
        <v>20480</v>
      </c>
      <c r="I6710" s="1" t="s">
        <v>5</v>
      </c>
      <c r="J6710" s="1" t="s">
        <v>67</v>
      </c>
      <c r="K6710" s="1" t="s">
        <v>24</v>
      </c>
      <c r="M6710" s="2">
        <v>42573</v>
      </c>
      <c r="N6710" s="1" t="s">
        <v>8</v>
      </c>
      <c r="O6710" s="1" t="s">
        <v>68</v>
      </c>
    </row>
    <row r="6711" spans="1:15" ht="28.8" x14ac:dyDescent="0.3">
      <c r="A6711" s="1" t="s">
        <v>3579</v>
      </c>
      <c r="B6711" s="1" t="str">
        <f>"CARDIFF WINDOWS  &amp;  DOORS LTD"</f>
        <v>CARDIFF WINDOWS  &amp;  DOORS LTD</v>
      </c>
      <c r="C6711" s="1" t="s">
        <v>3580</v>
      </c>
      <c r="F6711" s="1" t="s">
        <v>27</v>
      </c>
      <c r="H6711" s="1" t="s">
        <v>2428</v>
      </c>
      <c r="I6711" s="1" t="s">
        <v>19</v>
      </c>
      <c r="J6711" s="1" t="s">
        <v>6</v>
      </c>
      <c r="K6711" s="1" t="s">
        <v>24</v>
      </c>
      <c r="L6711" s="1">
        <v>7715151</v>
      </c>
      <c r="M6711" s="2">
        <v>42572</v>
      </c>
      <c r="N6711" s="1" t="s">
        <v>8</v>
      </c>
      <c r="O6711" s="2">
        <v>43667</v>
      </c>
    </row>
    <row r="6712" spans="1:15" ht="28.8" x14ac:dyDescent="0.3">
      <c r="A6712" s="1" t="s">
        <v>3581</v>
      </c>
      <c r="B6712" s="1" t="str">
        <f>"Grosvenor Construction Ltd."</f>
        <v>Grosvenor Construction Ltd.</v>
      </c>
      <c r="C6712" s="1" t="s">
        <v>3582</v>
      </c>
      <c r="F6712" s="1" t="s">
        <v>83</v>
      </c>
      <c r="H6712" s="1" t="s">
        <v>2237</v>
      </c>
      <c r="I6712" s="1" t="s">
        <v>19</v>
      </c>
      <c r="J6712" s="1" t="s">
        <v>6</v>
      </c>
      <c r="K6712" s="1" t="s">
        <v>34</v>
      </c>
      <c r="L6712" s="1">
        <v>6793432</v>
      </c>
      <c r="M6712" s="2">
        <v>42572</v>
      </c>
      <c r="N6712" s="1" t="s">
        <v>8</v>
      </c>
      <c r="O6712" s="2">
        <v>43667</v>
      </c>
    </row>
    <row r="6713" spans="1:15" ht="28.8" x14ac:dyDescent="0.3">
      <c r="A6713" s="1" t="s">
        <v>3583</v>
      </c>
      <c r="B6713" s="1" t="str">
        <f>"Resolven Recycling Limited"</f>
        <v>Resolven Recycling Limited</v>
      </c>
      <c r="C6713" s="1" t="s">
        <v>3584</v>
      </c>
      <c r="D6713" s="1" t="s">
        <v>3585</v>
      </c>
      <c r="F6713" s="1" t="s">
        <v>3586</v>
      </c>
      <c r="H6713" s="1" t="s">
        <v>3587</v>
      </c>
      <c r="I6713" s="1" t="s">
        <v>19</v>
      </c>
      <c r="J6713" s="1" t="s">
        <v>6</v>
      </c>
      <c r="K6713" s="1" t="s">
        <v>34</v>
      </c>
      <c r="L6713" s="1">
        <v>10225922</v>
      </c>
      <c r="M6713" s="2">
        <v>42572</v>
      </c>
      <c r="N6713" s="1" t="s">
        <v>8</v>
      </c>
      <c r="O6713" s="2">
        <v>43682</v>
      </c>
    </row>
    <row r="6714" spans="1:15" ht="28.8" x14ac:dyDescent="0.3">
      <c r="A6714" s="1" t="s">
        <v>3588</v>
      </c>
      <c r="B6714" s="1" t="str">
        <f>"Humphreys &amp; Tarran Ltd"</f>
        <v>Humphreys &amp; Tarran Ltd</v>
      </c>
      <c r="C6714" s="1" t="s">
        <v>3589</v>
      </c>
      <c r="F6714" s="1" t="s">
        <v>2277</v>
      </c>
      <c r="H6714" s="1" t="s">
        <v>3590</v>
      </c>
      <c r="I6714" s="1" t="s">
        <v>19</v>
      </c>
      <c r="J6714" s="1" t="s">
        <v>6</v>
      </c>
      <c r="K6714" s="1" t="s">
        <v>24</v>
      </c>
      <c r="L6714" s="1">
        <v>9075859</v>
      </c>
      <c r="M6714" s="2">
        <v>42572</v>
      </c>
      <c r="N6714" s="1" t="s">
        <v>8</v>
      </c>
      <c r="O6714" s="2">
        <v>43694</v>
      </c>
    </row>
    <row r="6715" spans="1:15" x14ac:dyDescent="0.3">
      <c r="A6715" s="1" t="s">
        <v>4685</v>
      </c>
      <c r="B6715" s="1" t="str">
        <f>"SRS Automotive LTD"</f>
        <v>SRS Automotive LTD</v>
      </c>
      <c r="C6715" s="1" t="s">
        <v>4686</v>
      </c>
      <c r="D6715" s="1" t="s">
        <v>4687</v>
      </c>
      <c r="E6715" s="1" t="s">
        <v>4688</v>
      </c>
      <c r="F6715" s="1" t="s">
        <v>4689</v>
      </c>
      <c r="H6715" s="1" t="s">
        <v>4690</v>
      </c>
      <c r="I6715" s="1" t="s">
        <v>19</v>
      </c>
      <c r="J6715" s="1" t="s">
        <v>6</v>
      </c>
      <c r="K6715" s="1" t="s">
        <v>24</v>
      </c>
      <c r="L6715" s="1">
        <v>7717036</v>
      </c>
      <c r="M6715" s="2">
        <v>42572</v>
      </c>
      <c r="N6715" s="1" t="s">
        <v>8</v>
      </c>
      <c r="O6715" s="2">
        <v>43667</v>
      </c>
    </row>
    <row r="6716" spans="1:15" x14ac:dyDescent="0.3">
      <c r="A6716" s="1" t="s">
        <v>4691</v>
      </c>
      <c r="B6716" s="1" t="str">
        <f>"T.ADAMS &amp; SON"</f>
        <v>T.ADAMS &amp; SON</v>
      </c>
      <c r="C6716" s="1" t="s">
        <v>4692</v>
      </c>
      <c r="F6716" s="1" t="s">
        <v>223</v>
      </c>
      <c r="H6716" s="1" t="s">
        <v>4693</v>
      </c>
      <c r="I6716" s="1" t="s">
        <v>125</v>
      </c>
      <c r="J6716" s="1" t="s">
        <v>6</v>
      </c>
      <c r="K6716" s="1" t="s">
        <v>24</v>
      </c>
      <c r="M6716" s="2">
        <v>42572</v>
      </c>
      <c r="N6716" s="1" t="s">
        <v>8</v>
      </c>
      <c r="O6716" s="2">
        <v>43667</v>
      </c>
    </row>
    <row r="6717" spans="1:15" ht="43.2" x14ac:dyDescent="0.3">
      <c r="A6717" s="1" t="s">
        <v>18874</v>
      </c>
      <c r="B6717" s="1" t="str">
        <f>"Ian Tarr"</f>
        <v>Ian Tarr</v>
      </c>
      <c r="C6717" s="1" t="s">
        <v>18875</v>
      </c>
      <c r="F6717" s="1" t="s">
        <v>27</v>
      </c>
      <c r="H6717" s="1" t="s">
        <v>18876</v>
      </c>
      <c r="I6717" s="1" t="s">
        <v>5</v>
      </c>
      <c r="J6717" s="1" t="s">
        <v>67</v>
      </c>
      <c r="K6717" s="1" t="s">
        <v>14</v>
      </c>
      <c r="M6717" s="2">
        <v>42572</v>
      </c>
      <c r="N6717" s="1" t="s">
        <v>8</v>
      </c>
      <c r="O6717" s="1" t="s">
        <v>68</v>
      </c>
    </row>
    <row r="6718" spans="1:15" ht="28.8" x14ac:dyDescent="0.3">
      <c r="A6718" s="1" t="s">
        <v>18877</v>
      </c>
      <c r="B6718" s="1" t="str">
        <f>"Alun Edwards Aberconwy Skip Hire"</f>
        <v>Alun Edwards Aberconwy Skip Hire</v>
      </c>
      <c r="C6718" s="1" t="s">
        <v>18878</v>
      </c>
      <c r="D6718" s="1" t="s">
        <v>18879</v>
      </c>
      <c r="F6718" s="1" t="s">
        <v>1260</v>
      </c>
      <c r="H6718" s="1" t="s">
        <v>18880</v>
      </c>
      <c r="I6718" s="1" t="s">
        <v>5</v>
      </c>
      <c r="J6718" s="1" t="s">
        <v>6</v>
      </c>
      <c r="K6718" s="1" t="s">
        <v>24</v>
      </c>
      <c r="M6718" s="2">
        <v>42572</v>
      </c>
      <c r="N6718" s="1" t="s">
        <v>8</v>
      </c>
      <c r="O6718" s="2">
        <v>43667</v>
      </c>
    </row>
    <row r="6719" spans="1:15" ht="28.8" x14ac:dyDescent="0.3">
      <c r="A6719" s="1" t="s">
        <v>19676</v>
      </c>
      <c r="B6719" s="1" t="str">
        <f>"Mervyn Apps M.A.Transport"</f>
        <v>Mervyn Apps M.A.Transport</v>
      </c>
      <c r="C6719" s="1" t="s">
        <v>19677</v>
      </c>
      <c r="F6719" s="1" t="s">
        <v>364</v>
      </c>
      <c r="H6719" s="1" t="s">
        <v>19678</v>
      </c>
      <c r="I6719" s="1" t="s">
        <v>5</v>
      </c>
      <c r="J6719" s="1" t="s">
        <v>6</v>
      </c>
      <c r="K6719" s="1" t="s">
        <v>24</v>
      </c>
      <c r="M6719" s="2">
        <v>42572</v>
      </c>
      <c r="N6719" s="1" t="s">
        <v>8</v>
      </c>
      <c r="O6719" s="2">
        <v>43667</v>
      </c>
    </row>
    <row r="6720" spans="1:15" ht="28.8" x14ac:dyDescent="0.3">
      <c r="A6720" s="1" t="s">
        <v>19679</v>
      </c>
      <c r="B6720" s="1" t="str">
        <f>"michael hodge hodge waste oil collection"</f>
        <v>michael hodge hodge waste oil collection</v>
      </c>
      <c r="C6720" s="1" t="s">
        <v>19680</v>
      </c>
      <c r="F6720" s="1" t="s">
        <v>555</v>
      </c>
      <c r="H6720" s="1" t="s">
        <v>19681</v>
      </c>
      <c r="I6720" s="1" t="s">
        <v>5</v>
      </c>
      <c r="J6720" s="1" t="s">
        <v>6</v>
      </c>
      <c r="K6720" s="1" t="s">
        <v>24</v>
      </c>
      <c r="M6720" s="2">
        <v>42572</v>
      </c>
      <c r="N6720" s="1" t="s">
        <v>8</v>
      </c>
      <c r="O6720" s="2">
        <v>43667</v>
      </c>
    </row>
    <row r="6721" spans="1:15" ht="43.2" x14ac:dyDescent="0.3">
      <c r="A6721" s="1" t="s">
        <v>18303</v>
      </c>
      <c r="B6721" s="1" t="str">
        <f>"insight visual systems"</f>
        <v>insight visual systems</v>
      </c>
      <c r="C6721" s="1" t="s">
        <v>18304</v>
      </c>
      <c r="D6721" s="1" t="s">
        <v>18305</v>
      </c>
      <c r="F6721" s="1" t="s">
        <v>18306</v>
      </c>
      <c r="H6721" s="1" t="s">
        <v>18307</v>
      </c>
      <c r="I6721" s="1" t="s">
        <v>19</v>
      </c>
      <c r="J6721" s="1" t="s">
        <v>67</v>
      </c>
      <c r="K6721" s="1" t="s">
        <v>14</v>
      </c>
      <c r="M6721" s="2">
        <v>42571</v>
      </c>
      <c r="N6721" s="1" t="s">
        <v>8</v>
      </c>
      <c r="O6721" s="1" t="s">
        <v>68</v>
      </c>
    </row>
    <row r="6722" spans="1:15" ht="28.8" x14ac:dyDescent="0.3">
      <c r="A6722" s="1" t="s">
        <v>18308</v>
      </c>
      <c r="B6722" s="1" t="str">
        <f>"JON BISHOP CONSTRUCTION LTD"</f>
        <v>JON BISHOP CONSTRUCTION LTD</v>
      </c>
      <c r="C6722" s="1" t="s">
        <v>18309</v>
      </c>
      <c r="F6722" s="1" t="s">
        <v>1341</v>
      </c>
      <c r="H6722" s="1" t="s">
        <v>18310</v>
      </c>
      <c r="I6722" s="1" t="s">
        <v>19</v>
      </c>
      <c r="J6722" s="1" t="s">
        <v>6</v>
      </c>
      <c r="K6722" s="1" t="s">
        <v>34</v>
      </c>
      <c r="L6722" s="1">
        <v>7679101</v>
      </c>
      <c r="M6722" s="2">
        <v>42571</v>
      </c>
      <c r="N6722" s="1" t="s">
        <v>8</v>
      </c>
      <c r="O6722" s="2">
        <v>43666</v>
      </c>
    </row>
    <row r="6723" spans="1:15" ht="28.8" x14ac:dyDescent="0.3">
      <c r="A6723" s="1" t="s">
        <v>18311</v>
      </c>
      <c r="B6723" s="1" t="str">
        <f>"N S Waller Ltd"</f>
        <v>N S Waller Ltd</v>
      </c>
      <c r="C6723" s="1" t="s">
        <v>18312</v>
      </c>
      <c r="F6723" s="1" t="s">
        <v>12</v>
      </c>
      <c r="H6723" s="1" t="s">
        <v>18313</v>
      </c>
      <c r="I6723" s="1" t="s">
        <v>19</v>
      </c>
      <c r="J6723" s="1" t="s">
        <v>6</v>
      </c>
      <c r="K6723" s="1" t="s">
        <v>34</v>
      </c>
      <c r="L6723" s="1">
        <v>3378605</v>
      </c>
      <c r="M6723" s="2">
        <v>42571</v>
      </c>
      <c r="N6723" s="1" t="s">
        <v>8</v>
      </c>
      <c r="O6723" s="2">
        <v>43666</v>
      </c>
    </row>
    <row r="6724" spans="1:15" ht="43.2" x14ac:dyDescent="0.3">
      <c r="A6724" s="1" t="s">
        <v>18862</v>
      </c>
      <c r="B6724" s="1" t="str">
        <f>"Edward Treharne TREHARNE DOUBLE GLAZING"</f>
        <v>Edward Treharne TREHARNE DOUBLE GLAZING</v>
      </c>
      <c r="C6724" s="1" t="s">
        <v>18863</v>
      </c>
      <c r="F6724" s="1" t="s">
        <v>27</v>
      </c>
      <c r="H6724" s="1" t="s">
        <v>11663</v>
      </c>
      <c r="I6724" s="1" t="s">
        <v>5</v>
      </c>
      <c r="J6724" s="1" t="s">
        <v>6</v>
      </c>
      <c r="K6724" s="1" t="s">
        <v>24</v>
      </c>
      <c r="M6724" s="2">
        <v>42571</v>
      </c>
      <c r="N6724" s="1" t="s">
        <v>8</v>
      </c>
      <c r="O6724" s="2">
        <v>43666</v>
      </c>
    </row>
    <row r="6725" spans="1:15" ht="43.2" x14ac:dyDescent="0.3">
      <c r="A6725" s="1" t="s">
        <v>18864</v>
      </c>
      <c r="B6725" s="1" t="str">
        <f>"Brian King"</f>
        <v>Brian King</v>
      </c>
      <c r="C6725" s="1" t="s">
        <v>18865</v>
      </c>
      <c r="D6725" s="1" t="s">
        <v>3150</v>
      </c>
      <c r="F6725" s="1" t="s">
        <v>96</v>
      </c>
      <c r="H6725" s="1" t="s">
        <v>18866</v>
      </c>
      <c r="I6725" s="1" t="s">
        <v>5</v>
      </c>
      <c r="J6725" s="1" t="s">
        <v>67</v>
      </c>
      <c r="K6725" s="1" t="s">
        <v>34</v>
      </c>
      <c r="M6725" s="2">
        <v>42571</v>
      </c>
      <c r="N6725" s="1" t="s">
        <v>8</v>
      </c>
      <c r="O6725" s="1" t="s">
        <v>68</v>
      </c>
    </row>
    <row r="6726" spans="1:15" ht="28.8" x14ac:dyDescent="0.3">
      <c r="A6726" s="1" t="s">
        <v>18867</v>
      </c>
      <c r="B6726" s="1" t="str">
        <f>"Ian Close Ian Close Joinery"</f>
        <v>Ian Close Ian Close Joinery</v>
      </c>
      <c r="C6726" s="1" t="s">
        <v>18868</v>
      </c>
      <c r="F6726" s="1" t="s">
        <v>83</v>
      </c>
      <c r="H6726" s="1" t="s">
        <v>18869</v>
      </c>
      <c r="I6726" s="1" t="s">
        <v>5</v>
      </c>
      <c r="J6726" s="1" t="s">
        <v>6</v>
      </c>
      <c r="K6726" s="1" t="s">
        <v>24</v>
      </c>
      <c r="M6726" s="2">
        <v>42571</v>
      </c>
      <c r="N6726" s="1" t="s">
        <v>8</v>
      </c>
      <c r="O6726" s="2">
        <v>43666</v>
      </c>
    </row>
    <row r="6727" spans="1:15" ht="43.2" x14ac:dyDescent="0.3">
      <c r="A6727" s="1" t="s">
        <v>18870</v>
      </c>
      <c r="B6727" s="1" t="str">
        <f>"Paul Adamson"</f>
        <v>Paul Adamson</v>
      </c>
      <c r="C6727" s="1" t="s">
        <v>18871</v>
      </c>
      <c r="F6727" s="1" t="s">
        <v>18872</v>
      </c>
      <c r="H6727" s="1" t="s">
        <v>18873</v>
      </c>
      <c r="I6727" s="1" t="s">
        <v>5</v>
      </c>
      <c r="J6727" s="1" t="s">
        <v>67</v>
      </c>
      <c r="K6727" s="1" t="s">
        <v>14</v>
      </c>
      <c r="M6727" s="2">
        <v>42571</v>
      </c>
      <c r="N6727" s="1" t="s">
        <v>8</v>
      </c>
      <c r="O6727" s="1" t="s">
        <v>68</v>
      </c>
    </row>
    <row r="6728" spans="1:15" ht="28.8" x14ac:dyDescent="0.3">
      <c r="A6728" s="1" t="s">
        <v>29910</v>
      </c>
      <c r="B6728" s="1" t="str">
        <f>"Andrew Palmer ewaste services"</f>
        <v>Andrew Palmer ewaste services</v>
      </c>
      <c r="C6728" s="1" t="s">
        <v>29911</v>
      </c>
      <c r="F6728" s="1" t="s">
        <v>5645</v>
      </c>
      <c r="H6728" s="1" t="s">
        <v>11024</v>
      </c>
      <c r="I6728" s="1" t="s">
        <v>5</v>
      </c>
      <c r="J6728" s="1" t="s">
        <v>6</v>
      </c>
      <c r="K6728" s="1" t="s">
        <v>34</v>
      </c>
      <c r="M6728" s="2">
        <v>42571</v>
      </c>
      <c r="N6728" s="1" t="s">
        <v>8</v>
      </c>
      <c r="O6728" s="2">
        <v>43666</v>
      </c>
    </row>
    <row r="6729" spans="1:15" ht="43.2" x14ac:dyDescent="0.3">
      <c r="A6729" s="1" t="s">
        <v>29912</v>
      </c>
      <c r="B6729" s="1" t="str">
        <f>"Christopher Green"</f>
        <v>Christopher Green</v>
      </c>
      <c r="C6729" s="1" t="s">
        <v>29913</v>
      </c>
      <c r="F6729" s="1" t="s">
        <v>11042</v>
      </c>
      <c r="H6729" s="1" t="s">
        <v>29914</v>
      </c>
      <c r="I6729" s="1" t="s">
        <v>5</v>
      </c>
      <c r="J6729" s="1" t="s">
        <v>67</v>
      </c>
      <c r="K6729" s="1" t="s">
        <v>14</v>
      </c>
      <c r="M6729" s="2">
        <v>42571</v>
      </c>
      <c r="N6729" s="1" t="s">
        <v>8</v>
      </c>
      <c r="O6729" s="1" t="s">
        <v>68</v>
      </c>
    </row>
    <row r="6730" spans="1:15" ht="28.8" x14ac:dyDescent="0.3">
      <c r="A6730" s="1" t="s">
        <v>29915</v>
      </c>
      <c r="B6730" s="1" t="str">
        <f>"Alexander Howie"</f>
        <v>Alexander Howie</v>
      </c>
      <c r="C6730" s="1" t="s">
        <v>29916</v>
      </c>
      <c r="F6730" s="1" t="s">
        <v>1316</v>
      </c>
      <c r="H6730" s="1" t="s">
        <v>29917</v>
      </c>
      <c r="I6730" s="1" t="s">
        <v>5</v>
      </c>
      <c r="J6730" s="1" t="s">
        <v>6</v>
      </c>
      <c r="K6730" s="1" t="s">
        <v>34</v>
      </c>
      <c r="M6730" s="2">
        <v>42571</v>
      </c>
      <c r="N6730" s="1" t="s">
        <v>8</v>
      </c>
      <c r="O6730" s="2">
        <v>43666</v>
      </c>
    </row>
    <row r="6731" spans="1:15" ht="28.8" x14ac:dyDescent="0.3">
      <c r="A6731" s="1" t="s">
        <v>29918</v>
      </c>
      <c r="B6731" s="1" t="str">
        <f>"DAVID HENRY THOMAS"</f>
        <v>DAVID HENRY THOMAS</v>
      </c>
      <c r="C6731" s="1" t="s">
        <v>29919</v>
      </c>
      <c r="F6731" s="1" t="s">
        <v>65</v>
      </c>
      <c r="H6731" s="1" t="s">
        <v>29920</v>
      </c>
      <c r="I6731" s="1" t="s">
        <v>5</v>
      </c>
      <c r="J6731" s="1" t="s">
        <v>6</v>
      </c>
      <c r="K6731" s="1" t="s">
        <v>24</v>
      </c>
      <c r="M6731" s="2">
        <v>42571</v>
      </c>
      <c r="N6731" s="1" t="s">
        <v>8</v>
      </c>
      <c r="O6731" s="2">
        <v>43666</v>
      </c>
    </row>
    <row r="6732" spans="1:15" ht="28.8" x14ac:dyDescent="0.3">
      <c r="A6732" s="1" t="s">
        <v>18288</v>
      </c>
      <c r="B6732" s="1" t="str">
        <f>"PRESTON FENCING LIMITED"</f>
        <v>PRESTON FENCING LIMITED</v>
      </c>
      <c r="C6732" s="1" t="s">
        <v>18289</v>
      </c>
      <c r="F6732" s="1" t="s">
        <v>18290</v>
      </c>
      <c r="H6732" s="1" t="s">
        <v>18291</v>
      </c>
      <c r="I6732" s="1" t="s">
        <v>19</v>
      </c>
      <c r="J6732" s="1" t="s">
        <v>6</v>
      </c>
      <c r="K6732" s="1" t="s">
        <v>34</v>
      </c>
      <c r="L6732" s="1">
        <v>9418137</v>
      </c>
      <c r="M6732" s="2">
        <v>42570</v>
      </c>
      <c r="N6732" s="1" t="s">
        <v>8</v>
      </c>
      <c r="O6732" s="2">
        <v>43665</v>
      </c>
    </row>
    <row r="6733" spans="1:15" ht="28.8" x14ac:dyDescent="0.3">
      <c r="A6733" s="1" t="s">
        <v>18292</v>
      </c>
      <c r="B6733" s="1" t="str">
        <f>"Prodig Nw Ltd"</f>
        <v>Prodig Nw Ltd</v>
      </c>
      <c r="C6733" s="1" t="s">
        <v>18293</v>
      </c>
      <c r="F6733" s="1" t="s">
        <v>1260</v>
      </c>
      <c r="H6733" s="1" t="s">
        <v>18294</v>
      </c>
      <c r="I6733" s="1" t="s">
        <v>19</v>
      </c>
      <c r="J6733" s="1" t="s">
        <v>6</v>
      </c>
      <c r="K6733" s="1" t="s">
        <v>34</v>
      </c>
      <c r="L6733" s="1">
        <v>8669271</v>
      </c>
      <c r="M6733" s="2">
        <v>42570</v>
      </c>
      <c r="N6733" s="1" t="s">
        <v>8</v>
      </c>
      <c r="O6733" s="2">
        <v>43721</v>
      </c>
    </row>
    <row r="6734" spans="1:15" ht="28.8" x14ac:dyDescent="0.3">
      <c r="A6734" s="1" t="s">
        <v>18295</v>
      </c>
      <c r="B6734" s="1" t="str">
        <f>"WERNICK BUILDINGS LTD"</f>
        <v>WERNICK BUILDINGS LTD</v>
      </c>
      <c r="C6734" s="1" t="s">
        <v>18296</v>
      </c>
      <c r="D6734" s="1" t="s">
        <v>18297</v>
      </c>
      <c r="F6734" s="1" t="s">
        <v>1351</v>
      </c>
      <c r="H6734" s="1" t="s">
        <v>4010</v>
      </c>
      <c r="I6734" s="1" t="s">
        <v>19</v>
      </c>
      <c r="J6734" s="1" t="s">
        <v>6</v>
      </c>
      <c r="K6734" s="1" t="s">
        <v>34</v>
      </c>
      <c r="L6734" s="1">
        <v>414489</v>
      </c>
      <c r="M6734" s="2">
        <v>42570</v>
      </c>
      <c r="N6734" s="1" t="s">
        <v>8</v>
      </c>
      <c r="O6734" s="2">
        <v>43665</v>
      </c>
    </row>
    <row r="6735" spans="1:15" ht="28.8" x14ac:dyDescent="0.3">
      <c r="A6735" s="1" t="s">
        <v>18298</v>
      </c>
      <c r="B6735" s="1" t="str">
        <f>"Pinit Building &amp; Civil Engineering Ltd."</f>
        <v>Pinit Building &amp; Civil Engineering Ltd.</v>
      </c>
      <c r="C6735" s="1" t="s">
        <v>18299</v>
      </c>
      <c r="F6735" s="1" t="s">
        <v>298</v>
      </c>
      <c r="H6735" s="1" t="s">
        <v>18300</v>
      </c>
      <c r="I6735" s="1" t="s">
        <v>19</v>
      </c>
      <c r="J6735" s="1" t="s">
        <v>6</v>
      </c>
      <c r="K6735" s="1" t="s">
        <v>34</v>
      </c>
      <c r="L6735" s="1">
        <v>2642514</v>
      </c>
      <c r="M6735" s="2">
        <v>42570</v>
      </c>
      <c r="N6735" s="1" t="s">
        <v>8</v>
      </c>
      <c r="O6735" s="2">
        <v>43665</v>
      </c>
    </row>
    <row r="6736" spans="1:15" x14ac:dyDescent="0.3">
      <c r="A6736" s="1" t="s">
        <v>18301</v>
      </c>
      <c r="B6736" s="1" t="str">
        <f>"Round Services Ltd."</f>
        <v>Round Services Ltd.</v>
      </c>
      <c r="C6736" s="1" t="s">
        <v>18302</v>
      </c>
      <c r="F6736" s="1" t="s">
        <v>930</v>
      </c>
      <c r="H6736" s="1" t="s">
        <v>5713</v>
      </c>
      <c r="I6736" s="1" t="s">
        <v>19</v>
      </c>
      <c r="J6736" s="1" t="s">
        <v>6</v>
      </c>
      <c r="K6736" s="1" t="s">
        <v>24</v>
      </c>
      <c r="L6736" s="1">
        <v>3565175</v>
      </c>
      <c r="M6736" s="2">
        <v>42570</v>
      </c>
      <c r="N6736" s="1" t="s">
        <v>8</v>
      </c>
      <c r="O6736" s="2">
        <v>43665</v>
      </c>
    </row>
    <row r="6737" spans="1:15" ht="28.8" x14ac:dyDescent="0.3">
      <c r="A6737" s="1" t="s">
        <v>17300</v>
      </c>
      <c r="B6737" s="1" t="str">
        <f>"SBS SALVAGE LTD"</f>
        <v>SBS SALVAGE LTD</v>
      </c>
      <c r="C6737" s="1" t="s">
        <v>17301</v>
      </c>
      <c r="F6737" s="1" t="s">
        <v>298</v>
      </c>
      <c r="H6737" s="1" t="s">
        <v>17302</v>
      </c>
      <c r="I6737" s="1" t="s">
        <v>19</v>
      </c>
      <c r="J6737" s="1" t="s">
        <v>6</v>
      </c>
      <c r="K6737" s="1" t="s">
        <v>34</v>
      </c>
      <c r="L6737" s="1">
        <v>7688221</v>
      </c>
      <c r="M6737" s="2">
        <v>42569</v>
      </c>
      <c r="N6737" s="1" t="s">
        <v>8</v>
      </c>
      <c r="O6737" s="2">
        <v>43664</v>
      </c>
    </row>
    <row r="6738" spans="1:15" ht="28.8" x14ac:dyDescent="0.3">
      <c r="A6738" s="1" t="s">
        <v>17303</v>
      </c>
      <c r="B6738" s="1" t="str">
        <f>"Mr Peter Evans  Mr David Evans"</f>
        <v>Mr Peter Evans  Mr David Evans</v>
      </c>
      <c r="C6738" s="1" t="s">
        <v>3468</v>
      </c>
      <c r="F6738" s="1" t="s">
        <v>14562</v>
      </c>
      <c r="H6738" s="1" t="s">
        <v>17304</v>
      </c>
      <c r="I6738" s="1" t="s">
        <v>125</v>
      </c>
      <c r="J6738" s="1" t="s">
        <v>6</v>
      </c>
      <c r="K6738" s="1" t="s">
        <v>24</v>
      </c>
      <c r="M6738" s="2">
        <v>42569</v>
      </c>
      <c r="N6738" s="1" t="s">
        <v>8</v>
      </c>
      <c r="O6738" s="2">
        <v>43664</v>
      </c>
    </row>
    <row r="6739" spans="1:15" x14ac:dyDescent="0.3">
      <c r="A6739" s="1" t="s">
        <v>17305</v>
      </c>
      <c r="B6739" s="1" t="str">
        <f>"AVONDALE WINDOWS"</f>
        <v>AVONDALE WINDOWS</v>
      </c>
      <c r="C6739" s="1" t="s">
        <v>17306</v>
      </c>
      <c r="F6739" s="1" t="s">
        <v>91</v>
      </c>
      <c r="H6739" s="1" t="s">
        <v>17307</v>
      </c>
      <c r="I6739" s="1" t="s">
        <v>125</v>
      </c>
      <c r="J6739" s="1" t="s">
        <v>6</v>
      </c>
      <c r="K6739" s="1" t="s">
        <v>24</v>
      </c>
      <c r="M6739" s="2">
        <v>42569</v>
      </c>
      <c r="N6739" s="1" t="s">
        <v>8</v>
      </c>
      <c r="O6739" s="2">
        <v>43689</v>
      </c>
    </row>
    <row r="6740" spans="1:15" ht="28.8" x14ac:dyDescent="0.3">
      <c r="A6740" s="1" t="s">
        <v>17308</v>
      </c>
      <c r="B6740" s="1" t="str">
        <f>"Tregaron Trading Services Ltd."</f>
        <v>Tregaron Trading Services Ltd.</v>
      </c>
      <c r="C6740" s="1" t="s">
        <v>8032</v>
      </c>
      <c r="F6740" s="1" t="s">
        <v>653</v>
      </c>
      <c r="H6740" s="1" t="s">
        <v>8033</v>
      </c>
      <c r="I6740" s="1" t="s">
        <v>19</v>
      </c>
      <c r="J6740" s="1" t="s">
        <v>6</v>
      </c>
      <c r="K6740" s="1" t="s">
        <v>34</v>
      </c>
      <c r="L6740" s="1">
        <v>3779704</v>
      </c>
      <c r="M6740" s="2">
        <v>42569</v>
      </c>
      <c r="N6740" s="1" t="s">
        <v>8</v>
      </c>
      <c r="O6740" s="2">
        <v>43664</v>
      </c>
    </row>
    <row r="6741" spans="1:15" ht="28.8" x14ac:dyDescent="0.3">
      <c r="A6741" s="1" t="s">
        <v>17309</v>
      </c>
      <c r="B6741" s="1" t="str">
        <f>"WR COWAP LTD"</f>
        <v>WR COWAP LTD</v>
      </c>
      <c r="C6741" s="1" t="s">
        <v>17310</v>
      </c>
      <c r="F6741" s="1" t="s">
        <v>328</v>
      </c>
      <c r="H6741" s="1" t="s">
        <v>17311</v>
      </c>
      <c r="I6741" s="1" t="s">
        <v>19</v>
      </c>
      <c r="J6741" s="1" t="s">
        <v>6</v>
      </c>
      <c r="K6741" s="1" t="s">
        <v>24</v>
      </c>
      <c r="L6741" s="1">
        <v>4099792</v>
      </c>
      <c r="M6741" s="2">
        <v>42569</v>
      </c>
      <c r="N6741" s="1" t="s">
        <v>8</v>
      </c>
      <c r="O6741" s="2">
        <v>43664</v>
      </c>
    </row>
    <row r="6742" spans="1:15" x14ac:dyDescent="0.3">
      <c r="A6742" s="1" t="s">
        <v>17312</v>
      </c>
      <c r="B6742" s="1" t="str">
        <f>"R - Tech Solutions Ltd."</f>
        <v>R - Tech Solutions Ltd.</v>
      </c>
      <c r="C6742" s="1" t="s">
        <v>17313</v>
      </c>
      <c r="F6742" s="1" t="s">
        <v>9179</v>
      </c>
      <c r="H6742" s="1" t="s">
        <v>17314</v>
      </c>
      <c r="I6742" s="1" t="s">
        <v>19</v>
      </c>
      <c r="J6742" s="1" t="s">
        <v>6</v>
      </c>
      <c r="K6742" s="1" t="s">
        <v>24</v>
      </c>
      <c r="L6742" s="1">
        <v>3979551</v>
      </c>
      <c r="M6742" s="2">
        <v>42569</v>
      </c>
      <c r="N6742" s="1" t="s">
        <v>8</v>
      </c>
      <c r="O6742" s="2">
        <v>43664</v>
      </c>
    </row>
    <row r="6743" spans="1:15" x14ac:dyDescent="0.3">
      <c r="A6743" s="1" t="s">
        <v>17315</v>
      </c>
      <c r="B6743" s="1" t="str">
        <f>"Moulded Foams Ltd."</f>
        <v>Moulded Foams Ltd.</v>
      </c>
      <c r="C6743" s="1" t="s">
        <v>17316</v>
      </c>
      <c r="F6743" s="1" t="s">
        <v>621</v>
      </c>
      <c r="H6743" s="1" t="s">
        <v>17317</v>
      </c>
      <c r="I6743" s="1" t="s">
        <v>19</v>
      </c>
      <c r="J6743" s="1" t="s">
        <v>6</v>
      </c>
      <c r="K6743" s="1" t="s">
        <v>1859</v>
      </c>
      <c r="L6743" s="1" t="s">
        <v>17318</v>
      </c>
      <c r="M6743" s="2">
        <v>42569</v>
      </c>
      <c r="N6743" s="1" t="s">
        <v>8</v>
      </c>
      <c r="O6743" s="2">
        <v>43664</v>
      </c>
    </row>
    <row r="6744" spans="1:15" x14ac:dyDescent="0.3">
      <c r="A6744" s="1" t="s">
        <v>17319</v>
      </c>
      <c r="B6744" s="1" t="str">
        <f>"LTJ Utilities ltd"</f>
        <v>LTJ Utilities ltd</v>
      </c>
      <c r="C6744" s="1" t="s">
        <v>17320</v>
      </c>
      <c r="F6744" s="1" t="s">
        <v>17321</v>
      </c>
      <c r="H6744" s="1" t="s">
        <v>17322</v>
      </c>
      <c r="I6744" s="1" t="s">
        <v>19</v>
      </c>
      <c r="J6744" s="1" t="s">
        <v>6</v>
      </c>
      <c r="K6744" s="1" t="s">
        <v>1859</v>
      </c>
      <c r="L6744" s="1">
        <v>9454850</v>
      </c>
      <c r="M6744" s="2">
        <v>42569</v>
      </c>
      <c r="N6744" s="1" t="s">
        <v>8</v>
      </c>
      <c r="O6744" s="2">
        <v>43664</v>
      </c>
    </row>
    <row r="6745" spans="1:15" ht="28.8" x14ac:dyDescent="0.3">
      <c r="A6745" s="1" t="s">
        <v>17323</v>
      </c>
      <c r="B6745" s="1" t="str">
        <f>"E Phillips &amp; Sons Ltd."</f>
        <v>E Phillips &amp; Sons Ltd.</v>
      </c>
      <c r="C6745" s="1" t="s">
        <v>17324</v>
      </c>
      <c r="F6745" s="1" t="s">
        <v>12</v>
      </c>
      <c r="H6745" s="1" t="s">
        <v>17325</v>
      </c>
      <c r="I6745" s="1" t="s">
        <v>19</v>
      </c>
      <c r="J6745" s="1" t="s">
        <v>6</v>
      </c>
      <c r="K6745" s="1" t="s">
        <v>34</v>
      </c>
      <c r="L6745" s="1">
        <v>4888945</v>
      </c>
      <c r="M6745" s="2">
        <v>42569</v>
      </c>
      <c r="N6745" s="1" t="s">
        <v>8</v>
      </c>
      <c r="O6745" s="2">
        <v>43664</v>
      </c>
    </row>
    <row r="6746" spans="1:15" ht="43.2" x14ac:dyDescent="0.3">
      <c r="A6746" s="1" t="s">
        <v>29151</v>
      </c>
      <c r="B6746" s="1" t="str">
        <f>"Christopher Gammon Chris Gammon Electrical Services"</f>
        <v>Christopher Gammon Chris Gammon Electrical Services</v>
      </c>
      <c r="C6746" s="1" t="s">
        <v>29152</v>
      </c>
      <c r="F6746" s="1" t="s">
        <v>65</v>
      </c>
      <c r="H6746" s="1" t="s">
        <v>29153</v>
      </c>
      <c r="I6746" s="1" t="s">
        <v>5</v>
      </c>
      <c r="J6746" s="1" t="s">
        <v>6</v>
      </c>
      <c r="K6746" s="1" t="s">
        <v>24</v>
      </c>
      <c r="M6746" s="2">
        <v>42569</v>
      </c>
      <c r="N6746" s="1" t="s">
        <v>8</v>
      </c>
      <c r="O6746" s="2">
        <v>43664</v>
      </c>
    </row>
    <row r="6747" spans="1:15" ht="28.8" x14ac:dyDescent="0.3">
      <c r="A6747" s="1" t="s">
        <v>29154</v>
      </c>
      <c r="B6747" s="1" t="str">
        <f>"michael scarfo G SCARFO &amp; SON"</f>
        <v>michael scarfo G SCARFO &amp; SON</v>
      </c>
      <c r="C6747" s="1" t="s">
        <v>29155</v>
      </c>
      <c r="D6747" s="1" t="s">
        <v>29156</v>
      </c>
      <c r="F6747" s="1" t="s">
        <v>607</v>
      </c>
      <c r="H6747" s="1" t="s">
        <v>29157</v>
      </c>
      <c r="I6747" s="1" t="s">
        <v>5</v>
      </c>
      <c r="J6747" s="1" t="s">
        <v>6</v>
      </c>
      <c r="K6747" s="1" t="s">
        <v>24</v>
      </c>
      <c r="M6747" s="2">
        <v>42569</v>
      </c>
      <c r="N6747" s="1" t="s">
        <v>8</v>
      </c>
      <c r="O6747" s="2">
        <v>43664</v>
      </c>
    </row>
    <row r="6748" spans="1:15" ht="43.2" x14ac:dyDescent="0.3">
      <c r="A6748" s="1" t="s">
        <v>29158</v>
      </c>
      <c r="B6748" s="1" t="str">
        <f>"John Azzopardi"</f>
        <v>John Azzopardi</v>
      </c>
      <c r="C6748" s="1" t="s">
        <v>29159</v>
      </c>
      <c r="F6748" s="1" t="s">
        <v>873</v>
      </c>
      <c r="H6748" s="1" t="s">
        <v>29160</v>
      </c>
      <c r="I6748" s="1" t="s">
        <v>5</v>
      </c>
      <c r="J6748" s="1" t="s">
        <v>67</v>
      </c>
      <c r="K6748" s="1" t="s">
        <v>24</v>
      </c>
      <c r="M6748" s="2">
        <v>42569</v>
      </c>
      <c r="N6748" s="1" t="s">
        <v>8</v>
      </c>
      <c r="O6748" s="1" t="s">
        <v>68</v>
      </c>
    </row>
    <row r="6749" spans="1:15" ht="43.2" x14ac:dyDescent="0.3">
      <c r="A6749" s="1" t="s">
        <v>29161</v>
      </c>
      <c r="B6749" s="1" t="str">
        <f>"Keith Abbott Keith's Pressure and Steam Cleaning"</f>
        <v>Keith Abbott Keith's Pressure and Steam Cleaning</v>
      </c>
      <c r="C6749" s="1" t="s">
        <v>29162</v>
      </c>
      <c r="F6749" s="1" t="s">
        <v>42</v>
      </c>
      <c r="H6749" s="1" t="s">
        <v>29163</v>
      </c>
      <c r="I6749" s="1" t="s">
        <v>5</v>
      </c>
      <c r="J6749" s="1" t="s">
        <v>6</v>
      </c>
      <c r="K6749" s="1" t="s">
        <v>24</v>
      </c>
      <c r="M6749" s="2">
        <v>42569</v>
      </c>
      <c r="N6749" s="1" t="s">
        <v>8</v>
      </c>
      <c r="O6749" s="2">
        <v>43664</v>
      </c>
    </row>
    <row r="6750" spans="1:15" ht="43.2" x14ac:dyDescent="0.3">
      <c r="A6750" s="1" t="s">
        <v>29907</v>
      </c>
      <c r="B6750" s="1" t="str">
        <f>"paul harrison"</f>
        <v>paul harrison</v>
      </c>
      <c r="C6750" s="1" t="s">
        <v>29908</v>
      </c>
      <c r="F6750" s="1" t="s">
        <v>3992</v>
      </c>
      <c r="H6750" s="1" t="s">
        <v>29909</v>
      </c>
      <c r="I6750" s="1" t="s">
        <v>5</v>
      </c>
      <c r="J6750" s="1" t="s">
        <v>67</v>
      </c>
      <c r="K6750" s="1" t="s">
        <v>14</v>
      </c>
      <c r="M6750" s="2">
        <v>42569</v>
      </c>
      <c r="N6750" s="1" t="s">
        <v>8</v>
      </c>
      <c r="O6750" s="1" t="s">
        <v>68</v>
      </c>
    </row>
    <row r="6751" spans="1:15" ht="43.2" x14ac:dyDescent="0.3">
      <c r="A6751" s="1" t="s">
        <v>29147</v>
      </c>
      <c r="B6751" s="1" t="str">
        <f>"Pete Price"</f>
        <v>Pete Price</v>
      </c>
      <c r="C6751" s="1" t="s">
        <v>25315</v>
      </c>
      <c r="F6751" s="1" t="s">
        <v>161</v>
      </c>
      <c r="H6751" s="1" t="s">
        <v>25316</v>
      </c>
      <c r="I6751" s="1" t="s">
        <v>5</v>
      </c>
      <c r="J6751" s="1" t="s">
        <v>67</v>
      </c>
      <c r="K6751" s="1" t="s">
        <v>14</v>
      </c>
      <c r="M6751" s="2">
        <v>42568</v>
      </c>
      <c r="N6751" s="1" t="s">
        <v>8</v>
      </c>
      <c r="O6751" s="1" t="s">
        <v>68</v>
      </c>
    </row>
    <row r="6752" spans="1:15" ht="28.8" x14ac:dyDescent="0.3">
      <c r="A6752" s="1" t="s">
        <v>29148</v>
      </c>
      <c r="B6752" s="1" t="str">
        <f>"Paul Nash Paul Nash Heating &amp; Plumbing"</f>
        <v>Paul Nash Paul Nash Heating &amp; Plumbing</v>
      </c>
      <c r="C6752" s="1" t="s">
        <v>29149</v>
      </c>
      <c r="F6752" s="1" t="s">
        <v>27</v>
      </c>
      <c r="H6752" s="1" t="s">
        <v>29150</v>
      </c>
      <c r="I6752" s="1" t="s">
        <v>5</v>
      </c>
      <c r="J6752" s="1" t="s">
        <v>6</v>
      </c>
      <c r="K6752" s="1" t="s">
        <v>24</v>
      </c>
      <c r="M6752" s="2">
        <v>42568</v>
      </c>
      <c r="N6752" s="1" t="s">
        <v>8</v>
      </c>
      <c r="O6752" s="2">
        <v>43662</v>
      </c>
    </row>
    <row r="6753" spans="1:15" ht="28.8" x14ac:dyDescent="0.3">
      <c r="A6753" s="1" t="s">
        <v>16324</v>
      </c>
      <c r="B6753" s="1" t="str">
        <f>"Alan Price &amp; Sons (Bargoed) Ltd."</f>
        <v>Alan Price &amp; Sons (Bargoed) Ltd.</v>
      </c>
      <c r="C6753" s="1" t="s">
        <v>16325</v>
      </c>
      <c r="F6753" s="1" t="s">
        <v>5645</v>
      </c>
      <c r="H6753" s="1" t="s">
        <v>16326</v>
      </c>
      <c r="I6753" s="1" t="s">
        <v>19</v>
      </c>
      <c r="J6753" s="1" t="s">
        <v>6</v>
      </c>
      <c r="K6753" s="1" t="s">
        <v>34</v>
      </c>
      <c r="L6753" s="1">
        <v>1120937</v>
      </c>
      <c r="M6753" s="2">
        <v>42566</v>
      </c>
      <c r="N6753" s="1" t="s">
        <v>8</v>
      </c>
      <c r="O6753" s="2">
        <v>43668</v>
      </c>
    </row>
    <row r="6754" spans="1:15" ht="28.8" x14ac:dyDescent="0.3">
      <c r="A6754" s="1" t="s">
        <v>16327</v>
      </c>
      <c r="B6754" s="1" t="str">
        <f>"Thane Cemetery Supplies Ltd "</f>
        <v xml:space="preserve">Thane Cemetery Supplies Ltd </v>
      </c>
      <c r="C6754" s="1" t="s">
        <v>16328</v>
      </c>
      <c r="F6754" s="1" t="s">
        <v>27</v>
      </c>
      <c r="H6754" s="1" t="s">
        <v>16329</v>
      </c>
      <c r="I6754" s="1" t="s">
        <v>19</v>
      </c>
      <c r="J6754" s="1" t="s">
        <v>6</v>
      </c>
      <c r="K6754" s="1" t="s">
        <v>34</v>
      </c>
      <c r="L6754" s="1">
        <v>5966629</v>
      </c>
      <c r="M6754" s="2">
        <v>42566</v>
      </c>
      <c r="N6754" s="1" t="s">
        <v>8</v>
      </c>
      <c r="O6754" s="2">
        <v>43661</v>
      </c>
    </row>
    <row r="6755" spans="1:15" ht="28.8" x14ac:dyDescent="0.3">
      <c r="A6755" s="1" t="s">
        <v>16330</v>
      </c>
      <c r="B6755" s="1" t="str">
        <f>"John Owen Plant Hire (Anglesey) Ltd."</f>
        <v>John Owen Plant Hire (Anglesey) Ltd.</v>
      </c>
      <c r="C6755" s="1" t="s">
        <v>16331</v>
      </c>
      <c r="F6755" s="1" t="s">
        <v>119</v>
      </c>
      <c r="H6755" s="1" t="s">
        <v>16332</v>
      </c>
      <c r="I6755" s="1" t="s">
        <v>19</v>
      </c>
      <c r="J6755" s="1" t="s">
        <v>6</v>
      </c>
      <c r="K6755" s="1" t="s">
        <v>34</v>
      </c>
      <c r="L6755" s="1">
        <v>4986190</v>
      </c>
      <c r="M6755" s="2">
        <v>42566</v>
      </c>
      <c r="N6755" s="1" t="s">
        <v>8</v>
      </c>
      <c r="O6755" s="2">
        <v>43661</v>
      </c>
    </row>
    <row r="6756" spans="1:15" ht="57.6" x14ac:dyDescent="0.3">
      <c r="A6756" s="1" t="s">
        <v>16333</v>
      </c>
      <c r="B6756" s="1" t="str">
        <f>"Pinit Building and Civil Engineerin"</f>
        <v>Pinit Building and Civil Engineerin</v>
      </c>
      <c r="C6756" s="1" t="s">
        <v>16334</v>
      </c>
      <c r="D6756" s="1" t="s">
        <v>1576</v>
      </c>
      <c r="F6756" s="1" t="s">
        <v>298</v>
      </c>
      <c r="H6756" s="1" t="s">
        <v>2220</v>
      </c>
      <c r="I6756" s="1" t="s">
        <v>19</v>
      </c>
      <c r="J6756" s="1" t="s">
        <v>6</v>
      </c>
      <c r="K6756" s="1" t="s">
        <v>24</v>
      </c>
      <c r="L6756" s="1">
        <v>2642514</v>
      </c>
      <c r="M6756" s="2">
        <v>42566</v>
      </c>
      <c r="N6756" s="1" t="s">
        <v>8</v>
      </c>
      <c r="O6756" s="2">
        <v>43661</v>
      </c>
    </row>
    <row r="6757" spans="1:15" ht="28.8" x14ac:dyDescent="0.3">
      <c r="A6757" s="1" t="s">
        <v>16335</v>
      </c>
      <c r="B6757" s="1" t="str">
        <f>"A &amp; E Home Improvements LTD"</f>
        <v>A &amp; E Home Improvements LTD</v>
      </c>
      <c r="C6757" s="1" t="s">
        <v>16336</v>
      </c>
      <c r="F6757" s="1" t="s">
        <v>277</v>
      </c>
      <c r="H6757" s="1" t="s">
        <v>16337</v>
      </c>
      <c r="I6757" s="1" t="s">
        <v>19</v>
      </c>
      <c r="J6757" s="1" t="s">
        <v>6</v>
      </c>
      <c r="K6757" s="1" t="s">
        <v>24</v>
      </c>
      <c r="L6757" s="1">
        <v>8056700</v>
      </c>
      <c r="M6757" s="2">
        <v>42566</v>
      </c>
      <c r="N6757" s="1" t="s">
        <v>8</v>
      </c>
      <c r="O6757" s="2">
        <v>43661</v>
      </c>
    </row>
    <row r="6758" spans="1:15" ht="43.2" x14ac:dyDescent="0.3">
      <c r="A6758" s="1" t="s">
        <v>17294</v>
      </c>
      <c r="B6758" s="1" t="str">
        <f>"Y Glennydd Hotel"</f>
        <v>Y Glennydd Hotel</v>
      </c>
      <c r="C6758" s="1" t="s">
        <v>17295</v>
      </c>
      <c r="F6758" s="1" t="s">
        <v>438</v>
      </c>
      <c r="H6758" s="1" t="s">
        <v>17296</v>
      </c>
      <c r="I6758" s="1" t="s">
        <v>125</v>
      </c>
      <c r="J6758" s="1" t="s">
        <v>67</v>
      </c>
      <c r="K6758" s="1" t="s">
        <v>14</v>
      </c>
      <c r="M6758" s="2">
        <v>42566</v>
      </c>
      <c r="N6758" s="1" t="s">
        <v>8</v>
      </c>
      <c r="O6758" s="1" t="s">
        <v>68</v>
      </c>
    </row>
    <row r="6759" spans="1:15" ht="28.8" x14ac:dyDescent="0.3">
      <c r="A6759" s="1" t="s">
        <v>17297</v>
      </c>
      <c r="B6759" s="1" t="str">
        <f>"Kent Rubbish Removal Ltd"</f>
        <v>Kent Rubbish Removal Ltd</v>
      </c>
      <c r="C6759" s="1" t="s">
        <v>17298</v>
      </c>
      <c r="F6759" s="1" t="s">
        <v>15592</v>
      </c>
      <c r="H6759" s="1" t="s">
        <v>17299</v>
      </c>
      <c r="I6759" s="1" t="s">
        <v>19</v>
      </c>
      <c r="J6759" s="1" t="s">
        <v>6</v>
      </c>
      <c r="K6759" s="1" t="s">
        <v>34</v>
      </c>
      <c r="L6759" s="1">
        <v>10179059</v>
      </c>
      <c r="M6759" s="2">
        <v>42566</v>
      </c>
      <c r="N6759" s="1" t="s">
        <v>8</v>
      </c>
      <c r="O6759" s="2">
        <v>43661</v>
      </c>
    </row>
    <row r="6760" spans="1:15" ht="43.2" x14ac:dyDescent="0.3">
      <c r="A6760" s="1" t="s">
        <v>28418</v>
      </c>
      <c r="B6760" s="1" t="str">
        <f>"JOHN IONS EJ &amp;Co BUILDING GOUNDS MAINTENANCE"</f>
        <v>JOHN IONS EJ &amp;Co BUILDING GOUNDS MAINTENANCE</v>
      </c>
      <c r="C6760" s="1" t="s">
        <v>28419</v>
      </c>
      <c r="D6760" s="1" t="s">
        <v>2825</v>
      </c>
      <c r="E6760" s="1" t="s">
        <v>500</v>
      </c>
      <c r="F6760" s="1" t="s">
        <v>27</v>
      </c>
      <c r="H6760" s="1" t="s">
        <v>4027</v>
      </c>
      <c r="I6760" s="1" t="s">
        <v>5</v>
      </c>
      <c r="J6760" s="1" t="s">
        <v>6</v>
      </c>
      <c r="K6760" s="1" t="s">
        <v>34</v>
      </c>
      <c r="M6760" s="2">
        <v>42566</v>
      </c>
      <c r="N6760" s="1" t="s">
        <v>8</v>
      </c>
      <c r="O6760" s="2">
        <v>43661</v>
      </c>
    </row>
    <row r="6761" spans="1:15" ht="43.2" x14ac:dyDescent="0.3">
      <c r="A6761" s="1" t="s">
        <v>29144</v>
      </c>
      <c r="B6761" s="1" t="str">
        <f>"Chris Hill"</f>
        <v>Chris Hill</v>
      </c>
      <c r="C6761" s="1" t="s">
        <v>29145</v>
      </c>
      <c r="F6761" s="1" t="s">
        <v>3888</v>
      </c>
      <c r="H6761" s="1" t="s">
        <v>29146</v>
      </c>
      <c r="I6761" s="1" t="s">
        <v>5</v>
      </c>
      <c r="J6761" s="1" t="s">
        <v>67</v>
      </c>
      <c r="K6761" s="1" t="s">
        <v>14</v>
      </c>
      <c r="M6761" s="2">
        <v>42566</v>
      </c>
      <c r="N6761" s="1" t="s">
        <v>8</v>
      </c>
      <c r="O6761" s="1" t="s">
        <v>68</v>
      </c>
    </row>
    <row r="6762" spans="1:15" x14ac:dyDescent="0.3">
      <c r="A6762" s="1" t="s">
        <v>15305</v>
      </c>
      <c r="B6762" s="1" t="str">
        <f>"Delyn Windows Ltd."</f>
        <v>Delyn Windows Ltd.</v>
      </c>
      <c r="C6762" s="1" t="s">
        <v>15306</v>
      </c>
      <c r="F6762" s="1" t="s">
        <v>4507</v>
      </c>
      <c r="H6762" s="1" t="s">
        <v>15307</v>
      </c>
      <c r="I6762" s="1" t="s">
        <v>19</v>
      </c>
      <c r="J6762" s="1" t="s">
        <v>6</v>
      </c>
      <c r="K6762" s="1" t="s">
        <v>24</v>
      </c>
      <c r="L6762" s="1">
        <v>4253449</v>
      </c>
      <c r="M6762" s="2">
        <v>42565</v>
      </c>
      <c r="N6762" s="1" t="s">
        <v>8</v>
      </c>
      <c r="O6762" s="2">
        <v>43660</v>
      </c>
    </row>
    <row r="6763" spans="1:15" ht="28.8" x14ac:dyDescent="0.3">
      <c r="A6763" s="1" t="s">
        <v>15308</v>
      </c>
      <c r="B6763" s="1" t="str">
        <f>"Ram Demolition"</f>
        <v>Ram Demolition</v>
      </c>
      <c r="C6763" s="1" t="s">
        <v>15309</v>
      </c>
      <c r="D6763" s="1" t="s">
        <v>15310</v>
      </c>
      <c r="F6763" s="1" t="s">
        <v>930</v>
      </c>
      <c r="H6763" s="1" t="s">
        <v>15311</v>
      </c>
      <c r="I6763" s="1" t="s">
        <v>19</v>
      </c>
      <c r="J6763" s="1" t="s">
        <v>6</v>
      </c>
      <c r="K6763" s="1" t="s">
        <v>34</v>
      </c>
      <c r="L6763" s="1">
        <v>9072450</v>
      </c>
      <c r="M6763" s="2">
        <v>42565</v>
      </c>
      <c r="N6763" s="1" t="s">
        <v>8</v>
      </c>
      <c r="O6763" s="2">
        <v>43660</v>
      </c>
    </row>
    <row r="6764" spans="1:15" ht="28.8" x14ac:dyDescent="0.3">
      <c r="A6764" s="1" t="s">
        <v>16318</v>
      </c>
      <c r="B6764" s="1" t="str">
        <f>"Mid Wales Windows"</f>
        <v>Mid Wales Windows</v>
      </c>
      <c r="C6764" s="1" t="s">
        <v>16319</v>
      </c>
      <c r="D6764" s="1" t="s">
        <v>955</v>
      </c>
      <c r="F6764" s="1" t="s">
        <v>445</v>
      </c>
      <c r="H6764" s="1" t="s">
        <v>1374</v>
      </c>
      <c r="I6764" s="1" t="s">
        <v>19</v>
      </c>
      <c r="J6764" s="1" t="s">
        <v>6</v>
      </c>
      <c r="K6764" s="1" t="s">
        <v>24</v>
      </c>
      <c r="L6764" s="1">
        <v>8410018</v>
      </c>
      <c r="M6764" s="2">
        <v>42565</v>
      </c>
      <c r="N6764" s="1" t="s">
        <v>8</v>
      </c>
      <c r="O6764" s="2">
        <v>43660</v>
      </c>
    </row>
    <row r="6765" spans="1:15" ht="28.8" x14ac:dyDescent="0.3">
      <c r="A6765" s="1" t="s">
        <v>16320</v>
      </c>
      <c r="B6765" s="1" t="str">
        <f>"Davies Brothers (Wales) Ltd."</f>
        <v>Davies Brothers (Wales) Ltd.</v>
      </c>
      <c r="C6765" s="1" t="s">
        <v>16321</v>
      </c>
      <c r="D6765" s="1" t="s">
        <v>16322</v>
      </c>
      <c r="F6765" s="1" t="s">
        <v>140</v>
      </c>
      <c r="H6765" s="1" t="s">
        <v>16323</v>
      </c>
      <c r="I6765" s="1" t="s">
        <v>19</v>
      </c>
      <c r="J6765" s="1" t="s">
        <v>6</v>
      </c>
      <c r="K6765" s="1" t="s">
        <v>24</v>
      </c>
      <c r="L6765" s="1">
        <v>2993198</v>
      </c>
      <c r="M6765" s="2">
        <v>42565</v>
      </c>
      <c r="N6765" s="1" t="s">
        <v>8</v>
      </c>
      <c r="O6765" s="2">
        <v>43660</v>
      </c>
    </row>
    <row r="6766" spans="1:15" x14ac:dyDescent="0.3">
      <c r="A6766" s="1" t="s">
        <v>27624</v>
      </c>
      <c r="B6766" s="1" t="str">
        <f>"Wayne John Hardacre"</f>
        <v>Wayne John Hardacre</v>
      </c>
      <c r="C6766" s="1" t="s">
        <v>27625</v>
      </c>
      <c r="F6766" s="1" t="s">
        <v>103</v>
      </c>
      <c r="H6766" s="1" t="s">
        <v>27626</v>
      </c>
      <c r="I6766" s="1" t="s">
        <v>5</v>
      </c>
      <c r="J6766" s="1" t="s">
        <v>6</v>
      </c>
      <c r="K6766" s="1" t="s">
        <v>24</v>
      </c>
      <c r="M6766" s="2">
        <v>42565</v>
      </c>
      <c r="N6766" s="1" t="s">
        <v>8</v>
      </c>
      <c r="O6766" s="2">
        <v>43660</v>
      </c>
    </row>
    <row r="6767" spans="1:15" ht="43.2" x14ac:dyDescent="0.3">
      <c r="A6767" s="1" t="s">
        <v>27627</v>
      </c>
      <c r="B6767" s="1" t="str">
        <f>"paul lynch"</f>
        <v>paul lynch</v>
      </c>
      <c r="C6767" s="1" t="s">
        <v>27628</v>
      </c>
      <c r="F6767" s="1" t="s">
        <v>27629</v>
      </c>
      <c r="H6767" s="1" t="s">
        <v>27630</v>
      </c>
      <c r="I6767" s="1" t="s">
        <v>5</v>
      </c>
      <c r="J6767" s="1" t="s">
        <v>67</v>
      </c>
      <c r="K6767" s="1" t="s">
        <v>14</v>
      </c>
      <c r="M6767" s="2">
        <v>42565</v>
      </c>
      <c r="N6767" s="1" t="s">
        <v>8</v>
      </c>
      <c r="O6767" s="1" t="s">
        <v>68</v>
      </c>
    </row>
    <row r="6768" spans="1:15" ht="43.2" x14ac:dyDescent="0.3">
      <c r="A6768" s="1" t="s">
        <v>27631</v>
      </c>
      <c r="B6768" s="1" t="str">
        <f>"David Roberts DA Roberts Landscape and Building"</f>
        <v>David Roberts DA Roberts Landscape and Building</v>
      </c>
      <c r="C6768" s="1" t="s">
        <v>27632</v>
      </c>
      <c r="F6768" s="1" t="s">
        <v>1184</v>
      </c>
      <c r="H6768" s="1" t="s">
        <v>27633</v>
      </c>
      <c r="I6768" s="1" t="s">
        <v>5</v>
      </c>
      <c r="J6768" s="1" t="s">
        <v>6</v>
      </c>
      <c r="K6768" s="1" t="s">
        <v>24</v>
      </c>
      <c r="M6768" s="2">
        <v>42565</v>
      </c>
      <c r="N6768" s="1" t="s">
        <v>8</v>
      </c>
      <c r="O6768" s="2">
        <v>43660</v>
      </c>
    </row>
    <row r="6769" spans="1:15" x14ac:dyDescent="0.3">
      <c r="A6769" s="1" t="s">
        <v>27634</v>
      </c>
      <c r="B6769" s="1" t="str">
        <f>"John Henry Williams"</f>
        <v>John Henry Williams</v>
      </c>
      <c r="C6769" s="1" t="s">
        <v>27635</v>
      </c>
      <c r="F6769" s="1" t="s">
        <v>790</v>
      </c>
      <c r="H6769" s="1" t="s">
        <v>27636</v>
      </c>
      <c r="I6769" s="1" t="s">
        <v>5</v>
      </c>
      <c r="J6769" s="1" t="s">
        <v>6</v>
      </c>
      <c r="K6769" s="1" t="s">
        <v>24</v>
      </c>
      <c r="M6769" s="2">
        <v>42565</v>
      </c>
      <c r="N6769" s="1" t="s">
        <v>8</v>
      </c>
      <c r="O6769" s="2">
        <v>43660</v>
      </c>
    </row>
    <row r="6770" spans="1:15" ht="28.8" x14ac:dyDescent="0.3">
      <c r="A6770" s="1" t="s">
        <v>27637</v>
      </c>
      <c r="B6770" s="1" t="str">
        <f>"Billy  Evans"</f>
        <v>Billy  Evans</v>
      </c>
      <c r="C6770" s="1" t="s">
        <v>27638</v>
      </c>
      <c r="F6770" s="1" t="s">
        <v>678</v>
      </c>
      <c r="H6770" s="1" t="s">
        <v>16774</v>
      </c>
      <c r="I6770" s="1" t="s">
        <v>5</v>
      </c>
      <c r="J6770" s="1" t="s">
        <v>6</v>
      </c>
      <c r="K6770" s="1" t="s">
        <v>24</v>
      </c>
      <c r="M6770" s="2">
        <v>42565</v>
      </c>
      <c r="N6770" s="1" t="s">
        <v>8</v>
      </c>
      <c r="O6770" s="2">
        <v>43660</v>
      </c>
    </row>
    <row r="6771" spans="1:15" ht="43.2" x14ac:dyDescent="0.3">
      <c r="A6771" s="1" t="s">
        <v>28405</v>
      </c>
      <c r="B6771" s="1" t="str">
        <f>"Dewi Williams D.E.W.Plumbing &amp; Heating"</f>
        <v>Dewi Williams D.E.W.Plumbing &amp; Heating</v>
      </c>
      <c r="C6771" s="1" t="s">
        <v>28406</v>
      </c>
      <c r="F6771" s="1" t="s">
        <v>370</v>
      </c>
      <c r="H6771" s="1" t="s">
        <v>21998</v>
      </c>
      <c r="I6771" s="1" t="s">
        <v>5</v>
      </c>
      <c r="J6771" s="1" t="s">
        <v>6</v>
      </c>
      <c r="K6771" s="1" t="s">
        <v>34</v>
      </c>
      <c r="M6771" s="2">
        <v>42565</v>
      </c>
      <c r="N6771" s="1" t="s">
        <v>8</v>
      </c>
      <c r="O6771" s="2">
        <v>43660</v>
      </c>
    </row>
    <row r="6772" spans="1:15" ht="43.2" x14ac:dyDescent="0.3">
      <c r="A6772" s="1" t="s">
        <v>28407</v>
      </c>
      <c r="B6772" s="1" t="str">
        <f>"Geraint Davies GERAINT DAVIES WASTE DISPOSAL"</f>
        <v>Geraint Davies GERAINT DAVIES WASTE DISPOSAL</v>
      </c>
      <c r="C6772" s="1" t="s">
        <v>28408</v>
      </c>
      <c r="F6772" s="1" t="s">
        <v>1991</v>
      </c>
      <c r="H6772" s="1" t="s">
        <v>28409</v>
      </c>
      <c r="I6772" s="1" t="s">
        <v>5</v>
      </c>
      <c r="J6772" s="1" t="s">
        <v>6</v>
      </c>
      <c r="K6772" s="1" t="s">
        <v>24</v>
      </c>
      <c r="M6772" s="2">
        <v>42565</v>
      </c>
      <c r="N6772" s="1" t="s">
        <v>8</v>
      </c>
      <c r="O6772" s="2">
        <v>43660</v>
      </c>
    </row>
    <row r="6773" spans="1:15" ht="28.8" x14ac:dyDescent="0.3">
      <c r="A6773" s="1" t="s">
        <v>28410</v>
      </c>
      <c r="B6773" s="1" t="str">
        <f>"Andrew Woodley Rock"</f>
        <v>Andrew Woodley Rock</v>
      </c>
      <c r="C6773" s="1" t="s">
        <v>28411</v>
      </c>
      <c r="F6773" s="1" t="s">
        <v>298</v>
      </c>
      <c r="H6773" s="1" t="s">
        <v>26036</v>
      </c>
      <c r="I6773" s="1" t="s">
        <v>5</v>
      </c>
      <c r="J6773" s="1" t="s">
        <v>6</v>
      </c>
      <c r="K6773" s="1" t="s">
        <v>24</v>
      </c>
      <c r="M6773" s="2">
        <v>42565</v>
      </c>
      <c r="N6773" s="1" t="s">
        <v>8</v>
      </c>
      <c r="O6773" s="2">
        <v>43660</v>
      </c>
    </row>
    <row r="6774" spans="1:15" ht="28.8" x14ac:dyDescent="0.3">
      <c r="A6774" s="1" t="s">
        <v>28412</v>
      </c>
      <c r="B6774" s="1" t="str">
        <f>"Mark Davies Mark Davies"</f>
        <v>Mark Davies Mark Davies</v>
      </c>
      <c r="C6774" s="1" t="s">
        <v>28413</v>
      </c>
      <c r="F6774" s="1" t="s">
        <v>65</v>
      </c>
      <c r="H6774" s="1" t="s">
        <v>28414</v>
      </c>
      <c r="I6774" s="1" t="s">
        <v>5</v>
      </c>
      <c r="J6774" s="1" t="s">
        <v>6</v>
      </c>
      <c r="K6774" s="1" t="s">
        <v>24</v>
      </c>
      <c r="M6774" s="2">
        <v>42565</v>
      </c>
      <c r="N6774" s="1" t="s">
        <v>8</v>
      </c>
      <c r="O6774" s="2">
        <v>43660</v>
      </c>
    </row>
    <row r="6775" spans="1:15" ht="57.6" x14ac:dyDescent="0.3">
      <c r="A6775" s="1" t="s">
        <v>28415</v>
      </c>
      <c r="B6775" s="1" t="str">
        <f>"John Gutteridge BIRCHWOOD CONSTRUCTION SERVICES"</f>
        <v>John Gutteridge BIRCHWOOD CONSTRUCTION SERVICES</v>
      </c>
      <c r="C6775" s="1" t="s">
        <v>28416</v>
      </c>
      <c r="F6775" s="1" t="s">
        <v>65</v>
      </c>
      <c r="H6775" s="1" t="s">
        <v>28417</v>
      </c>
      <c r="I6775" s="1" t="s">
        <v>5</v>
      </c>
      <c r="J6775" s="1" t="s">
        <v>6</v>
      </c>
      <c r="K6775" s="1" t="s">
        <v>24</v>
      </c>
      <c r="M6775" s="2">
        <v>42565</v>
      </c>
      <c r="N6775" s="1" t="s">
        <v>8</v>
      </c>
      <c r="O6775" s="2">
        <v>43660</v>
      </c>
    </row>
    <row r="6776" spans="1:15" ht="28.8" x14ac:dyDescent="0.3">
      <c r="A6776" s="1" t="s">
        <v>14362</v>
      </c>
      <c r="B6776" s="1" t="str">
        <f>"E.JONES &amp; SON"</f>
        <v>E.JONES &amp; SON</v>
      </c>
      <c r="C6776" s="1" t="s">
        <v>14363</v>
      </c>
      <c r="F6776" s="1" t="s">
        <v>1700</v>
      </c>
      <c r="H6776" s="1" t="s">
        <v>14364</v>
      </c>
      <c r="I6776" s="1" t="s">
        <v>125</v>
      </c>
      <c r="J6776" s="1" t="s">
        <v>6</v>
      </c>
      <c r="K6776" s="1" t="s">
        <v>34</v>
      </c>
      <c r="M6776" s="2">
        <v>42564</v>
      </c>
      <c r="N6776" s="1" t="s">
        <v>8</v>
      </c>
      <c r="O6776" s="2">
        <v>43659</v>
      </c>
    </row>
    <row r="6777" spans="1:15" ht="28.8" x14ac:dyDescent="0.3">
      <c r="A6777" s="1" t="s">
        <v>14365</v>
      </c>
      <c r="B6777" s="1" t="str">
        <f>"Mike Evans (Windows) Ltd."</f>
        <v>Mike Evans (Windows) Ltd.</v>
      </c>
      <c r="C6777" s="1" t="s">
        <v>14366</v>
      </c>
      <c r="D6777" s="1" t="s">
        <v>14367</v>
      </c>
      <c r="F6777" s="1" t="s">
        <v>198</v>
      </c>
      <c r="H6777" s="1" t="s">
        <v>14368</v>
      </c>
      <c r="I6777" s="1" t="s">
        <v>19</v>
      </c>
      <c r="J6777" s="1" t="s">
        <v>6</v>
      </c>
      <c r="K6777" s="1" t="s">
        <v>24</v>
      </c>
      <c r="L6777" s="1">
        <v>6005944</v>
      </c>
      <c r="M6777" s="2">
        <v>42564</v>
      </c>
      <c r="N6777" s="1" t="s">
        <v>8</v>
      </c>
      <c r="O6777" s="2">
        <v>43659</v>
      </c>
    </row>
    <row r="6778" spans="1:15" ht="43.2" x14ac:dyDescent="0.3">
      <c r="A6778" s="1" t="s">
        <v>14369</v>
      </c>
      <c r="B6778" s="1" t="str">
        <f>"E R Appliances"</f>
        <v>E R Appliances</v>
      </c>
      <c r="C6778" s="1" t="s">
        <v>14370</v>
      </c>
      <c r="F6778" s="1" t="s">
        <v>9414</v>
      </c>
      <c r="H6778" s="1" t="s">
        <v>14371</v>
      </c>
      <c r="I6778" s="1" t="s">
        <v>188</v>
      </c>
      <c r="J6778" s="1" t="s">
        <v>67</v>
      </c>
      <c r="K6778" s="1" t="s">
        <v>14</v>
      </c>
      <c r="M6778" s="2">
        <v>42564</v>
      </c>
      <c r="N6778" s="1" t="s">
        <v>8</v>
      </c>
      <c r="O6778" s="1" t="s">
        <v>68</v>
      </c>
    </row>
    <row r="6779" spans="1:15" ht="28.8" x14ac:dyDescent="0.3">
      <c r="A6779" s="1" t="s">
        <v>15298</v>
      </c>
      <c r="B6779" s="1" t="str">
        <f>"JRA BUILDING SERVICES"</f>
        <v>JRA BUILDING SERVICES</v>
      </c>
      <c r="C6779" s="1" t="s">
        <v>15299</v>
      </c>
      <c r="F6779" s="1" t="s">
        <v>1169</v>
      </c>
      <c r="H6779" s="1" t="s">
        <v>15300</v>
      </c>
      <c r="I6779" s="1" t="s">
        <v>19</v>
      </c>
      <c r="J6779" s="1" t="s">
        <v>6</v>
      </c>
      <c r="K6779" s="1" t="s">
        <v>34</v>
      </c>
      <c r="L6779" s="1">
        <v>9970693</v>
      </c>
      <c r="M6779" s="2">
        <v>42564</v>
      </c>
      <c r="N6779" s="1" t="s">
        <v>8</v>
      </c>
      <c r="O6779" s="2">
        <v>43659</v>
      </c>
    </row>
    <row r="6780" spans="1:15" ht="28.8" x14ac:dyDescent="0.3">
      <c r="A6780" s="1" t="s">
        <v>15301</v>
      </c>
      <c r="B6780" s="1" t="str">
        <f>"Pembrokeshire Coast National Park Authority"</f>
        <v>Pembrokeshire Coast National Park Authority</v>
      </c>
      <c r="C6780" s="1" t="s">
        <v>15302</v>
      </c>
      <c r="F6780" s="1" t="s">
        <v>15303</v>
      </c>
      <c r="H6780" s="1" t="s">
        <v>15304</v>
      </c>
      <c r="I6780" s="1" t="s">
        <v>188</v>
      </c>
      <c r="J6780" s="1" t="s">
        <v>6</v>
      </c>
      <c r="K6780" s="1" t="s">
        <v>34</v>
      </c>
      <c r="M6780" s="2">
        <v>42564</v>
      </c>
      <c r="N6780" s="1" t="s">
        <v>8</v>
      </c>
      <c r="O6780" s="2">
        <v>43667</v>
      </c>
    </row>
    <row r="6781" spans="1:15" ht="43.2" x14ac:dyDescent="0.3">
      <c r="A6781" s="1" t="s">
        <v>26754</v>
      </c>
      <c r="B6781" s="1" t="str">
        <f>"Dr richard penney"</f>
        <v>Dr richard penney</v>
      </c>
      <c r="C6781" s="1" t="s">
        <v>26755</v>
      </c>
      <c r="F6781" s="1" t="s">
        <v>1351</v>
      </c>
      <c r="H6781" s="1" t="s">
        <v>26756</v>
      </c>
      <c r="I6781" s="1" t="s">
        <v>5</v>
      </c>
      <c r="J6781" s="1" t="s">
        <v>67</v>
      </c>
      <c r="K6781" s="1" t="s">
        <v>14</v>
      </c>
      <c r="M6781" s="2">
        <v>42564</v>
      </c>
      <c r="N6781" s="1" t="s">
        <v>8</v>
      </c>
      <c r="O6781" s="1" t="s">
        <v>68</v>
      </c>
    </row>
    <row r="6782" spans="1:15" ht="28.8" x14ac:dyDescent="0.3">
      <c r="A6782" s="1" t="s">
        <v>26757</v>
      </c>
      <c r="B6782" s="1" t="str">
        <f>"David  Hurley  Hurley's Recovery "</f>
        <v xml:space="preserve">David  Hurley  Hurley's Recovery </v>
      </c>
      <c r="C6782" s="1" t="s">
        <v>26758</v>
      </c>
      <c r="F6782" s="1" t="s">
        <v>1097</v>
      </c>
      <c r="H6782" s="1" t="s">
        <v>26759</v>
      </c>
      <c r="I6782" s="1" t="s">
        <v>5</v>
      </c>
      <c r="J6782" s="1" t="s">
        <v>6</v>
      </c>
      <c r="K6782" s="1" t="s">
        <v>34</v>
      </c>
      <c r="M6782" s="2">
        <v>42564</v>
      </c>
      <c r="N6782" s="1" t="s">
        <v>8</v>
      </c>
      <c r="O6782" s="2">
        <v>43659</v>
      </c>
    </row>
    <row r="6783" spans="1:15" ht="28.8" x14ac:dyDescent="0.3">
      <c r="A6783" s="1" t="s">
        <v>26760</v>
      </c>
      <c r="B6783" s="1" t="str">
        <f>"David Lewis Lewis Builder"</f>
        <v>David Lewis Lewis Builder</v>
      </c>
      <c r="C6783" s="1" t="s">
        <v>26761</v>
      </c>
      <c r="F6783" s="1" t="s">
        <v>17</v>
      </c>
      <c r="H6783" s="1" t="s">
        <v>3112</v>
      </c>
      <c r="I6783" s="1" t="s">
        <v>5</v>
      </c>
      <c r="J6783" s="1" t="s">
        <v>6</v>
      </c>
      <c r="K6783" s="1" t="s">
        <v>34</v>
      </c>
      <c r="M6783" s="2">
        <v>42564</v>
      </c>
      <c r="N6783" s="1" t="s">
        <v>8</v>
      </c>
      <c r="O6783" s="2">
        <v>43659</v>
      </c>
    </row>
    <row r="6784" spans="1:15" ht="43.2" x14ac:dyDescent="0.3">
      <c r="A6784" s="1" t="s">
        <v>27619</v>
      </c>
      <c r="B6784" s="1" t="str">
        <f>"Anthony Charles"</f>
        <v>Anthony Charles</v>
      </c>
      <c r="C6784" s="1" t="s">
        <v>27620</v>
      </c>
      <c r="F6784" s="1" t="s">
        <v>156</v>
      </c>
      <c r="H6784" s="1" t="s">
        <v>27621</v>
      </c>
      <c r="I6784" s="1" t="s">
        <v>5</v>
      </c>
      <c r="J6784" s="1" t="s">
        <v>67</v>
      </c>
      <c r="K6784" s="1" t="s">
        <v>14</v>
      </c>
      <c r="M6784" s="2">
        <v>42564</v>
      </c>
      <c r="N6784" s="1" t="s">
        <v>8</v>
      </c>
      <c r="O6784" s="1" t="s">
        <v>68</v>
      </c>
    </row>
    <row r="6785" spans="1:15" ht="28.8" x14ac:dyDescent="0.3">
      <c r="A6785" s="1" t="s">
        <v>27622</v>
      </c>
      <c r="B6785" s="1" t="str">
        <f>"gary brown G. B . Waste management"</f>
        <v>gary brown G. B . Waste management</v>
      </c>
      <c r="C6785" s="1" t="s">
        <v>27623</v>
      </c>
      <c r="F6785" s="1" t="s">
        <v>65</v>
      </c>
      <c r="H6785" s="1" t="s">
        <v>9574</v>
      </c>
      <c r="I6785" s="1" t="s">
        <v>5</v>
      </c>
      <c r="J6785" s="1" t="s">
        <v>6</v>
      </c>
      <c r="K6785" s="1" t="s">
        <v>24</v>
      </c>
      <c r="M6785" s="2">
        <v>42564</v>
      </c>
      <c r="N6785" s="1" t="s">
        <v>8</v>
      </c>
      <c r="O6785" s="2">
        <v>43659</v>
      </c>
    </row>
    <row r="6786" spans="1:15" ht="28.8" x14ac:dyDescent="0.3">
      <c r="A6786" s="1" t="s">
        <v>13490</v>
      </c>
      <c r="B6786" s="1" t="str">
        <f>"ORL METAL MANAGEMENT"</f>
        <v>ORL METAL MANAGEMENT</v>
      </c>
      <c r="C6786" s="1" t="s">
        <v>13491</v>
      </c>
      <c r="D6786" s="1" t="s">
        <v>6135</v>
      </c>
      <c r="F6786" s="1" t="s">
        <v>91</v>
      </c>
      <c r="H6786" s="1" t="s">
        <v>10669</v>
      </c>
      <c r="I6786" s="1" t="s">
        <v>19</v>
      </c>
      <c r="J6786" s="1" t="s">
        <v>6</v>
      </c>
      <c r="K6786" s="1" t="s">
        <v>34</v>
      </c>
      <c r="L6786" s="1">
        <v>9514554</v>
      </c>
      <c r="M6786" s="2">
        <v>42563</v>
      </c>
      <c r="N6786" s="1" t="s">
        <v>8</v>
      </c>
      <c r="O6786" s="2">
        <v>43658</v>
      </c>
    </row>
    <row r="6787" spans="1:15" ht="28.8" x14ac:dyDescent="0.3">
      <c r="A6787" s="1" t="s">
        <v>13492</v>
      </c>
      <c r="B6787" s="1" t="str">
        <f>"T Richard Jones (Betws) Ltd."</f>
        <v>T Richard Jones (Betws) Ltd.</v>
      </c>
      <c r="C6787" s="1" t="s">
        <v>13493</v>
      </c>
      <c r="F6787" s="1" t="s">
        <v>665</v>
      </c>
      <c r="G6787" s="1" t="s">
        <v>51</v>
      </c>
      <c r="H6787" s="1" t="s">
        <v>13494</v>
      </c>
      <c r="I6787" s="1" t="s">
        <v>19</v>
      </c>
      <c r="J6787" s="1" t="s">
        <v>6</v>
      </c>
      <c r="K6787" s="1" t="s">
        <v>24</v>
      </c>
      <c r="L6787" s="1">
        <v>1024603</v>
      </c>
      <c r="M6787" s="2">
        <v>42563</v>
      </c>
      <c r="N6787" s="1" t="s">
        <v>8</v>
      </c>
      <c r="O6787" s="2">
        <v>43656</v>
      </c>
    </row>
    <row r="6788" spans="1:15" ht="28.8" x14ac:dyDescent="0.3">
      <c r="A6788" s="1" t="s">
        <v>13495</v>
      </c>
      <c r="B6788" s="1" t="str">
        <f>"T &amp; D NON FERROUS METALS LTD"</f>
        <v>T &amp; D NON FERROUS METALS LTD</v>
      </c>
      <c r="C6788" s="1" t="s">
        <v>13496</v>
      </c>
      <c r="F6788" s="1" t="s">
        <v>65</v>
      </c>
      <c r="H6788" s="1" t="s">
        <v>13497</v>
      </c>
      <c r="I6788" s="1" t="s">
        <v>19</v>
      </c>
      <c r="J6788" s="1" t="s">
        <v>6</v>
      </c>
      <c r="K6788" s="1" t="s">
        <v>34</v>
      </c>
      <c r="L6788" s="1">
        <v>10227001</v>
      </c>
      <c r="M6788" s="2">
        <v>42563</v>
      </c>
      <c r="N6788" s="1" t="s">
        <v>8</v>
      </c>
      <c r="O6788" s="2">
        <v>43658</v>
      </c>
    </row>
    <row r="6789" spans="1:15" ht="28.8" x14ac:dyDescent="0.3">
      <c r="A6789" s="1" t="s">
        <v>13498</v>
      </c>
      <c r="B6789" s="1" t="str">
        <f>"Pembrey Plant"</f>
        <v>Pembrey Plant</v>
      </c>
      <c r="C6789" s="1" t="s">
        <v>13499</v>
      </c>
      <c r="D6789" s="1" t="s">
        <v>13500</v>
      </c>
      <c r="F6789" s="1" t="s">
        <v>2817</v>
      </c>
      <c r="H6789" s="1" t="s">
        <v>13501</v>
      </c>
      <c r="I6789" s="1" t="s">
        <v>125</v>
      </c>
      <c r="J6789" s="1" t="s">
        <v>6</v>
      </c>
      <c r="K6789" s="1" t="s">
        <v>34</v>
      </c>
      <c r="M6789" s="2">
        <v>42563</v>
      </c>
      <c r="N6789" s="1" t="s">
        <v>8</v>
      </c>
      <c r="O6789" s="2">
        <v>43658</v>
      </c>
    </row>
    <row r="6790" spans="1:15" ht="28.8" x14ac:dyDescent="0.3">
      <c r="A6790" s="1" t="s">
        <v>13502</v>
      </c>
      <c r="B6790" s="1" t="str">
        <f>"M Powell Building Services Ltd"</f>
        <v>M Powell Building Services Ltd</v>
      </c>
      <c r="C6790" s="1" t="s">
        <v>13503</v>
      </c>
      <c r="F6790" s="1" t="s">
        <v>205</v>
      </c>
      <c r="H6790" s="1" t="s">
        <v>13504</v>
      </c>
      <c r="I6790" s="1" t="s">
        <v>19</v>
      </c>
      <c r="J6790" s="1" t="s">
        <v>6</v>
      </c>
      <c r="K6790" s="1" t="s">
        <v>34</v>
      </c>
      <c r="L6790" s="1">
        <v>7905790</v>
      </c>
      <c r="M6790" s="2">
        <v>42563</v>
      </c>
      <c r="N6790" s="1" t="s">
        <v>8</v>
      </c>
      <c r="O6790" s="2">
        <v>43658</v>
      </c>
    </row>
    <row r="6791" spans="1:15" x14ac:dyDescent="0.3">
      <c r="A6791" s="1" t="s">
        <v>13505</v>
      </c>
      <c r="B6791" s="1" t="str">
        <f>"M Roberts Haulage LTD"</f>
        <v>M Roberts Haulage LTD</v>
      </c>
      <c r="C6791" s="1" t="s">
        <v>10904</v>
      </c>
      <c r="F6791" s="1" t="s">
        <v>1278</v>
      </c>
      <c r="H6791" s="1" t="s">
        <v>10905</v>
      </c>
      <c r="I6791" s="1" t="s">
        <v>19</v>
      </c>
      <c r="J6791" s="1" t="s">
        <v>6</v>
      </c>
      <c r="K6791" s="1" t="s">
        <v>24</v>
      </c>
      <c r="L6791" s="1">
        <v>5625053</v>
      </c>
      <c r="M6791" s="2">
        <v>42563</v>
      </c>
      <c r="N6791" s="1" t="s">
        <v>8</v>
      </c>
      <c r="O6791" s="2">
        <v>43658</v>
      </c>
    </row>
    <row r="6792" spans="1:15" ht="28.8" x14ac:dyDescent="0.3">
      <c r="A6792" s="1" t="s">
        <v>14353</v>
      </c>
      <c r="B6792" s="1" t="str">
        <f>"Dazzle Cleaning Services Cardiff "</f>
        <v xml:space="preserve">Dazzle Cleaning Services Cardiff </v>
      </c>
      <c r="C6792" s="1" t="s">
        <v>14354</v>
      </c>
      <c r="D6792" s="1" t="s">
        <v>14355</v>
      </c>
      <c r="F6792" s="1" t="s">
        <v>123</v>
      </c>
      <c r="H6792" s="1" t="s">
        <v>7587</v>
      </c>
      <c r="I6792" s="1" t="s">
        <v>19</v>
      </c>
      <c r="J6792" s="1" t="s">
        <v>6</v>
      </c>
      <c r="K6792" s="1" t="s">
        <v>24</v>
      </c>
      <c r="L6792" s="1">
        <v>8618533</v>
      </c>
      <c r="M6792" s="2">
        <v>42563</v>
      </c>
      <c r="N6792" s="1" t="s">
        <v>8</v>
      </c>
      <c r="O6792" s="2">
        <v>43658</v>
      </c>
    </row>
    <row r="6793" spans="1:15" ht="28.8" x14ac:dyDescent="0.3">
      <c r="A6793" s="1" t="s">
        <v>14356</v>
      </c>
      <c r="B6793" s="1" t="str">
        <f>"Flowline Heating and Plumbing Ltd "</f>
        <v xml:space="preserve">Flowline Heating and Plumbing Ltd </v>
      </c>
      <c r="C6793" s="1" t="s">
        <v>14357</v>
      </c>
      <c r="F6793" s="1" t="s">
        <v>170</v>
      </c>
      <c r="H6793" s="1" t="s">
        <v>14358</v>
      </c>
      <c r="I6793" s="1" t="s">
        <v>19</v>
      </c>
      <c r="J6793" s="1" t="s">
        <v>6</v>
      </c>
      <c r="K6793" s="1" t="s">
        <v>34</v>
      </c>
      <c r="L6793" s="1">
        <v>10226548</v>
      </c>
      <c r="M6793" s="2">
        <v>42563</v>
      </c>
      <c r="N6793" s="1" t="s">
        <v>8</v>
      </c>
      <c r="O6793" s="2">
        <v>43658</v>
      </c>
    </row>
    <row r="6794" spans="1:15" x14ac:dyDescent="0.3">
      <c r="A6794" s="1" t="s">
        <v>14359</v>
      </c>
      <c r="B6794" s="1" t="str">
        <f>"BFS"</f>
        <v>BFS</v>
      </c>
      <c r="C6794" s="1" t="s">
        <v>14360</v>
      </c>
      <c r="F6794" s="1" t="s">
        <v>865</v>
      </c>
      <c r="H6794" s="1" t="s">
        <v>14361</v>
      </c>
      <c r="I6794" s="1" t="s">
        <v>125</v>
      </c>
      <c r="J6794" s="1" t="s">
        <v>6</v>
      </c>
      <c r="K6794" s="1" t="s">
        <v>24</v>
      </c>
      <c r="M6794" s="2">
        <v>42563</v>
      </c>
      <c r="N6794" s="1" t="s">
        <v>8</v>
      </c>
      <c r="O6794" s="2">
        <v>43658</v>
      </c>
    </row>
    <row r="6795" spans="1:15" ht="43.2" x14ac:dyDescent="0.3">
      <c r="A6795" s="1" t="s">
        <v>26021</v>
      </c>
      <c r="B6795" s="1" t="str">
        <f>"David Wheater David Wheater &amp; Tom Wheater"</f>
        <v>David Wheater David Wheater &amp; Tom Wheater</v>
      </c>
      <c r="C6795" s="1" t="s">
        <v>26022</v>
      </c>
      <c r="F6795" s="1" t="s">
        <v>380</v>
      </c>
      <c r="H6795" s="1" t="s">
        <v>26023</v>
      </c>
      <c r="I6795" s="1" t="s">
        <v>5</v>
      </c>
      <c r="J6795" s="1" t="s">
        <v>6</v>
      </c>
      <c r="K6795" s="1" t="s">
        <v>24</v>
      </c>
      <c r="M6795" s="2">
        <v>42563</v>
      </c>
      <c r="N6795" s="1" t="s">
        <v>8</v>
      </c>
      <c r="O6795" s="2">
        <v>43658</v>
      </c>
    </row>
    <row r="6796" spans="1:15" x14ac:dyDescent="0.3">
      <c r="A6796" s="1" t="s">
        <v>26024</v>
      </c>
      <c r="B6796" s="1" t="str">
        <f>"Paul Holley Paul Holley"</f>
        <v>Paul Holley Paul Holley</v>
      </c>
      <c r="C6796" s="1" t="s">
        <v>26025</v>
      </c>
      <c r="F6796" s="1" t="s">
        <v>380</v>
      </c>
      <c r="H6796" s="1" t="s">
        <v>26026</v>
      </c>
      <c r="I6796" s="1" t="s">
        <v>5</v>
      </c>
      <c r="J6796" s="1" t="s">
        <v>6</v>
      </c>
      <c r="K6796" s="1" t="s">
        <v>24</v>
      </c>
      <c r="M6796" s="2">
        <v>42563</v>
      </c>
      <c r="N6796" s="1" t="s">
        <v>8</v>
      </c>
      <c r="O6796" s="2">
        <v>43658</v>
      </c>
    </row>
    <row r="6797" spans="1:15" x14ac:dyDescent="0.3">
      <c r="A6797" s="1" t="s">
        <v>26027</v>
      </c>
      <c r="B6797" s="1" t="str">
        <f>"John Howard Williams"</f>
        <v>John Howard Williams</v>
      </c>
      <c r="C6797" s="1" t="s">
        <v>22055</v>
      </c>
      <c r="D6797" s="1" t="s">
        <v>22056</v>
      </c>
      <c r="E6797" s="1" t="s">
        <v>22057</v>
      </c>
      <c r="F6797" s="1" t="s">
        <v>65</v>
      </c>
      <c r="H6797" s="1" t="s">
        <v>22058</v>
      </c>
      <c r="I6797" s="1" t="s">
        <v>5</v>
      </c>
      <c r="J6797" s="1" t="s">
        <v>6</v>
      </c>
      <c r="K6797" s="1" t="s">
        <v>24</v>
      </c>
      <c r="M6797" s="2">
        <v>42563</v>
      </c>
      <c r="N6797" s="1" t="s">
        <v>8</v>
      </c>
      <c r="O6797" s="2">
        <v>43658</v>
      </c>
    </row>
    <row r="6798" spans="1:15" ht="43.2" x14ac:dyDescent="0.3">
      <c r="A6798" s="1" t="s">
        <v>26028</v>
      </c>
      <c r="B6798" s="1" t="str">
        <f>"Dean Thomas"</f>
        <v>Dean Thomas</v>
      </c>
      <c r="C6798" s="1" t="s">
        <v>26029</v>
      </c>
      <c r="F6798" s="1" t="s">
        <v>290</v>
      </c>
      <c r="H6798" s="1" t="s">
        <v>26030</v>
      </c>
      <c r="I6798" s="1" t="s">
        <v>5</v>
      </c>
      <c r="J6798" s="1" t="s">
        <v>67</v>
      </c>
      <c r="K6798" s="1" t="s">
        <v>14</v>
      </c>
      <c r="M6798" s="2">
        <v>42563</v>
      </c>
      <c r="N6798" s="1" t="s">
        <v>8</v>
      </c>
      <c r="O6798" s="1" t="s">
        <v>68</v>
      </c>
    </row>
    <row r="6799" spans="1:15" ht="43.2" x14ac:dyDescent="0.3">
      <c r="A6799" s="1" t="s">
        <v>26031</v>
      </c>
      <c r="B6799" s="1" t="str">
        <f>"Harold Bennett "</f>
        <v xml:space="preserve">Harold Bennett </v>
      </c>
      <c r="C6799" s="1" t="s">
        <v>26032</v>
      </c>
      <c r="F6799" s="1" t="s">
        <v>83</v>
      </c>
      <c r="H6799" s="1" t="s">
        <v>26033</v>
      </c>
      <c r="I6799" s="1" t="s">
        <v>5</v>
      </c>
      <c r="J6799" s="1" t="s">
        <v>67</v>
      </c>
      <c r="K6799" s="1" t="s">
        <v>14</v>
      </c>
      <c r="M6799" s="2">
        <v>42563</v>
      </c>
      <c r="N6799" s="1" t="s">
        <v>8</v>
      </c>
      <c r="O6799" s="1" t="s">
        <v>68</v>
      </c>
    </row>
    <row r="6800" spans="1:15" ht="43.2" x14ac:dyDescent="0.3">
      <c r="A6800" s="1" t="s">
        <v>26742</v>
      </c>
      <c r="B6800" s="1" t="str">
        <f>"Bob  Graham Bob Graham Kitchen &amp; Bathroom "</f>
        <v xml:space="preserve">Bob  Graham Bob Graham Kitchen &amp; Bathroom </v>
      </c>
      <c r="C6800" s="1" t="s">
        <v>26743</v>
      </c>
      <c r="F6800" s="1" t="s">
        <v>4813</v>
      </c>
      <c r="H6800" s="1" t="s">
        <v>26744</v>
      </c>
      <c r="I6800" s="1" t="s">
        <v>5</v>
      </c>
      <c r="J6800" s="1" t="s">
        <v>67</v>
      </c>
      <c r="K6800" s="1" t="s">
        <v>34</v>
      </c>
      <c r="M6800" s="2">
        <v>42563</v>
      </c>
      <c r="N6800" s="1" t="s">
        <v>8</v>
      </c>
      <c r="O6800" s="1" t="s">
        <v>68</v>
      </c>
    </row>
    <row r="6801" spans="1:15" ht="28.8" x14ac:dyDescent="0.3">
      <c r="A6801" s="1" t="s">
        <v>26745</v>
      </c>
      <c r="B6801" s="1" t="str">
        <f>"Sam England 3 Steps"</f>
        <v>Sam England 3 Steps</v>
      </c>
      <c r="C6801" s="1" t="s">
        <v>26746</v>
      </c>
      <c r="F6801" s="1" t="s">
        <v>65</v>
      </c>
      <c r="H6801" s="1" t="s">
        <v>26747</v>
      </c>
      <c r="I6801" s="1" t="s">
        <v>5</v>
      </c>
      <c r="J6801" s="1" t="s">
        <v>6</v>
      </c>
      <c r="K6801" s="1" t="s">
        <v>24</v>
      </c>
      <c r="M6801" s="2">
        <v>42563</v>
      </c>
      <c r="N6801" s="1" t="s">
        <v>8</v>
      </c>
      <c r="O6801" s="2">
        <v>43658</v>
      </c>
    </row>
    <row r="6802" spans="1:15" ht="28.8" x14ac:dyDescent="0.3">
      <c r="A6802" s="1" t="s">
        <v>26748</v>
      </c>
      <c r="B6802" s="1" t="str">
        <f>"Phillip Oliver Phillip oliver"</f>
        <v>Phillip Oliver Phillip oliver</v>
      </c>
      <c r="C6802" s="1" t="s">
        <v>26749</v>
      </c>
      <c r="F6802" s="1" t="s">
        <v>2711</v>
      </c>
      <c r="H6802" s="1" t="s">
        <v>26750</v>
      </c>
      <c r="I6802" s="1" t="s">
        <v>5</v>
      </c>
      <c r="J6802" s="1" t="s">
        <v>6</v>
      </c>
      <c r="K6802" s="1" t="s">
        <v>24</v>
      </c>
      <c r="M6802" s="2">
        <v>42563</v>
      </c>
      <c r="N6802" s="1" t="s">
        <v>8</v>
      </c>
      <c r="O6802" s="2">
        <v>43658</v>
      </c>
    </row>
    <row r="6803" spans="1:15" ht="43.2" x14ac:dyDescent="0.3">
      <c r="A6803" s="1" t="s">
        <v>26751</v>
      </c>
      <c r="B6803" s="1" t="str">
        <f>"russell davies"</f>
        <v>russell davies</v>
      </c>
      <c r="C6803" s="1" t="s">
        <v>26752</v>
      </c>
      <c r="F6803" s="1" t="s">
        <v>42</v>
      </c>
      <c r="H6803" s="1" t="s">
        <v>26753</v>
      </c>
      <c r="I6803" s="1" t="s">
        <v>5</v>
      </c>
      <c r="J6803" s="1" t="s">
        <v>67</v>
      </c>
      <c r="K6803" s="1" t="s">
        <v>14</v>
      </c>
      <c r="M6803" s="2">
        <v>42563</v>
      </c>
      <c r="N6803" s="1" t="s">
        <v>8</v>
      </c>
      <c r="O6803" s="1" t="s">
        <v>68</v>
      </c>
    </row>
    <row r="6804" spans="1:15" ht="28.8" x14ac:dyDescent="0.3">
      <c r="A6804" s="1" t="s">
        <v>12357</v>
      </c>
      <c r="B6804" s="1" t="str">
        <f>"TRENT'S (SOUTH WEST) LTD"</f>
        <v>TRENT'S (SOUTH WEST) LTD</v>
      </c>
      <c r="C6804" s="1" t="s">
        <v>12358</v>
      </c>
      <c r="F6804" s="1" t="s">
        <v>5459</v>
      </c>
      <c r="H6804" s="1" t="s">
        <v>12359</v>
      </c>
      <c r="I6804" s="1" t="s">
        <v>19</v>
      </c>
      <c r="J6804" s="1" t="s">
        <v>6</v>
      </c>
      <c r="K6804" s="1" t="s">
        <v>34</v>
      </c>
      <c r="L6804" s="1">
        <v>8566297</v>
      </c>
      <c r="M6804" s="2">
        <v>42562</v>
      </c>
      <c r="N6804" s="1" t="s">
        <v>8</v>
      </c>
      <c r="O6804" s="2">
        <v>43657</v>
      </c>
    </row>
    <row r="6805" spans="1:15" ht="28.8" x14ac:dyDescent="0.3">
      <c r="A6805" s="1" t="s">
        <v>12360</v>
      </c>
      <c r="B6805" s="1" t="str">
        <f>"ELECTRO MAIN LTD"</f>
        <v>ELECTRO MAIN LTD</v>
      </c>
      <c r="C6805" s="1" t="s">
        <v>12361</v>
      </c>
      <c r="D6805" s="1" t="s">
        <v>3087</v>
      </c>
      <c r="E6805" s="1" t="s">
        <v>3088</v>
      </c>
      <c r="F6805" s="1" t="s">
        <v>27</v>
      </c>
      <c r="H6805" s="1" t="s">
        <v>3089</v>
      </c>
      <c r="I6805" s="1" t="s">
        <v>19</v>
      </c>
      <c r="J6805" s="1" t="s">
        <v>6</v>
      </c>
      <c r="K6805" s="1" t="s">
        <v>34</v>
      </c>
      <c r="L6805" s="1">
        <v>5854687</v>
      </c>
      <c r="M6805" s="2">
        <v>42562</v>
      </c>
      <c r="N6805" s="1" t="s">
        <v>8</v>
      </c>
      <c r="O6805" s="2">
        <v>43657</v>
      </c>
    </row>
    <row r="6806" spans="1:15" ht="43.2" x14ac:dyDescent="0.3">
      <c r="A6806" s="1" t="s">
        <v>12362</v>
      </c>
      <c r="B6806" s="1" t="str">
        <f>"M&amp;C Jones Building Contractors Ltd."</f>
        <v>M&amp;C Jones Building Contractors Ltd.</v>
      </c>
      <c r="C6806" s="1" t="s">
        <v>12363</v>
      </c>
      <c r="D6806" s="1" t="s">
        <v>475</v>
      </c>
      <c r="F6806" s="1" t="s">
        <v>476</v>
      </c>
      <c r="H6806" s="1" t="s">
        <v>12364</v>
      </c>
      <c r="I6806" s="1" t="s">
        <v>19</v>
      </c>
      <c r="J6806" s="1" t="s">
        <v>6</v>
      </c>
      <c r="K6806" s="1" t="s">
        <v>24</v>
      </c>
      <c r="L6806" s="1">
        <v>4763090</v>
      </c>
      <c r="M6806" s="2">
        <v>42562</v>
      </c>
      <c r="N6806" s="1" t="s">
        <v>8</v>
      </c>
      <c r="O6806" s="2">
        <v>43657</v>
      </c>
    </row>
    <row r="6807" spans="1:15" ht="43.2" x14ac:dyDescent="0.3">
      <c r="A6807" s="1" t="s">
        <v>12365</v>
      </c>
      <c r="B6807" s="1" t="str">
        <f>"Mike bailey heating ltd"</f>
        <v>Mike bailey heating ltd</v>
      </c>
      <c r="C6807" s="1" t="s">
        <v>12366</v>
      </c>
      <c r="F6807" s="1" t="s">
        <v>22</v>
      </c>
      <c r="H6807" s="1" t="s">
        <v>12367</v>
      </c>
      <c r="I6807" s="1" t="s">
        <v>19</v>
      </c>
      <c r="J6807" s="1" t="s">
        <v>67</v>
      </c>
      <c r="K6807" s="1" t="s">
        <v>14</v>
      </c>
      <c r="M6807" s="2">
        <v>42562</v>
      </c>
      <c r="N6807" s="1" t="s">
        <v>8</v>
      </c>
      <c r="O6807" s="1" t="s">
        <v>68</v>
      </c>
    </row>
    <row r="6808" spans="1:15" ht="28.8" x14ac:dyDescent="0.3">
      <c r="A6808" s="1" t="s">
        <v>12368</v>
      </c>
      <c r="B6808" s="1" t="str">
        <f>"a &amp; j electrical contractors"</f>
        <v>a &amp; j electrical contractors</v>
      </c>
      <c r="C6808" s="1" t="s">
        <v>12369</v>
      </c>
      <c r="F6808" s="1" t="s">
        <v>1584</v>
      </c>
      <c r="H6808" s="1" t="s">
        <v>12370</v>
      </c>
      <c r="I6808" s="1" t="s">
        <v>125</v>
      </c>
      <c r="J6808" s="1" t="s">
        <v>6</v>
      </c>
      <c r="K6808" s="1" t="s">
        <v>24</v>
      </c>
      <c r="M6808" s="2">
        <v>42562</v>
      </c>
      <c r="N6808" s="1" t="s">
        <v>8</v>
      </c>
      <c r="O6808" s="2">
        <v>43657</v>
      </c>
    </row>
    <row r="6809" spans="1:15" ht="28.8" x14ac:dyDescent="0.3">
      <c r="A6809" s="1" t="s">
        <v>12371</v>
      </c>
      <c r="B6809" s="1" t="str">
        <f>"winters haulage ltd"</f>
        <v>winters haulage ltd</v>
      </c>
      <c r="C6809" s="1" t="s">
        <v>12372</v>
      </c>
      <c r="F6809" s="1" t="s">
        <v>5649</v>
      </c>
      <c r="H6809" s="1" t="s">
        <v>12373</v>
      </c>
      <c r="I6809" s="1" t="s">
        <v>19</v>
      </c>
      <c r="J6809" s="1" t="s">
        <v>6</v>
      </c>
      <c r="K6809" s="1" t="s">
        <v>34</v>
      </c>
      <c r="L6809" s="1">
        <v>2479925</v>
      </c>
      <c r="M6809" s="2">
        <v>42562</v>
      </c>
      <c r="N6809" s="1" t="s">
        <v>8</v>
      </c>
      <c r="O6809" s="2">
        <v>43657</v>
      </c>
    </row>
    <row r="6810" spans="1:15" x14ac:dyDescent="0.3">
      <c r="A6810" s="1" t="s">
        <v>12374</v>
      </c>
      <c r="B6810" s="1" t="str">
        <f>"IDM Doors Limited"</f>
        <v>IDM Doors Limited</v>
      </c>
      <c r="C6810" s="1" t="s">
        <v>12375</v>
      </c>
      <c r="F6810" s="1" t="s">
        <v>91</v>
      </c>
      <c r="H6810" s="1" t="s">
        <v>8914</v>
      </c>
      <c r="I6810" s="1" t="s">
        <v>19</v>
      </c>
      <c r="J6810" s="1" t="s">
        <v>6</v>
      </c>
      <c r="K6810" s="1" t="s">
        <v>24</v>
      </c>
      <c r="L6810" s="1">
        <v>5613742</v>
      </c>
      <c r="M6810" s="2">
        <v>42562</v>
      </c>
      <c r="N6810" s="1" t="s">
        <v>8</v>
      </c>
      <c r="O6810" s="2">
        <v>43657</v>
      </c>
    </row>
    <row r="6811" spans="1:15" ht="43.2" x14ac:dyDescent="0.3">
      <c r="A6811" s="1" t="s">
        <v>13486</v>
      </c>
      <c r="B6811" s="1" t="str">
        <f>"a class mot service centre"</f>
        <v>a class mot service centre</v>
      </c>
      <c r="C6811" s="1" t="s">
        <v>13487</v>
      </c>
      <c r="D6811" s="1" t="s">
        <v>13488</v>
      </c>
      <c r="F6811" s="1" t="s">
        <v>5963</v>
      </c>
      <c r="H6811" s="1" t="s">
        <v>13489</v>
      </c>
      <c r="I6811" s="1" t="s">
        <v>125</v>
      </c>
      <c r="J6811" s="1" t="s">
        <v>67</v>
      </c>
      <c r="K6811" s="1" t="s">
        <v>14</v>
      </c>
      <c r="M6811" s="2">
        <v>42562</v>
      </c>
      <c r="N6811" s="1" t="s">
        <v>8</v>
      </c>
      <c r="O6811" s="1" t="s">
        <v>68</v>
      </c>
    </row>
    <row r="6812" spans="1:15" ht="43.2" x14ac:dyDescent="0.3">
      <c r="A6812" s="1" t="s">
        <v>25273</v>
      </c>
      <c r="B6812" s="1" t="str">
        <f>"Stephen Chomyn"</f>
        <v>Stephen Chomyn</v>
      </c>
      <c r="C6812" s="1" t="s">
        <v>25274</v>
      </c>
      <c r="F6812" s="1" t="s">
        <v>91</v>
      </c>
      <c r="H6812" s="1" t="s">
        <v>25275</v>
      </c>
      <c r="I6812" s="1" t="s">
        <v>5</v>
      </c>
      <c r="J6812" s="1" t="s">
        <v>67</v>
      </c>
      <c r="K6812" s="1" t="s">
        <v>14</v>
      </c>
      <c r="M6812" s="2">
        <v>42562</v>
      </c>
      <c r="N6812" s="1" t="s">
        <v>8</v>
      </c>
      <c r="O6812" s="1" t="s">
        <v>68</v>
      </c>
    </row>
    <row r="6813" spans="1:15" ht="43.2" x14ac:dyDescent="0.3">
      <c r="A6813" s="1" t="s">
        <v>25276</v>
      </c>
      <c r="B6813" s="1" t="str">
        <f>"Ian Rees"</f>
        <v>Ian Rees</v>
      </c>
      <c r="C6813" s="1" t="s">
        <v>25277</v>
      </c>
      <c r="F6813" s="1" t="s">
        <v>1351</v>
      </c>
      <c r="H6813" s="1" t="s">
        <v>25278</v>
      </c>
      <c r="I6813" s="1" t="s">
        <v>5</v>
      </c>
      <c r="J6813" s="1" t="s">
        <v>67</v>
      </c>
      <c r="K6813" s="1" t="s">
        <v>14</v>
      </c>
      <c r="M6813" s="2">
        <v>42562</v>
      </c>
      <c r="N6813" s="1" t="s">
        <v>8</v>
      </c>
      <c r="O6813" s="1" t="s">
        <v>68</v>
      </c>
    </row>
    <row r="6814" spans="1:15" ht="43.2" x14ac:dyDescent="0.3">
      <c r="A6814" s="1" t="s">
        <v>25279</v>
      </c>
      <c r="B6814" s="1" t="str">
        <f>"Terence Ely"</f>
        <v>Terence Ely</v>
      </c>
      <c r="C6814" s="1" t="s">
        <v>25280</v>
      </c>
      <c r="F6814" s="1" t="s">
        <v>1351</v>
      </c>
      <c r="H6814" s="1" t="s">
        <v>25281</v>
      </c>
      <c r="I6814" s="1" t="s">
        <v>5</v>
      </c>
      <c r="J6814" s="1" t="s">
        <v>67</v>
      </c>
      <c r="K6814" s="1" t="s">
        <v>14</v>
      </c>
      <c r="M6814" s="2">
        <v>42562</v>
      </c>
      <c r="N6814" s="1" t="s">
        <v>8</v>
      </c>
      <c r="O6814" s="1" t="s">
        <v>68</v>
      </c>
    </row>
    <row r="6815" spans="1:15" ht="28.8" x14ac:dyDescent="0.3">
      <c r="A6815" s="1" t="s">
        <v>26012</v>
      </c>
      <c r="B6815" s="1" t="str">
        <f>"Richard Dombrowski C G Maintenance"</f>
        <v>Richard Dombrowski C G Maintenance</v>
      </c>
      <c r="C6815" s="1" t="s">
        <v>26013</v>
      </c>
      <c r="F6815" s="1" t="s">
        <v>91</v>
      </c>
      <c r="H6815" s="1" t="s">
        <v>26014</v>
      </c>
      <c r="I6815" s="1" t="s">
        <v>5</v>
      </c>
      <c r="J6815" s="1" t="s">
        <v>6</v>
      </c>
      <c r="K6815" s="1" t="s">
        <v>24</v>
      </c>
      <c r="M6815" s="2">
        <v>42562</v>
      </c>
      <c r="N6815" s="1" t="s">
        <v>8</v>
      </c>
      <c r="O6815" s="2">
        <v>43657</v>
      </c>
    </row>
    <row r="6816" spans="1:15" ht="28.8" x14ac:dyDescent="0.3">
      <c r="A6816" s="1" t="s">
        <v>26015</v>
      </c>
      <c r="B6816" s="1" t="str">
        <f>"Roger Tinklin Roger Tinklin"</f>
        <v>Roger Tinklin Roger Tinklin</v>
      </c>
      <c r="C6816" s="1" t="s">
        <v>26016</v>
      </c>
      <c r="F6816" s="1" t="s">
        <v>364</v>
      </c>
      <c r="H6816" s="1" t="s">
        <v>26017</v>
      </c>
      <c r="I6816" s="1" t="s">
        <v>5</v>
      </c>
      <c r="J6816" s="1" t="s">
        <v>6</v>
      </c>
      <c r="K6816" s="1" t="s">
        <v>24</v>
      </c>
      <c r="M6816" s="2">
        <v>42562</v>
      </c>
      <c r="N6816" s="1" t="s">
        <v>8</v>
      </c>
      <c r="O6816" s="2">
        <v>43657</v>
      </c>
    </row>
    <row r="6817" spans="1:15" ht="28.8" x14ac:dyDescent="0.3">
      <c r="A6817" s="1" t="s">
        <v>26018</v>
      </c>
      <c r="B6817" s="1" t="str">
        <f>"KEVIN WILSON KFC WASTE DISPOSAL"</f>
        <v>KEVIN WILSON KFC WASTE DISPOSAL</v>
      </c>
      <c r="C6817" s="1" t="s">
        <v>26019</v>
      </c>
      <c r="F6817" s="1" t="s">
        <v>83</v>
      </c>
      <c r="H6817" s="1" t="s">
        <v>26020</v>
      </c>
      <c r="I6817" s="1" t="s">
        <v>5</v>
      </c>
      <c r="J6817" s="1" t="s">
        <v>6</v>
      </c>
      <c r="K6817" s="1" t="s">
        <v>24</v>
      </c>
      <c r="M6817" s="2">
        <v>42562</v>
      </c>
      <c r="N6817" s="1" t="s">
        <v>8</v>
      </c>
      <c r="O6817" s="2">
        <v>43657</v>
      </c>
    </row>
    <row r="6818" spans="1:15" ht="28.8" x14ac:dyDescent="0.3">
      <c r="A6818" s="1" t="s">
        <v>12352</v>
      </c>
      <c r="B6818" s="1" t="str">
        <f>"Westgate Pallets Ltd."</f>
        <v>Westgate Pallets Ltd.</v>
      </c>
      <c r="C6818" s="1" t="s">
        <v>12353</v>
      </c>
      <c r="F6818" s="1" t="s">
        <v>1058</v>
      </c>
      <c r="H6818" s="1" t="s">
        <v>11435</v>
      </c>
      <c r="I6818" s="1" t="s">
        <v>19</v>
      </c>
      <c r="J6818" s="1" t="s">
        <v>6</v>
      </c>
      <c r="K6818" s="1" t="s">
        <v>24</v>
      </c>
      <c r="L6818" s="1">
        <v>5487060</v>
      </c>
      <c r="M6818" s="2">
        <v>42561</v>
      </c>
      <c r="N6818" s="1" t="s">
        <v>8</v>
      </c>
      <c r="O6818" s="2">
        <v>43656</v>
      </c>
    </row>
    <row r="6819" spans="1:15" ht="28.8" x14ac:dyDescent="0.3">
      <c r="A6819" s="1" t="s">
        <v>12354</v>
      </c>
      <c r="B6819" s="1" t="str">
        <f>"AWD (Group) Ltd"</f>
        <v>AWD (Group) Ltd</v>
      </c>
      <c r="C6819" s="1" t="s">
        <v>12355</v>
      </c>
      <c r="F6819" s="1" t="s">
        <v>174</v>
      </c>
      <c r="H6819" s="1" t="s">
        <v>12356</v>
      </c>
      <c r="I6819" s="1" t="s">
        <v>19</v>
      </c>
      <c r="J6819" s="1" t="s">
        <v>6</v>
      </c>
      <c r="K6819" s="1" t="s">
        <v>34</v>
      </c>
      <c r="L6819" s="1">
        <v>9374296</v>
      </c>
      <c r="M6819" s="2">
        <v>42561</v>
      </c>
      <c r="N6819" s="1" t="s">
        <v>8</v>
      </c>
      <c r="O6819" s="2">
        <v>43656</v>
      </c>
    </row>
    <row r="6820" spans="1:15" ht="43.2" x14ac:dyDescent="0.3">
      <c r="A6820" s="1" t="s">
        <v>25263</v>
      </c>
      <c r="B6820" s="1" t="str">
        <f>"CARL  OWEN Joinery And Property Maintenance"</f>
        <v>CARL  OWEN Joinery And Property Maintenance</v>
      </c>
      <c r="C6820" s="1" t="s">
        <v>25264</v>
      </c>
      <c r="F6820" s="1" t="s">
        <v>4731</v>
      </c>
      <c r="H6820" s="1" t="s">
        <v>25265</v>
      </c>
      <c r="I6820" s="1" t="s">
        <v>5</v>
      </c>
      <c r="J6820" s="1" t="s">
        <v>6</v>
      </c>
      <c r="K6820" s="1" t="s">
        <v>24</v>
      </c>
      <c r="M6820" s="2">
        <v>42561</v>
      </c>
      <c r="N6820" s="1" t="s">
        <v>8</v>
      </c>
      <c r="O6820" s="2">
        <v>43656</v>
      </c>
    </row>
    <row r="6821" spans="1:15" ht="28.8" x14ac:dyDescent="0.3">
      <c r="A6821" s="1" t="s">
        <v>25266</v>
      </c>
      <c r="B6821" s="1" t="str">
        <f>"Arthur Jones A.S.JONES"</f>
        <v>Arthur Jones A.S.JONES</v>
      </c>
      <c r="C6821" s="1" t="s">
        <v>25267</v>
      </c>
      <c r="D6821" s="1" t="s">
        <v>25268</v>
      </c>
      <c r="F6821" s="1" t="s">
        <v>1093</v>
      </c>
      <c r="H6821" s="1" t="s">
        <v>25269</v>
      </c>
      <c r="I6821" s="1" t="s">
        <v>5</v>
      </c>
      <c r="J6821" s="1" t="s">
        <v>6</v>
      </c>
      <c r="K6821" s="1" t="s">
        <v>34</v>
      </c>
      <c r="M6821" s="2">
        <v>42561</v>
      </c>
      <c r="N6821" s="1" t="s">
        <v>8</v>
      </c>
      <c r="O6821" s="2">
        <v>43686</v>
      </c>
    </row>
    <row r="6822" spans="1:15" ht="28.8" x14ac:dyDescent="0.3">
      <c r="A6822" s="1" t="s">
        <v>25270</v>
      </c>
      <c r="B6822" s="1" t="str">
        <f>"paul jarman Paul Jarman"</f>
        <v>paul jarman Paul Jarman</v>
      </c>
      <c r="C6822" s="1" t="s">
        <v>25271</v>
      </c>
      <c r="F6822" s="1" t="s">
        <v>1818</v>
      </c>
      <c r="H6822" s="1" t="s">
        <v>25272</v>
      </c>
      <c r="I6822" s="1" t="s">
        <v>5</v>
      </c>
      <c r="J6822" s="1" t="s">
        <v>6</v>
      </c>
      <c r="K6822" s="1" t="s">
        <v>24</v>
      </c>
      <c r="M6822" s="2">
        <v>42561</v>
      </c>
      <c r="N6822" s="1" t="s">
        <v>8</v>
      </c>
      <c r="O6822" s="2">
        <v>43656</v>
      </c>
    </row>
    <row r="6823" spans="1:15" ht="43.2" x14ac:dyDescent="0.3">
      <c r="A6823" s="1" t="s">
        <v>11442</v>
      </c>
      <c r="B6823" s="1" t="str">
        <f>"clc grounds maintenance ltd"</f>
        <v>clc grounds maintenance ltd</v>
      </c>
      <c r="C6823" s="1" t="s">
        <v>11443</v>
      </c>
      <c r="F6823" s="1" t="s">
        <v>11444</v>
      </c>
      <c r="H6823" s="1" t="s">
        <v>11445</v>
      </c>
      <c r="I6823" s="1" t="s">
        <v>19</v>
      </c>
      <c r="J6823" s="1" t="s">
        <v>67</v>
      </c>
      <c r="K6823" s="1" t="s">
        <v>14</v>
      </c>
      <c r="M6823" s="2">
        <v>42560</v>
      </c>
      <c r="N6823" s="1" t="s">
        <v>8</v>
      </c>
      <c r="O6823" s="1" t="s">
        <v>68</v>
      </c>
    </row>
    <row r="6824" spans="1:15" ht="43.2" x14ac:dyDescent="0.3">
      <c r="A6824" s="1" t="s">
        <v>11446</v>
      </c>
      <c r="B6824" s="1" t="str">
        <f>"Valiant Facilities Management"</f>
        <v>Valiant Facilities Management</v>
      </c>
      <c r="C6824" s="1" t="s">
        <v>11447</v>
      </c>
      <c r="F6824" s="1" t="s">
        <v>91</v>
      </c>
      <c r="H6824" s="1" t="s">
        <v>11448</v>
      </c>
      <c r="I6824" s="1" t="s">
        <v>19</v>
      </c>
      <c r="J6824" s="1" t="s">
        <v>67</v>
      </c>
      <c r="K6824" s="1" t="s">
        <v>14</v>
      </c>
      <c r="M6824" s="2">
        <v>42560</v>
      </c>
      <c r="N6824" s="1" t="s">
        <v>8</v>
      </c>
      <c r="O6824" s="1" t="s">
        <v>68</v>
      </c>
    </row>
    <row r="6825" spans="1:15" ht="43.2" x14ac:dyDescent="0.3">
      <c r="A6825" s="1" t="s">
        <v>24445</v>
      </c>
      <c r="B6825" s="1" t="str">
        <f>"Ryan Williams"</f>
        <v>Ryan Williams</v>
      </c>
      <c r="C6825" s="1" t="s">
        <v>24446</v>
      </c>
      <c r="F6825" s="1" t="s">
        <v>42</v>
      </c>
      <c r="H6825" s="1" t="s">
        <v>24447</v>
      </c>
      <c r="I6825" s="1" t="s">
        <v>5</v>
      </c>
      <c r="J6825" s="1" t="s">
        <v>67</v>
      </c>
      <c r="K6825" s="1" t="s">
        <v>24</v>
      </c>
      <c r="M6825" s="2">
        <v>42560</v>
      </c>
      <c r="N6825" s="1" t="s">
        <v>8</v>
      </c>
      <c r="O6825" s="1" t="s">
        <v>68</v>
      </c>
    </row>
    <row r="6826" spans="1:15" x14ac:dyDescent="0.3">
      <c r="A6826" s="1" t="s">
        <v>11428</v>
      </c>
      <c r="B6826" s="1" t="str">
        <f>"TP &amp; P Morgan"</f>
        <v>TP &amp; P Morgan</v>
      </c>
      <c r="C6826" s="1" t="s">
        <v>11429</v>
      </c>
      <c r="D6826" s="1" t="s">
        <v>7609</v>
      </c>
      <c r="F6826" s="1" t="s">
        <v>11430</v>
      </c>
      <c r="H6826" s="1" t="s">
        <v>11431</v>
      </c>
      <c r="I6826" s="1" t="s">
        <v>125</v>
      </c>
      <c r="J6826" s="1" t="s">
        <v>6</v>
      </c>
      <c r="K6826" s="1" t="s">
        <v>24</v>
      </c>
      <c r="M6826" s="2">
        <v>42559</v>
      </c>
      <c r="N6826" s="1" t="s">
        <v>8</v>
      </c>
      <c r="O6826" s="2">
        <v>43654</v>
      </c>
    </row>
    <row r="6827" spans="1:15" ht="28.8" x14ac:dyDescent="0.3">
      <c r="A6827" s="1" t="s">
        <v>11432</v>
      </c>
      <c r="B6827" s="1" t="str">
        <f>"DARLOW LLOYD (CONSTRUCTION) LTD"</f>
        <v>DARLOW LLOYD (CONSTRUCTION) LTD</v>
      </c>
      <c r="C6827" s="1" t="s">
        <v>7980</v>
      </c>
      <c r="F6827" s="1" t="s">
        <v>865</v>
      </c>
      <c r="H6827" s="1" t="s">
        <v>7981</v>
      </c>
      <c r="I6827" s="1" t="s">
        <v>19</v>
      </c>
      <c r="J6827" s="1" t="s">
        <v>6</v>
      </c>
      <c r="K6827" s="1" t="s">
        <v>34</v>
      </c>
      <c r="L6827" s="1">
        <v>6666208</v>
      </c>
      <c r="M6827" s="2">
        <v>42559</v>
      </c>
      <c r="N6827" s="1" t="s">
        <v>8</v>
      </c>
      <c r="O6827" s="2">
        <v>43654</v>
      </c>
    </row>
    <row r="6828" spans="1:15" ht="43.2" x14ac:dyDescent="0.3">
      <c r="A6828" s="1" t="s">
        <v>11433</v>
      </c>
      <c r="B6828" s="1" t="str">
        <f>"Westgate Pallets Ltd."</f>
        <v>Westgate Pallets Ltd.</v>
      </c>
      <c r="C6828" s="1" t="s">
        <v>11434</v>
      </c>
      <c r="F6828" s="1" t="s">
        <v>1058</v>
      </c>
      <c r="H6828" s="1" t="s">
        <v>11435</v>
      </c>
      <c r="I6828" s="1" t="s">
        <v>19</v>
      </c>
      <c r="J6828" s="1" t="s">
        <v>67</v>
      </c>
      <c r="K6828" s="1" t="s">
        <v>24</v>
      </c>
      <c r="L6828" s="1">
        <v>5487060</v>
      </c>
      <c r="M6828" s="2">
        <v>42559</v>
      </c>
      <c r="N6828" s="1" t="s">
        <v>8</v>
      </c>
      <c r="O6828" s="1" t="s">
        <v>68</v>
      </c>
    </row>
    <row r="6829" spans="1:15" ht="43.2" x14ac:dyDescent="0.3">
      <c r="A6829" s="1" t="s">
        <v>11436</v>
      </c>
      <c r="B6829" s="1" t="str">
        <f>"Phonelink Installations Limited"</f>
        <v>Phonelink Installations Limited</v>
      </c>
      <c r="C6829" s="1" t="s">
        <v>11437</v>
      </c>
      <c r="F6829" s="1" t="s">
        <v>65</v>
      </c>
      <c r="H6829" s="1" t="s">
        <v>11438</v>
      </c>
      <c r="I6829" s="1" t="s">
        <v>19</v>
      </c>
      <c r="J6829" s="1" t="s">
        <v>67</v>
      </c>
      <c r="K6829" s="1" t="s">
        <v>14</v>
      </c>
      <c r="M6829" s="2">
        <v>42559</v>
      </c>
      <c r="N6829" s="1" t="s">
        <v>8</v>
      </c>
      <c r="O6829" s="1" t="s">
        <v>68</v>
      </c>
    </row>
    <row r="6830" spans="1:15" ht="57.6" x14ac:dyDescent="0.3">
      <c r="A6830" s="1" t="s">
        <v>11439</v>
      </c>
      <c r="B6830" s="1" t="str">
        <f>"DARREN SMITH PLUMBING  &amp;  HEATING ENGINEER LTD"</f>
        <v>DARREN SMITH PLUMBING  &amp;  HEATING ENGINEER LTD</v>
      </c>
      <c r="C6830" s="1" t="s">
        <v>11440</v>
      </c>
      <c r="F6830" s="1" t="s">
        <v>12</v>
      </c>
      <c r="H6830" s="1" t="s">
        <v>11441</v>
      </c>
      <c r="I6830" s="1" t="s">
        <v>19</v>
      </c>
      <c r="J6830" s="1" t="s">
        <v>6</v>
      </c>
      <c r="K6830" s="1" t="s">
        <v>24</v>
      </c>
      <c r="L6830" s="1">
        <v>6483234</v>
      </c>
      <c r="M6830" s="2">
        <v>42559</v>
      </c>
      <c r="N6830" s="1" t="s">
        <v>8</v>
      </c>
      <c r="O6830" s="2">
        <v>43654</v>
      </c>
    </row>
    <row r="6831" spans="1:15" ht="28.8" x14ac:dyDescent="0.3">
      <c r="A6831" s="1" t="s">
        <v>24436</v>
      </c>
      <c r="B6831" s="1" t="str">
        <f>"Ben Griffiths G&amp;S landscaping"</f>
        <v>Ben Griffiths G&amp;S landscaping</v>
      </c>
      <c r="C6831" s="1" t="s">
        <v>24437</v>
      </c>
      <c r="F6831" s="1" t="s">
        <v>174</v>
      </c>
      <c r="H6831" s="1" t="s">
        <v>24438</v>
      </c>
      <c r="I6831" s="1" t="s">
        <v>5</v>
      </c>
      <c r="J6831" s="1" t="s">
        <v>6</v>
      </c>
      <c r="K6831" s="1" t="s">
        <v>24</v>
      </c>
      <c r="M6831" s="2">
        <v>42559</v>
      </c>
      <c r="N6831" s="1" t="s">
        <v>8</v>
      </c>
      <c r="O6831" s="2">
        <v>43654</v>
      </c>
    </row>
    <row r="6832" spans="1:15" ht="28.8" x14ac:dyDescent="0.3">
      <c r="A6832" s="1" t="s">
        <v>24439</v>
      </c>
      <c r="B6832" s="1" t="str">
        <f>"Keith  Chamberlain  KC Plumbing and Heating "</f>
        <v xml:space="preserve">Keith  Chamberlain  KC Plumbing and Heating </v>
      </c>
      <c r="C6832" s="1" t="s">
        <v>24440</v>
      </c>
      <c r="F6832" s="1" t="s">
        <v>328</v>
      </c>
      <c r="H6832" s="1" t="s">
        <v>24441</v>
      </c>
      <c r="I6832" s="1" t="s">
        <v>5</v>
      </c>
      <c r="J6832" s="1" t="s">
        <v>6</v>
      </c>
      <c r="K6832" s="1" t="s">
        <v>34</v>
      </c>
      <c r="M6832" s="2">
        <v>42559</v>
      </c>
      <c r="N6832" s="1" t="s">
        <v>8</v>
      </c>
      <c r="O6832" s="2">
        <v>43654</v>
      </c>
    </row>
    <row r="6833" spans="1:15" ht="43.2" x14ac:dyDescent="0.3">
      <c r="A6833" s="1" t="s">
        <v>24442</v>
      </c>
      <c r="B6833" s="1" t="str">
        <f>"Istvan imre Vandorfi"</f>
        <v>Istvan imre Vandorfi</v>
      </c>
      <c r="C6833" s="1" t="s">
        <v>24443</v>
      </c>
      <c r="F6833" s="1" t="s">
        <v>10091</v>
      </c>
      <c r="H6833" s="1" t="s">
        <v>24444</v>
      </c>
      <c r="I6833" s="1" t="s">
        <v>5</v>
      </c>
      <c r="J6833" s="1" t="s">
        <v>67</v>
      </c>
      <c r="K6833" s="1" t="s">
        <v>14</v>
      </c>
      <c r="M6833" s="2">
        <v>42559</v>
      </c>
      <c r="N6833" s="1" t="s">
        <v>8</v>
      </c>
      <c r="O6833" s="1" t="s">
        <v>68</v>
      </c>
    </row>
    <row r="6834" spans="1:15" ht="28.8" x14ac:dyDescent="0.3">
      <c r="A6834" s="1" t="s">
        <v>10403</v>
      </c>
      <c r="B6834" s="1" t="str">
        <f>"A S Whiteley Property Services Limited"</f>
        <v>A S Whiteley Property Services Limited</v>
      </c>
      <c r="C6834" s="1" t="s">
        <v>10404</v>
      </c>
      <c r="F6834" s="1" t="s">
        <v>198</v>
      </c>
      <c r="H6834" s="1" t="s">
        <v>10405</v>
      </c>
      <c r="I6834" s="1" t="s">
        <v>19</v>
      </c>
      <c r="J6834" s="1" t="s">
        <v>6</v>
      </c>
      <c r="K6834" s="1" t="s">
        <v>24</v>
      </c>
      <c r="L6834" s="1">
        <v>8549311</v>
      </c>
      <c r="M6834" s="2">
        <v>42558</v>
      </c>
      <c r="N6834" s="1" t="s">
        <v>8</v>
      </c>
      <c r="O6834" s="2">
        <v>43653</v>
      </c>
    </row>
    <row r="6835" spans="1:15" x14ac:dyDescent="0.3">
      <c r="A6835" s="1" t="s">
        <v>10406</v>
      </c>
      <c r="B6835" s="1" t="str">
        <f>"Emery Building LTD"</f>
        <v>Emery Building LTD</v>
      </c>
      <c r="C6835" s="1" t="s">
        <v>10407</v>
      </c>
      <c r="F6835" s="1" t="s">
        <v>27</v>
      </c>
      <c r="H6835" s="1" t="s">
        <v>10408</v>
      </c>
      <c r="I6835" s="1" t="s">
        <v>19</v>
      </c>
      <c r="J6835" s="1" t="s">
        <v>6</v>
      </c>
      <c r="K6835" s="1" t="s">
        <v>24</v>
      </c>
      <c r="L6835" s="1">
        <v>8445485</v>
      </c>
      <c r="M6835" s="2">
        <v>42558</v>
      </c>
      <c r="N6835" s="1" t="s">
        <v>8</v>
      </c>
      <c r="O6835" s="2">
        <v>43653</v>
      </c>
    </row>
    <row r="6836" spans="1:15" ht="43.2" x14ac:dyDescent="0.3">
      <c r="A6836" s="1" t="s">
        <v>10409</v>
      </c>
      <c r="B6836" s="1" t="str">
        <f>"WIGMORES"</f>
        <v>WIGMORES</v>
      </c>
      <c r="C6836" s="1" t="s">
        <v>10410</v>
      </c>
      <c r="F6836" s="1" t="s">
        <v>2711</v>
      </c>
      <c r="H6836" s="1" t="s">
        <v>10411</v>
      </c>
      <c r="I6836" s="1" t="s">
        <v>19</v>
      </c>
      <c r="J6836" s="1" t="s">
        <v>67</v>
      </c>
      <c r="K6836" s="1" t="s">
        <v>14</v>
      </c>
      <c r="M6836" s="2">
        <v>42558</v>
      </c>
      <c r="N6836" s="1" t="s">
        <v>8</v>
      </c>
      <c r="O6836" s="1" t="s">
        <v>68</v>
      </c>
    </row>
    <row r="6837" spans="1:15" x14ac:dyDescent="0.3">
      <c r="A6837" s="1" t="s">
        <v>10412</v>
      </c>
      <c r="B6837" s="1" t="str">
        <f>"Solar Wheel Ltd."</f>
        <v>Solar Wheel Ltd.</v>
      </c>
      <c r="C6837" s="1" t="s">
        <v>10413</v>
      </c>
      <c r="F6837" s="1" t="s">
        <v>96</v>
      </c>
      <c r="H6837" s="1" t="s">
        <v>10414</v>
      </c>
      <c r="I6837" s="1" t="s">
        <v>19</v>
      </c>
      <c r="J6837" s="1" t="s">
        <v>6</v>
      </c>
      <c r="K6837" s="1" t="s">
        <v>24</v>
      </c>
      <c r="L6837" s="1">
        <v>5755780</v>
      </c>
      <c r="M6837" s="2">
        <v>42558</v>
      </c>
      <c r="N6837" s="1" t="s">
        <v>8</v>
      </c>
      <c r="O6837" s="2">
        <v>43653</v>
      </c>
    </row>
    <row r="6838" spans="1:15" x14ac:dyDescent="0.3">
      <c r="A6838" s="1" t="s">
        <v>10415</v>
      </c>
      <c r="B6838" s="1" t="str">
        <f>"PE &amp; EL Jones"</f>
        <v>PE &amp; EL Jones</v>
      </c>
      <c r="C6838" s="1" t="s">
        <v>7391</v>
      </c>
      <c r="F6838" s="1" t="s">
        <v>445</v>
      </c>
      <c r="H6838" s="1" t="s">
        <v>7392</v>
      </c>
      <c r="I6838" s="1" t="s">
        <v>125</v>
      </c>
      <c r="J6838" s="1" t="s">
        <v>6</v>
      </c>
      <c r="K6838" s="1" t="s">
        <v>24</v>
      </c>
      <c r="M6838" s="2">
        <v>42558</v>
      </c>
      <c r="N6838" s="1" t="s">
        <v>8</v>
      </c>
      <c r="O6838" s="2">
        <v>43653</v>
      </c>
    </row>
    <row r="6839" spans="1:15" ht="28.8" x14ac:dyDescent="0.3">
      <c r="A6839" s="1" t="s">
        <v>10416</v>
      </c>
      <c r="B6839" s="1" t="str">
        <f>"Decorative Glass &amp; Glazing LTD"</f>
        <v>Decorative Glass &amp; Glazing LTD</v>
      </c>
      <c r="C6839" s="1" t="s">
        <v>10417</v>
      </c>
      <c r="F6839" s="1" t="s">
        <v>27</v>
      </c>
      <c r="H6839" s="1" t="s">
        <v>10418</v>
      </c>
      <c r="I6839" s="1" t="s">
        <v>19</v>
      </c>
      <c r="J6839" s="1" t="s">
        <v>6</v>
      </c>
      <c r="K6839" s="1" t="s">
        <v>24</v>
      </c>
      <c r="L6839" s="1">
        <v>3982626</v>
      </c>
      <c r="M6839" s="2">
        <v>42558</v>
      </c>
      <c r="N6839" s="1" t="s">
        <v>8</v>
      </c>
      <c r="O6839" s="2">
        <v>43653</v>
      </c>
    </row>
    <row r="6840" spans="1:15" ht="28.8" x14ac:dyDescent="0.3">
      <c r="A6840" s="1" t="s">
        <v>10419</v>
      </c>
      <c r="B6840" s="1" t="str">
        <f>"D  John Rees Haulage Ltd."</f>
        <v>D  John Rees Haulage Ltd.</v>
      </c>
      <c r="C6840" s="1" t="s">
        <v>10420</v>
      </c>
      <c r="F6840" s="1" t="s">
        <v>666</v>
      </c>
      <c r="H6840" s="1" t="s">
        <v>552</v>
      </c>
      <c r="I6840" s="1" t="s">
        <v>19</v>
      </c>
      <c r="J6840" s="1" t="s">
        <v>6</v>
      </c>
      <c r="K6840" s="1" t="s">
        <v>24</v>
      </c>
      <c r="L6840" s="1">
        <v>3516224</v>
      </c>
      <c r="M6840" s="2">
        <v>42558</v>
      </c>
      <c r="N6840" s="1" t="s">
        <v>8</v>
      </c>
      <c r="O6840" s="2">
        <v>43653</v>
      </c>
    </row>
    <row r="6841" spans="1:15" ht="28.8" x14ac:dyDescent="0.3">
      <c r="A6841" s="1" t="s">
        <v>11424</v>
      </c>
      <c r="B6841" s="1" t="str">
        <f>"GB Construction Ltd"</f>
        <v>GB Construction Ltd</v>
      </c>
      <c r="C6841" s="1" t="s">
        <v>11425</v>
      </c>
      <c r="F6841" s="1" t="s">
        <v>11426</v>
      </c>
      <c r="H6841" s="1" t="s">
        <v>11427</v>
      </c>
      <c r="I6841" s="1" t="s">
        <v>19</v>
      </c>
      <c r="J6841" s="1" t="s">
        <v>6</v>
      </c>
      <c r="K6841" s="1" t="s">
        <v>34</v>
      </c>
      <c r="L6841" s="1">
        <v>1641472</v>
      </c>
      <c r="M6841" s="2">
        <v>42558</v>
      </c>
      <c r="N6841" s="1" t="s">
        <v>8</v>
      </c>
      <c r="O6841" s="2">
        <v>43653</v>
      </c>
    </row>
    <row r="6842" spans="1:15" ht="28.8" x14ac:dyDescent="0.3">
      <c r="A6842" s="1" t="s">
        <v>23590</v>
      </c>
      <c r="B6842" s="1" t="str">
        <f>"Philip  Gerrard GERRARD SERVICES"</f>
        <v>Philip  Gerrard GERRARD SERVICES</v>
      </c>
      <c r="C6842" s="1" t="s">
        <v>23591</v>
      </c>
      <c r="D6842" s="1" t="s">
        <v>2209</v>
      </c>
      <c r="F6842" s="1" t="s">
        <v>607</v>
      </c>
      <c r="H6842" s="1" t="s">
        <v>23592</v>
      </c>
      <c r="I6842" s="1" t="s">
        <v>5</v>
      </c>
      <c r="J6842" s="1" t="s">
        <v>6</v>
      </c>
      <c r="K6842" s="1" t="s">
        <v>34</v>
      </c>
      <c r="M6842" s="2">
        <v>42558</v>
      </c>
      <c r="N6842" s="1" t="s">
        <v>8</v>
      </c>
      <c r="O6842" s="2">
        <v>43653</v>
      </c>
    </row>
    <row r="6843" spans="1:15" ht="28.8" x14ac:dyDescent="0.3">
      <c r="A6843" s="1" t="s">
        <v>23593</v>
      </c>
      <c r="B6843" s="1" t="str">
        <f>"Geraint Jones G H Jones"</f>
        <v>Geraint Jones G H Jones</v>
      </c>
      <c r="C6843" s="1" t="s">
        <v>23594</v>
      </c>
      <c r="F6843" s="1" t="s">
        <v>328</v>
      </c>
      <c r="H6843" s="1" t="s">
        <v>23595</v>
      </c>
      <c r="I6843" s="1" t="s">
        <v>5</v>
      </c>
      <c r="J6843" s="1" t="s">
        <v>6</v>
      </c>
      <c r="K6843" s="1" t="s">
        <v>24</v>
      </c>
      <c r="M6843" s="2">
        <v>42558</v>
      </c>
      <c r="N6843" s="1" t="s">
        <v>8</v>
      </c>
      <c r="O6843" s="2">
        <v>43653</v>
      </c>
    </row>
    <row r="6844" spans="1:15" ht="28.8" x14ac:dyDescent="0.3">
      <c r="A6844" s="1" t="s">
        <v>23596</v>
      </c>
      <c r="B6844" s="1" t="str">
        <f>"Eirlys Jones E Jones &amp; J Bernard-Parsons"</f>
        <v>Eirlys Jones E Jones &amp; J Bernard-Parsons</v>
      </c>
      <c r="C6844" s="1" t="s">
        <v>23597</v>
      </c>
      <c r="F6844" s="1" t="s">
        <v>1184</v>
      </c>
      <c r="H6844" s="1" t="s">
        <v>23598</v>
      </c>
      <c r="I6844" s="1" t="s">
        <v>5</v>
      </c>
      <c r="J6844" s="1" t="s">
        <v>6</v>
      </c>
      <c r="K6844" s="1" t="s">
        <v>34</v>
      </c>
      <c r="M6844" s="2">
        <v>42558</v>
      </c>
      <c r="N6844" s="1" t="s">
        <v>8</v>
      </c>
      <c r="O6844" s="2">
        <v>43653</v>
      </c>
    </row>
    <row r="6845" spans="1:15" ht="43.2" x14ac:dyDescent="0.3">
      <c r="A6845" s="1" t="s">
        <v>9272</v>
      </c>
      <c r="B6845" s="1" t="str">
        <f>"SkyEnergy Installations LTD"</f>
        <v>SkyEnergy Installations LTD</v>
      </c>
      <c r="C6845" s="1" t="s">
        <v>9273</v>
      </c>
      <c r="D6845" s="1" t="s">
        <v>9274</v>
      </c>
      <c r="F6845" s="1" t="s">
        <v>1230</v>
      </c>
      <c r="H6845" s="1" t="s">
        <v>9275</v>
      </c>
      <c r="I6845" s="1" t="s">
        <v>19</v>
      </c>
      <c r="J6845" s="1" t="s">
        <v>67</v>
      </c>
      <c r="K6845" s="1" t="s">
        <v>14</v>
      </c>
      <c r="M6845" s="2">
        <v>42557</v>
      </c>
      <c r="N6845" s="1" t="s">
        <v>8</v>
      </c>
      <c r="O6845" s="1" t="s">
        <v>68</v>
      </c>
    </row>
    <row r="6846" spans="1:15" ht="28.8" x14ac:dyDescent="0.3">
      <c r="A6846" s="1" t="s">
        <v>9276</v>
      </c>
      <c r="B6846" s="1" t="str">
        <f>"Taylor Environmental Ltd"</f>
        <v>Taylor Environmental Ltd</v>
      </c>
      <c r="C6846" s="1" t="s">
        <v>9277</v>
      </c>
      <c r="D6846" s="1" t="s">
        <v>9278</v>
      </c>
      <c r="F6846" s="1" t="s">
        <v>123</v>
      </c>
      <c r="H6846" s="1" t="s">
        <v>9279</v>
      </c>
      <c r="I6846" s="1" t="s">
        <v>19</v>
      </c>
      <c r="J6846" s="1" t="s">
        <v>6</v>
      </c>
      <c r="K6846" s="1" t="s">
        <v>34</v>
      </c>
      <c r="L6846" s="1">
        <v>6120603</v>
      </c>
      <c r="M6846" s="2">
        <v>42557</v>
      </c>
      <c r="N6846" s="1" t="s">
        <v>8</v>
      </c>
      <c r="O6846" s="2">
        <v>43652</v>
      </c>
    </row>
    <row r="6847" spans="1:15" ht="43.2" x14ac:dyDescent="0.3">
      <c r="A6847" s="1" t="s">
        <v>9280</v>
      </c>
      <c r="B6847" s="1" t="str">
        <f>"G F H LTD"</f>
        <v>G F H LTD</v>
      </c>
      <c r="C6847" s="1" t="s">
        <v>9281</v>
      </c>
      <c r="F6847" s="1" t="s">
        <v>621</v>
      </c>
      <c r="H6847" s="1" t="s">
        <v>9282</v>
      </c>
      <c r="I6847" s="1" t="s">
        <v>19</v>
      </c>
      <c r="J6847" s="1" t="s">
        <v>67</v>
      </c>
      <c r="K6847" s="1" t="s">
        <v>24</v>
      </c>
      <c r="L6847" s="1">
        <v>4869362</v>
      </c>
      <c r="M6847" s="2">
        <v>42557</v>
      </c>
      <c r="N6847" s="1" t="s">
        <v>8</v>
      </c>
      <c r="O6847" s="1" t="s">
        <v>68</v>
      </c>
    </row>
    <row r="6848" spans="1:15" ht="28.8" x14ac:dyDescent="0.3">
      <c r="A6848" s="1" t="s">
        <v>9283</v>
      </c>
      <c r="B6848" s="1" t="str">
        <f>"TDW Distribution Ltd"</f>
        <v>TDW Distribution Ltd</v>
      </c>
      <c r="C6848" s="1" t="s">
        <v>9284</v>
      </c>
      <c r="F6848" s="1" t="s">
        <v>865</v>
      </c>
      <c r="H6848" s="1" t="s">
        <v>9285</v>
      </c>
      <c r="I6848" s="1" t="s">
        <v>19</v>
      </c>
      <c r="J6848" s="1" t="s">
        <v>6</v>
      </c>
      <c r="K6848" s="1" t="s">
        <v>24</v>
      </c>
      <c r="L6848" s="1">
        <v>1289719</v>
      </c>
      <c r="M6848" s="2">
        <v>42557</v>
      </c>
      <c r="N6848" s="1" t="s">
        <v>8</v>
      </c>
      <c r="O6848" s="2">
        <v>43652</v>
      </c>
    </row>
    <row r="6849" spans="1:15" ht="43.2" x14ac:dyDescent="0.3">
      <c r="A6849" s="1" t="s">
        <v>9286</v>
      </c>
      <c r="B6849" s="1" t="str">
        <f>"STRI LTD"</f>
        <v>STRI LTD</v>
      </c>
      <c r="C6849" s="1" t="s">
        <v>9287</v>
      </c>
      <c r="F6849" s="1" t="s">
        <v>9288</v>
      </c>
      <c r="H6849" s="1" t="s">
        <v>9289</v>
      </c>
      <c r="I6849" s="1" t="s">
        <v>19</v>
      </c>
      <c r="J6849" s="1" t="s">
        <v>67</v>
      </c>
      <c r="K6849" s="1" t="s">
        <v>14</v>
      </c>
      <c r="M6849" s="2">
        <v>42557</v>
      </c>
      <c r="N6849" s="1" t="s">
        <v>8</v>
      </c>
      <c r="O6849" s="1" t="s">
        <v>68</v>
      </c>
    </row>
    <row r="6850" spans="1:15" ht="43.2" x14ac:dyDescent="0.3">
      <c r="A6850" s="1" t="s">
        <v>9290</v>
      </c>
      <c r="B6850" s="1" t="str">
        <f>"FiltaFry"</f>
        <v>FiltaFry</v>
      </c>
      <c r="C6850" s="1" t="s">
        <v>9291</v>
      </c>
      <c r="F6850" s="1" t="s">
        <v>42</v>
      </c>
      <c r="H6850" s="1" t="s">
        <v>9292</v>
      </c>
      <c r="I6850" s="1" t="s">
        <v>125</v>
      </c>
      <c r="J6850" s="1" t="s">
        <v>67</v>
      </c>
      <c r="K6850" s="1" t="s">
        <v>14</v>
      </c>
      <c r="M6850" s="2">
        <v>42557</v>
      </c>
      <c r="N6850" s="1" t="s">
        <v>8</v>
      </c>
      <c r="O6850" s="1" t="s">
        <v>68</v>
      </c>
    </row>
    <row r="6851" spans="1:15" ht="28.8" x14ac:dyDescent="0.3">
      <c r="A6851" s="1" t="s">
        <v>10399</v>
      </c>
      <c r="B6851" s="1" t="str">
        <f>"N R GREEN BUILDERS"</f>
        <v>N R GREEN BUILDERS</v>
      </c>
      <c r="C6851" s="1" t="s">
        <v>10400</v>
      </c>
      <c r="F6851" s="1" t="s">
        <v>10401</v>
      </c>
      <c r="H6851" s="1" t="s">
        <v>10402</v>
      </c>
      <c r="I6851" s="1" t="s">
        <v>125</v>
      </c>
      <c r="J6851" s="1" t="s">
        <v>6</v>
      </c>
      <c r="K6851" s="1" t="s">
        <v>24</v>
      </c>
      <c r="M6851" s="2">
        <v>42557</v>
      </c>
      <c r="N6851" s="1" t="s">
        <v>8</v>
      </c>
      <c r="O6851" s="2">
        <v>43652</v>
      </c>
    </row>
    <row r="6852" spans="1:15" ht="43.2" x14ac:dyDescent="0.3">
      <c r="A6852" s="1" t="s">
        <v>22789</v>
      </c>
      <c r="B6852" s="1" t="str">
        <f>"Richard James Shoreline renovations and maintenan"</f>
        <v>Richard James Shoreline renovations and maintenan</v>
      </c>
      <c r="C6852" s="1" t="s">
        <v>22790</v>
      </c>
      <c r="F6852" s="1" t="s">
        <v>65</v>
      </c>
      <c r="H6852" s="1" t="s">
        <v>22791</v>
      </c>
      <c r="I6852" s="1" t="s">
        <v>5</v>
      </c>
      <c r="J6852" s="1" t="s">
        <v>6</v>
      </c>
      <c r="K6852" s="1" t="s">
        <v>24</v>
      </c>
      <c r="M6852" s="2">
        <v>42557</v>
      </c>
      <c r="N6852" s="1" t="s">
        <v>8</v>
      </c>
      <c r="O6852" s="2">
        <v>43652</v>
      </c>
    </row>
    <row r="6853" spans="1:15" ht="28.8" x14ac:dyDescent="0.3">
      <c r="A6853" s="1" t="s">
        <v>22792</v>
      </c>
      <c r="B6853" s="1" t="str">
        <f>"David Parsons David Parsons"</f>
        <v>David Parsons David Parsons</v>
      </c>
      <c r="C6853" s="1" t="s">
        <v>22793</v>
      </c>
      <c r="F6853" s="1" t="s">
        <v>83</v>
      </c>
      <c r="H6853" s="1" t="s">
        <v>22794</v>
      </c>
      <c r="I6853" s="1" t="s">
        <v>5</v>
      </c>
      <c r="J6853" s="1" t="s">
        <v>6</v>
      </c>
      <c r="K6853" s="1" t="s">
        <v>24</v>
      </c>
      <c r="M6853" s="2">
        <v>42557</v>
      </c>
      <c r="N6853" s="1" t="s">
        <v>8</v>
      </c>
      <c r="O6853" s="2">
        <v>43652</v>
      </c>
    </row>
    <row r="6854" spans="1:15" ht="28.8" x14ac:dyDescent="0.3">
      <c r="A6854" s="1" t="s">
        <v>22795</v>
      </c>
      <c r="B6854" s="1" t="str">
        <f>"MARK DAVIES AMD CONSTRUCTION"</f>
        <v>MARK DAVIES AMD CONSTRUCTION</v>
      </c>
      <c r="C6854" s="1" t="s">
        <v>22796</v>
      </c>
      <c r="F6854" s="1" t="s">
        <v>174</v>
      </c>
      <c r="H6854" s="1" t="s">
        <v>22797</v>
      </c>
      <c r="I6854" s="1" t="s">
        <v>5</v>
      </c>
      <c r="J6854" s="1" t="s">
        <v>6</v>
      </c>
      <c r="K6854" s="1" t="s">
        <v>24</v>
      </c>
      <c r="M6854" s="2">
        <v>42557</v>
      </c>
      <c r="N6854" s="1" t="s">
        <v>8</v>
      </c>
      <c r="O6854" s="2">
        <v>43652</v>
      </c>
    </row>
    <row r="6855" spans="1:15" ht="28.8" x14ac:dyDescent="0.3">
      <c r="A6855" s="1" t="s">
        <v>22798</v>
      </c>
      <c r="B6855" s="1" t="str">
        <f>"Nigel  Burton Nigel W Burton"</f>
        <v>Nigel  Burton Nigel W Burton</v>
      </c>
      <c r="C6855" s="1" t="s">
        <v>22799</v>
      </c>
      <c r="D6855" s="1" t="s">
        <v>22800</v>
      </c>
      <c r="F6855" s="1" t="s">
        <v>865</v>
      </c>
      <c r="H6855" s="1" t="s">
        <v>22801</v>
      </c>
      <c r="I6855" s="1" t="s">
        <v>5</v>
      </c>
      <c r="J6855" s="1" t="s">
        <v>6</v>
      </c>
      <c r="K6855" s="1" t="s">
        <v>24</v>
      </c>
      <c r="M6855" s="2">
        <v>42557</v>
      </c>
      <c r="N6855" s="1" t="s">
        <v>8</v>
      </c>
      <c r="O6855" s="2">
        <v>43652</v>
      </c>
    </row>
    <row r="6856" spans="1:15" ht="43.2" x14ac:dyDescent="0.3">
      <c r="A6856" s="1" t="s">
        <v>22802</v>
      </c>
      <c r="B6856" s="1" t="str">
        <f>"Annabel Judson "</f>
        <v xml:space="preserve">Annabel Judson </v>
      </c>
      <c r="C6856" s="1" t="s">
        <v>22803</v>
      </c>
      <c r="D6856" s="1" t="s">
        <v>3441</v>
      </c>
      <c r="F6856" s="1" t="s">
        <v>3337</v>
      </c>
      <c r="H6856" s="1" t="s">
        <v>1716</v>
      </c>
      <c r="I6856" s="1" t="s">
        <v>5</v>
      </c>
      <c r="J6856" s="1" t="s">
        <v>67</v>
      </c>
      <c r="K6856" s="1" t="s">
        <v>14</v>
      </c>
      <c r="M6856" s="2">
        <v>42557</v>
      </c>
      <c r="N6856" s="1" t="s">
        <v>8</v>
      </c>
      <c r="O6856" s="1" t="s">
        <v>68</v>
      </c>
    </row>
    <row r="6857" spans="1:15" ht="28.8" x14ac:dyDescent="0.3">
      <c r="A6857" s="1" t="s">
        <v>22804</v>
      </c>
      <c r="B6857" s="1" t="str">
        <f>"mark poulton mark poulton construction"</f>
        <v>mark poulton mark poulton construction</v>
      </c>
      <c r="C6857" s="1" t="s">
        <v>22805</v>
      </c>
      <c r="F6857" s="1" t="s">
        <v>18800</v>
      </c>
      <c r="H6857" s="1" t="s">
        <v>22806</v>
      </c>
      <c r="I6857" s="1" t="s">
        <v>5</v>
      </c>
      <c r="J6857" s="1" t="s">
        <v>6</v>
      </c>
      <c r="K6857" s="1" t="s">
        <v>24</v>
      </c>
      <c r="M6857" s="2">
        <v>42557</v>
      </c>
      <c r="N6857" s="1" t="s">
        <v>8</v>
      </c>
      <c r="O6857" s="2">
        <v>43652</v>
      </c>
    </row>
    <row r="6858" spans="1:15" ht="28.8" x14ac:dyDescent="0.3">
      <c r="A6858" s="1" t="s">
        <v>8110</v>
      </c>
      <c r="B6858" s="1" t="str">
        <f>"Cleaner Care Limited"</f>
        <v>Cleaner Care Limited</v>
      </c>
      <c r="C6858" s="1" t="s">
        <v>8111</v>
      </c>
      <c r="D6858" s="1" t="s">
        <v>1079</v>
      </c>
      <c r="F6858" s="1" t="s">
        <v>359</v>
      </c>
      <c r="H6858" s="1" t="s">
        <v>1080</v>
      </c>
      <c r="I6858" s="1" t="s">
        <v>19</v>
      </c>
      <c r="J6858" s="1" t="s">
        <v>6</v>
      </c>
      <c r="K6858" s="1" t="s">
        <v>34</v>
      </c>
      <c r="L6858" s="1">
        <v>5471880</v>
      </c>
      <c r="M6858" s="2">
        <v>42556</v>
      </c>
      <c r="N6858" s="1" t="s">
        <v>8</v>
      </c>
      <c r="O6858" s="2">
        <v>43651</v>
      </c>
    </row>
    <row r="6859" spans="1:15" ht="28.8" x14ac:dyDescent="0.3">
      <c r="A6859" s="1" t="s">
        <v>8112</v>
      </c>
      <c r="B6859" s="1" t="str">
        <f>"ELECTROSTATICS LTD"</f>
        <v>ELECTROSTATICS LTD</v>
      </c>
      <c r="C6859" s="1" t="s">
        <v>8113</v>
      </c>
      <c r="D6859" s="1" t="s">
        <v>3853</v>
      </c>
      <c r="F6859" s="1" t="s">
        <v>27</v>
      </c>
      <c r="H6859" s="1" t="s">
        <v>3854</v>
      </c>
      <c r="I6859" s="1" t="s">
        <v>19</v>
      </c>
      <c r="J6859" s="1" t="s">
        <v>6</v>
      </c>
      <c r="K6859" s="1" t="s">
        <v>24</v>
      </c>
      <c r="L6859" s="1">
        <v>4784367</v>
      </c>
      <c r="M6859" s="2">
        <v>42556</v>
      </c>
      <c r="N6859" s="1" t="s">
        <v>8</v>
      </c>
      <c r="O6859" s="2">
        <v>43651</v>
      </c>
    </row>
    <row r="6860" spans="1:15" ht="28.8" x14ac:dyDescent="0.3">
      <c r="A6860" s="1" t="s">
        <v>8114</v>
      </c>
      <c r="B6860" s="1" t="str">
        <f>"CEDRIC JOHN &amp; SONS LTD"</f>
        <v>CEDRIC JOHN &amp; SONS LTD</v>
      </c>
      <c r="C6860" s="1" t="s">
        <v>519</v>
      </c>
      <c r="F6860" s="1" t="s">
        <v>91</v>
      </c>
      <c r="H6860" s="1" t="s">
        <v>520</v>
      </c>
      <c r="I6860" s="1" t="s">
        <v>19</v>
      </c>
      <c r="J6860" s="1" t="s">
        <v>6</v>
      </c>
      <c r="K6860" s="1" t="s">
        <v>24</v>
      </c>
      <c r="L6860" s="1">
        <v>4179335</v>
      </c>
      <c r="M6860" s="2">
        <v>42556</v>
      </c>
      <c r="N6860" s="1" t="s">
        <v>8</v>
      </c>
      <c r="O6860" s="2">
        <v>43651</v>
      </c>
    </row>
    <row r="6861" spans="1:15" ht="43.2" x14ac:dyDescent="0.3">
      <c r="A6861" s="1" t="s">
        <v>8115</v>
      </c>
      <c r="B6861" s="1" t="str">
        <f>"South Wales Door Window &amp; Lock Services"</f>
        <v>South Wales Door Window &amp; Lock Services</v>
      </c>
      <c r="C6861" s="1" t="s">
        <v>8116</v>
      </c>
      <c r="F6861" s="1" t="s">
        <v>27</v>
      </c>
      <c r="H6861" s="1" t="s">
        <v>8117</v>
      </c>
      <c r="I6861" s="1" t="s">
        <v>125</v>
      </c>
      <c r="J6861" s="1" t="s">
        <v>6</v>
      </c>
      <c r="K6861" s="1" t="s">
        <v>24</v>
      </c>
      <c r="M6861" s="2">
        <v>42556</v>
      </c>
      <c r="N6861" s="1" t="s">
        <v>8</v>
      </c>
      <c r="O6861" s="2">
        <v>43651</v>
      </c>
    </row>
    <row r="6862" spans="1:15" ht="43.2" x14ac:dyDescent="0.3">
      <c r="A6862" s="1" t="s">
        <v>22014</v>
      </c>
      <c r="B6862" s="1" t="str">
        <f>"simon dunkley"</f>
        <v>simon dunkley</v>
      </c>
      <c r="C6862" s="1" t="s">
        <v>22015</v>
      </c>
      <c r="F6862" s="1" t="s">
        <v>298</v>
      </c>
      <c r="H6862" s="1" t="s">
        <v>22016</v>
      </c>
      <c r="I6862" s="1" t="s">
        <v>5</v>
      </c>
      <c r="J6862" s="1" t="s">
        <v>67</v>
      </c>
      <c r="K6862" s="1" t="s">
        <v>14</v>
      </c>
      <c r="M6862" s="2">
        <v>42556</v>
      </c>
      <c r="N6862" s="1" t="s">
        <v>8</v>
      </c>
      <c r="O6862" s="1" t="s">
        <v>68</v>
      </c>
    </row>
    <row r="6863" spans="1:15" ht="43.2" x14ac:dyDescent="0.3">
      <c r="A6863" s="1" t="s">
        <v>22017</v>
      </c>
      <c r="B6863" s="1" t="str">
        <f>"PIOTR KOZON"</f>
        <v>PIOTR KOZON</v>
      </c>
      <c r="C6863" s="1" t="s">
        <v>22018</v>
      </c>
      <c r="D6863" s="1" t="s">
        <v>22019</v>
      </c>
      <c r="E6863" s="1" t="s">
        <v>22020</v>
      </c>
      <c r="G6863" s="1" t="s">
        <v>22021</v>
      </c>
      <c r="I6863" s="1" t="s">
        <v>5</v>
      </c>
      <c r="J6863" s="1" t="s">
        <v>67</v>
      </c>
      <c r="K6863" s="1" t="s">
        <v>14</v>
      </c>
      <c r="M6863" s="2">
        <v>42556</v>
      </c>
      <c r="N6863" s="1" t="s">
        <v>8</v>
      </c>
      <c r="O6863" s="1" t="s">
        <v>68</v>
      </c>
    </row>
    <row r="6864" spans="1:15" ht="43.2" x14ac:dyDescent="0.3">
      <c r="A6864" s="1" t="s">
        <v>22022</v>
      </c>
      <c r="B6864" s="1" t="str">
        <f>"Gareth Ellis"</f>
        <v>Gareth Ellis</v>
      </c>
      <c r="C6864" s="1" t="s">
        <v>22023</v>
      </c>
      <c r="F6864" s="1" t="s">
        <v>65</v>
      </c>
      <c r="H6864" s="1" t="s">
        <v>22024</v>
      </c>
      <c r="I6864" s="1" t="s">
        <v>5</v>
      </c>
      <c r="J6864" s="1" t="s">
        <v>67</v>
      </c>
      <c r="K6864" s="1" t="s">
        <v>14</v>
      </c>
      <c r="M6864" s="2">
        <v>42556</v>
      </c>
      <c r="N6864" s="1" t="s">
        <v>8</v>
      </c>
      <c r="O6864" s="1" t="s">
        <v>68</v>
      </c>
    </row>
    <row r="6865" spans="1:15" ht="43.2" x14ac:dyDescent="0.3">
      <c r="A6865" s="1" t="s">
        <v>22025</v>
      </c>
      <c r="B6865" s="1" t="str">
        <f>"Jon Jenkins"</f>
        <v>Jon Jenkins</v>
      </c>
      <c r="C6865" s="1" t="s">
        <v>22026</v>
      </c>
      <c r="F6865" s="1" t="s">
        <v>91</v>
      </c>
      <c r="H6865" s="1" t="s">
        <v>22027</v>
      </c>
      <c r="I6865" s="1" t="s">
        <v>5</v>
      </c>
      <c r="J6865" s="1" t="s">
        <v>67</v>
      </c>
      <c r="K6865" s="1" t="s">
        <v>14</v>
      </c>
      <c r="M6865" s="2">
        <v>42556</v>
      </c>
      <c r="N6865" s="1" t="s">
        <v>8</v>
      </c>
      <c r="O6865" s="1" t="s">
        <v>68</v>
      </c>
    </row>
    <row r="6866" spans="1:15" ht="43.2" x14ac:dyDescent="0.3">
      <c r="A6866" s="1" t="s">
        <v>22028</v>
      </c>
      <c r="B6866" s="1" t="str">
        <f>"Mike Nutt"</f>
        <v>Mike Nutt</v>
      </c>
      <c r="C6866" s="1" t="s">
        <v>22029</v>
      </c>
      <c r="F6866" s="1" t="s">
        <v>91</v>
      </c>
      <c r="H6866" s="1" t="s">
        <v>22030</v>
      </c>
      <c r="I6866" s="1" t="s">
        <v>5</v>
      </c>
      <c r="J6866" s="1" t="s">
        <v>67</v>
      </c>
      <c r="K6866" s="1" t="s">
        <v>14</v>
      </c>
      <c r="M6866" s="2">
        <v>42556</v>
      </c>
      <c r="N6866" s="1" t="s">
        <v>8</v>
      </c>
      <c r="O6866" s="1" t="s">
        <v>68</v>
      </c>
    </row>
    <row r="6867" spans="1:15" ht="28.8" x14ac:dyDescent="0.3">
      <c r="A6867" s="1" t="s">
        <v>7023</v>
      </c>
      <c r="B6867" s="1" t="str">
        <f>"C C P Fencing Specialists Ltd."</f>
        <v>C C P Fencing Specialists Ltd.</v>
      </c>
      <c r="C6867" s="1" t="s">
        <v>7024</v>
      </c>
      <c r="D6867" s="1" t="s">
        <v>7025</v>
      </c>
      <c r="F6867" s="1" t="s">
        <v>1093</v>
      </c>
      <c r="H6867" s="1" t="s">
        <v>7026</v>
      </c>
      <c r="I6867" s="1" t="s">
        <v>19</v>
      </c>
      <c r="J6867" s="1" t="s">
        <v>6</v>
      </c>
      <c r="K6867" s="1" t="s">
        <v>34</v>
      </c>
      <c r="L6867" s="1">
        <v>455058</v>
      </c>
      <c r="M6867" s="2">
        <v>42555</v>
      </c>
      <c r="N6867" s="1" t="s">
        <v>8</v>
      </c>
      <c r="O6867" s="2">
        <v>43650</v>
      </c>
    </row>
    <row r="6868" spans="1:15" ht="43.2" x14ac:dyDescent="0.3">
      <c r="A6868" s="1" t="s">
        <v>7027</v>
      </c>
      <c r="B6868" s="1" t="str">
        <f>"Motorcorner"</f>
        <v>Motorcorner</v>
      </c>
      <c r="C6868" s="1" t="s">
        <v>7028</v>
      </c>
      <c r="F6868" s="1" t="s">
        <v>5459</v>
      </c>
      <c r="H6868" s="1" t="s">
        <v>7029</v>
      </c>
      <c r="I6868" s="1" t="s">
        <v>19</v>
      </c>
      <c r="J6868" s="1" t="s">
        <v>67</v>
      </c>
      <c r="K6868" s="1" t="s">
        <v>14</v>
      </c>
      <c r="M6868" s="2">
        <v>42555</v>
      </c>
      <c r="N6868" s="1" t="s">
        <v>8</v>
      </c>
      <c r="O6868" s="1" t="s">
        <v>68</v>
      </c>
    </row>
    <row r="6869" spans="1:15" ht="43.2" x14ac:dyDescent="0.3">
      <c r="A6869" s="1" t="s">
        <v>7030</v>
      </c>
      <c r="B6869" s="1" t="str">
        <f>"Richard Tresidder (R. Tresidder &amp; H. Tresidder)"</f>
        <v>Richard Tresidder (R. Tresidder &amp; H. Tresidder)</v>
      </c>
      <c r="C6869" s="1" t="s">
        <v>7031</v>
      </c>
      <c r="D6869" s="1" t="s">
        <v>7032</v>
      </c>
      <c r="F6869" s="1" t="s">
        <v>607</v>
      </c>
      <c r="H6869" s="1" t="s">
        <v>7033</v>
      </c>
      <c r="I6869" s="1" t="s">
        <v>125</v>
      </c>
      <c r="J6869" s="1" t="s">
        <v>6</v>
      </c>
      <c r="K6869" s="1" t="s">
        <v>24</v>
      </c>
      <c r="M6869" s="2">
        <v>42555</v>
      </c>
      <c r="N6869" s="1" t="s">
        <v>8</v>
      </c>
      <c r="O6869" s="2">
        <v>43654</v>
      </c>
    </row>
    <row r="6870" spans="1:15" ht="43.2" x14ac:dyDescent="0.3">
      <c r="A6870" s="1" t="s">
        <v>7034</v>
      </c>
      <c r="B6870" s="1" t="str">
        <f>"Gardners"</f>
        <v>Gardners</v>
      </c>
      <c r="C6870" s="1" t="s">
        <v>7035</v>
      </c>
      <c r="F6870" s="1" t="s">
        <v>27</v>
      </c>
      <c r="H6870" s="1" t="s">
        <v>7036</v>
      </c>
      <c r="I6870" s="1" t="s">
        <v>19</v>
      </c>
      <c r="J6870" s="1" t="s">
        <v>6</v>
      </c>
      <c r="K6870" s="1" t="s">
        <v>34</v>
      </c>
      <c r="L6870" s="1">
        <v>8140133</v>
      </c>
      <c r="M6870" s="2">
        <v>42555</v>
      </c>
      <c r="N6870" s="1" t="s">
        <v>8</v>
      </c>
      <c r="O6870" s="2">
        <v>43650</v>
      </c>
    </row>
    <row r="6871" spans="1:15" ht="43.2" x14ac:dyDescent="0.3">
      <c r="A6871" s="1" t="s">
        <v>7037</v>
      </c>
      <c r="B6871" s="1" t="str">
        <f>"GRAHAM MILLS BUILDING CONTRACTORS LTD"</f>
        <v>GRAHAM MILLS BUILDING CONTRACTORS LTD</v>
      </c>
      <c r="C6871" s="1" t="s">
        <v>7038</v>
      </c>
      <c r="F6871" s="1" t="s">
        <v>65</v>
      </c>
      <c r="H6871" s="1" t="s">
        <v>7039</v>
      </c>
      <c r="I6871" s="1" t="s">
        <v>19</v>
      </c>
      <c r="J6871" s="1" t="s">
        <v>6</v>
      </c>
      <c r="K6871" s="1" t="s">
        <v>34</v>
      </c>
      <c r="L6871" s="1">
        <v>4544432</v>
      </c>
      <c r="M6871" s="2">
        <v>42555</v>
      </c>
      <c r="N6871" s="1" t="s">
        <v>8</v>
      </c>
      <c r="O6871" s="2">
        <v>43650</v>
      </c>
    </row>
    <row r="6872" spans="1:15" ht="28.8" x14ac:dyDescent="0.3">
      <c r="A6872" s="1" t="s">
        <v>7040</v>
      </c>
      <c r="B6872" s="1" t="str">
        <f>"Arch Utility Services (SW) Ltd"</f>
        <v>Arch Utility Services (SW) Ltd</v>
      </c>
      <c r="C6872" s="1" t="s">
        <v>7041</v>
      </c>
      <c r="F6872" s="1" t="s">
        <v>277</v>
      </c>
      <c r="H6872" s="1" t="s">
        <v>7042</v>
      </c>
      <c r="I6872" s="1" t="s">
        <v>19</v>
      </c>
      <c r="J6872" s="1" t="s">
        <v>6</v>
      </c>
      <c r="K6872" s="1" t="s">
        <v>24</v>
      </c>
      <c r="L6872" s="1">
        <v>9686554</v>
      </c>
      <c r="M6872" s="2">
        <v>42555</v>
      </c>
      <c r="N6872" s="1" t="s">
        <v>8</v>
      </c>
      <c r="O6872" s="2">
        <v>43650</v>
      </c>
    </row>
    <row r="6873" spans="1:15" ht="43.2" x14ac:dyDescent="0.3">
      <c r="A6873" s="1" t="s">
        <v>8104</v>
      </c>
      <c r="B6873" s="1" t="str">
        <f>"Selby Decorators Ltd"</f>
        <v>Selby Decorators Ltd</v>
      </c>
      <c r="C6873" s="1" t="s">
        <v>8105</v>
      </c>
      <c r="F6873" s="1" t="s">
        <v>6265</v>
      </c>
      <c r="H6873" s="1" t="s">
        <v>8106</v>
      </c>
      <c r="I6873" s="1" t="s">
        <v>19</v>
      </c>
      <c r="J6873" s="1" t="s">
        <v>67</v>
      </c>
      <c r="K6873" s="1" t="s">
        <v>14</v>
      </c>
      <c r="M6873" s="2">
        <v>42555</v>
      </c>
      <c r="N6873" s="1" t="s">
        <v>8</v>
      </c>
      <c r="O6873" s="1" t="s">
        <v>68</v>
      </c>
    </row>
    <row r="6874" spans="1:15" ht="28.8" x14ac:dyDescent="0.3">
      <c r="A6874" s="1" t="s">
        <v>8107</v>
      </c>
      <c r="B6874" s="1" t="str">
        <f>"Lightbown Environmental Limited"</f>
        <v>Lightbown Environmental Limited</v>
      </c>
      <c r="C6874" s="1" t="s">
        <v>8108</v>
      </c>
      <c r="F6874" s="1" t="s">
        <v>4731</v>
      </c>
      <c r="H6874" s="1" t="s">
        <v>8109</v>
      </c>
      <c r="I6874" s="1" t="s">
        <v>19</v>
      </c>
      <c r="J6874" s="1" t="s">
        <v>6</v>
      </c>
      <c r="K6874" s="1" t="s">
        <v>34</v>
      </c>
      <c r="L6874" s="1">
        <v>8254226</v>
      </c>
      <c r="M6874" s="2">
        <v>42555</v>
      </c>
      <c r="N6874" s="1" t="s">
        <v>8</v>
      </c>
      <c r="O6874" s="2">
        <v>43650</v>
      </c>
    </row>
    <row r="6875" spans="1:15" ht="28.8" x14ac:dyDescent="0.3">
      <c r="A6875" s="1" t="s">
        <v>21239</v>
      </c>
      <c r="B6875" s="1" t="str">
        <f>"Hefin  Thomas  hefin thomas plant hire"</f>
        <v>Hefin  Thomas  hefin thomas plant hire</v>
      </c>
      <c r="C6875" s="1" t="s">
        <v>21240</v>
      </c>
      <c r="F6875" s="1" t="s">
        <v>96</v>
      </c>
      <c r="H6875" s="1" t="s">
        <v>21241</v>
      </c>
      <c r="I6875" s="1" t="s">
        <v>5</v>
      </c>
      <c r="J6875" s="1" t="s">
        <v>6</v>
      </c>
      <c r="K6875" s="1" t="s">
        <v>34</v>
      </c>
      <c r="M6875" s="2">
        <v>42555</v>
      </c>
      <c r="N6875" s="1" t="s">
        <v>8</v>
      </c>
      <c r="O6875" s="2">
        <v>43650</v>
      </c>
    </row>
    <row r="6876" spans="1:15" ht="28.8" x14ac:dyDescent="0.3">
      <c r="A6876" s="1" t="s">
        <v>21242</v>
      </c>
      <c r="B6876" s="1" t="str">
        <f>"Andrew Davies  Andrew M. Davies"</f>
        <v>Andrew Davies  Andrew M. Davies</v>
      </c>
      <c r="C6876" s="1" t="s">
        <v>21243</v>
      </c>
      <c r="F6876" s="1" t="s">
        <v>4536</v>
      </c>
      <c r="H6876" s="1" t="s">
        <v>21244</v>
      </c>
      <c r="I6876" s="1" t="s">
        <v>5</v>
      </c>
      <c r="J6876" s="1" t="s">
        <v>6</v>
      </c>
      <c r="K6876" s="1" t="s">
        <v>34</v>
      </c>
      <c r="M6876" s="2">
        <v>42555</v>
      </c>
      <c r="N6876" s="1" t="s">
        <v>8</v>
      </c>
      <c r="O6876" s="2">
        <v>43650</v>
      </c>
    </row>
    <row r="6877" spans="1:15" ht="28.8" x14ac:dyDescent="0.3">
      <c r="A6877" s="1" t="s">
        <v>21245</v>
      </c>
      <c r="B6877" s="1" t="str">
        <f>"danny williams danny williams"</f>
        <v>danny williams danny williams</v>
      </c>
      <c r="C6877" s="1" t="s">
        <v>21246</v>
      </c>
      <c r="F6877" s="1" t="s">
        <v>42</v>
      </c>
      <c r="H6877" s="1" t="s">
        <v>21247</v>
      </c>
      <c r="I6877" s="1" t="s">
        <v>5</v>
      </c>
      <c r="J6877" s="1" t="s">
        <v>6</v>
      </c>
      <c r="K6877" s="1" t="s">
        <v>24</v>
      </c>
      <c r="M6877" s="2">
        <v>42555</v>
      </c>
      <c r="N6877" s="1" t="s">
        <v>8</v>
      </c>
      <c r="O6877" s="2">
        <v>43650</v>
      </c>
    </row>
    <row r="6878" spans="1:15" ht="43.2" x14ac:dyDescent="0.3">
      <c r="A6878" s="1" t="s">
        <v>21248</v>
      </c>
      <c r="B6878" s="1" t="str">
        <f>"paul carter"</f>
        <v>paul carter</v>
      </c>
      <c r="C6878" s="1" t="s">
        <v>21249</v>
      </c>
      <c r="F6878" s="1" t="s">
        <v>2711</v>
      </c>
      <c r="H6878" s="1" t="s">
        <v>21250</v>
      </c>
      <c r="I6878" s="1" t="s">
        <v>5</v>
      </c>
      <c r="J6878" s="1" t="s">
        <v>67</v>
      </c>
      <c r="K6878" s="1" t="s">
        <v>14</v>
      </c>
      <c r="M6878" s="2">
        <v>42555</v>
      </c>
      <c r="N6878" s="1" t="s">
        <v>8</v>
      </c>
      <c r="O6878" s="1" t="s">
        <v>68</v>
      </c>
    </row>
    <row r="6879" spans="1:15" ht="28.8" x14ac:dyDescent="0.3">
      <c r="A6879" s="1" t="s">
        <v>21251</v>
      </c>
      <c r="B6879" s="1" t="str">
        <f>"Graham Shalton Graham Shalton"</f>
        <v>Graham Shalton Graham Shalton</v>
      </c>
      <c r="C6879" s="1" t="s">
        <v>21252</v>
      </c>
      <c r="F6879" s="1" t="s">
        <v>22</v>
      </c>
      <c r="H6879" s="1" t="s">
        <v>21253</v>
      </c>
      <c r="I6879" s="1" t="s">
        <v>5</v>
      </c>
      <c r="J6879" s="1" t="s">
        <v>6</v>
      </c>
      <c r="K6879" s="1" t="s">
        <v>24</v>
      </c>
      <c r="M6879" s="2">
        <v>42555</v>
      </c>
      <c r="N6879" s="1" t="s">
        <v>8</v>
      </c>
      <c r="O6879" s="2">
        <v>43650</v>
      </c>
    </row>
    <row r="6880" spans="1:15" ht="43.2" x14ac:dyDescent="0.3">
      <c r="A6880" s="1" t="s">
        <v>22008</v>
      </c>
      <c r="B6880" s="1" t="str">
        <f>"Clive Dowman Owen"</f>
        <v>Clive Dowman Owen</v>
      </c>
      <c r="C6880" s="1" t="s">
        <v>22009</v>
      </c>
      <c r="F6880" s="1" t="s">
        <v>42</v>
      </c>
      <c r="H6880" s="1" t="s">
        <v>22010</v>
      </c>
      <c r="I6880" s="1" t="s">
        <v>5</v>
      </c>
      <c r="J6880" s="1" t="s">
        <v>67</v>
      </c>
      <c r="K6880" s="1" t="s">
        <v>24</v>
      </c>
      <c r="M6880" s="2">
        <v>42555</v>
      </c>
      <c r="N6880" s="1" t="s">
        <v>8</v>
      </c>
      <c r="O6880" s="1" t="s">
        <v>68</v>
      </c>
    </row>
    <row r="6881" spans="1:15" ht="43.2" x14ac:dyDescent="0.3">
      <c r="A6881" s="1" t="s">
        <v>22011</v>
      </c>
      <c r="B6881" s="1" t="str">
        <f>"David Morris DAVE MORRIS BUSINESS ACCOUNT"</f>
        <v>David Morris DAVE MORRIS BUSINESS ACCOUNT</v>
      </c>
      <c r="C6881" s="1" t="s">
        <v>22012</v>
      </c>
      <c r="F6881" s="1" t="s">
        <v>65</v>
      </c>
      <c r="H6881" s="1" t="s">
        <v>22013</v>
      </c>
      <c r="I6881" s="1" t="s">
        <v>5</v>
      </c>
      <c r="J6881" s="1" t="s">
        <v>6</v>
      </c>
      <c r="K6881" s="1" t="s">
        <v>24</v>
      </c>
      <c r="M6881" s="2">
        <v>42555</v>
      </c>
      <c r="N6881" s="1" t="s">
        <v>8</v>
      </c>
      <c r="O6881" s="2">
        <v>43650</v>
      </c>
    </row>
    <row r="6882" spans="1:15" ht="28.8" x14ac:dyDescent="0.3">
      <c r="A6882" s="1" t="s">
        <v>5860</v>
      </c>
      <c r="B6882" s="1" t="str">
        <f>"J Pesci &amp; Sons Ltd."</f>
        <v>J Pesci &amp; Sons Ltd.</v>
      </c>
      <c r="C6882" s="1" t="s">
        <v>5861</v>
      </c>
      <c r="F6882" s="1" t="s">
        <v>103</v>
      </c>
      <c r="H6882" s="1" t="s">
        <v>5862</v>
      </c>
      <c r="I6882" s="1" t="s">
        <v>19</v>
      </c>
      <c r="J6882" s="1" t="s">
        <v>6</v>
      </c>
      <c r="K6882" s="1" t="s">
        <v>34</v>
      </c>
      <c r="L6882" s="1">
        <v>515617</v>
      </c>
      <c r="M6882" s="2">
        <v>42553</v>
      </c>
      <c r="N6882" s="1" t="s">
        <v>8</v>
      </c>
      <c r="O6882" s="2">
        <v>43648</v>
      </c>
    </row>
    <row r="6883" spans="1:15" ht="43.2" x14ac:dyDescent="0.3">
      <c r="A6883" s="1" t="s">
        <v>20472</v>
      </c>
      <c r="B6883" s="1" t="str">
        <f>"Graham Barrah"</f>
        <v>Graham Barrah</v>
      </c>
      <c r="C6883" s="1" t="s">
        <v>20473</v>
      </c>
      <c r="F6883" s="1" t="s">
        <v>65</v>
      </c>
      <c r="H6883" s="1" t="s">
        <v>20474</v>
      </c>
      <c r="I6883" s="1" t="s">
        <v>5</v>
      </c>
      <c r="J6883" s="1" t="s">
        <v>67</v>
      </c>
      <c r="K6883" s="1" t="s">
        <v>14</v>
      </c>
      <c r="M6883" s="2">
        <v>42553</v>
      </c>
      <c r="N6883" s="1" t="s">
        <v>8</v>
      </c>
      <c r="O6883" s="1" t="s">
        <v>68</v>
      </c>
    </row>
    <row r="6884" spans="1:15" ht="43.2" x14ac:dyDescent="0.3">
      <c r="A6884" s="1" t="s">
        <v>20475</v>
      </c>
      <c r="B6884" s="1" t="str">
        <f>"Gemma Cowell"</f>
        <v>Gemma Cowell</v>
      </c>
      <c r="C6884" s="1" t="s">
        <v>20476</v>
      </c>
      <c r="F6884" s="1" t="s">
        <v>27</v>
      </c>
      <c r="H6884" s="1" t="s">
        <v>20477</v>
      </c>
      <c r="I6884" s="1" t="s">
        <v>5</v>
      </c>
      <c r="J6884" s="1" t="s">
        <v>67</v>
      </c>
      <c r="K6884" s="1" t="s">
        <v>14</v>
      </c>
      <c r="M6884" s="2">
        <v>42553</v>
      </c>
      <c r="N6884" s="1" t="s">
        <v>8</v>
      </c>
      <c r="O6884" s="1" t="s">
        <v>68</v>
      </c>
    </row>
    <row r="6885" spans="1:15" ht="43.2" x14ac:dyDescent="0.3">
      <c r="A6885" s="1" t="s">
        <v>21236</v>
      </c>
      <c r="B6885" s="1" t="str">
        <f>"Julian Lack"</f>
        <v>Julian Lack</v>
      </c>
      <c r="C6885" s="1" t="s">
        <v>21237</v>
      </c>
      <c r="F6885" s="1" t="s">
        <v>42</v>
      </c>
      <c r="H6885" s="1" t="s">
        <v>21238</v>
      </c>
      <c r="I6885" s="1" t="s">
        <v>5</v>
      </c>
      <c r="J6885" s="1" t="s">
        <v>67</v>
      </c>
      <c r="K6885" s="1" t="s">
        <v>14</v>
      </c>
      <c r="M6885" s="2">
        <v>42553</v>
      </c>
      <c r="N6885" s="1" t="s">
        <v>8</v>
      </c>
      <c r="O6885" s="1" t="s">
        <v>68</v>
      </c>
    </row>
    <row r="6886" spans="1:15" ht="28.8" x14ac:dyDescent="0.3">
      <c r="A6886" s="1" t="s">
        <v>4680</v>
      </c>
      <c r="B6886" s="1" t="str">
        <f>"K &amp; B Collection Ltd."</f>
        <v>K &amp; B Collection Ltd.</v>
      </c>
      <c r="C6886" s="1" t="s">
        <v>4681</v>
      </c>
      <c r="F6886" s="1" t="s">
        <v>328</v>
      </c>
      <c r="H6886" s="1" t="s">
        <v>4682</v>
      </c>
      <c r="I6886" s="1" t="s">
        <v>19</v>
      </c>
      <c r="J6886" s="1" t="s">
        <v>6</v>
      </c>
      <c r="K6886" s="1" t="s">
        <v>34</v>
      </c>
      <c r="L6886" s="1">
        <v>4766845</v>
      </c>
      <c r="M6886" s="2">
        <v>42552</v>
      </c>
      <c r="N6886" s="1" t="s">
        <v>8</v>
      </c>
      <c r="O6886" s="2">
        <v>43647</v>
      </c>
    </row>
    <row r="6887" spans="1:15" ht="28.8" x14ac:dyDescent="0.3">
      <c r="A6887" s="1" t="s">
        <v>4683</v>
      </c>
      <c r="B6887" s="1" t="str">
        <f>"Graham Flooring &amp; Claddig Ltd"</f>
        <v>Graham Flooring &amp; Claddig Ltd</v>
      </c>
      <c r="C6887" s="1" t="s">
        <v>4684</v>
      </c>
      <c r="F6887" s="1" t="s">
        <v>2459</v>
      </c>
      <c r="H6887" s="1" t="s">
        <v>2880</v>
      </c>
      <c r="I6887" s="1" t="s">
        <v>19</v>
      </c>
      <c r="J6887" s="1" t="s">
        <v>6</v>
      </c>
      <c r="K6887" s="1" t="s">
        <v>24</v>
      </c>
      <c r="L6887" s="1">
        <v>4689803</v>
      </c>
      <c r="M6887" s="2">
        <v>42552</v>
      </c>
      <c r="N6887" s="1" t="s">
        <v>8</v>
      </c>
      <c r="O6887" s="2">
        <v>43657</v>
      </c>
    </row>
    <row r="6888" spans="1:15" ht="43.2" x14ac:dyDescent="0.3">
      <c r="A6888" s="1" t="s">
        <v>5843</v>
      </c>
      <c r="B6888" s="1" t="str">
        <f>"Penrheol Barn Conversions"</f>
        <v>Penrheol Barn Conversions</v>
      </c>
      <c r="C6888" s="1" t="s">
        <v>5844</v>
      </c>
      <c r="F6888" s="1" t="s">
        <v>4536</v>
      </c>
      <c r="H6888" s="1" t="s">
        <v>5845</v>
      </c>
      <c r="I6888" s="1" t="s">
        <v>125</v>
      </c>
      <c r="J6888" s="1" t="s">
        <v>67</v>
      </c>
      <c r="K6888" s="1" t="s">
        <v>14</v>
      </c>
      <c r="M6888" s="2">
        <v>42552</v>
      </c>
      <c r="N6888" s="1" t="s">
        <v>8</v>
      </c>
      <c r="O6888" s="1" t="s">
        <v>68</v>
      </c>
    </row>
    <row r="6889" spans="1:15" ht="28.8" x14ac:dyDescent="0.3">
      <c r="A6889" s="1" t="s">
        <v>5846</v>
      </c>
      <c r="B6889" s="1" t="str">
        <f>"Glanmor Developments Ltd."</f>
        <v>Glanmor Developments Ltd.</v>
      </c>
      <c r="C6889" s="1" t="s">
        <v>5847</v>
      </c>
      <c r="D6889" s="1" t="s">
        <v>5848</v>
      </c>
      <c r="F6889" s="1" t="s">
        <v>380</v>
      </c>
      <c r="H6889" s="1" t="s">
        <v>5849</v>
      </c>
      <c r="I6889" s="1" t="s">
        <v>19</v>
      </c>
      <c r="J6889" s="1" t="s">
        <v>6</v>
      </c>
      <c r="K6889" s="1" t="s">
        <v>24</v>
      </c>
      <c r="L6889" s="1">
        <v>1578455</v>
      </c>
      <c r="M6889" s="2">
        <v>42552</v>
      </c>
      <c r="N6889" s="1" t="s">
        <v>8</v>
      </c>
      <c r="O6889" s="2">
        <v>43647</v>
      </c>
    </row>
    <row r="6890" spans="1:15" ht="43.2" x14ac:dyDescent="0.3">
      <c r="A6890" s="1" t="s">
        <v>5850</v>
      </c>
      <c r="B6890" s="1" t="str">
        <f>"european auto services"</f>
        <v>european auto services</v>
      </c>
      <c r="C6890" s="1" t="s">
        <v>5851</v>
      </c>
      <c r="F6890" s="1" t="s">
        <v>27</v>
      </c>
      <c r="H6890" s="1" t="s">
        <v>5852</v>
      </c>
      <c r="I6890" s="1" t="s">
        <v>125</v>
      </c>
      <c r="J6890" s="1" t="s">
        <v>67</v>
      </c>
      <c r="K6890" s="1" t="s">
        <v>14</v>
      </c>
      <c r="M6890" s="2">
        <v>42552</v>
      </c>
      <c r="N6890" s="1" t="s">
        <v>8</v>
      </c>
      <c r="O6890" s="1" t="s">
        <v>68</v>
      </c>
    </row>
    <row r="6891" spans="1:15" ht="28.8" x14ac:dyDescent="0.3">
      <c r="A6891" s="1" t="s">
        <v>5853</v>
      </c>
      <c r="B6891" s="1" t="str">
        <f>"Edmunds Webster Ltd."</f>
        <v>Edmunds Webster Ltd.</v>
      </c>
      <c r="C6891" s="1" t="s">
        <v>5854</v>
      </c>
      <c r="F6891" s="1" t="s">
        <v>5855</v>
      </c>
      <c r="H6891" s="1" t="s">
        <v>5856</v>
      </c>
      <c r="I6891" s="1" t="s">
        <v>19</v>
      </c>
      <c r="J6891" s="1" t="s">
        <v>6</v>
      </c>
      <c r="K6891" s="1" t="s">
        <v>34</v>
      </c>
      <c r="L6891" s="1">
        <v>2774141</v>
      </c>
      <c r="M6891" s="2">
        <v>42552</v>
      </c>
      <c r="N6891" s="1" t="s">
        <v>8</v>
      </c>
      <c r="O6891" s="2">
        <v>43647</v>
      </c>
    </row>
    <row r="6892" spans="1:15" ht="28.8" x14ac:dyDescent="0.3">
      <c r="A6892" s="1" t="s">
        <v>5857</v>
      </c>
      <c r="B6892" s="1" t="str">
        <f>"J W &amp; L Matthews"</f>
        <v>J W &amp; L Matthews</v>
      </c>
      <c r="C6892" s="1" t="s">
        <v>5858</v>
      </c>
      <c r="F6892" s="1" t="s">
        <v>174</v>
      </c>
      <c r="H6892" s="1" t="s">
        <v>5859</v>
      </c>
      <c r="I6892" s="1" t="s">
        <v>125</v>
      </c>
      <c r="J6892" s="1" t="s">
        <v>6</v>
      </c>
      <c r="K6892" s="1" t="s">
        <v>34</v>
      </c>
      <c r="M6892" s="2">
        <v>42552</v>
      </c>
      <c r="N6892" s="1" t="s">
        <v>8</v>
      </c>
      <c r="O6892" s="2">
        <v>43647</v>
      </c>
    </row>
    <row r="6893" spans="1:15" ht="43.2" x14ac:dyDescent="0.3">
      <c r="A6893" s="1" t="s">
        <v>19673</v>
      </c>
      <c r="B6893" s="1" t="str">
        <f>"Carl  Richards  Carl Richards Building Contractor "</f>
        <v xml:space="preserve">Carl  Richards  Carl Richards Building Contractor </v>
      </c>
      <c r="C6893" s="1" t="s">
        <v>19674</v>
      </c>
      <c r="F6893" s="1" t="s">
        <v>65</v>
      </c>
      <c r="H6893" s="1" t="s">
        <v>19675</v>
      </c>
      <c r="I6893" s="1" t="s">
        <v>5</v>
      </c>
      <c r="J6893" s="1" t="s">
        <v>6</v>
      </c>
      <c r="K6893" s="1" t="s">
        <v>34</v>
      </c>
      <c r="M6893" s="2">
        <v>42552</v>
      </c>
      <c r="N6893" s="1" t="s">
        <v>8</v>
      </c>
      <c r="O6893" s="2">
        <v>43647</v>
      </c>
    </row>
    <row r="6894" spans="1:15" ht="28.8" x14ac:dyDescent="0.3">
      <c r="A6894" s="1" t="s">
        <v>20459</v>
      </c>
      <c r="B6894" s="1" t="str">
        <f>"John Dimelow John Dimelow"</f>
        <v>John Dimelow John Dimelow</v>
      </c>
      <c r="C6894" s="1" t="s">
        <v>20460</v>
      </c>
      <c r="D6894" s="1" t="s">
        <v>20461</v>
      </c>
      <c r="F6894" s="1" t="s">
        <v>560</v>
      </c>
      <c r="H6894" s="1" t="s">
        <v>20462</v>
      </c>
      <c r="I6894" s="1" t="s">
        <v>5</v>
      </c>
      <c r="J6894" s="1" t="s">
        <v>6</v>
      </c>
      <c r="K6894" s="1" t="s">
        <v>24</v>
      </c>
      <c r="M6894" s="2">
        <v>42552</v>
      </c>
      <c r="N6894" s="1" t="s">
        <v>8</v>
      </c>
      <c r="O6894" s="2">
        <v>43647</v>
      </c>
    </row>
    <row r="6895" spans="1:15" ht="28.8" x14ac:dyDescent="0.3">
      <c r="A6895" s="1" t="s">
        <v>20463</v>
      </c>
      <c r="B6895" s="1" t="str">
        <f>"Stephen Prosser S Prosser"</f>
        <v>Stephen Prosser S Prosser</v>
      </c>
      <c r="C6895" s="1" t="s">
        <v>20464</v>
      </c>
      <c r="F6895" s="1" t="s">
        <v>27</v>
      </c>
      <c r="H6895" s="1" t="s">
        <v>20465</v>
      </c>
      <c r="I6895" s="1" t="s">
        <v>5</v>
      </c>
      <c r="J6895" s="1" t="s">
        <v>6</v>
      </c>
      <c r="K6895" s="1" t="s">
        <v>24</v>
      </c>
      <c r="M6895" s="2">
        <v>42552</v>
      </c>
      <c r="N6895" s="1" t="s">
        <v>8</v>
      </c>
      <c r="O6895" s="2">
        <v>43647</v>
      </c>
    </row>
    <row r="6896" spans="1:15" ht="43.2" x14ac:dyDescent="0.3">
      <c r="A6896" s="1" t="s">
        <v>20466</v>
      </c>
      <c r="B6896" s="1" t="str">
        <f>"Julian Coombes Coombes Property Rentals"</f>
        <v>Julian Coombes Coombes Property Rentals</v>
      </c>
      <c r="C6896" s="1" t="s">
        <v>20467</v>
      </c>
      <c r="F6896" s="1" t="s">
        <v>508</v>
      </c>
      <c r="H6896" s="1" t="s">
        <v>20468</v>
      </c>
      <c r="I6896" s="1" t="s">
        <v>5</v>
      </c>
      <c r="J6896" s="1" t="s">
        <v>6</v>
      </c>
      <c r="K6896" s="1" t="s">
        <v>24</v>
      </c>
      <c r="M6896" s="2">
        <v>42552</v>
      </c>
      <c r="N6896" s="1" t="s">
        <v>8</v>
      </c>
      <c r="O6896" s="2">
        <v>43647</v>
      </c>
    </row>
    <row r="6897" spans="1:15" ht="28.8" x14ac:dyDescent="0.3">
      <c r="A6897" s="1" t="s">
        <v>20469</v>
      </c>
      <c r="B6897" s="1" t="str">
        <f>"Gary Jones Gary Jones"</f>
        <v>Gary Jones Gary Jones</v>
      </c>
      <c r="C6897" s="1" t="s">
        <v>20470</v>
      </c>
      <c r="F6897" s="1" t="s">
        <v>73</v>
      </c>
      <c r="H6897" s="1" t="s">
        <v>20471</v>
      </c>
      <c r="I6897" s="1" t="s">
        <v>5</v>
      </c>
      <c r="J6897" s="1" t="s">
        <v>6</v>
      </c>
      <c r="K6897" s="1" t="s">
        <v>34</v>
      </c>
      <c r="M6897" s="2">
        <v>42552</v>
      </c>
      <c r="N6897" s="1" t="s">
        <v>8</v>
      </c>
      <c r="O6897" s="2">
        <v>43647</v>
      </c>
    </row>
    <row r="6898" spans="1:15" ht="28.8" x14ac:dyDescent="0.3">
      <c r="A6898" s="1" t="s">
        <v>4657</v>
      </c>
      <c r="B6898" s="1" t="str">
        <f>"A-FIELD TRANSPORT"</f>
        <v>A-FIELD TRANSPORT</v>
      </c>
      <c r="C6898" s="1" t="s">
        <v>4658</v>
      </c>
      <c r="D6898" s="1" t="s">
        <v>4659</v>
      </c>
      <c r="F6898" s="1" t="s">
        <v>4660</v>
      </c>
      <c r="H6898" s="1" t="s">
        <v>4661</v>
      </c>
      <c r="I6898" s="1" t="s">
        <v>19</v>
      </c>
      <c r="J6898" s="1" t="s">
        <v>6</v>
      </c>
      <c r="K6898" s="1" t="s">
        <v>24</v>
      </c>
      <c r="L6898" s="1">
        <v>5349809</v>
      </c>
      <c r="M6898" s="2">
        <v>42551</v>
      </c>
      <c r="N6898" s="1" t="s">
        <v>8</v>
      </c>
      <c r="O6898" s="2">
        <v>43646</v>
      </c>
    </row>
    <row r="6899" spans="1:15" ht="43.2" x14ac:dyDescent="0.3">
      <c r="A6899" s="1" t="s">
        <v>4662</v>
      </c>
      <c r="B6899" s="1" t="str">
        <f>"NDSS LTD"</f>
        <v>NDSS LTD</v>
      </c>
      <c r="C6899" s="1" t="s">
        <v>4663</v>
      </c>
      <c r="F6899" s="1" t="s">
        <v>27</v>
      </c>
      <c r="H6899" s="1" t="s">
        <v>4664</v>
      </c>
      <c r="I6899" s="1" t="s">
        <v>19</v>
      </c>
      <c r="J6899" s="1" t="s">
        <v>67</v>
      </c>
      <c r="K6899" s="1" t="s">
        <v>14</v>
      </c>
      <c r="M6899" s="2">
        <v>42551</v>
      </c>
      <c r="N6899" s="1" t="s">
        <v>8</v>
      </c>
      <c r="O6899" s="1" t="s">
        <v>68</v>
      </c>
    </row>
    <row r="6900" spans="1:15" ht="28.8" x14ac:dyDescent="0.3">
      <c r="A6900" s="1" t="s">
        <v>4665</v>
      </c>
      <c r="B6900" s="1" t="str">
        <f>"DK &amp; J Roberts Ltd "</f>
        <v xml:space="preserve">DK &amp; J Roberts Ltd </v>
      </c>
      <c r="C6900" s="1" t="s">
        <v>4666</v>
      </c>
      <c r="F6900" s="1" t="s">
        <v>2200</v>
      </c>
      <c r="H6900" s="1" t="s">
        <v>4667</v>
      </c>
      <c r="I6900" s="1" t="s">
        <v>19</v>
      </c>
      <c r="J6900" s="1" t="s">
        <v>6</v>
      </c>
      <c r="K6900" s="1" t="s">
        <v>34</v>
      </c>
      <c r="L6900" s="1">
        <v>5378627</v>
      </c>
      <c r="M6900" s="2">
        <v>42551</v>
      </c>
      <c r="N6900" s="1" t="s">
        <v>8</v>
      </c>
      <c r="O6900" s="2">
        <v>43646</v>
      </c>
    </row>
    <row r="6901" spans="1:15" ht="28.8" x14ac:dyDescent="0.3">
      <c r="A6901" s="1" t="s">
        <v>4668</v>
      </c>
      <c r="B6901" s="1" t="str">
        <f>"C H BENNETT &amp; SON LTD"</f>
        <v>C H BENNETT &amp; SON LTD</v>
      </c>
      <c r="C6901" s="1" t="s">
        <v>4669</v>
      </c>
      <c r="F6901" s="1" t="s">
        <v>445</v>
      </c>
      <c r="H6901" s="1" t="s">
        <v>4670</v>
      </c>
      <c r="I6901" s="1" t="s">
        <v>19</v>
      </c>
      <c r="J6901" s="1" t="s">
        <v>6</v>
      </c>
      <c r="K6901" s="1" t="s">
        <v>24</v>
      </c>
      <c r="L6901" s="1">
        <v>4989852</v>
      </c>
      <c r="M6901" s="2">
        <v>42551</v>
      </c>
      <c r="N6901" s="1" t="s">
        <v>8</v>
      </c>
      <c r="O6901" s="2">
        <v>43646</v>
      </c>
    </row>
    <row r="6902" spans="1:15" ht="43.2" x14ac:dyDescent="0.3">
      <c r="A6902" s="1" t="s">
        <v>4671</v>
      </c>
      <c r="B6902" s="1" t="str">
        <f>"Coombe Farms Ltd"</f>
        <v>Coombe Farms Ltd</v>
      </c>
      <c r="C6902" s="1" t="s">
        <v>4672</v>
      </c>
      <c r="D6902" s="1" t="s">
        <v>243</v>
      </c>
      <c r="F6902" s="1" t="s">
        <v>1642</v>
      </c>
      <c r="H6902" s="1" t="s">
        <v>4673</v>
      </c>
      <c r="I6902" s="1" t="s">
        <v>19</v>
      </c>
      <c r="J6902" s="1" t="s">
        <v>67</v>
      </c>
      <c r="K6902" s="1" t="s">
        <v>14</v>
      </c>
      <c r="M6902" s="2">
        <v>42551</v>
      </c>
      <c r="N6902" s="1" t="s">
        <v>8</v>
      </c>
      <c r="O6902" s="1" t="s">
        <v>68</v>
      </c>
    </row>
    <row r="6903" spans="1:15" ht="28.8" x14ac:dyDescent="0.3">
      <c r="A6903" s="1" t="s">
        <v>4674</v>
      </c>
      <c r="B6903" s="1" t="str">
        <f>"G MAYER PLANT HIRE LIMITED"</f>
        <v>G MAYER PLANT HIRE LIMITED</v>
      </c>
      <c r="C6903" s="1" t="s">
        <v>4675</v>
      </c>
      <c r="F6903" s="1" t="s">
        <v>560</v>
      </c>
      <c r="H6903" s="1" t="s">
        <v>4676</v>
      </c>
      <c r="I6903" s="1" t="s">
        <v>19</v>
      </c>
      <c r="J6903" s="1" t="s">
        <v>6</v>
      </c>
      <c r="K6903" s="1" t="s">
        <v>34</v>
      </c>
      <c r="L6903" s="1">
        <v>5655590</v>
      </c>
      <c r="M6903" s="2">
        <v>42551</v>
      </c>
      <c r="N6903" s="1" t="s">
        <v>8</v>
      </c>
      <c r="O6903" s="2">
        <v>43646</v>
      </c>
    </row>
    <row r="6904" spans="1:15" ht="28.8" x14ac:dyDescent="0.3">
      <c r="A6904" s="1" t="s">
        <v>4677</v>
      </c>
      <c r="B6904" s="1" t="str">
        <f>"neath plant hire ltd"</f>
        <v>neath plant hire ltd</v>
      </c>
      <c r="C6904" s="1" t="s">
        <v>4678</v>
      </c>
      <c r="F6904" s="1" t="s">
        <v>174</v>
      </c>
      <c r="H6904" s="1" t="s">
        <v>4679</v>
      </c>
      <c r="I6904" s="1" t="s">
        <v>19</v>
      </c>
      <c r="J6904" s="1" t="s">
        <v>6</v>
      </c>
      <c r="K6904" s="1" t="s">
        <v>34</v>
      </c>
      <c r="L6904" s="1">
        <v>8830799</v>
      </c>
      <c r="M6904" s="2">
        <v>42551</v>
      </c>
      <c r="N6904" s="1" t="s">
        <v>8</v>
      </c>
      <c r="O6904" s="2">
        <v>43646</v>
      </c>
    </row>
    <row r="6905" spans="1:15" ht="43.2" x14ac:dyDescent="0.3">
      <c r="A6905" s="1" t="s">
        <v>19666</v>
      </c>
      <c r="B6905" s="1" t="str">
        <f>"Dave  West"</f>
        <v>Dave  West</v>
      </c>
      <c r="C6905" s="1" t="s">
        <v>19667</v>
      </c>
      <c r="D6905" s="1" t="s">
        <v>19668</v>
      </c>
      <c r="F6905" s="1" t="s">
        <v>19668</v>
      </c>
      <c r="H6905" s="1" t="s">
        <v>19669</v>
      </c>
      <c r="I6905" s="1" t="s">
        <v>5</v>
      </c>
      <c r="J6905" s="1" t="s">
        <v>67</v>
      </c>
      <c r="K6905" s="1" t="s">
        <v>14</v>
      </c>
      <c r="M6905" s="2">
        <v>42551</v>
      </c>
      <c r="N6905" s="1" t="s">
        <v>8</v>
      </c>
      <c r="O6905" s="1" t="s">
        <v>68</v>
      </c>
    </row>
    <row r="6906" spans="1:15" x14ac:dyDescent="0.3">
      <c r="A6906" s="1" t="s">
        <v>19670</v>
      </c>
      <c r="B6906" s="1" t="str">
        <f>"Bryan Elias B. Clean"</f>
        <v>Bryan Elias B. Clean</v>
      </c>
      <c r="C6906" s="1" t="s">
        <v>19671</v>
      </c>
      <c r="F6906" s="1" t="s">
        <v>174</v>
      </c>
      <c r="H6906" s="1" t="s">
        <v>19672</v>
      </c>
      <c r="I6906" s="1" t="s">
        <v>5</v>
      </c>
      <c r="J6906" s="1" t="s">
        <v>6</v>
      </c>
      <c r="K6906" s="1" t="s">
        <v>24</v>
      </c>
      <c r="M6906" s="2">
        <v>42551</v>
      </c>
      <c r="N6906" s="1" t="s">
        <v>8</v>
      </c>
      <c r="O6906" s="2">
        <v>43646</v>
      </c>
    </row>
    <row r="6907" spans="1:15" ht="28.8" x14ac:dyDescent="0.3">
      <c r="A6907" s="1" t="s">
        <v>3567</v>
      </c>
      <c r="B6907" s="1" t="str">
        <f>"Wilkins Transport LTD"</f>
        <v>Wilkins Transport LTD</v>
      </c>
      <c r="C6907" s="1" t="s">
        <v>3568</v>
      </c>
      <c r="F6907" s="1" t="s">
        <v>83</v>
      </c>
      <c r="H6907" s="1" t="s">
        <v>3569</v>
      </c>
      <c r="I6907" s="1" t="s">
        <v>19</v>
      </c>
      <c r="J6907" s="1" t="s">
        <v>6</v>
      </c>
      <c r="K6907" s="1" t="s">
        <v>24</v>
      </c>
      <c r="L6907" s="1">
        <v>7901168</v>
      </c>
      <c r="M6907" s="2">
        <v>42550</v>
      </c>
      <c r="N6907" s="1" t="s">
        <v>8</v>
      </c>
      <c r="O6907" s="2">
        <v>43645</v>
      </c>
    </row>
    <row r="6908" spans="1:15" ht="28.8" x14ac:dyDescent="0.3">
      <c r="A6908" s="1" t="s">
        <v>3570</v>
      </c>
      <c r="B6908" s="1" t="str">
        <f>"MONMOUTHSHIRE CONSTRUCTION LTD"</f>
        <v>MONMOUTHSHIRE CONSTRUCTION LTD</v>
      </c>
      <c r="C6908" s="1" t="s">
        <v>3571</v>
      </c>
      <c r="F6908" s="1" t="s">
        <v>27</v>
      </c>
      <c r="H6908" s="1" t="s">
        <v>1508</v>
      </c>
      <c r="I6908" s="1" t="s">
        <v>19</v>
      </c>
      <c r="J6908" s="1" t="s">
        <v>6</v>
      </c>
      <c r="K6908" s="1" t="s">
        <v>34</v>
      </c>
      <c r="L6908" s="1">
        <v>1562403</v>
      </c>
      <c r="M6908" s="2">
        <v>42550</v>
      </c>
      <c r="N6908" s="1" t="s">
        <v>8</v>
      </c>
      <c r="O6908" s="2">
        <v>43645</v>
      </c>
    </row>
    <row r="6909" spans="1:15" ht="43.2" x14ac:dyDescent="0.3">
      <c r="A6909" s="1" t="s">
        <v>3572</v>
      </c>
      <c r="B6909" s="1" t="str">
        <f>"ASM Assembly Systems Weymouth"</f>
        <v>ASM Assembly Systems Weymouth</v>
      </c>
      <c r="C6909" s="1" t="s">
        <v>3573</v>
      </c>
      <c r="F6909" s="1" t="s">
        <v>3574</v>
      </c>
      <c r="H6909" s="1" t="s">
        <v>3575</v>
      </c>
      <c r="I6909" s="1" t="s">
        <v>19</v>
      </c>
      <c r="J6909" s="1" t="s">
        <v>67</v>
      </c>
      <c r="K6909" s="1" t="s">
        <v>14</v>
      </c>
      <c r="M6909" s="2">
        <v>42550</v>
      </c>
      <c r="N6909" s="1" t="s">
        <v>8</v>
      </c>
      <c r="O6909" s="1" t="s">
        <v>68</v>
      </c>
    </row>
    <row r="6910" spans="1:15" ht="43.2" x14ac:dyDescent="0.3">
      <c r="A6910" s="1" t="s">
        <v>3576</v>
      </c>
      <c r="B6910" s="1" t="str">
        <f>"United Air Power"</f>
        <v>United Air Power</v>
      </c>
      <c r="C6910" s="1" t="s">
        <v>3577</v>
      </c>
      <c r="D6910" s="1" t="s">
        <v>746</v>
      </c>
      <c r="F6910" s="1" t="s">
        <v>1346</v>
      </c>
      <c r="H6910" s="1" t="s">
        <v>3578</v>
      </c>
      <c r="I6910" s="1" t="s">
        <v>19</v>
      </c>
      <c r="J6910" s="1" t="s">
        <v>67</v>
      </c>
      <c r="K6910" s="1" t="s">
        <v>14</v>
      </c>
      <c r="M6910" s="2">
        <v>42550</v>
      </c>
      <c r="N6910" s="1" t="s">
        <v>8</v>
      </c>
      <c r="O6910" s="1" t="s">
        <v>68</v>
      </c>
    </row>
    <row r="6911" spans="1:15" ht="43.2" x14ac:dyDescent="0.3">
      <c r="A6911" s="1" t="s">
        <v>18856</v>
      </c>
      <c r="B6911" s="1" t="str">
        <f>"mark rowe"</f>
        <v>mark rowe</v>
      </c>
      <c r="C6911" s="1" t="s">
        <v>18857</v>
      </c>
      <c r="F6911" s="1" t="s">
        <v>930</v>
      </c>
      <c r="H6911" s="1" t="s">
        <v>18858</v>
      </c>
      <c r="I6911" s="1" t="s">
        <v>5</v>
      </c>
      <c r="J6911" s="1" t="s">
        <v>67</v>
      </c>
      <c r="K6911" s="1" t="s">
        <v>34</v>
      </c>
      <c r="M6911" s="2">
        <v>42550</v>
      </c>
      <c r="N6911" s="1" t="s">
        <v>8</v>
      </c>
      <c r="O6911" s="1" t="s">
        <v>68</v>
      </c>
    </row>
    <row r="6912" spans="1:15" ht="43.2" x14ac:dyDescent="0.3">
      <c r="A6912" s="1" t="s">
        <v>18859</v>
      </c>
      <c r="B6912" s="1" t="str">
        <f>"Michael Lewis Mike Lewis and Son Garden Services"</f>
        <v>Michael Lewis Mike Lewis and Son Garden Services</v>
      </c>
      <c r="C6912" s="1" t="s">
        <v>18860</v>
      </c>
      <c r="F6912" s="1" t="s">
        <v>96</v>
      </c>
      <c r="H6912" s="1" t="s">
        <v>18861</v>
      </c>
      <c r="I6912" s="1" t="s">
        <v>5</v>
      </c>
      <c r="J6912" s="1" t="s">
        <v>6</v>
      </c>
      <c r="K6912" s="1" t="s">
        <v>24</v>
      </c>
      <c r="M6912" s="2">
        <v>42550</v>
      </c>
      <c r="N6912" s="1" t="s">
        <v>8</v>
      </c>
      <c r="O6912" s="2">
        <v>43645</v>
      </c>
    </row>
    <row r="6913" spans="1:15" ht="28.8" x14ac:dyDescent="0.3">
      <c r="A6913" s="1" t="s">
        <v>3554</v>
      </c>
      <c r="B6913" s="1" t="str">
        <f>"Robertson Transport Services Ltd."</f>
        <v>Robertson Transport Services Ltd.</v>
      </c>
      <c r="C6913" s="1" t="s">
        <v>3555</v>
      </c>
      <c r="F6913" s="1" t="s">
        <v>865</v>
      </c>
      <c r="H6913" s="1" t="s">
        <v>3556</v>
      </c>
      <c r="I6913" s="1" t="s">
        <v>19</v>
      </c>
      <c r="J6913" s="1" t="s">
        <v>6</v>
      </c>
      <c r="K6913" s="1" t="s">
        <v>24</v>
      </c>
      <c r="L6913" s="1">
        <v>6258588</v>
      </c>
      <c r="M6913" s="2">
        <v>42549</v>
      </c>
      <c r="N6913" s="1" t="s">
        <v>8</v>
      </c>
      <c r="O6913" s="2">
        <v>43644</v>
      </c>
    </row>
    <row r="6914" spans="1:15" ht="28.8" x14ac:dyDescent="0.3">
      <c r="A6914" s="1" t="s">
        <v>3557</v>
      </c>
      <c r="B6914" s="1" t="str">
        <f>"J O Morris Ltd."</f>
        <v>J O Morris Ltd.</v>
      </c>
      <c r="C6914" s="1" t="s">
        <v>3558</v>
      </c>
      <c r="D6914" s="1" t="s">
        <v>11</v>
      </c>
      <c r="F6914" s="1" t="s">
        <v>12</v>
      </c>
      <c r="H6914" s="1" t="s">
        <v>46</v>
      </c>
      <c r="I6914" s="1" t="s">
        <v>19</v>
      </c>
      <c r="J6914" s="1" t="s">
        <v>6</v>
      </c>
      <c r="K6914" s="1" t="s">
        <v>24</v>
      </c>
      <c r="L6914" s="1">
        <v>2487342</v>
      </c>
      <c r="M6914" s="2">
        <v>42549</v>
      </c>
      <c r="N6914" s="1" t="s">
        <v>8</v>
      </c>
      <c r="O6914" s="2">
        <v>43644</v>
      </c>
    </row>
    <row r="6915" spans="1:15" ht="28.8" x14ac:dyDescent="0.3">
      <c r="A6915" s="1" t="s">
        <v>3559</v>
      </c>
      <c r="B6915" s="1" t="str">
        <f>"Trikon Recycling Ltd"</f>
        <v>Trikon Recycling Ltd</v>
      </c>
      <c r="C6915" s="1" t="s">
        <v>3560</v>
      </c>
      <c r="F6915" s="1" t="s">
        <v>27</v>
      </c>
      <c r="H6915" s="1" t="s">
        <v>3561</v>
      </c>
      <c r="I6915" s="1" t="s">
        <v>19</v>
      </c>
      <c r="J6915" s="1" t="s">
        <v>6</v>
      </c>
      <c r="K6915" s="1" t="s">
        <v>34</v>
      </c>
      <c r="L6915" s="1">
        <v>8588059</v>
      </c>
      <c r="M6915" s="2">
        <v>42549</v>
      </c>
      <c r="N6915" s="1" t="s">
        <v>8</v>
      </c>
      <c r="O6915" s="2">
        <v>43644</v>
      </c>
    </row>
    <row r="6916" spans="1:15" ht="43.2" x14ac:dyDescent="0.3">
      <c r="A6916" s="1" t="s">
        <v>3562</v>
      </c>
      <c r="B6916" s="1" t="str">
        <f>"Wow Event Hire Ltd"</f>
        <v>Wow Event Hire Ltd</v>
      </c>
      <c r="C6916" s="1" t="s">
        <v>3563</v>
      </c>
      <c r="D6916" s="1" t="s">
        <v>3564</v>
      </c>
      <c r="E6916" s="1" t="s">
        <v>3565</v>
      </c>
      <c r="F6916" s="1" t="s">
        <v>27</v>
      </c>
      <c r="H6916" s="1" t="s">
        <v>3566</v>
      </c>
      <c r="I6916" s="1" t="s">
        <v>19</v>
      </c>
      <c r="J6916" s="1" t="s">
        <v>67</v>
      </c>
      <c r="K6916" s="1" t="s">
        <v>14</v>
      </c>
      <c r="M6916" s="2">
        <v>42549</v>
      </c>
      <c r="N6916" s="1" t="s">
        <v>8</v>
      </c>
      <c r="O6916" s="1" t="s">
        <v>68</v>
      </c>
    </row>
    <row r="6917" spans="1:15" ht="28.8" x14ac:dyDescent="0.3">
      <c r="A6917" s="1" t="s">
        <v>18335</v>
      </c>
      <c r="B6917" s="1" t="str">
        <f>"AAC Waterproofing Ltd"</f>
        <v>AAC Waterproofing Ltd</v>
      </c>
      <c r="C6917" s="1" t="s">
        <v>3058</v>
      </c>
      <c r="F6917" s="1" t="s">
        <v>119</v>
      </c>
      <c r="H6917" s="1" t="s">
        <v>3059</v>
      </c>
      <c r="I6917" s="1" t="s">
        <v>19</v>
      </c>
      <c r="J6917" s="1" t="s">
        <v>6</v>
      </c>
      <c r="K6917" s="1" t="s">
        <v>34</v>
      </c>
      <c r="L6917" s="1">
        <v>2406740</v>
      </c>
      <c r="M6917" s="2">
        <v>42549</v>
      </c>
      <c r="N6917" s="1" t="s">
        <v>8</v>
      </c>
      <c r="O6917" s="2">
        <v>43644</v>
      </c>
    </row>
    <row r="6918" spans="1:15" ht="28.8" x14ac:dyDescent="0.3">
      <c r="A6918" s="1" t="s">
        <v>18336</v>
      </c>
      <c r="B6918" s="1" t="str">
        <f>"W R Services"</f>
        <v>W R Services</v>
      </c>
      <c r="C6918" s="1" t="s">
        <v>18337</v>
      </c>
      <c r="D6918" s="1" t="s">
        <v>3988</v>
      </c>
      <c r="F6918" s="1" t="s">
        <v>1175</v>
      </c>
      <c r="H6918" s="1" t="s">
        <v>18338</v>
      </c>
      <c r="I6918" s="1" t="s">
        <v>125</v>
      </c>
      <c r="J6918" s="1" t="s">
        <v>6</v>
      </c>
      <c r="K6918" s="1" t="s">
        <v>34</v>
      </c>
      <c r="M6918" s="2">
        <v>42549</v>
      </c>
      <c r="N6918" s="1" t="s">
        <v>8</v>
      </c>
      <c r="O6918" s="2">
        <v>43644</v>
      </c>
    </row>
    <row r="6919" spans="1:15" ht="43.2" x14ac:dyDescent="0.3">
      <c r="A6919" s="1" t="s">
        <v>18339</v>
      </c>
      <c r="B6919" s="1" t="str">
        <f>"Swansea House Clearance"</f>
        <v>Swansea House Clearance</v>
      </c>
      <c r="C6919" s="1" t="s">
        <v>18340</v>
      </c>
      <c r="F6919" s="1" t="s">
        <v>65</v>
      </c>
      <c r="H6919" s="1" t="s">
        <v>18341</v>
      </c>
      <c r="I6919" s="1" t="s">
        <v>125</v>
      </c>
      <c r="J6919" s="1" t="s">
        <v>67</v>
      </c>
      <c r="K6919" s="1" t="s">
        <v>14</v>
      </c>
      <c r="M6919" s="2">
        <v>42549</v>
      </c>
      <c r="N6919" s="1" t="s">
        <v>8</v>
      </c>
      <c r="O6919" s="1" t="s">
        <v>68</v>
      </c>
    </row>
    <row r="6920" spans="1:15" ht="28.8" x14ac:dyDescent="0.3">
      <c r="A6920" s="1" t="s">
        <v>18844</v>
      </c>
      <c r="B6920" s="1" t="str">
        <f>"Nigel Phillips Nigel Phillips "</f>
        <v xml:space="preserve">Nigel Phillips Nigel Phillips </v>
      </c>
      <c r="C6920" s="1" t="s">
        <v>18845</v>
      </c>
      <c r="F6920" s="1" t="s">
        <v>865</v>
      </c>
      <c r="H6920" s="1" t="s">
        <v>18846</v>
      </c>
      <c r="I6920" s="1" t="s">
        <v>5</v>
      </c>
      <c r="J6920" s="1" t="s">
        <v>6</v>
      </c>
      <c r="K6920" s="1" t="s">
        <v>34</v>
      </c>
      <c r="M6920" s="2">
        <v>42549</v>
      </c>
      <c r="N6920" s="1" t="s">
        <v>8</v>
      </c>
      <c r="O6920" s="2">
        <v>43644</v>
      </c>
    </row>
    <row r="6921" spans="1:15" ht="28.8" x14ac:dyDescent="0.3">
      <c r="A6921" s="1" t="s">
        <v>18847</v>
      </c>
      <c r="B6921" s="1" t="str">
        <f>"Dylan Pryce Dylan Pryce"</f>
        <v>Dylan Pryce Dylan Pryce</v>
      </c>
      <c r="C6921" s="1" t="s">
        <v>18848</v>
      </c>
      <c r="F6921" s="1" t="s">
        <v>4656</v>
      </c>
      <c r="H6921" s="1" t="s">
        <v>18849</v>
      </c>
      <c r="I6921" s="1" t="s">
        <v>5</v>
      </c>
      <c r="J6921" s="1" t="s">
        <v>6</v>
      </c>
      <c r="K6921" s="1" t="s">
        <v>34</v>
      </c>
      <c r="M6921" s="2">
        <v>42549</v>
      </c>
      <c r="N6921" s="1" t="s">
        <v>8</v>
      </c>
      <c r="O6921" s="2">
        <v>43644</v>
      </c>
    </row>
    <row r="6922" spans="1:15" ht="28.8" x14ac:dyDescent="0.3">
      <c r="A6922" s="1" t="s">
        <v>18850</v>
      </c>
      <c r="B6922" s="1" t="str">
        <f>"RICHARD CROSS Greencross Landscapes"</f>
        <v>RICHARD CROSS Greencross Landscapes</v>
      </c>
      <c r="C6922" s="1" t="s">
        <v>18851</v>
      </c>
      <c r="F6922" s="1" t="s">
        <v>3251</v>
      </c>
      <c r="H6922" s="1" t="s">
        <v>18852</v>
      </c>
      <c r="I6922" s="1" t="s">
        <v>5</v>
      </c>
      <c r="J6922" s="1" t="s">
        <v>6</v>
      </c>
      <c r="K6922" s="1" t="s">
        <v>24</v>
      </c>
      <c r="M6922" s="2">
        <v>42549</v>
      </c>
      <c r="N6922" s="1" t="s">
        <v>8</v>
      </c>
      <c r="O6922" s="2">
        <v>43644</v>
      </c>
    </row>
    <row r="6923" spans="1:15" ht="28.8" x14ac:dyDescent="0.3">
      <c r="A6923" s="1" t="s">
        <v>18853</v>
      </c>
      <c r="B6923" s="1" t="str">
        <f>"emyr hughes emyr hughes"</f>
        <v>emyr hughes emyr hughes</v>
      </c>
      <c r="C6923" s="1" t="s">
        <v>18854</v>
      </c>
      <c r="F6923" s="1" t="s">
        <v>3888</v>
      </c>
      <c r="H6923" s="1" t="s">
        <v>18855</v>
      </c>
      <c r="I6923" s="1" t="s">
        <v>5</v>
      </c>
      <c r="J6923" s="1" t="s">
        <v>6</v>
      </c>
      <c r="K6923" s="1" t="s">
        <v>24</v>
      </c>
      <c r="M6923" s="2">
        <v>42549</v>
      </c>
      <c r="N6923" s="1" t="s">
        <v>8</v>
      </c>
      <c r="O6923" s="2">
        <v>43644</v>
      </c>
    </row>
    <row r="6924" spans="1:15" ht="28.8" x14ac:dyDescent="0.3">
      <c r="A6924" s="1" t="s">
        <v>29934</v>
      </c>
      <c r="B6924" s="1" t="str">
        <f>"Ian Thomas Ian Thomas &amp; Sons"</f>
        <v>Ian Thomas Ian Thomas &amp; Sons</v>
      </c>
      <c r="C6924" s="1" t="s">
        <v>29935</v>
      </c>
      <c r="F6924" s="1" t="s">
        <v>174</v>
      </c>
      <c r="H6924" s="1" t="s">
        <v>29936</v>
      </c>
      <c r="I6924" s="1" t="s">
        <v>5</v>
      </c>
      <c r="J6924" s="1" t="s">
        <v>6</v>
      </c>
      <c r="K6924" s="1" t="s">
        <v>24</v>
      </c>
      <c r="M6924" s="2">
        <v>42549</v>
      </c>
      <c r="N6924" s="1" t="s">
        <v>8</v>
      </c>
      <c r="O6924" s="2">
        <v>43644</v>
      </c>
    </row>
    <row r="6925" spans="1:15" ht="28.8" x14ac:dyDescent="0.3">
      <c r="A6925" s="1" t="s">
        <v>17348</v>
      </c>
      <c r="B6925" s="1" t="str">
        <f>"BOWEN (CONTRACTING) LTD"</f>
        <v>BOWEN (CONTRACTING) LTD</v>
      </c>
      <c r="C6925" s="1" t="s">
        <v>17349</v>
      </c>
      <c r="D6925" s="1" t="s">
        <v>4135</v>
      </c>
      <c r="F6925" s="1" t="s">
        <v>555</v>
      </c>
      <c r="H6925" s="1" t="s">
        <v>17350</v>
      </c>
      <c r="I6925" s="1" t="s">
        <v>19</v>
      </c>
      <c r="J6925" s="1" t="s">
        <v>6</v>
      </c>
      <c r="K6925" s="1" t="s">
        <v>24</v>
      </c>
      <c r="L6925" s="1">
        <v>4398320</v>
      </c>
      <c r="M6925" s="2">
        <v>42548</v>
      </c>
      <c r="N6925" s="1" t="s">
        <v>8</v>
      </c>
      <c r="O6925" s="2">
        <v>43643</v>
      </c>
    </row>
    <row r="6926" spans="1:15" ht="28.8" x14ac:dyDescent="0.3">
      <c r="A6926" s="1" t="s">
        <v>17351</v>
      </c>
      <c r="B6926" s="1" t="str">
        <f>"Shaun Willment Plumbing &amp; Heating "</f>
        <v xml:space="preserve">Shaun Willment Plumbing &amp; Heating </v>
      </c>
      <c r="C6926" s="1" t="s">
        <v>17352</v>
      </c>
      <c r="F6926" s="1" t="s">
        <v>1351</v>
      </c>
      <c r="H6926" s="1" t="s">
        <v>17353</v>
      </c>
      <c r="I6926" s="1" t="s">
        <v>125</v>
      </c>
      <c r="J6926" s="1" t="s">
        <v>6</v>
      </c>
      <c r="K6926" s="1" t="s">
        <v>24</v>
      </c>
      <c r="M6926" s="2">
        <v>42548</v>
      </c>
      <c r="N6926" s="1" t="s">
        <v>8</v>
      </c>
      <c r="O6926" s="2">
        <v>43643</v>
      </c>
    </row>
    <row r="6927" spans="1:15" ht="28.8" x14ac:dyDescent="0.3">
      <c r="A6927" s="1" t="s">
        <v>17354</v>
      </c>
      <c r="B6927" s="1" t="str">
        <f>"Barber and Heath Electrical Limited"</f>
        <v>Barber and Heath Electrical Limited</v>
      </c>
      <c r="C6927" s="1" t="s">
        <v>17355</v>
      </c>
      <c r="F6927" s="1" t="s">
        <v>3242</v>
      </c>
      <c r="H6927" s="1" t="s">
        <v>17356</v>
      </c>
      <c r="I6927" s="1" t="s">
        <v>19</v>
      </c>
      <c r="J6927" s="1" t="s">
        <v>6</v>
      </c>
      <c r="K6927" s="1" t="s">
        <v>24</v>
      </c>
      <c r="L6927" s="1">
        <v>8422930</v>
      </c>
      <c r="M6927" s="2">
        <v>42548</v>
      </c>
      <c r="N6927" s="1" t="s">
        <v>8</v>
      </c>
      <c r="O6927" s="2">
        <v>43643</v>
      </c>
    </row>
    <row r="6928" spans="1:15" ht="43.2" x14ac:dyDescent="0.3">
      <c r="A6928" s="1" t="s">
        <v>17357</v>
      </c>
      <c r="B6928" s="1" t="str">
        <f>"EAP Solutions Ltd"</f>
        <v>EAP Solutions Ltd</v>
      </c>
      <c r="C6928" s="1" t="s">
        <v>17358</v>
      </c>
      <c r="D6928" s="1" t="s">
        <v>17359</v>
      </c>
      <c r="F6928" s="1" t="s">
        <v>2489</v>
      </c>
      <c r="H6928" s="1" t="s">
        <v>17360</v>
      </c>
      <c r="I6928" s="1" t="s">
        <v>19</v>
      </c>
      <c r="J6928" s="1" t="s">
        <v>67</v>
      </c>
      <c r="K6928" s="1" t="s">
        <v>14</v>
      </c>
      <c r="M6928" s="2">
        <v>42548</v>
      </c>
      <c r="N6928" s="1" t="s">
        <v>8</v>
      </c>
      <c r="O6928" s="1" t="s">
        <v>68</v>
      </c>
    </row>
    <row r="6929" spans="1:15" ht="28.8" x14ac:dyDescent="0.3">
      <c r="A6929" s="1" t="s">
        <v>18314</v>
      </c>
      <c r="B6929" s="1" t="str">
        <f>"JOHN ROBERTS (FFESTINIOG) LTD"</f>
        <v>JOHN ROBERTS (FFESTINIOG) LTD</v>
      </c>
      <c r="C6929" s="1" t="s">
        <v>18315</v>
      </c>
      <c r="F6929" s="1" t="s">
        <v>370</v>
      </c>
      <c r="H6929" s="1" t="s">
        <v>18316</v>
      </c>
      <c r="I6929" s="1" t="s">
        <v>19</v>
      </c>
      <c r="J6929" s="1" t="s">
        <v>6</v>
      </c>
      <c r="K6929" s="1" t="s">
        <v>24</v>
      </c>
      <c r="L6929" s="1">
        <v>852588</v>
      </c>
      <c r="M6929" s="2">
        <v>42548</v>
      </c>
      <c r="N6929" s="1" t="s">
        <v>8</v>
      </c>
      <c r="O6929" s="2">
        <v>43643</v>
      </c>
    </row>
    <row r="6930" spans="1:15" x14ac:dyDescent="0.3">
      <c r="A6930" s="1" t="s">
        <v>18317</v>
      </c>
      <c r="B6930" s="1" t="str">
        <f>"Pughs Roofing"</f>
        <v>Pughs Roofing</v>
      </c>
      <c r="C6930" s="1" t="s">
        <v>18318</v>
      </c>
      <c r="F6930" s="1" t="s">
        <v>1351</v>
      </c>
      <c r="H6930" s="1" t="s">
        <v>18319</v>
      </c>
      <c r="I6930" s="1" t="s">
        <v>125</v>
      </c>
      <c r="J6930" s="1" t="s">
        <v>6</v>
      </c>
      <c r="K6930" s="1" t="s">
        <v>24</v>
      </c>
      <c r="M6930" s="2">
        <v>42548</v>
      </c>
      <c r="N6930" s="1" t="s">
        <v>8</v>
      </c>
      <c r="O6930" s="2">
        <v>43643</v>
      </c>
    </row>
    <row r="6931" spans="1:15" ht="28.8" x14ac:dyDescent="0.3">
      <c r="A6931" s="1" t="s">
        <v>18320</v>
      </c>
      <c r="B6931" s="1" t="str">
        <f>"Roof Plus Ltd."</f>
        <v>Roof Plus Ltd.</v>
      </c>
      <c r="C6931" s="1" t="s">
        <v>18321</v>
      </c>
      <c r="D6931" s="1" t="s">
        <v>17654</v>
      </c>
      <c r="E6931" s="1" t="s">
        <v>16353</v>
      </c>
      <c r="F6931" s="1" t="s">
        <v>2950</v>
      </c>
      <c r="H6931" s="1" t="s">
        <v>16354</v>
      </c>
      <c r="I6931" s="1" t="s">
        <v>19</v>
      </c>
      <c r="J6931" s="1" t="s">
        <v>6</v>
      </c>
      <c r="K6931" s="1" t="s">
        <v>34</v>
      </c>
      <c r="L6931" s="1">
        <v>4658832</v>
      </c>
      <c r="M6931" s="2">
        <v>42548</v>
      </c>
      <c r="N6931" s="1" t="s">
        <v>8</v>
      </c>
      <c r="O6931" s="2">
        <v>43643</v>
      </c>
    </row>
    <row r="6932" spans="1:15" x14ac:dyDescent="0.3">
      <c r="A6932" s="1" t="s">
        <v>18322</v>
      </c>
      <c r="B6932" s="1" t="str">
        <f>"Robert Hunter &amp; Son"</f>
        <v>Robert Hunter &amp; Son</v>
      </c>
      <c r="C6932" s="1" t="s">
        <v>18323</v>
      </c>
      <c r="F6932" s="1" t="s">
        <v>73</v>
      </c>
      <c r="H6932" s="1" t="s">
        <v>2934</v>
      </c>
      <c r="I6932" s="1" t="s">
        <v>125</v>
      </c>
      <c r="J6932" s="1" t="s">
        <v>6</v>
      </c>
      <c r="K6932" s="1" t="s">
        <v>24</v>
      </c>
      <c r="M6932" s="2">
        <v>42548</v>
      </c>
      <c r="N6932" s="1" t="s">
        <v>8</v>
      </c>
      <c r="O6932" s="2">
        <v>43643</v>
      </c>
    </row>
    <row r="6933" spans="1:15" x14ac:dyDescent="0.3">
      <c r="A6933" s="1" t="s">
        <v>18324</v>
      </c>
      <c r="B6933" s="1" t="str">
        <f>"Hughes Bros"</f>
        <v>Hughes Bros</v>
      </c>
      <c r="C6933" s="1" t="s">
        <v>18325</v>
      </c>
      <c r="F6933" s="1" t="s">
        <v>1169</v>
      </c>
      <c r="H6933" s="1" t="s">
        <v>18326</v>
      </c>
      <c r="I6933" s="1" t="s">
        <v>125</v>
      </c>
      <c r="J6933" s="1" t="s">
        <v>6</v>
      </c>
      <c r="K6933" s="1" t="s">
        <v>24</v>
      </c>
      <c r="M6933" s="2">
        <v>42548</v>
      </c>
      <c r="N6933" s="1" t="s">
        <v>8</v>
      </c>
      <c r="O6933" s="2">
        <v>43643</v>
      </c>
    </row>
    <row r="6934" spans="1:15" x14ac:dyDescent="0.3">
      <c r="A6934" s="1" t="s">
        <v>18327</v>
      </c>
      <c r="B6934" s="1" t="str">
        <f>"Sanders Machinery Ltd."</f>
        <v>Sanders Machinery Ltd.</v>
      </c>
      <c r="C6934" s="1" t="s">
        <v>18328</v>
      </c>
      <c r="F6934" s="1" t="s">
        <v>1169</v>
      </c>
      <c r="H6934" s="1" t="s">
        <v>4772</v>
      </c>
      <c r="I6934" s="1" t="s">
        <v>19</v>
      </c>
      <c r="J6934" s="1" t="s">
        <v>6</v>
      </c>
      <c r="K6934" s="1" t="s">
        <v>24</v>
      </c>
      <c r="L6934" s="1">
        <v>1772489</v>
      </c>
      <c r="M6934" s="2">
        <v>42548</v>
      </c>
      <c r="N6934" s="1" t="s">
        <v>8</v>
      </c>
      <c r="O6934" s="2">
        <v>43643</v>
      </c>
    </row>
    <row r="6935" spans="1:15" ht="28.8" x14ac:dyDescent="0.3">
      <c r="A6935" s="1" t="s">
        <v>18329</v>
      </c>
      <c r="B6935" s="1" t="str">
        <f>"Newport Container Valet Ltd."</f>
        <v>Newport Container Valet Ltd.</v>
      </c>
      <c r="C6935" s="1" t="s">
        <v>18330</v>
      </c>
      <c r="F6935" s="1" t="s">
        <v>91</v>
      </c>
      <c r="H6935" s="1" t="s">
        <v>18331</v>
      </c>
      <c r="I6935" s="1" t="s">
        <v>19</v>
      </c>
      <c r="J6935" s="1" t="s">
        <v>6</v>
      </c>
      <c r="K6935" s="1" t="s">
        <v>24</v>
      </c>
      <c r="L6935" s="1">
        <v>1659733</v>
      </c>
      <c r="M6935" s="2">
        <v>42548</v>
      </c>
      <c r="N6935" s="1" t="s">
        <v>8</v>
      </c>
      <c r="O6935" s="2">
        <v>43643</v>
      </c>
    </row>
    <row r="6936" spans="1:15" ht="28.8" x14ac:dyDescent="0.3">
      <c r="A6936" s="1" t="s">
        <v>18332</v>
      </c>
      <c r="B6936" s="1" t="str">
        <f>"C W Turner &amp; Sons"</f>
        <v>C W Turner &amp; Sons</v>
      </c>
      <c r="C6936" s="1" t="s">
        <v>18333</v>
      </c>
      <c r="F6936" s="1" t="s">
        <v>1700</v>
      </c>
      <c r="H6936" s="1" t="s">
        <v>18334</v>
      </c>
      <c r="I6936" s="1" t="s">
        <v>125</v>
      </c>
      <c r="J6936" s="1" t="s">
        <v>6</v>
      </c>
      <c r="K6936" s="1" t="s">
        <v>24</v>
      </c>
      <c r="M6936" s="2">
        <v>42548</v>
      </c>
      <c r="N6936" s="1" t="s">
        <v>8</v>
      </c>
      <c r="O6936" s="2">
        <v>43643</v>
      </c>
    </row>
    <row r="6937" spans="1:15" ht="43.2" x14ac:dyDescent="0.3">
      <c r="A6937" s="1" t="s">
        <v>29921</v>
      </c>
      <c r="B6937" s="1" t="str">
        <f>"John Griffin"</f>
        <v>John Griffin</v>
      </c>
      <c r="C6937" s="1" t="s">
        <v>29922</v>
      </c>
      <c r="D6937" s="1" t="s">
        <v>29923</v>
      </c>
      <c r="F6937" s="1" t="s">
        <v>3611</v>
      </c>
      <c r="H6937" s="1" t="s">
        <v>29924</v>
      </c>
      <c r="I6937" s="1" t="s">
        <v>5</v>
      </c>
      <c r="J6937" s="1" t="s">
        <v>67</v>
      </c>
      <c r="K6937" s="1" t="s">
        <v>14</v>
      </c>
      <c r="M6937" s="2">
        <v>42548</v>
      </c>
      <c r="N6937" s="1" t="s">
        <v>8</v>
      </c>
      <c r="O6937" s="1" t="s">
        <v>68</v>
      </c>
    </row>
    <row r="6938" spans="1:15" ht="28.8" x14ac:dyDescent="0.3">
      <c r="A6938" s="1" t="s">
        <v>29925</v>
      </c>
      <c r="B6938" s="1" t="str">
        <f>"Jack Rees Rees Building Contractors"</f>
        <v>Jack Rees Rees Building Contractors</v>
      </c>
      <c r="C6938" s="1" t="s">
        <v>29926</v>
      </c>
      <c r="F6938" s="1" t="s">
        <v>1184</v>
      </c>
      <c r="H6938" s="1" t="s">
        <v>29927</v>
      </c>
      <c r="I6938" s="1" t="s">
        <v>5</v>
      </c>
      <c r="J6938" s="1" t="s">
        <v>6</v>
      </c>
      <c r="K6938" s="1" t="s">
        <v>34</v>
      </c>
      <c r="M6938" s="2">
        <v>42548</v>
      </c>
      <c r="N6938" s="1" t="s">
        <v>8</v>
      </c>
      <c r="O6938" s="2">
        <v>43643</v>
      </c>
    </row>
    <row r="6939" spans="1:15" ht="43.2" x14ac:dyDescent="0.3">
      <c r="A6939" s="1" t="s">
        <v>29928</v>
      </c>
      <c r="B6939" s="1" t="str">
        <f>"Naithan Parsons"</f>
        <v>Naithan Parsons</v>
      </c>
      <c r="C6939" s="1" t="s">
        <v>29929</v>
      </c>
      <c r="F6939" s="1" t="s">
        <v>298</v>
      </c>
      <c r="H6939" s="1" t="s">
        <v>29930</v>
      </c>
      <c r="I6939" s="1" t="s">
        <v>5</v>
      </c>
      <c r="J6939" s="1" t="s">
        <v>67</v>
      </c>
      <c r="K6939" s="1" t="s">
        <v>14</v>
      </c>
      <c r="M6939" s="2">
        <v>42548</v>
      </c>
      <c r="N6939" s="1" t="s">
        <v>8</v>
      </c>
      <c r="O6939" s="1" t="s">
        <v>68</v>
      </c>
    </row>
    <row r="6940" spans="1:15" x14ac:dyDescent="0.3">
      <c r="A6940" s="1" t="s">
        <v>29931</v>
      </c>
      <c r="B6940" s="1" t="str">
        <f>"Chris Watts"</f>
        <v>Chris Watts</v>
      </c>
      <c r="C6940" s="1" t="s">
        <v>29932</v>
      </c>
      <c r="F6940" s="1" t="s">
        <v>786</v>
      </c>
      <c r="H6940" s="1" t="s">
        <v>29933</v>
      </c>
      <c r="I6940" s="1" t="s">
        <v>5</v>
      </c>
      <c r="J6940" s="1" t="s">
        <v>6</v>
      </c>
      <c r="K6940" s="1" t="s">
        <v>24</v>
      </c>
      <c r="M6940" s="2">
        <v>42548</v>
      </c>
      <c r="N6940" s="1" t="s">
        <v>8</v>
      </c>
      <c r="O6940" s="2">
        <v>43643</v>
      </c>
    </row>
    <row r="6941" spans="1:15" ht="43.2" x14ac:dyDescent="0.3">
      <c r="A6941" s="1" t="s">
        <v>17345</v>
      </c>
      <c r="B6941" s="1" t="str">
        <f>"c godsall ltd"</f>
        <v>c godsall ltd</v>
      </c>
      <c r="C6941" s="1" t="s">
        <v>17346</v>
      </c>
      <c r="F6941" s="1" t="s">
        <v>65</v>
      </c>
      <c r="H6941" s="1" t="s">
        <v>17347</v>
      </c>
      <c r="I6941" s="1" t="s">
        <v>19</v>
      </c>
      <c r="J6941" s="1" t="s">
        <v>67</v>
      </c>
      <c r="K6941" s="1" t="s">
        <v>14</v>
      </c>
      <c r="M6941" s="2">
        <v>42547</v>
      </c>
      <c r="N6941" s="1" t="s">
        <v>8</v>
      </c>
      <c r="O6941" s="1" t="s">
        <v>68</v>
      </c>
    </row>
    <row r="6942" spans="1:15" ht="43.2" x14ac:dyDescent="0.3">
      <c r="A6942" s="1" t="s">
        <v>29180</v>
      </c>
      <c r="B6942" s="1" t="str">
        <f>"Ian Thomas"</f>
        <v>Ian Thomas</v>
      </c>
      <c r="C6942" s="1" t="s">
        <v>29181</v>
      </c>
      <c r="F6942" s="1" t="s">
        <v>151</v>
      </c>
      <c r="H6942" s="1" t="s">
        <v>29182</v>
      </c>
      <c r="I6942" s="1" t="s">
        <v>5</v>
      </c>
      <c r="J6942" s="1" t="s">
        <v>67</v>
      </c>
      <c r="K6942" s="1" t="s">
        <v>24</v>
      </c>
      <c r="M6942" s="2">
        <v>42547</v>
      </c>
      <c r="N6942" s="1" t="s">
        <v>8</v>
      </c>
      <c r="O6942" s="1" t="s">
        <v>68</v>
      </c>
    </row>
    <row r="6943" spans="1:15" ht="43.2" x14ac:dyDescent="0.3">
      <c r="A6943" s="1" t="s">
        <v>29183</v>
      </c>
      <c r="B6943" s="1" t="str">
        <f>"LEIGH TAYLOR"</f>
        <v>LEIGH TAYLOR</v>
      </c>
      <c r="C6943" s="1" t="s">
        <v>29184</v>
      </c>
      <c r="D6943" s="1" t="s">
        <v>29185</v>
      </c>
      <c r="F6943" s="1" t="s">
        <v>508</v>
      </c>
      <c r="H6943" s="1" t="s">
        <v>29186</v>
      </c>
      <c r="I6943" s="1" t="s">
        <v>5</v>
      </c>
      <c r="J6943" s="1" t="s">
        <v>67</v>
      </c>
      <c r="K6943" s="1" t="s">
        <v>14</v>
      </c>
      <c r="M6943" s="2">
        <v>42547</v>
      </c>
      <c r="N6943" s="1" t="s">
        <v>8</v>
      </c>
      <c r="O6943" s="1" t="s">
        <v>68</v>
      </c>
    </row>
    <row r="6944" spans="1:15" ht="28.8" x14ac:dyDescent="0.3">
      <c r="A6944" s="1" t="s">
        <v>29187</v>
      </c>
      <c r="B6944" s="1" t="str">
        <f>"john rothwell house clearances 4u"</f>
        <v>john rothwell house clearances 4u</v>
      </c>
      <c r="C6944" s="1" t="s">
        <v>29188</v>
      </c>
      <c r="D6944" s="1" t="s">
        <v>475</v>
      </c>
      <c r="F6944" s="1" t="s">
        <v>83</v>
      </c>
      <c r="H6944" s="1" t="s">
        <v>7108</v>
      </c>
      <c r="I6944" s="1" t="s">
        <v>5</v>
      </c>
      <c r="J6944" s="1" t="s">
        <v>6</v>
      </c>
      <c r="K6944" s="1" t="s">
        <v>24</v>
      </c>
      <c r="M6944" s="2">
        <v>42547</v>
      </c>
      <c r="N6944" s="1" t="s">
        <v>8</v>
      </c>
      <c r="O6944" s="2">
        <v>43642</v>
      </c>
    </row>
    <row r="6945" spans="1:15" ht="43.2" x14ac:dyDescent="0.3">
      <c r="A6945" s="1" t="s">
        <v>29189</v>
      </c>
      <c r="B6945" s="1" t="str">
        <f>"Richard Gripton Rjg Removals And Waste Carrier"</f>
        <v>Richard Gripton Rjg Removals And Waste Carrier</v>
      </c>
      <c r="C6945" s="1" t="s">
        <v>29190</v>
      </c>
      <c r="D6945" s="1" t="s">
        <v>12033</v>
      </c>
      <c r="F6945" s="1" t="s">
        <v>825</v>
      </c>
      <c r="H6945" s="1" t="s">
        <v>29191</v>
      </c>
      <c r="I6945" s="1" t="s">
        <v>5</v>
      </c>
      <c r="J6945" s="1" t="s">
        <v>67</v>
      </c>
      <c r="K6945" s="1" t="s">
        <v>24</v>
      </c>
      <c r="M6945" s="2">
        <v>42547</v>
      </c>
      <c r="N6945" s="1" t="s">
        <v>8</v>
      </c>
      <c r="O6945" s="1" t="s">
        <v>68</v>
      </c>
    </row>
    <row r="6946" spans="1:15" ht="43.2" x14ac:dyDescent="0.3">
      <c r="A6946" s="1" t="s">
        <v>17342</v>
      </c>
      <c r="B6946" s="1" t="str">
        <f>"LLYNFI VALLEY TREE &amp; GARDEN SERVICES LIMITED"</f>
        <v>LLYNFI VALLEY TREE &amp; GARDEN SERVICES LIMITED</v>
      </c>
      <c r="C6946" s="1" t="s">
        <v>17343</v>
      </c>
      <c r="F6946" s="1" t="s">
        <v>825</v>
      </c>
      <c r="H6946" s="1" t="s">
        <v>17344</v>
      </c>
      <c r="I6946" s="1" t="s">
        <v>19</v>
      </c>
      <c r="J6946" s="1" t="s">
        <v>67</v>
      </c>
      <c r="K6946" s="1" t="s">
        <v>24</v>
      </c>
      <c r="L6946" s="1">
        <v>6840064</v>
      </c>
      <c r="M6946" s="2">
        <v>42546</v>
      </c>
      <c r="N6946" s="1" t="s">
        <v>8</v>
      </c>
      <c r="O6946" s="1" t="s">
        <v>68</v>
      </c>
    </row>
    <row r="6947" spans="1:15" ht="28.8" x14ac:dyDescent="0.3">
      <c r="A6947" s="1" t="s">
        <v>29173</v>
      </c>
      <c r="B6947" s="1" t="str">
        <f>"Timothy  John Rudge Timothy John Rudge"</f>
        <v>Timothy  John Rudge Timothy John Rudge</v>
      </c>
      <c r="C6947" s="1" t="s">
        <v>29174</v>
      </c>
      <c r="D6947" s="1" t="s">
        <v>56</v>
      </c>
      <c r="F6947" s="1" t="s">
        <v>29175</v>
      </c>
      <c r="H6947" s="1" t="s">
        <v>29176</v>
      </c>
      <c r="I6947" s="1" t="s">
        <v>5</v>
      </c>
      <c r="J6947" s="1" t="s">
        <v>6</v>
      </c>
      <c r="K6947" s="1" t="s">
        <v>34</v>
      </c>
      <c r="M6947" s="2">
        <v>42546</v>
      </c>
      <c r="N6947" s="1" t="s">
        <v>8</v>
      </c>
      <c r="O6947" s="2">
        <v>43641</v>
      </c>
    </row>
    <row r="6948" spans="1:15" ht="43.2" x14ac:dyDescent="0.3">
      <c r="A6948" s="1" t="s">
        <v>29177</v>
      </c>
      <c r="B6948" s="1" t="str">
        <f>"daryl cavill"</f>
        <v>daryl cavill</v>
      </c>
      <c r="C6948" s="1" t="s">
        <v>29178</v>
      </c>
      <c r="F6948" s="1" t="s">
        <v>290</v>
      </c>
      <c r="H6948" s="1" t="s">
        <v>29179</v>
      </c>
      <c r="I6948" s="1" t="s">
        <v>5</v>
      </c>
      <c r="J6948" s="1" t="s">
        <v>67</v>
      </c>
      <c r="K6948" s="1" t="s">
        <v>14</v>
      </c>
      <c r="M6948" s="2">
        <v>42546</v>
      </c>
      <c r="N6948" s="1" t="s">
        <v>8</v>
      </c>
      <c r="O6948" s="1" t="s">
        <v>68</v>
      </c>
    </row>
    <row r="6949" spans="1:15" ht="43.2" x14ac:dyDescent="0.3">
      <c r="A6949" s="1" t="s">
        <v>16361</v>
      </c>
      <c r="B6949" s="1" t="str">
        <f>"custom chrome and iron ltd "</f>
        <v xml:space="preserve">custom chrome and iron ltd </v>
      </c>
      <c r="C6949" s="1" t="s">
        <v>16362</v>
      </c>
      <c r="D6949" s="1" t="s">
        <v>5030</v>
      </c>
      <c r="F6949" s="1" t="s">
        <v>4507</v>
      </c>
      <c r="H6949" s="1" t="s">
        <v>4508</v>
      </c>
      <c r="I6949" s="1" t="s">
        <v>19</v>
      </c>
      <c r="J6949" s="1" t="s">
        <v>67</v>
      </c>
      <c r="K6949" s="1" t="s">
        <v>14</v>
      </c>
      <c r="M6949" s="2">
        <v>42545</v>
      </c>
      <c r="N6949" s="1" t="s">
        <v>8</v>
      </c>
      <c r="O6949" s="1" t="s">
        <v>68</v>
      </c>
    </row>
    <row r="6950" spans="1:15" ht="43.2" x14ac:dyDescent="0.3">
      <c r="A6950" s="1" t="s">
        <v>16363</v>
      </c>
      <c r="B6950" s="1" t="str">
        <f>"Kieron M Owen Transport Ltd"</f>
        <v>Kieron M Owen Transport Ltd</v>
      </c>
      <c r="C6950" s="1" t="s">
        <v>16364</v>
      </c>
      <c r="F6950" s="1" t="s">
        <v>3142</v>
      </c>
      <c r="H6950" s="1" t="s">
        <v>16365</v>
      </c>
      <c r="I6950" s="1" t="s">
        <v>19</v>
      </c>
      <c r="J6950" s="1" t="s">
        <v>67</v>
      </c>
      <c r="K6950" s="1" t="s">
        <v>14</v>
      </c>
      <c r="M6950" s="2">
        <v>42545</v>
      </c>
      <c r="N6950" s="1" t="s">
        <v>8</v>
      </c>
      <c r="O6950" s="1" t="s">
        <v>68</v>
      </c>
    </row>
    <row r="6951" spans="1:15" ht="28.8" x14ac:dyDescent="0.3">
      <c r="A6951" s="1" t="s">
        <v>17326</v>
      </c>
      <c r="B6951" s="1" t="str">
        <f>"C &amp; P Building Contractors Ltd."</f>
        <v>C &amp; P Building Contractors Ltd.</v>
      </c>
      <c r="C6951" s="1" t="s">
        <v>17327</v>
      </c>
      <c r="F6951" s="1" t="s">
        <v>174</v>
      </c>
      <c r="H6951" s="1" t="s">
        <v>17328</v>
      </c>
      <c r="I6951" s="1" t="s">
        <v>19</v>
      </c>
      <c r="J6951" s="1" t="s">
        <v>6</v>
      </c>
      <c r="K6951" s="1" t="s">
        <v>24</v>
      </c>
      <c r="L6951" s="1">
        <v>3496174</v>
      </c>
      <c r="M6951" s="2">
        <v>42545</v>
      </c>
      <c r="N6951" s="1" t="s">
        <v>8</v>
      </c>
      <c r="O6951" s="2">
        <v>43640</v>
      </c>
    </row>
    <row r="6952" spans="1:15" ht="28.8" x14ac:dyDescent="0.3">
      <c r="A6952" s="1" t="s">
        <v>17329</v>
      </c>
      <c r="B6952" s="1" t="str">
        <f>"John Williams &amp; Co. (Crwbin Quarries)Ltd."</f>
        <v>John Williams &amp; Co. (Crwbin Quarries)Ltd.</v>
      </c>
      <c r="C6952" s="1" t="s">
        <v>17330</v>
      </c>
      <c r="F6952" s="1" t="s">
        <v>96</v>
      </c>
      <c r="H6952" s="1" t="s">
        <v>17331</v>
      </c>
      <c r="I6952" s="1" t="s">
        <v>19</v>
      </c>
      <c r="J6952" s="1" t="s">
        <v>6</v>
      </c>
      <c r="K6952" s="1" t="s">
        <v>34</v>
      </c>
      <c r="L6952" s="1">
        <v>453261</v>
      </c>
      <c r="M6952" s="2">
        <v>42545</v>
      </c>
      <c r="N6952" s="1" t="s">
        <v>8</v>
      </c>
      <c r="O6952" s="2">
        <v>43640</v>
      </c>
    </row>
    <row r="6953" spans="1:15" ht="28.8" x14ac:dyDescent="0.3">
      <c r="A6953" s="1" t="s">
        <v>17332</v>
      </c>
      <c r="B6953" s="1" t="str">
        <f>"Cobham lifting ltd"</f>
        <v>Cobham lifting ltd</v>
      </c>
      <c r="C6953" s="1" t="s">
        <v>17333</v>
      </c>
      <c r="F6953" s="1" t="s">
        <v>15275</v>
      </c>
      <c r="H6953" s="1" t="s">
        <v>17334</v>
      </c>
      <c r="I6953" s="1" t="s">
        <v>19</v>
      </c>
      <c r="J6953" s="1" t="s">
        <v>6</v>
      </c>
      <c r="K6953" s="1" t="s">
        <v>34</v>
      </c>
      <c r="L6953" s="1">
        <v>5151878</v>
      </c>
      <c r="M6953" s="2">
        <v>42545</v>
      </c>
      <c r="N6953" s="1" t="s">
        <v>8</v>
      </c>
      <c r="O6953" s="2">
        <v>43640</v>
      </c>
    </row>
    <row r="6954" spans="1:15" ht="43.2" x14ac:dyDescent="0.3">
      <c r="A6954" s="1" t="s">
        <v>17335</v>
      </c>
      <c r="B6954" s="1" t="str">
        <f>"ARRIVA TRAINS WALES"</f>
        <v>ARRIVA TRAINS WALES</v>
      </c>
      <c r="C6954" s="1" t="s">
        <v>17336</v>
      </c>
      <c r="F6954" s="1" t="s">
        <v>27</v>
      </c>
      <c r="H6954" s="1" t="s">
        <v>17337</v>
      </c>
      <c r="I6954" s="1" t="s">
        <v>19</v>
      </c>
      <c r="J6954" s="1" t="s">
        <v>67</v>
      </c>
      <c r="K6954" s="1" t="s">
        <v>34</v>
      </c>
      <c r="L6954" s="1">
        <v>4337645</v>
      </c>
      <c r="M6954" s="2">
        <v>42545</v>
      </c>
      <c r="N6954" s="1" t="s">
        <v>8</v>
      </c>
      <c r="O6954" s="1" t="s">
        <v>68</v>
      </c>
    </row>
    <row r="6955" spans="1:15" ht="28.8" x14ac:dyDescent="0.3">
      <c r="A6955" s="1" t="s">
        <v>17338</v>
      </c>
      <c r="B6955" s="1" t="str">
        <f>"ARRIVA TRAINS WALES"</f>
        <v>ARRIVA TRAINS WALES</v>
      </c>
      <c r="C6955" s="1" t="s">
        <v>17336</v>
      </c>
      <c r="F6955" s="1" t="s">
        <v>27</v>
      </c>
      <c r="H6955" s="1" t="s">
        <v>17337</v>
      </c>
      <c r="I6955" s="1" t="s">
        <v>19</v>
      </c>
      <c r="J6955" s="1" t="s">
        <v>6</v>
      </c>
      <c r="K6955" s="1" t="s">
        <v>34</v>
      </c>
      <c r="L6955" s="1">
        <v>4337645</v>
      </c>
      <c r="M6955" s="2">
        <v>42545</v>
      </c>
      <c r="N6955" s="1" t="s">
        <v>8</v>
      </c>
      <c r="O6955" s="2">
        <v>43640</v>
      </c>
    </row>
    <row r="6956" spans="1:15" ht="28.8" x14ac:dyDescent="0.3">
      <c r="A6956" s="1" t="s">
        <v>17339</v>
      </c>
      <c r="B6956" s="1" t="str">
        <f>"Aries Services Ltd"</f>
        <v>Aries Services Ltd</v>
      </c>
      <c r="C6956" s="1" t="s">
        <v>17340</v>
      </c>
      <c r="F6956" s="1" t="s">
        <v>64</v>
      </c>
      <c r="H6956" s="1" t="s">
        <v>17341</v>
      </c>
      <c r="I6956" s="1" t="s">
        <v>19</v>
      </c>
      <c r="J6956" s="1" t="s">
        <v>6</v>
      </c>
      <c r="K6956" s="1" t="s">
        <v>24</v>
      </c>
      <c r="L6956" s="1">
        <v>9907599</v>
      </c>
      <c r="M6956" s="2">
        <v>42545</v>
      </c>
      <c r="N6956" s="1" t="s">
        <v>8</v>
      </c>
      <c r="O6956" s="2">
        <v>43640</v>
      </c>
    </row>
    <row r="6957" spans="1:15" x14ac:dyDescent="0.3">
      <c r="A6957" s="1" t="s">
        <v>29164</v>
      </c>
      <c r="B6957" s="1" t="str">
        <f>"Stephen  Marchant"</f>
        <v>Stephen  Marchant</v>
      </c>
      <c r="C6957" s="1" t="s">
        <v>29165</v>
      </c>
      <c r="F6957" s="1" t="s">
        <v>1556</v>
      </c>
      <c r="H6957" s="1" t="s">
        <v>29166</v>
      </c>
      <c r="I6957" s="1" t="s">
        <v>5</v>
      </c>
      <c r="J6957" s="1" t="s">
        <v>6</v>
      </c>
      <c r="K6957" s="1" t="s">
        <v>24</v>
      </c>
      <c r="M6957" s="2">
        <v>42545</v>
      </c>
      <c r="N6957" s="1" t="s">
        <v>8</v>
      </c>
      <c r="O6957" s="2">
        <v>43640</v>
      </c>
    </row>
    <row r="6958" spans="1:15" ht="28.8" x14ac:dyDescent="0.3">
      <c r="A6958" s="1" t="s">
        <v>29167</v>
      </c>
      <c r="B6958" s="1" t="str">
        <f>"Stephen Jones Steve's Clearances"</f>
        <v>Stephen Jones Steve's Clearances</v>
      </c>
      <c r="C6958" s="1" t="s">
        <v>29168</v>
      </c>
      <c r="F6958" s="1" t="s">
        <v>1184</v>
      </c>
      <c r="H6958" s="1" t="s">
        <v>29169</v>
      </c>
      <c r="I6958" s="1" t="s">
        <v>5</v>
      </c>
      <c r="J6958" s="1" t="s">
        <v>6</v>
      </c>
      <c r="K6958" s="1" t="s">
        <v>24</v>
      </c>
      <c r="M6958" s="2">
        <v>42545</v>
      </c>
      <c r="N6958" s="1" t="s">
        <v>8</v>
      </c>
      <c r="O6958" s="2">
        <v>43640</v>
      </c>
    </row>
    <row r="6959" spans="1:15" ht="28.8" x14ac:dyDescent="0.3">
      <c r="A6959" s="1" t="s">
        <v>29170</v>
      </c>
      <c r="B6959" s="1" t="str">
        <f>"Martin Hopkins DAB HAULAGE"</f>
        <v>Martin Hopkins DAB HAULAGE</v>
      </c>
      <c r="C6959" s="1" t="s">
        <v>29171</v>
      </c>
      <c r="F6959" s="1" t="s">
        <v>174</v>
      </c>
      <c r="H6959" s="1" t="s">
        <v>29172</v>
      </c>
      <c r="I6959" s="1" t="s">
        <v>5</v>
      </c>
      <c r="J6959" s="1" t="s">
        <v>6</v>
      </c>
      <c r="K6959" s="1" t="s">
        <v>24</v>
      </c>
      <c r="M6959" s="2">
        <v>42545</v>
      </c>
      <c r="N6959" s="1" t="s">
        <v>8</v>
      </c>
      <c r="O6959" s="2">
        <v>43640</v>
      </c>
    </row>
    <row r="6960" spans="1:15" ht="28.8" x14ac:dyDescent="0.3">
      <c r="A6960" s="1" t="s">
        <v>16342</v>
      </c>
      <c r="B6960" s="1" t="str">
        <f>"Olivers Sales &amp; Rental"</f>
        <v>Olivers Sales &amp; Rental</v>
      </c>
      <c r="C6960" s="1" t="s">
        <v>5899</v>
      </c>
      <c r="F6960" s="1" t="s">
        <v>364</v>
      </c>
      <c r="H6960" s="1" t="s">
        <v>5900</v>
      </c>
      <c r="I6960" s="1" t="s">
        <v>125</v>
      </c>
      <c r="J6960" s="1" t="s">
        <v>6</v>
      </c>
      <c r="K6960" s="1" t="s">
        <v>34</v>
      </c>
      <c r="M6960" s="2">
        <v>42544</v>
      </c>
      <c r="N6960" s="1" t="s">
        <v>8</v>
      </c>
      <c r="O6960" s="2">
        <v>43639</v>
      </c>
    </row>
    <row r="6961" spans="1:15" ht="28.8" x14ac:dyDescent="0.3">
      <c r="A6961" s="1" t="s">
        <v>16343</v>
      </c>
      <c r="B6961" s="1" t="str">
        <f>"CLWYD ELLIS TRANSPORT LTD"</f>
        <v>CLWYD ELLIS TRANSPORT LTD</v>
      </c>
      <c r="C6961" s="1" t="s">
        <v>16344</v>
      </c>
      <c r="F6961" s="1" t="s">
        <v>2281</v>
      </c>
      <c r="H6961" s="1" t="s">
        <v>16345</v>
      </c>
      <c r="I6961" s="1" t="s">
        <v>19</v>
      </c>
      <c r="J6961" s="1" t="s">
        <v>6</v>
      </c>
      <c r="K6961" s="1" t="s">
        <v>24</v>
      </c>
      <c r="L6961" s="1">
        <v>942022</v>
      </c>
      <c r="M6961" s="2">
        <v>42544</v>
      </c>
      <c r="N6961" s="1" t="s">
        <v>8</v>
      </c>
      <c r="O6961" s="2">
        <v>43639</v>
      </c>
    </row>
    <row r="6962" spans="1:15" x14ac:dyDescent="0.3">
      <c r="A6962" s="1" t="s">
        <v>16346</v>
      </c>
      <c r="B6962" s="1" t="str">
        <f>"Solo Service Group"</f>
        <v>Solo Service Group</v>
      </c>
      <c r="C6962" s="1" t="s">
        <v>16347</v>
      </c>
      <c r="D6962" s="1" t="s">
        <v>16348</v>
      </c>
      <c r="E6962" s="1" t="s">
        <v>1078</v>
      </c>
      <c r="F6962" s="1" t="s">
        <v>65</v>
      </c>
      <c r="H6962" s="1" t="s">
        <v>1215</v>
      </c>
      <c r="I6962" s="1" t="s">
        <v>19</v>
      </c>
      <c r="J6962" s="1" t="s">
        <v>6</v>
      </c>
      <c r="K6962" s="1" t="s">
        <v>24</v>
      </c>
      <c r="L6962" s="1">
        <v>2626708</v>
      </c>
      <c r="M6962" s="2">
        <v>42544</v>
      </c>
      <c r="N6962" s="1" t="s">
        <v>8</v>
      </c>
      <c r="O6962" s="2">
        <v>43639</v>
      </c>
    </row>
    <row r="6963" spans="1:15" ht="28.8" x14ac:dyDescent="0.3">
      <c r="A6963" s="1" t="s">
        <v>16349</v>
      </c>
      <c r="B6963" s="1" t="str">
        <f>"Stormbridge Ltd."</f>
        <v>Stormbridge Ltd.</v>
      </c>
      <c r="C6963" s="1" t="s">
        <v>16350</v>
      </c>
      <c r="F6963" s="1" t="s">
        <v>782</v>
      </c>
      <c r="H6963" s="1" t="s">
        <v>4030</v>
      </c>
      <c r="I6963" s="1" t="s">
        <v>19</v>
      </c>
      <c r="J6963" s="1" t="s">
        <v>6</v>
      </c>
      <c r="K6963" s="1" t="s">
        <v>34</v>
      </c>
      <c r="L6963" s="1">
        <v>2052945</v>
      </c>
      <c r="M6963" s="2">
        <v>42544</v>
      </c>
      <c r="N6963" s="1" t="s">
        <v>8</v>
      </c>
      <c r="O6963" s="2">
        <v>43639</v>
      </c>
    </row>
    <row r="6964" spans="1:15" ht="43.2" x14ac:dyDescent="0.3">
      <c r="A6964" s="1" t="s">
        <v>16351</v>
      </c>
      <c r="B6964" s="1" t="str">
        <f>"CHADWICK CAR BREAKERS"</f>
        <v>CHADWICK CAR BREAKERS</v>
      </c>
      <c r="C6964" s="1" t="s">
        <v>16352</v>
      </c>
      <c r="D6964" s="1" t="s">
        <v>16353</v>
      </c>
      <c r="F6964" s="1" t="s">
        <v>2950</v>
      </c>
      <c r="H6964" s="1" t="s">
        <v>16354</v>
      </c>
      <c r="I6964" s="1" t="s">
        <v>19</v>
      </c>
      <c r="J6964" s="1" t="s">
        <v>6</v>
      </c>
      <c r="K6964" s="1" t="s">
        <v>24</v>
      </c>
      <c r="L6964" s="1">
        <v>7589309</v>
      </c>
      <c r="M6964" s="2">
        <v>42544</v>
      </c>
      <c r="N6964" s="1" t="s">
        <v>8</v>
      </c>
      <c r="O6964" s="2">
        <v>43639</v>
      </c>
    </row>
    <row r="6965" spans="1:15" ht="43.2" x14ac:dyDescent="0.3">
      <c r="A6965" s="1" t="s">
        <v>16355</v>
      </c>
      <c r="B6965" s="1" t="str">
        <f>"FYD Gas &amp; heating services"</f>
        <v>FYD Gas &amp; heating services</v>
      </c>
      <c r="C6965" s="1" t="s">
        <v>16356</v>
      </c>
      <c r="F6965" s="1" t="s">
        <v>7928</v>
      </c>
      <c r="H6965" s="1" t="s">
        <v>16357</v>
      </c>
      <c r="I6965" s="1" t="s">
        <v>19</v>
      </c>
      <c r="J6965" s="1" t="s">
        <v>67</v>
      </c>
      <c r="K6965" s="1" t="s">
        <v>14</v>
      </c>
      <c r="M6965" s="2">
        <v>42544</v>
      </c>
      <c r="N6965" s="1" t="s">
        <v>8</v>
      </c>
      <c r="O6965" s="1" t="s">
        <v>68</v>
      </c>
    </row>
    <row r="6966" spans="1:15" ht="43.2" x14ac:dyDescent="0.3">
      <c r="A6966" s="1" t="s">
        <v>16358</v>
      </c>
      <c r="B6966" s="1" t="str">
        <f>"M &amp; J YOUNG LIMITED"</f>
        <v>M &amp; J YOUNG LIMITED</v>
      </c>
      <c r="C6966" s="1" t="s">
        <v>16359</v>
      </c>
      <c r="F6966" s="1" t="s">
        <v>865</v>
      </c>
      <c r="H6966" s="1" t="s">
        <v>16360</v>
      </c>
      <c r="I6966" s="1" t="s">
        <v>19</v>
      </c>
      <c r="J6966" s="1" t="s">
        <v>67</v>
      </c>
      <c r="K6966" s="1" t="s">
        <v>14</v>
      </c>
      <c r="M6966" s="2">
        <v>42544</v>
      </c>
      <c r="N6966" s="1" t="s">
        <v>8</v>
      </c>
      <c r="O6966" s="1" t="s">
        <v>68</v>
      </c>
    </row>
    <row r="6967" spans="1:15" ht="28.8" x14ac:dyDescent="0.3">
      <c r="A6967" s="1" t="s">
        <v>28425</v>
      </c>
      <c r="B6967" s="1" t="str">
        <f>"JOHN DAVIES Garden Masonry"</f>
        <v>JOHN DAVIES Garden Masonry</v>
      </c>
      <c r="C6967" s="1" t="s">
        <v>28426</v>
      </c>
      <c r="F6967" s="1" t="s">
        <v>198</v>
      </c>
      <c r="H6967" s="1" t="s">
        <v>28427</v>
      </c>
      <c r="I6967" s="1" t="s">
        <v>5</v>
      </c>
      <c r="J6967" s="1" t="s">
        <v>6</v>
      </c>
      <c r="K6967" s="1" t="s">
        <v>24</v>
      </c>
      <c r="M6967" s="2">
        <v>42544</v>
      </c>
      <c r="N6967" s="1" t="s">
        <v>8</v>
      </c>
      <c r="O6967" s="2">
        <v>43639</v>
      </c>
    </row>
    <row r="6968" spans="1:15" ht="43.2" x14ac:dyDescent="0.3">
      <c r="A6968" s="1" t="s">
        <v>28428</v>
      </c>
      <c r="B6968" s="1" t="str">
        <f>"Douglas Jenkins"</f>
        <v>Douglas Jenkins</v>
      </c>
      <c r="C6968" s="1" t="s">
        <v>28429</v>
      </c>
      <c r="D6968" s="1" t="s">
        <v>23810</v>
      </c>
      <c r="E6968" s="1" t="s">
        <v>596</v>
      </c>
      <c r="F6968" s="1" t="s">
        <v>65</v>
      </c>
      <c r="H6968" s="1" t="s">
        <v>28430</v>
      </c>
      <c r="I6968" s="1" t="s">
        <v>5</v>
      </c>
      <c r="J6968" s="1" t="s">
        <v>67</v>
      </c>
      <c r="K6968" s="1" t="s">
        <v>14</v>
      </c>
      <c r="M6968" s="2">
        <v>42544</v>
      </c>
      <c r="N6968" s="1" t="s">
        <v>8</v>
      </c>
      <c r="O6968" s="1" t="s">
        <v>68</v>
      </c>
    </row>
    <row r="6969" spans="1:15" ht="43.2" x14ac:dyDescent="0.3">
      <c r="A6969" s="1" t="s">
        <v>28431</v>
      </c>
      <c r="B6969" s="1" t="str">
        <f>"Kevin Marshall"</f>
        <v>Kevin Marshall</v>
      </c>
      <c r="C6969" s="1" t="s">
        <v>28432</v>
      </c>
      <c r="F6969" s="1" t="s">
        <v>27</v>
      </c>
      <c r="H6969" s="1" t="s">
        <v>28433</v>
      </c>
      <c r="I6969" s="1" t="s">
        <v>5</v>
      </c>
      <c r="J6969" s="1" t="s">
        <v>67</v>
      </c>
      <c r="K6969" s="1" t="s">
        <v>14</v>
      </c>
      <c r="M6969" s="2">
        <v>42544</v>
      </c>
      <c r="N6969" s="1" t="s">
        <v>8</v>
      </c>
      <c r="O6969" s="1" t="s">
        <v>68</v>
      </c>
    </row>
    <row r="6970" spans="1:15" ht="43.2" x14ac:dyDescent="0.3">
      <c r="A6970" s="1" t="s">
        <v>28434</v>
      </c>
      <c r="B6970" s="1" t="str">
        <f>"christopher mainwaring get knotted weed control"</f>
        <v>christopher mainwaring get knotted weed control</v>
      </c>
      <c r="C6970" s="1" t="s">
        <v>28435</v>
      </c>
      <c r="D6970" s="1" t="s">
        <v>28436</v>
      </c>
      <c r="F6970" s="1" t="s">
        <v>1525</v>
      </c>
      <c r="H6970" s="1" t="s">
        <v>28437</v>
      </c>
      <c r="I6970" s="1" t="s">
        <v>5</v>
      </c>
      <c r="J6970" s="1" t="s">
        <v>6</v>
      </c>
      <c r="K6970" s="1" t="s">
        <v>24</v>
      </c>
      <c r="M6970" s="2">
        <v>42544</v>
      </c>
      <c r="N6970" s="1" t="s">
        <v>8</v>
      </c>
      <c r="O6970" s="2">
        <v>43639</v>
      </c>
    </row>
    <row r="6971" spans="1:15" ht="28.8" x14ac:dyDescent="0.3">
      <c r="A6971" s="1" t="s">
        <v>15312</v>
      </c>
      <c r="B6971" s="1" t="str">
        <f>"Tool Trader Direct Ltd."</f>
        <v>Tool Trader Direct Ltd.</v>
      </c>
      <c r="C6971" s="1" t="s">
        <v>15313</v>
      </c>
      <c r="D6971" s="1" t="s">
        <v>15314</v>
      </c>
      <c r="F6971" s="1" t="s">
        <v>1776</v>
      </c>
      <c r="H6971" s="1" t="s">
        <v>4738</v>
      </c>
      <c r="I6971" s="1" t="s">
        <v>19</v>
      </c>
      <c r="J6971" s="1" t="s">
        <v>6</v>
      </c>
      <c r="K6971" s="1" t="s">
        <v>24</v>
      </c>
      <c r="L6971" s="1">
        <v>6830650</v>
      </c>
      <c r="M6971" s="2">
        <v>42543</v>
      </c>
      <c r="N6971" s="1" t="s">
        <v>8</v>
      </c>
      <c r="O6971" s="2">
        <v>43638</v>
      </c>
    </row>
    <row r="6972" spans="1:15" ht="28.8" x14ac:dyDescent="0.3">
      <c r="A6972" s="1" t="s">
        <v>15315</v>
      </c>
      <c r="B6972" s="1" t="str">
        <f>"Middleton Glass Gwynedd Limited"</f>
        <v>Middleton Glass Gwynedd Limited</v>
      </c>
      <c r="C6972" s="1" t="s">
        <v>15316</v>
      </c>
      <c r="D6972" s="1" t="s">
        <v>15317</v>
      </c>
      <c r="F6972" s="1" t="s">
        <v>2</v>
      </c>
      <c r="H6972" s="1" t="s">
        <v>15318</v>
      </c>
      <c r="I6972" s="1" t="s">
        <v>19</v>
      </c>
      <c r="J6972" s="1" t="s">
        <v>6</v>
      </c>
      <c r="K6972" s="1" t="s">
        <v>24</v>
      </c>
      <c r="L6972" s="1">
        <v>8880648</v>
      </c>
      <c r="M6972" s="2">
        <v>42543</v>
      </c>
      <c r="N6972" s="1" t="s">
        <v>8</v>
      </c>
      <c r="O6972" s="2">
        <v>43638</v>
      </c>
    </row>
    <row r="6973" spans="1:15" x14ac:dyDescent="0.3">
      <c r="A6973" s="1" t="s">
        <v>15319</v>
      </c>
      <c r="B6973" s="1" t="str">
        <f>"H.Rowlands &amp; Sons"</f>
        <v>H.Rowlands &amp; Sons</v>
      </c>
      <c r="C6973" s="1" t="s">
        <v>15320</v>
      </c>
      <c r="F6973" s="1" t="s">
        <v>1419</v>
      </c>
      <c r="H6973" s="1" t="s">
        <v>15321</v>
      </c>
      <c r="I6973" s="1" t="s">
        <v>125</v>
      </c>
      <c r="J6973" s="1" t="s">
        <v>6</v>
      </c>
      <c r="K6973" s="1" t="s">
        <v>24</v>
      </c>
      <c r="M6973" s="2">
        <v>42543</v>
      </c>
      <c r="N6973" s="1" t="s">
        <v>8</v>
      </c>
      <c r="O6973" s="2">
        <v>43638</v>
      </c>
    </row>
    <row r="6974" spans="1:15" ht="28.8" x14ac:dyDescent="0.3">
      <c r="A6974" s="1" t="s">
        <v>15322</v>
      </c>
      <c r="B6974" s="1" t="str">
        <f>"N johnson security ltd"</f>
        <v>N johnson security ltd</v>
      </c>
      <c r="C6974" s="1" t="s">
        <v>15323</v>
      </c>
      <c r="F6974" s="1" t="s">
        <v>9049</v>
      </c>
      <c r="H6974" s="1" t="s">
        <v>15324</v>
      </c>
      <c r="I6974" s="1" t="s">
        <v>19</v>
      </c>
      <c r="J6974" s="1" t="s">
        <v>6</v>
      </c>
      <c r="K6974" s="1" t="s">
        <v>34</v>
      </c>
      <c r="L6974" s="1">
        <v>6905922</v>
      </c>
      <c r="M6974" s="2">
        <v>42543</v>
      </c>
      <c r="N6974" s="1" t="s">
        <v>8</v>
      </c>
      <c r="O6974" s="2">
        <v>43638</v>
      </c>
    </row>
    <row r="6975" spans="1:15" x14ac:dyDescent="0.3">
      <c r="A6975" s="1" t="s">
        <v>15325</v>
      </c>
      <c r="B6975" s="1" t="str">
        <f>"ADJ Skip Hire"</f>
        <v>ADJ Skip Hire</v>
      </c>
      <c r="C6975" s="1" t="s">
        <v>15326</v>
      </c>
      <c r="F6975" s="1" t="s">
        <v>103</v>
      </c>
      <c r="H6975" s="1" t="s">
        <v>15327</v>
      </c>
      <c r="I6975" s="1" t="s">
        <v>125</v>
      </c>
      <c r="J6975" s="1" t="s">
        <v>6</v>
      </c>
      <c r="K6975" s="1" t="s">
        <v>24</v>
      </c>
      <c r="M6975" s="2">
        <v>42543</v>
      </c>
      <c r="N6975" s="1" t="s">
        <v>8</v>
      </c>
      <c r="O6975" s="2">
        <v>43638</v>
      </c>
    </row>
    <row r="6976" spans="1:15" ht="28.8" x14ac:dyDescent="0.3">
      <c r="A6976" s="1" t="s">
        <v>15328</v>
      </c>
      <c r="B6976" s="1" t="str">
        <f>"Cwmbran Electrical Services Ltd."</f>
        <v>Cwmbran Electrical Services Ltd.</v>
      </c>
      <c r="C6976" s="1" t="s">
        <v>15329</v>
      </c>
      <c r="F6976" s="1" t="s">
        <v>380</v>
      </c>
      <c r="H6976" s="1" t="s">
        <v>13587</v>
      </c>
      <c r="I6976" s="1" t="s">
        <v>19</v>
      </c>
      <c r="J6976" s="1" t="s">
        <v>6</v>
      </c>
      <c r="K6976" s="1" t="s">
        <v>24</v>
      </c>
      <c r="L6976" s="1">
        <v>809632</v>
      </c>
      <c r="M6976" s="2">
        <v>42543</v>
      </c>
      <c r="N6976" s="1" t="s">
        <v>8</v>
      </c>
      <c r="O6976" s="2">
        <v>43638</v>
      </c>
    </row>
    <row r="6977" spans="1:15" ht="43.2" x14ac:dyDescent="0.3">
      <c r="A6977" s="1" t="s">
        <v>16338</v>
      </c>
      <c r="B6977" s="1" t="str">
        <f>"N R Parsons Transport Ltd "</f>
        <v xml:space="preserve">N R Parsons Transport Ltd </v>
      </c>
      <c r="C6977" s="1" t="s">
        <v>16339</v>
      </c>
      <c r="D6977" s="1" t="s">
        <v>564</v>
      </c>
      <c r="F6977" s="1" t="s">
        <v>16340</v>
      </c>
      <c r="H6977" s="1" t="s">
        <v>16341</v>
      </c>
      <c r="I6977" s="1" t="s">
        <v>19</v>
      </c>
      <c r="J6977" s="1" t="s">
        <v>67</v>
      </c>
      <c r="K6977" s="1" t="s">
        <v>14</v>
      </c>
      <c r="M6977" s="2">
        <v>42543</v>
      </c>
      <c r="N6977" s="1" t="s">
        <v>8</v>
      </c>
      <c r="O6977" s="1" t="s">
        <v>68</v>
      </c>
    </row>
    <row r="6978" spans="1:15" ht="43.2" x14ac:dyDescent="0.3">
      <c r="A6978" s="1" t="s">
        <v>27642</v>
      </c>
      <c r="B6978" s="1" t="str">
        <f>"Peter Trump"</f>
        <v>Peter Trump</v>
      </c>
      <c r="C6978" s="1" t="s">
        <v>27643</v>
      </c>
      <c r="F6978" s="1" t="s">
        <v>27644</v>
      </c>
      <c r="H6978" s="1" t="s">
        <v>27645</v>
      </c>
      <c r="I6978" s="1" t="s">
        <v>5</v>
      </c>
      <c r="J6978" s="1" t="s">
        <v>67</v>
      </c>
      <c r="K6978" s="1" t="s">
        <v>14</v>
      </c>
      <c r="M6978" s="2">
        <v>42543</v>
      </c>
      <c r="N6978" s="1" t="s">
        <v>8</v>
      </c>
      <c r="O6978" s="1" t="s">
        <v>68</v>
      </c>
    </row>
    <row r="6979" spans="1:15" ht="28.8" x14ac:dyDescent="0.3">
      <c r="A6979" s="1" t="s">
        <v>27646</v>
      </c>
      <c r="B6979" s="1" t="str">
        <f>"Lesily Hugh Lake"</f>
        <v>Lesily Hugh Lake</v>
      </c>
      <c r="C6979" s="1" t="s">
        <v>27647</v>
      </c>
      <c r="F6979" s="1" t="s">
        <v>65</v>
      </c>
      <c r="H6979" s="1" t="s">
        <v>27648</v>
      </c>
      <c r="I6979" s="1" t="s">
        <v>5</v>
      </c>
      <c r="J6979" s="1" t="s">
        <v>6</v>
      </c>
      <c r="K6979" s="1" t="s">
        <v>34</v>
      </c>
      <c r="M6979" s="2">
        <v>42543</v>
      </c>
      <c r="N6979" s="1" t="s">
        <v>8</v>
      </c>
      <c r="O6979" s="2">
        <v>43650</v>
      </c>
    </row>
    <row r="6980" spans="1:15" ht="28.8" x14ac:dyDescent="0.3">
      <c r="A6980" s="1" t="s">
        <v>27649</v>
      </c>
      <c r="B6980" s="1" t="str">
        <f>"Charles Mochan Charles Mochan"</f>
        <v>Charles Mochan Charles Mochan</v>
      </c>
      <c r="C6980" s="1" t="s">
        <v>27650</v>
      </c>
      <c r="D6980" s="1" t="s">
        <v>3150</v>
      </c>
      <c r="F6980" s="1" t="s">
        <v>96</v>
      </c>
      <c r="H6980" s="1" t="s">
        <v>27651</v>
      </c>
      <c r="I6980" s="1" t="s">
        <v>5</v>
      </c>
      <c r="J6980" s="1" t="s">
        <v>6</v>
      </c>
      <c r="K6980" s="1" t="s">
        <v>24</v>
      </c>
      <c r="M6980" s="2">
        <v>42543</v>
      </c>
      <c r="N6980" s="1" t="s">
        <v>8</v>
      </c>
      <c r="O6980" s="2">
        <v>43638</v>
      </c>
    </row>
    <row r="6981" spans="1:15" ht="28.8" x14ac:dyDescent="0.3">
      <c r="A6981" s="1" t="s">
        <v>27652</v>
      </c>
      <c r="B6981" s="1" t="str">
        <f>"Shaun Gougerty Eagle windows &amp; carpentry"</f>
        <v>Shaun Gougerty Eagle windows &amp; carpentry</v>
      </c>
      <c r="C6981" s="1" t="s">
        <v>27653</v>
      </c>
      <c r="D6981" s="1" t="s">
        <v>155</v>
      </c>
      <c r="F6981" s="1" t="s">
        <v>91</v>
      </c>
      <c r="H6981" s="1" t="s">
        <v>27654</v>
      </c>
      <c r="I6981" s="1" t="s">
        <v>5</v>
      </c>
      <c r="J6981" s="1" t="s">
        <v>6</v>
      </c>
      <c r="K6981" s="1" t="s">
        <v>24</v>
      </c>
      <c r="M6981" s="2">
        <v>42543</v>
      </c>
      <c r="N6981" s="1" t="s">
        <v>8</v>
      </c>
      <c r="O6981" s="2">
        <v>43638</v>
      </c>
    </row>
    <row r="6982" spans="1:15" ht="43.2" x14ac:dyDescent="0.3">
      <c r="A6982" s="1" t="s">
        <v>27655</v>
      </c>
      <c r="B6982" s="1" t="str">
        <f>"David  Willis "</f>
        <v xml:space="preserve">David  Willis </v>
      </c>
      <c r="C6982" s="1" t="s">
        <v>27656</v>
      </c>
      <c r="F6982" s="1" t="s">
        <v>17211</v>
      </c>
      <c r="H6982" s="1" t="s">
        <v>27657</v>
      </c>
      <c r="I6982" s="1" t="s">
        <v>5</v>
      </c>
      <c r="J6982" s="1" t="s">
        <v>67</v>
      </c>
      <c r="K6982" s="1" t="s">
        <v>14</v>
      </c>
      <c r="M6982" s="2">
        <v>42543</v>
      </c>
      <c r="N6982" s="1" t="s">
        <v>8</v>
      </c>
      <c r="O6982" s="1" t="s">
        <v>68</v>
      </c>
    </row>
    <row r="6983" spans="1:15" ht="28.8" x14ac:dyDescent="0.3">
      <c r="A6983" s="1" t="s">
        <v>28420</v>
      </c>
      <c r="B6983" s="1" t="str">
        <f>"Ian Russell Ian Russell contractors"</f>
        <v>Ian Russell Ian Russell contractors</v>
      </c>
      <c r="C6983" s="1" t="s">
        <v>28421</v>
      </c>
      <c r="F6983" s="1" t="s">
        <v>10364</v>
      </c>
      <c r="H6983" s="1" t="s">
        <v>28422</v>
      </c>
      <c r="I6983" s="1" t="s">
        <v>5</v>
      </c>
      <c r="J6983" s="1" t="s">
        <v>6</v>
      </c>
      <c r="K6983" s="1" t="s">
        <v>24</v>
      </c>
      <c r="M6983" s="2">
        <v>42543</v>
      </c>
      <c r="N6983" s="1" t="s">
        <v>8</v>
      </c>
      <c r="O6983" s="2">
        <v>43638</v>
      </c>
    </row>
    <row r="6984" spans="1:15" ht="43.2" x14ac:dyDescent="0.3">
      <c r="A6984" s="1" t="s">
        <v>28423</v>
      </c>
      <c r="B6984" s="1" t="str">
        <f>"Martin Chappell"</f>
        <v>Martin Chappell</v>
      </c>
      <c r="C6984" s="1" t="s">
        <v>28424</v>
      </c>
      <c r="F6984" s="1" t="s">
        <v>298</v>
      </c>
      <c r="H6984" s="1" t="s">
        <v>2548</v>
      </c>
      <c r="I6984" s="1" t="s">
        <v>5</v>
      </c>
      <c r="J6984" s="1" t="s">
        <v>67</v>
      </c>
      <c r="K6984" s="1" t="s">
        <v>14</v>
      </c>
      <c r="M6984" s="2">
        <v>42543</v>
      </c>
      <c r="N6984" s="1" t="s">
        <v>8</v>
      </c>
      <c r="O6984" s="1" t="s">
        <v>68</v>
      </c>
    </row>
    <row r="6985" spans="1:15" ht="28.8" x14ac:dyDescent="0.3">
      <c r="A6985" s="1" t="s">
        <v>13528</v>
      </c>
      <c r="B6985" s="1" t="str">
        <f>"FTS Hatswell Ltd"</f>
        <v>FTS Hatswell Ltd</v>
      </c>
      <c r="C6985" s="1" t="s">
        <v>13529</v>
      </c>
      <c r="D6985" s="1" t="s">
        <v>3970</v>
      </c>
      <c r="F6985" s="1" t="s">
        <v>1346</v>
      </c>
      <c r="H6985" s="1" t="s">
        <v>3971</v>
      </c>
      <c r="I6985" s="1" t="s">
        <v>19</v>
      </c>
      <c r="J6985" s="1" t="s">
        <v>6</v>
      </c>
      <c r="K6985" s="1" t="s">
        <v>24</v>
      </c>
      <c r="L6985" s="1">
        <v>1850518</v>
      </c>
      <c r="M6985" s="2">
        <v>42542</v>
      </c>
      <c r="N6985" s="1" t="s">
        <v>8</v>
      </c>
      <c r="O6985" s="2">
        <v>43637</v>
      </c>
    </row>
    <row r="6986" spans="1:15" ht="28.8" x14ac:dyDescent="0.3">
      <c r="A6986" s="1" t="s">
        <v>13530</v>
      </c>
      <c r="B6986" s="1" t="str">
        <f>"Electrical Wholesale Supplies (Flint) Ltd."</f>
        <v>Electrical Wholesale Supplies (Flint) Ltd.</v>
      </c>
      <c r="C6986" s="1" t="s">
        <v>13531</v>
      </c>
      <c r="D6986" s="1" t="s">
        <v>13532</v>
      </c>
      <c r="F6986" s="1" t="s">
        <v>13533</v>
      </c>
      <c r="H6986" s="1" t="s">
        <v>13534</v>
      </c>
      <c r="I6986" s="1" t="s">
        <v>19</v>
      </c>
      <c r="J6986" s="1" t="s">
        <v>6</v>
      </c>
      <c r="K6986" s="1" t="s">
        <v>24</v>
      </c>
      <c r="L6986" s="1">
        <v>4748163</v>
      </c>
      <c r="M6986" s="2">
        <v>42542</v>
      </c>
      <c r="N6986" s="1" t="s">
        <v>8</v>
      </c>
      <c r="O6986" s="2">
        <v>43637</v>
      </c>
    </row>
    <row r="6987" spans="1:15" ht="28.8" x14ac:dyDescent="0.3">
      <c r="A6987" s="1" t="s">
        <v>14372</v>
      </c>
      <c r="B6987" s="1" t="str">
        <f>"Paul Fowler Tipper Grab Hire Ltd."</f>
        <v>Paul Fowler Tipper Grab Hire Ltd.</v>
      </c>
      <c r="C6987" s="1" t="s">
        <v>14373</v>
      </c>
      <c r="D6987" s="1" t="s">
        <v>8138</v>
      </c>
      <c r="F6987" s="1" t="s">
        <v>123</v>
      </c>
      <c r="H6987" s="1" t="s">
        <v>3553</v>
      </c>
      <c r="I6987" s="1" t="s">
        <v>19</v>
      </c>
      <c r="J6987" s="1" t="s">
        <v>6</v>
      </c>
      <c r="K6987" s="1" t="s">
        <v>24</v>
      </c>
      <c r="L6987" s="1">
        <v>5455548</v>
      </c>
      <c r="M6987" s="2">
        <v>42542</v>
      </c>
      <c r="N6987" s="1" t="s">
        <v>8</v>
      </c>
      <c r="O6987" s="2">
        <v>43637</v>
      </c>
    </row>
    <row r="6988" spans="1:15" ht="43.2" x14ac:dyDescent="0.3">
      <c r="A6988" s="1" t="s">
        <v>14374</v>
      </c>
      <c r="B6988" s="1" t="str">
        <f>"A S W Property Services Ltd."</f>
        <v>A S W Property Services Ltd.</v>
      </c>
      <c r="C6988" s="1" t="s">
        <v>14375</v>
      </c>
      <c r="D6988" s="1" t="s">
        <v>1389</v>
      </c>
      <c r="F6988" s="1" t="s">
        <v>865</v>
      </c>
      <c r="H6988" s="1" t="s">
        <v>7478</v>
      </c>
      <c r="I6988" s="1" t="s">
        <v>19</v>
      </c>
      <c r="J6988" s="1" t="s">
        <v>6</v>
      </c>
      <c r="K6988" s="1" t="s">
        <v>34</v>
      </c>
      <c r="L6988" s="1">
        <v>4028743</v>
      </c>
      <c r="M6988" s="2">
        <v>42542</v>
      </c>
      <c r="N6988" s="1" t="s">
        <v>8</v>
      </c>
      <c r="O6988" s="2">
        <v>43637</v>
      </c>
    </row>
    <row r="6989" spans="1:15" ht="28.8" x14ac:dyDescent="0.3">
      <c r="A6989" s="1" t="s">
        <v>14376</v>
      </c>
      <c r="B6989" s="1" t="str">
        <f>"SD PROPERTY MAINTENANCE"</f>
        <v>SD PROPERTY MAINTENANCE</v>
      </c>
      <c r="C6989" s="1" t="s">
        <v>14377</v>
      </c>
      <c r="F6989" s="1" t="s">
        <v>65</v>
      </c>
      <c r="H6989" s="1" t="s">
        <v>14378</v>
      </c>
      <c r="I6989" s="1" t="s">
        <v>125</v>
      </c>
      <c r="J6989" s="1" t="s">
        <v>6</v>
      </c>
      <c r="K6989" s="1" t="s">
        <v>24</v>
      </c>
      <c r="M6989" s="2">
        <v>42542</v>
      </c>
      <c r="N6989" s="1" t="s">
        <v>8</v>
      </c>
      <c r="O6989" s="2">
        <v>43637</v>
      </c>
    </row>
    <row r="6990" spans="1:15" ht="43.2" x14ac:dyDescent="0.3">
      <c r="A6990" s="1" t="s">
        <v>14379</v>
      </c>
      <c r="B6990" s="1" t="str">
        <f>"hafren furnishers ltd"</f>
        <v>hafren furnishers ltd</v>
      </c>
      <c r="C6990" s="1" t="s">
        <v>14380</v>
      </c>
      <c r="F6990" s="1" t="s">
        <v>7844</v>
      </c>
      <c r="H6990" s="1" t="s">
        <v>14381</v>
      </c>
      <c r="I6990" s="1" t="s">
        <v>19</v>
      </c>
      <c r="J6990" s="1" t="s">
        <v>67</v>
      </c>
      <c r="K6990" s="1" t="s">
        <v>14</v>
      </c>
      <c r="M6990" s="2">
        <v>42542</v>
      </c>
      <c r="N6990" s="1" t="s">
        <v>8</v>
      </c>
      <c r="O6990" s="1" t="s">
        <v>68</v>
      </c>
    </row>
    <row r="6991" spans="1:15" ht="28.8" x14ac:dyDescent="0.3">
      <c r="A6991" s="1" t="s">
        <v>14382</v>
      </c>
      <c r="B6991" s="1" t="str">
        <f>"W T Jones (Transport) Ltd."</f>
        <v>W T Jones (Transport) Ltd.</v>
      </c>
      <c r="C6991" s="1" t="s">
        <v>14383</v>
      </c>
      <c r="F6991" s="1" t="s">
        <v>156</v>
      </c>
      <c r="H6991" s="1" t="s">
        <v>14384</v>
      </c>
      <c r="I6991" s="1" t="s">
        <v>19</v>
      </c>
      <c r="J6991" s="1" t="s">
        <v>6</v>
      </c>
      <c r="K6991" s="1" t="s">
        <v>24</v>
      </c>
      <c r="L6991" s="1">
        <v>773899</v>
      </c>
      <c r="M6991" s="2">
        <v>42542</v>
      </c>
      <c r="N6991" s="1" t="s">
        <v>8</v>
      </c>
      <c r="O6991" s="2">
        <v>43637</v>
      </c>
    </row>
    <row r="6992" spans="1:15" ht="43.2" x14ac:dyDescent="0.3">
      <c r="A6992" s="1" t="s">
        <v>14385</v>
      </c>
      <c r="B6992" s="1" t="str">
        <f>"Mark James Landscaping Contractors "</f>
        <v xml:space="preserve">Mark James Landscaping Contractors </v>
      </c>
      <c r="C6992" s="1" t="s">
        <v>14386</v>
      </c>
      <c r="D6992" s="1" t="s">
        <v>2825</v>
      </c>
      <c r="E6992" s="1" t="s">
        <v>500</v>
      </c>
      <c r="F6992" s="1" t="s">
        <v>27</v>
      </c>
      <c r="H6992" s="1" t="s">
        <v>4027</v>
      </c>
      <c r="I6992" s="1" t="s">
        <v>19</v>
      </c>
      <c r="J6992" s="1" t="s">
        <v>6</v>
      </c>
      <c r="K6992" s="1" t="s">
        <v>24</v>
      </c>
      <c r="L6992" s="1">
        <v>10182481</v>
      </c>
      <c r="M6992" s="2">
        <v>42542</v>
      </c>
      <c r="N6992" s="1" t="s">
        <v>8</v>
      </c>
      <c r="O6992" s="2">
        <v>43637</v>
      </c>
    </row>
    <row r="6993" spans="1:15" ht="28.8" x14ac:dyDescent="0.3">
      <c r="A6993" s="1" t="s">
        <v>14387</v>
      </c>
      <c r="B6993" s="1" t="str">
        <f>"Mark James Building Contractors LTD"</f>
        <v>Mark James Building Contractors LTD</v>
      </c>
      <c r="C6993" s="1" t="s">
        <v>14386</v>
      </c>
      <c r="D6993" s="1" t="s">
        <v>2825</v>
      </c>
      <c r="E6993" s="1" t="s">
        <v>500</v>
      </c>
      <c r="F6993" s="1" t="s">
        <v>27</v>
      </c>
      <c r="H6993" s="1" t="s">
        <v>4027</v>
      </c>
      <c r="I6993" s="1" t="s">
        <v>19</v>
      </c>
      <c r="J6993" s="1" t="s">
        <v>6</v>
      </c>
      <c r="K6993" s="1" t="s">
        <v>24</v>
      </c>
      <c r="L6993" s="1">
        <v>5724698</v>
      </c>
      <c r="M6993" s="2">
        <v>42542</v>
      </c>
      <c r="N6993" s="1" t="s">
        <v>8</v>
      </c>
      <c r="O6993" s="2">
        <v>43637</v>
      </c>
    </row>
    <row r="6994" spans="1:15" ht="43.2" x14ac:dyDescent="0.3">
      <c r="A6994" s="1" t="s">
        <v>26762</v>
      </c>
      <c r="B6994" s="1" t="str">
        <f>"iwan barton"</f>
        <v>iwan barton</v>
      </c>
      <c r="C6994" s="1" t="s">
        <v>26763</v>
      </c>
      <c r="F6994" s="1" t="s">
        <v>1184</v>
      </c>
      <c r="H6994" s="1" t="s">
        <v>26764</v>
      </c>
      <c r="I6994" s="1" t="s">
        <v>5</v>
      </c>
      <c r="J6994" s="1" t="s">
        <v>67</v>
      </c>
      <c r="K6994" s="1" t="s">
        <v>14</v>
      </c>
      <c r="M6994" s="2">
        <v>42542</v>
      </c>
      <c r="N6994" s="1" t="s">
        <v>8</v>
      </c>
      <c r="O6994" s="1" t="s">
        <v>68</v>
      </c>
    </row>
    <row r="6995" spans="1:15" ht="43.2" x14ac:dyDescent="0.3">
      <c r="A6995" s="1" t="s">
        <v>26765</v>
      </c>
      <c r="B6995" s="1" t="str">
        <f>"Martyn Davies"</f>
        <v>Martyn Davies</v>
      </c>
      <c r="C6995" s="1" t="s">
        <v>26766</v>
      </c>
      <c r="F6995" s="1" t="s">
        <v>4536</v>
      </c>
      <c r="H6995" s="1" t="s">
        <v>26767</v>
      </c>
      <c r="I6995" s="1" t="s">
        <v>5</v>
      </c>
      <c r="J6995" s="1" t="s">
        <v>67</v>
      </c>
      <c r="K6995" s="1" t="s">
        <v>14</v>
      </c>
      <c r="M6995" s="2">
        <v>42542</v>
      </c>
      <c r="N6995" s="1" t="s">
        <v>8</v>
      </c>
      <c r="O6995" s="1" t="s">
        <v>68</v>
      </c>
    </row>
    <row r="6996" spans="1:15" ht="43.2" x14ac:dyDescent="0.3">
      <c r="A6996" s="1" t="s">
        <v>26768</v>
      </c>
      <c r="B6996" s="1" t="str">
        <f>"CLIVE LLOYD"</f>
        <v>CLIVE LLOYD</v>
      </c>
      <c r="C6996" s="1" t="s">
        <v>13746</v>
      </c>
      <c r="F6996" s="1" t="s">
        <v>3426</v>
      </c>
      <c r="H6996" s="1" t="s">
        <v>26769</v>
      </c>
      <c r="I6996" s="1" t="s">
        <v>5</v>
      </c>
      <c r="J6996" s="1" t="s">
        <v>67</v>
      </c>
      <c r="K6996" s="1" t="s">
        <v>14</v>
      </c>
      <c r="M6996" s="2">
        <v>42542</v>
      </c>
      <c r="N6996" s="1" t="s">
        <v>8</v>
      </c>
      <c r="O6996" s="1" t="s">
        <v>68</v>
      </c>
    </row>
    <row r="6997" spans="1:15" ht="28.8" x14ac:dyDescent="0.3">
      <c r="A6997" s="1" t="s">
        <v>26770</v>
      </c>
      <c r="B6997" s="1" t="str">
        <f>"David Chambers David Chambers"</f>
        <v>David Chambers David Chambers</v>
      </c>
      <c r="C6997" s="1" t="s">
        <v>26771</v>
      </c>
      <c r="F6997" s="1" t="s">
        <v>91</v>
      </c>
      <c r="H6997" s="1" t="s">
        <v>26772</v>
      </c>
      <c r="I6997" s="1" t="s">
        <v>5</v>
      </c>
      <c r="J6997" s="1" t="s">
        <v>6</v>
      </c>
      <c r="K6997" s="1" t="s">
        <v>24</v>
      </c>
      <c r="M6997" s="2">
        <v>42542</v>
      </c>
      <c r="N6997" s="1" t="s">
        <v>8</v>
      </c>
      <c r="O6997" s="2">
        <v>43637</v>
      </c>
    </row>
    <row r="6998" spans="1:15" x14ac:dyDescent="0.3">
      <c r="A6998" s="1" t="s">
        <v>26773</v>
      </c>
      <c r="B6998" s="1" t="str">
        <f>"Paul Davies Paul davies"</f>
        <v>Paul Davies Paul davies</v>
      </c>
      <c r="C6998" s="1" t="s">
        <v>26774</v>
      </c>
      <c r="F6998" s="1" t="s">
        <v>174</v>
      </c>
      <c r="H6998" s="1" t="s">
        <v>26775</v>
      </c>
      <c r="I6998" s="1" t="s">
        <v>5</v>
      </c>
      <c r="J6998" s="1" t="s">
        <v>6</v>
      </c>
      <c r="K6998" s="1" t="s">
        <v>24</v>
      </c>
      <c r="M6998" s="2">
        <v>42542</v>
      </c>
      <c r="N6998" s="1" t="s">
        <v>8</v>
      </c>
      <c r="O6998" s="2">
        <v>43637</v>
      </c>
    </row>
    <row r="6999" spans="1:15" ht="43.2" x14ac:dyDescent="0.3">
      <c r="A6999" s="1" t="s">
        <v>27639</v>
      </c>
      <c r="B6999" s="1" t="str">
        <f>"Gavin Dalziel"</f>
        <v>Gavin Dalziel</v>
      </c>
      <c r="C6999" s="1" t="s">
        <v>27640</v>
      </c>
      <c r="F6999" s="1" t="s">
        <v>2817</v>
      </c>
      <c r="H6999" s="1" t="s">
        <v>27641</v>
      </c>
      <c r="I6999" s="1" t="s">
        <v>5</v>
      </c>
      <c r="J6999" s="1" t="s">
        <v>67</v>
      </c>
      <c r="K6999" s="1" t="s">
        <v>14</v>
      </c>
      <c r="M6999" s="2">
        <v>42542</v>
      </c>
      <c r="N6999" s="1" t="s">
        <v>8</v>
      </c>
      <c r="O6999" s="1" t="s">
        <v>68</v>
      </c>
    </row>
    <row r="7000" spans="1:15" x14ac:dyDescent="0.3">
      <c r="A7000" s="1" t="s">
        <v>13506</v>
      </c>
      <c r="B7000" s="1" t="str">
        <f>"John ellis and sons"</f>
        <v>John ellis and sons</v>
      </c>
      <c r="C7000" s="1" t="s">
        <v>13507</v>
      </c>
      <c r="F7000" s="1" t="s">
        <v>198</v>
      </c>
      <c r="H7000" s="1" t="s">
        <v>13508</v>
      </c>
      <c r="I7000" s="1" t="s">
        <v>125</v>
      </c>
      <c r="J7000" s="1" t="s">
        <v>6</v>
      </c>
      <c r="K7000" s="1" t="s">
        <v>24</v>
      </c>
      <c r="M7000" s="2">
        <v>42541</v>
      </c>
      <c r="N7000" s="1" t="s">
        <v>8</v>
      </c>
      <c r="O7000" s="2">
        <v>43636</v>
      </c>
    </row>
    <row r="7001" spans="1:15" ht="28.8" x14ac:dyDescent="0.3">
      <c r="A7001" s="1" t="s">
        <v>13509</v>
      </c>
      <c r="B7001" s="1" t="str">
        <f>"Liquitherm Technologies Group Ltd"</f>
        <v>Liquitherm Technologies Group Ltd</v>
      </c>
      <c r="C7001" s="1" t="s">
        <v>13510</v>
      </c>
      <c r="D7001" s="1" t="s">
        <v>2041</v>
      </c>
      <c r="F7001" s="1" t="s">
        <v>65</v>
      </c>
      <c r="H7001" s="1" t="s">
        <v>3025</v>
      </c>
      <c r="I7001" s="1" t="s">
        <v>19</v>
      </c>
      <c r="J7001" s="1" t="s">
        <v>6</v>
      </c>
      <c r="K7001" s="1" t="s">
        <v>1859</v>
      </c>
      <c r="L7001" s="1">
        <v>3651123</v>
      </c>
      <c r="M7001" s="2">
        <v>42541</v>
      </c>
      <c r="N7001" s="1" t="s">
        <v>8</v>
      </c>
      <c r="O7001" s="2">
        <v>43636</v>
      </c>
    </row>
    <row r="7002" spans="1:15" ht="43.2" x14ac:dyDescent="0.3">
      <c r="A7002" s="1" t="s">
        <v>13511</v>
      </c>
      <c r="B7002" s="1" t="str">
        <f>"Fairwater Health Centre"</f>
        <v>Fairwater Health Centre</v>
      </c>
      <c r="C7002" s="1" t="s">
        <v>13512</v>
      </c>
      <c r="F7002" s="1" t="s">
        <v>27</v>
      </c>
      <c r="H7002" s="1" t="s">
        <v>13513</v>
      </c>
      <c r="I7002" s="1" t="s">
        <v>125</v>
      </c>
      <c r="J7002" s="1" t="s">
        <v>67</v>
      </c>
      <c r="K7002" s="1" t="s">
        <v>14</v>
      </c>
      <c r="M7002" s="2">
        <v>42541</v>
      </c>
      <c r="N7002" s="1" t="s">
        <v>8</v>
      </c>
      <c r="O7002" s="1" t="s">
        <v>68</v>
      </c>
    </row>
    <row r="7003" spans="1:15" ht="43.2" x14ac:dyDescent="0.3">
      <c r="A7003" s="1" t="s">
        <v>13514</v>
      </c>
      <c r="B7003" s="1" t="str">
        <f>"UK Power Reserve Limited"</f>
        <v>UK Power Reserve Limited</v>
      </c>
      <c r="C7003" s="1" t="s">
        <v>13515</v>
      </c>
      <c r="F7003" s="1" t="s">
        <v>13516</v>
      </c>
      <c r="H7003" s="1" t="s">
        <v>13517</v>
      </c>
      <c r="I7003" s="1" t="s">
        <v>19</v>
      </c>
      <c r="J7003" s="1" t="s">
        <v>67</v>
      </c>
      <c r="K7003" s="1" t="s">
        <v>14</v>
      </c>
      <c r="M7003" s="2">
        <v>42541</v>
      </c>
      <c r="N7003" s="1" t="s">
        <v>8</v>
      </c>
      <c r="O7003" s="1" t="s">
        <v>68</v>
      </c>
    </row>
    <row r="7004" spans="1:15" ht="43.2" x14ac:dyDescent="0.3">
      <c r="A7004" s="1" t="s">
        <v>13518</v>
      </c>
      <c r="B7004" s="1" t="str">
        <f>"PHOENIX PARTITIONING LTD"</f>
        <v>PHOENIX PARTITIONING LTD</v>
      </c>
      <c r="C7004" s="1" t="s">
        <v>13519</v>
      </c>
      <c r="D7004" s="1" t="s">
        <v>5248</v>
      </c>
      <c r="F7004" s="1" t="s">
        <v>1175</v>
      </c>
      <c r="H7004" s="1" t="s">
        <v>13520</v>
      </c>
      <c r="I7004" s="1" t="s">
        <v>19</v>
      </c>
      <c r="J7004" s="1" t="s">
        <v>6</v>
      </c>
      <c r="K7004" s="1" t="s">
        <v>34</v>
      </c>
      <c r="L7004" s="1">
        <v>3829270</v>
      </c>
      <c r="M7004" s="2">
        <v>42541</v>
      </c>
      <c r="N7004" s="1" t="s">
        <v>8</v>
      </c>
      <c r="O7004" s="2">
        <v>43636</v>
      </c>
    </row>
    <row r="7005" spans="1:15" ht="28.8" x14ac:dyDescent="0.3">
      <c r="A7005" s="1" t="s">
        <v>13521</v>
      </c>
      <c r="B7005" s="1" t="str">
        <f>"R&amp;A Whitton"</f>
        <v>R&amp;A Whitton</v>
      </c>
      <c r="C7005" s="1" t="s">
        <v>13522</v>
      </c>
      <c r="F7005" s="1" t="s">
        <v>174</v>
      </c>
      <c r="H7005" s="1" t="s">
        <v>13523</v>
      </c>
      <c r="I7005" s="1" t="s">
        <v>125</v>
      </c>
      <c r="J7005" s="1" t="s">
        <v>6</v>
      </c>
      <c r="K7005" s="1" t="s">
        <v>24</v>
      </c>
      <c r="M7005" s="2">
        <v>42541</v>
      </c>
      <c r="N7005" s="1" t="s">
        <v>8</v>
      </c>
      <c r="O7005" s="2">
        <v>43636</v>
      </c>
    </row>
    <row r="7006" spans="1:15" ht="28.8" x14ac:dyDescent="0.3">
      <c r="A7006" s="1" t="s">
        <v>13524</v>
      </c>
      <c r="B7006" s="1" t="str">
        <f>"Prosper Waste Management Ltd."</f>
        <v>Prosper Waste Management Ltd.</v>
      </c>
      <c r="C7006" s="1" t="s">
        <v>13525</v>
      </c>
      <c r="D7006" s="1" t="s">
        <v>13526</v>
      </c>
      <c r="F7006" s="1" t="s">
        <v>380</v>
      </c>
      <c r="H7006" s="1" t="s">
        <v>13527</v>
      </c>
      <c r="I7006" s="1" t="s">
        <v>19</v>
      </c>
      <c r="J7006" s="1" t="s">
        <v>6</v>
      </c>
      <c r="K7006" s="1" t="s">
        <v>34</v>
      </c>
      <c r="L7006" s="1">
        <v>4965857</v>
      </c>
      <c r="M7006" s="2">
        <v>42541</v>
      </c>
      <c r="N7006" s="1" t="s">
        <v>8</v>
      </c>
      <c r="O7006" s="2">
        <v>43636</v>
      </c>
    </row>
    <row r="7007" spans="1:15" ht="28.8" x14ac:dyDescent="0.3">
      <c r="A7007" s="1" t="s">
        <v>25290</v>
      </c>
      <c r="B7007" s="1" t="str">
        <f>"Aled  Jones samuel"</f>
        <v>Aled  Jones samuel</v>
      </c>
      <c r="C7007" s="1" t="s">
        <v>25291</v>
      </c>
      <c r="D7007" s="1" t="s">
        <v>25292</v>
      </c>
      <c r="F7007" s="1" t="s">
        <v>25293</v>
      </c>
      <c r="H7007" s="1" t="s">
        <v>25294</v>
      </c>
      <c r="I7007" s="1" t="s">
        <v>5</v>
      </c>
      <c r="J7007" s="1" t="s">
        <v>6</v>
      </c>
      <c r="K7007" s="1" t="s">
        <v>24</v>
      </c>
      <c r="M7007" s="2">
        <v>42541</v>
      </c>
      <c r="N7007" s="1" t="s">
        <v>8</v>
      </c>
      <c r="O7007" s="2">
        <v>43636</v>
      </c>
    </row>
    <row r="7008" spans="1:15" ht="28.8" x14ac:dyDescent="0.3">
      <c r="A7008" s="1" t="s">
        <v>25295</v>
      </c>
      <c r="B7008" s="1" t="str">
        <f>"Gary  Edmunds Gary Edmunds "</f>
        <v xml:space="preserve">Gary  Edmunds Gary Edmunds </v>
      </c>
      <c r="C7008" s="1" t="s">
        <v>25296</v>
      </c>
      <c r="F7008" s="1" t="s">
        <v>91</v>
      </c>
      <c r="H7008" s="1" t="s">
        <v>25297</v>
      </c>
      <c r="I7008" s="1" t="s">
        <v>5</v>
      </c>
      <c r="J7008" s="1" t="s">
        <v>6</v>
      </c>
      <c r="K7008" s="1" t="s">
        <v>34</v>
      </c>
      <c r="M7008" s="2">
        <v>42541</v>
      </c>
      <c r="N7008" s="1" t="s">
        <v>8</v>
      </c>
      <c r="O7008" s="2">
        <v>43636</v>
      </c>
    </row>
    <row r="7009" spans="1:15" ht="28.8" x14ac:dyDescent="0.3">
      <c r="A7009" s="1" t="s">
        <v>25298</v>
      </c>
      <c r="B7009" s="1" t="str">
        <f>"Philip Garratt Dirtbusters"</f>
        <v>Philip Garratt Dirtbusters</v>
      </c>
      <c r="C7009" s="1" t="s">
        <v>25299</v>
      </c>
      <c r="D7009" s="1" t="s">
        <v>25300</v>
      </c>
      <c r="F7009" s="1" t="s">
        <v>25301</v>
      </c>
      <c r="H7009" s="1" t="s">
        <v>25302</v>
      </c>
      <c r="I7009" s="1" t="s">
        <v>5</v>
      </c>
      <c r="J7009" s="1" t="s">
        <v>6</v>
      </c>
      <c r="K7009" s="1" t="s">
        <v>24</v>
      </c>
      <c r="M7009" s="2">
        <v>42541</v>
      </c>
      <c r="N7009" s="1" t="s">
        <v>8</v>
      </c>
      <c r="O7009" s="2">
        <v>43636</v>
      </c>
    </row>
    <row r="7010" spans="1:15" ht="28.8" x14ac:dyDescent="0.3">
      <c r="A7010" s="1" t="s">
        <v>26034</v>
      </c>
      <c r="B7010" s="1" t="str">
        <f>""</f>
        <v/>
      </c>
      <c r="C7010" s="1" t="s">
        <v>26035</v>
      </c>
      <c r="F7010" s="1" t="s">
        <v>706</v>
      </c>
      <c r="H7010" s="1" t="s">
        <v>26036</v>
      </c>
      <c r="I7010" s="1" t="s">
        <v>5</v>
      </c>
      <c r="J7010" s="1" t="s">
        <v>6</v>
      </c>
      <c r="M7010" s="2">
        <v>42541</v>
      </c>
      <c r="N7010" s="1" t="s">
        <v>8</v>
      </c>
      <c r="O7010" s="2">
        <v>43635</v>
      </c>
    </row>
    <row r="7011" spans="1:15" ht="28.8" x14ac:dyDescent="0.3">
      <c r="A7011" s="1" t="s">
        <v>26037</v>
      </c>
      <c r="B7011" s="1" t="str">
        <f>"daniel powell DP building services"</f>
        <v>daniel powell DP building services</v>
      </c>
      <c r="C7011" s="1" t="s">
        <v>22251</v>
      </c>
      <c r="F7011" s="1" t="s">
        <v>621</v>
      </c>
      <c r="H7011" s="1" t="s">
        <v>26038</v>
      </c>
      <c r="I7011" s="1" t="s">
        <v>5</v>
      </c>
      <c r="J7011" s="1" t="s">
        <v>6</v>
      </c>
      <c r="K7011" s="1" t="s">
        <v>24</v>
      </c>
      <c r="M7011" s="2">
        <v>42541</v>
      </c>
      <c r="N7011" s="1" t="s">
        <v>8</v>
      </c>
      <c r="O7011" s="2">
        <v>43636</v>
      </c>
    </row>
    <row r="7012" spans="1:15" ht="28.8" x14ac:dyDescent="0.3">
      <c r="A7012" s="1" t="s">
        <v>26039</v>
      </c>
      <c r="B7012" s="1" t="str">
        <f>"Martin Jones L Jones Transport"</f>
        <v>Martin Jones L Jones Transport</v>
      </c>
      <c r="C7012" s="1" t="s">
        <v>14802</v>
      </c>
      <c r="F7012" s="1" t="s">
        <v>65</v>
      </c>
      <c r="H7012" s="1" t="s">
        <v>12588</v>
      </c>
      <c r="I7012" s="1" t="s">
        <v>5</v>
      </c>
      <c r="J7012" s="1" t="s">
        <v>6</v>
      </c>
      <c r="K7012" s="1" t="s">
        <v>24</v>
      </c>
      <c r="M7012" s="2">
        <v>42541</v>
      </c>
      <c r="N7012" s="1" t="s">
        <v>8</v>
      </c>
      <c r="O7012" s="2">
        <v>43636</v>
      </c>
    </row>
    <row r="7013" spans="1:15" ht="28.8" x14ac:dyDescent="0.3">
      <c r="A7013" s="1" t="s">
        <v>26040</v>
      </c>
      <c r="B7013" s="1" t="str">
        <f>"Geoffrey Taylor Taylor Skip &amp; Plant Hire"</f>
        <v>Geoffrey Taylor Taylor Skip &amp; Plant Hire</v>
      </c>
      <c r="C7013" s="1" t="s">
        <v>26041</v>
      </c>
      <c r="F7013" s="1" t="s">
        <v>65</v>
      </c>
      <c r="H7013" s="1" t="s">
        <v>26042</v>
      </c>
      <c r="I7013" s="1" t="s">
        <v>5</v>
      </c>
      <c r="J7013" s="1" t="s">
        <v>6</v>
      </c>
      <c r="K7013" s="1" t="s">
        <v>24</v>
      </c>
      <c r="M7013" s="2">
        <v>42541</v>
      </c>
      <c r="N7013" s="1" t="s">
        <v>8</v>
      </c>
      <c r="O7013" s="2">
        <v>43636</v>
      </c>
    </row>
    <row r="7014" spans="1:15" ht="28.8" x14ac:dyDescent="0.3">
      <c r="A7014" s="1" t="s">
        <v>26043</v>
      </c>
      <c r="B7014" s="1" t="str">
        <f>"michael camps  m camps transport"</f>
        <v>michael camps  m camps transport</v>
      </c>
      <c r="C7014" s="1" t="s">
        <v>26044</v>
      </c>
      <c r="F7014" s="1" t="s">
        <v>174</v>
      </c>
      <c r="H7014" s="1" t="s">
        <v>26045</v>
      </c>
      <c r="I7014" s="1" t="s">
        <v>5</v>
      </c>
      <c r="J7014" s="1" t="s">
        <v>6</v>
      </c>
      <c r="K7014" s="1" t="s">
        <v>24</v>
      </c>
      <c r="M7014" s="2">
        <v>42541</v>
      </c>
      <c r="N7014" s="1" t="s">
        <v>8</v>
      </c>
      <c r="O7014" s="2">
        <v>43650</v>
      </c>
    </row>
    <row r="7015" spans="1:15" ht="43.2" x14ac:dyDescent="0.3">
      <c r="A7015" s="1" t="s">
        <v>26046</v>
      </c>
      <c r="B7015" s="1" t="str">
        <f>"Arron Broadley"</f>
        <v>Arron Broadley</v>
      </c>
      <c r="C7015" s="1" t="s">
        <v>26047</v>
      </c>
      <c r="F7015" s="1" t="s">
        <v>12</v>
      </c>
      <c r="H7015" s="1" t="s">
        <v>26048</v>
      </c>
      <c r="I7015" s="1" t="s">
        <v>5</v>
      </c>
      <c r="J7015" s="1" t="s">
        <v>67</v>
      </c>
      <c r="K7015" s="1" t="s">
        <v>14</v>
      </c>
      <c r="M7015" s="2">
        <v>42541</v>
      </c>
      <c r="N7015" s="1" t="s">
        <v>8</v>
      </c>
      <c r="O7015" s="1" t="s">
        <v>68</v>
      </c>
    </row>
    <row r="7016" spans="1:15" ht="28.8" x14ac:dyDescent="0.3">
      <c r="A7016" s="1" t="s">
        <v>26049</v>
      </c>
      <c r="B7016" s="1" t="str">
        <f>"arwel jones arwel jones tarmac surfacing"</f>
        <v>arwel jones arwel jones tarmac surfacing</v>
      </c>
      <c r="C7016" s="1" t="s">
        <v>26050</v>
      </c>
      <c r="F7016" s="1" t="s">
        <v>678</v>
      </c>
      <c r="H7016" s="1" t="s">
        <v>26051</v>
      </c>
      <c r="I7016" s="1" t="s">
        <v>5</v>
      </c>
      <c r="J7016" s="1" t="s">
        <v>6</v>
      </c>
      <c r="K7016" s="1" t="s">
        <v>24</v>
      </c>
      <c r="M7016" s="2">
        <v>42541</v>
      </c>
      <c r="N7016" s="1" t="s">
        <v>8</v>
      </c>
      <c r="O7016" s="2">
        <v>43636</v>
      </c>
    </row>
    <row r="7017" spans="1:15" ht="28.8" x14ac:dyDescent="0.3">
      <c r="A7017" s="1" t="s">
        <v>12396</v>
      </c>
      <c r="B7017" s="1" t="str">
        <f>"C  Sneade Ltd."</f>
        <v>C  Sneade Ltd.</v>
      </c>
      <c r="C7017" s="1" t="s">
        <v>12397</v>
      </c>
      <c r="F7017" s="1" t="s">
        <v>1366</v>
      </c>
      <c r="H7017" s="1" t="s">
        <v>12398</v>
      </c>
      <c r="I7017" s="1" t="s">
        <v>19</v>
      </c>
      <c r="J7017" s="1" t="s">
        <v>6</v>
      </c>
      <c r="K7017" s="1" t="s">
        <v>34</v>
      </c>
      <c r="L7017" s="1">
        <v>4765905</v>
      </c>
      <c r="M7017" s="2">
        <v>42540</v>
      </c>
      <c r="N7017" s="1" t="s">
        <v>8</v>
      </c>
      <c r="O7017" s="2">
        <v>43635</v>
      </c>
    </row>
    <row r="7018" spans="1:15" ht="43.2" x14ac:dyDescent="0.3">
      <c r="A7018" s="1" t="s">
        <v>25287</v>
      </c>
      <c r="B7018" s="1" t="str">
        <f>"Paul Bishop"</f>
        <v>Paul Bishop</v>
      </c>
      <c r="C7018" s="1" t="s">
        <v>25288</v>
      </c>
      <c r="F7018" s="1" t="s">
        <v>1998</v>
      </c>
      <c r="H7018" s="1" t="s">
        <v>25289</v>
      </c>
      <c r="I7018" s="1" t="s">
        <v>5</v>
      </c>
      <c r="J7018" s="1" t="s">
        <v>67</v>
      </c>
      <c r="K7018" s="1" t="s">
        <v>14</v>
      </c>
      <c r="M7018" s="2">
        <v>42539</v>
      </c>
      <c r="N7018" s="1" t="s">
        <v>8</v>
      </c>
      <c r="O7018" s="1" t="s">
        <v>68</v>
      </c>
    </row>
    <row r="7019" spans="1:15" ht="28.8" x14ac:dyDescent="0.3">
      <c r="A7019" s="1" t="s">
        <v>35</v>
      </c>
      <c r="B7019" s="1" t="str">
        <f>"C B ENVIRONMENTAL LTD"</f>
        <v>C B ENVIRONMENTAL LTD</v>
      </c>
      <c r="C7019" s="1" t="s">
        <v>36</v>
      </c>
      <c r="F7019" s="1" t="s">
        <v>37</v>
      </c>
      <c r="H7019" s="1" t="s">
        <v>38</v>
      </c>
      <c r="I7019" s="1" t="s">
        <v>19</v>
      </c>
      <c r="J7019" s="1" t="s">
        <v>6</v>
      </c>
      <c r="K7019" s="1" t="s">
        <v>34</v>
      </c>
      <c r="L7019" s="1">
        <v>3553364</v>
      </c>
      <c r="M7019" s="2">
        <v>42538</v>
      </c>
      <c r="N7019" s="1" t="s">
        <v>8</v>
      </c>
      <c r="O7019" s="2">
        <v>44729</v>
      </c>
    </row>
    <row r="7020" spans="1:15" ht="28.8" x14ac:dyDescent="0.3">
      <c r="A7020" s="1" t="s">
        <v>11475</v>
      </c>
      <c r="B7020" s="1" t="str">
        <f>"Harrison Reynolds Building"</f>
        <v>Harrison Reynolds Building</v>
      </c>
      <c r="C7020" s="1" t="s">
        <v>11476</v>
      </c>
      <c r="F7020" s="1" t="s">
        <v>65</v>
      </c>
      <c r="H7020" s="1" t="s">
        <v>11477</v>
      </c>
      <c r="I7020" s="1" t="s">
        <v>19</v>
      </c>
      <c r="J7020" s="1" t="s">
        <v>6</v>
      </c>
      <c r="K7020" s="1" t="s">
        <v>34</v>
      </c>
      <c r="L7020" s="1">
        <v>9949431</v>
      </c>
      <c r="M7020" s="2">
        <v>42538</v>
      </c>
      <c r="N7020" s="1" t="s">
        <v>8</v>
      </c>
      <c r="O7020" s="2">
        <v>43633</v>
      </c>
    </row>
    <row r="7021" spans="1:15" ht="28.8" x14ac:dyDescent="0.3">
      <c r="A7021" s="1" t="s">
        <v>12376</v>
      </c>
      <c r="B7021" s="1" t="str">
        <f>"TA Evans Bros"</f>
        <v>TA Evans Bros</v>
      </c>
      <c r="C7021" s="1" t="s">
        <v>12377</v>
      </c>
      <c r="F7021" s="1" t="s">
        <v>1169</v>
      </c>
      <c r="H7021" s="1" t="s">
        <v>12378</v>
      </c>
      <c r="I7021" s="1" t="s">
        <v>125</v>
      </c>
      <c r="J7021" s="1" t="s">
        <v>6</v>
      </c>
      <c r="K7021" s="1" t="s">
        <v>34</v>
      </c>
      <c r="M7021" s="2">
        <v>42538</v>
      </c>
      <c r="N7021" s="1" t="s">
        <v>8</v>
      </c>
      <c r="O7021" s="2">
        <v>43633</v>
      </c>
    </row>
    <row r="7022" spans="1:15" ht="28.8" x14ac:dyDescent="0.3">
      <c r="A7022" s="1" t="s">
        <v>12379</v>
      </c>
      <c r="B7022" s="1" t="str">
        <f>"Lewis Garden Services Ltd."</f>
        <v>Lewis Garden Services Ltd.</v>
      </c>
      <c r="C7022" s="1" t="s">
        <v>12380</v>
      </c>
      <c r="F7022" s="1" t="s">
        <v>380</v>
      </c>
      <c r="H7022" s="1" t="s">
        <v>771</v>
      </c>
      <c r="I7022" s="1" t="s">
        <v>19</v>
      </c>
      <c r="J7022" s="1" t="s">
        <v>6</v>
      </c>
      <c r="K7022" s="1" t="s">
        <v>24</v>
      </c>
      <c r="L7022" s="1">
        <v>4698571</v>
      </c>
      <c r="M7022" s="2">
        <v>42538</v>
      </c>
      <c r="N7022" s="1" t="s">
        <v>8</v>
      </c>
      <c r="O7022" s="2">
        <v>43633</v>
      </c>
    </row>
    <row r="7023" spans="1:15" ht="28.8" x14ac:dyDescent="0.3">
      <c r="A7023" s="1" t="s">
        <v>12381</v>
      </c>
      <c r="B7023" s="1" t="str">
        <f>"Fox Group (Moving &amp; Storage) Ltd."</f>
        <v>Fox Group (Moving &amp; Storage) Ltd.</v>
      </c>
      <c r="C7023" s="1" t="s">
        <v>12382</v>
      </c>
      <c r="F7023" s="1" t="s">
        <v>380</v>
      </c>
      <c r="H7023" s="1" t="s">
        <v>12383</v>
      </c>
      <c r="I7023" s="1" t="s">
        <v>19</v>
      </c>
      <c r="J7023" s="1" t="s">
        <v>6</v>
      </c>
      <c r="K7023" s="1" t="s">
        <v>24</v>
      </c>
      <c r="L7023" s="1">
        <v>1662233</v>
      </c>
      <c r="M7023" s="2">
        <v>42538</v>
      </c>
      <c r="N7023" s="1" t="s">
        <v>8</v>
      </c>
      <c r="O7023" s="2">
        <v>43633</v>
      </c>
    </row>
    <row r="7024" spans="1:15" ht="28.8" x14ac:dyDescent="0.3">
      <c r="A7024" s="1" t="s">
        <v>12384</v>
      </c>
      <c r="B7024" s="1" t="str">
        <f>"Intech Solutions"</f>
        <v>Intech Solutions</v>
      </c>
      <c r="C7024" s="1" t="s">
        <v>12385</v>
      </c>
      <c r="F7024" s="1" t="s">
        <v>5401</v>
      </c>
      <c r="H7024" s="1" t="s">
        <v>12386</v>
      </c>
      <c r="I7024" s="1" t="s">
        <v>19</v>
      </c>
      <c r="J7024" s="1" t="s">
        <v>6</v>
      </c>
      <c r="K7024" s="1" t="s">
        <v>24</v>
      </c>
      <c r="L7024" s="1">
        <v>1382307</v>
      </c>
      <c r="M7024" s="2">
        <v>42538</v>
      </c>
      <c r="N7024" s="1" t="s">
        <v>8</v>
      </c>
      <c r="O7024" s="2">
        <v>43633</v>
      </c>
    </row>
    <row r="7025" spans="1:15" ht="43.2" x14ac:dyDescent="0.3">
      <c r="A7025" s="1" t="s">
        <v>12387</v>
      </c>
      <c r="B7025" s="1" t="str">
        <f>"NHS Wales Informatics Service"</f>
        <v>NHS Wales Informatics Service</v>
      </c>
      <c r="C7025" s="1" t="s">
        <v>12388</v>
      </c>
      <c r="D7025" s="1" t="s">
        <v>12389</v>
      </c>
      <c r="E7025" s="1" t="s">
        <v>12390</v>
      </c>
      <c r="F7025" s="1" t="s">
        <v>123</v>
      </c>
      <c r="G7025" s="1" t="s">
        <v>27</v>
      </c>
      <c r="H7025" s="1" t="s">
        <v>12391</v>
      </c>
      <c r="I7025" s="1" t="s">
        <v>188</v>
      </c>
      <c r="J7025" s="1" t="s">
        <v>67</v>
      </c>
      <c r="K7025" s="1" t="s">
        <v>24</v>
      </c>
      <c r="M7025" s="2">
        <v>42538</v>
      </c>
      <c r="N7025" s="1" t="s">
        <v>8</v>
      </c>
      <c r="O7025" s="1" t="s">
        <v>68</v>
      </c>
    </row>
    <row r="7026" spans="1:15" ht="28.8" x14ac:dyDescent="0.3">
      <c r="A7026" s="1" t="s">
        <v>12392</v>
      </c>
      <c r="B7026" s="1" t="str">
        <f>"FG WHITLEY &amp; SONS CO LTD"</f>
        <v>FG WHITLEY &amp; SONS CO LTD</v>
      </c>
      <c r="C7026" s="1" t="s">
        <v>12393</v>
      </c>
      <c r="D7026" s="1" t="s">
        <v>12394</v>
      </c>
      <c r="F7026" s="1" t="s">
        <v>607</v>
      </c>
      <c r="H7026" s="1" t="s">
        <v>12395</v>
      </c>
      <c r="I7026" s="1" t="s">
        <v>19</v>
      </c>
      <c r="J7026" s="1" t="s">
        <v>6</v>
      </c>
      <c r="K7026" s="1" t="s">
        <v>24</v>
      </c>
      <c r="L7026" s="1">
        <v>690213</v>
      </c>
      <c r="M7026" s="2">
        <v>42538</v>
      </c>
      <c r="N7026" s="1" t="s">
        <v>8</v>
      </c>
      <c r="O7026" s="2">
        <v>43633</v>
      </c>
    </row>
    <row r="7027" spans="1:15" ht="28.8" x14ac:dyDescent="0.3">
      <c r="A7027" s="1" t="s">
        <v>25282</v>
      </c>
      <c r="B7027" s="1" t="str">
        <f>"THOMAS DAVIES T.E.DAVIES"</f>
        <v>THOMAS DAVIES T.E.DAVIES</v>
      </c>
      <c r="C7027" s="1" t="s">
        <v>25283</v>
      </c>
      <c r="F7027" s="1" t="s">
        <v>17</v>
      </c>
      <c r="H7027" s="1" t="s">
        <v>12465</v>
      </c>
      <c r="I7027" s="1" t="s">
        <v>5</v>
      </c>
      <c r="J7027" s="1" t="s">
        <v>6</v>
      </c>
      <c r="K7027" s="1" t="s">
        <v>24</v>
      </c>
      <c r="M7027" s="2">
        <v>42538</v>
      </c>
      <c r="N7027" s="1" t="s">
        <v>8</v>
      </c>
      <c r="O7027" s="2">
        <v>43633</v>
      </c>
    </row>
    <row r="7028" spans="1:15" ht="43.2" x14ac:dyDescent="0.3">
      <c r="A7028" s="1" t="s">
        <v>25284</v>
      </c>
      <c r="B7028" s="1" t="str">
        <f>"Lee Gledhill"</f>
        <v>Lee Gledhill</v>
      </c>
      <c r="C7028" s="1" t="s">
        <v>25285</v>
      </c>
      <c r="F7028" s="1" t="s">
        <v>83</v>
      </c>
      <c r="H7028" s="1" t="s">
        <v>25286</v>
      </c>
      <c r="I7028" s="1" t="s">
        <v>5</v>
      </c>
      <c r="J7028" s="1" t="s">
        <v>67</v>
      </c>
      <c r="K7028" s="1" t="s">
        <v>24</v>
      </c>
      <c r="M7028" s="2">
        <v>42538</v>
      </c>
      <c r="N7028" s="1" t="s">
        <v>8</v>
      </c>
      <c r="O7028" s="1" t="s">
        <v>68</v>
      </c>
    </row>
    <row r="7029" spans="1:15" ht="43.2" x14ac:dyDescent="0.3">
      <c r="A7029" s="1" t="s">
        <v>11456</v>
      </c>
      <c r="B7029" s="1" t="str">
        <f>"AUTO SHINERS LTD"</f>
        <v>AUTO SHINERS LTD</v>
      </c>
      <c r="C7029" s="1" t="s">
        <v>11457</v>
      </c>
      <c r="F7029" s="1" t="s">
        <v>11458</v>
      </c>
      <c r="H7029" s="1" t="s">
        <v>11459</v>
      </c>
      <c r="I7029" s="1" t="s">
        <v>19</v>
      </c>
      <c r="J7029" s="1" t="s">
        <v>67</v>
      </c>
      <c r="K7029" s="1" t="s">
        <v>14</v>
      </c>
      <c r="M7029" s="2">
        <v>42537</v>
      </c>
      <c r="N7029" s="1" t="s">
        <v>8</v>
      </c>
      <c r="O7029" s="1" t="s">
        <v>68</v>
      </c>
    </row>
    <row r="7030" spans="1:15" ht="28.8" x14ac:dyDescent="0.3">
      <c r="A7030" s="1" t="s">
        <v>11460</v>
      </c>
      <c r="B7030" s="1" t="str">
        <f>"KM ENVIRONMENTAL LTD"</f>
        <v>KM ENVIRONMENTAL LTD</v>
      </c>
      <c r="C7030" s="1" t="s">
        <v>11461</v>
      </c>
      <c r="F7030" s="1" t="s">
        <v>4731</v>
      </c>
      <c r="H7030" s="1" t="s">
        <v>11462</v>
      </c>
      <c r="I7030" s="1" t="s">
        <v>19</v>
      </c>
      <c r="J7030" s="1" t="s">
        <v>6</v>
      </c>
      <c r="K7030" s="1" t="s">
        <v>34</v>
      </c>
      <c r="L7030" s="1">
        <v>4705728</v>
      </c>
      <c r="M7030" s="2">
        <v>42537</v>
      </c>
      <c r="N7030" s="1" t="s">
        <v>8</v>
      </c>
      <c r="O7030" s="2">
        <v>43632</v>
      </c>
    </row>
    <row r="7031" spans="1:15" ht="28.8" x14ac:dyDescent="0.3">
      <c r="A7031" s="1" t="s">
        <v>11463</v>
      </c>
      <c r="B7031" s="1" t="str">
        <f>"Spirafix Ground Anchors Ltd"</f>
        <v>Spirafix Ground Anchors Ltd</v>
      </c>
      <c r="C7031" s="1" t="s">
        <v>11464</v>
      </c>
      <c r="D7031" s="1" t="s">
        <v>2438</v>
      </c>
      <c r="F7031" s="1" t="s">
        <v>91</v>
      </c>
      <c r="H7031" s="1" t="s">
        <v>11465</v>
      </c>
      <c r="I7031" s="1" t="s">
        <v>19</v>
      </c>
      <c r="J7031" s="1" t="s">
        <v>6</v>
      </c>
      <c r="K7031" s="1" t="s">
        <v>34</v>
      </c>
      <c r="L7031" s="1">
        <v>2760390</v>
      </c>
      <c r="M7031" s="2">
        <v>42537</v>
      </c>
      <c r="N7031" s="1" t="s">
        <v>8</v>
      </c>
      <c r="O7031" s="2">
        <v>43632</v>
      </c>
    </row>
    <row r="7032" spans="1:15" ht="28.8" x14ac:dyDescent="0.3">
      <c r="A7032" s="1" t="s">
        <v>11466</v>
      </c>
      <c r="B7032" s="1" t="str">
        <f>"G &amp; N Transport"</f>
        <v>G &amp; N Transport</v>
      </c>
      <c r="C7032" s="1" t="s">
        <v>11467</v>
      </c>
      <c r="D7032" s="1" t="s">
        <v>1174</v>
      </c>
      <c r="F7032" s="1" t="s">
        <v>1175</v>
      </c>
      <c r="H7032" s="1" t="s">
        <v>11468</v>
      </c>
      <c r="I7032" s="1" t="s">
        <v>19</v>
      </c>
      <c r="J7032" s="1" t="s">
        <v>6</v>
      </c>
      <c r="K7032" s="1" t="s">
        <v>24</v>
      </c>
      <c r="L7032" s="1">
        <v>9520771</v>
      </c>
      <c r="M7032" s="2">
        <v>42537</v>
      </c>
      <c r="N7032" s="1" t="s">
        <v>8</v>
      </c>
      <c r="O7032" s="2">
        <v>43632</v>
      </c>
    </row>
    <row r="7033" spans="1:15" ht="28.8" x14ac:dyDescent="0.3">
      <c r="A7033" s="1" t="s">
        <v>11469</v>
      </c>
      <c r="B7033" s="1" t="str">
        <f>"DPP HIRE"</f>
        <v>DPP HIRE</v>
      </c>
      <c r="C7033" s="1" t="s">
        <v>11470</v>
      </c>
      <c r="F7033" s="1" t="s">
        <v>1184</v>
      </c>
      <c r="H7033" s="1" t="s">
        <v>11471</v>
      </c>
      <c r="I7033" s="1" t="s">
        <v>125</v>
      </c>
      <c r="J7033" s="1" t="s">
        <v>6</v>
      </c>
      <c r="K7033" s="1" t="s">
        <v>24</v>
      </c>
      <c r="M7033" s="2">
        <v>42537</v>
      </c>
      <c r="N7033" s="1" t="s">
        <v>8</v>
      </c>
      <c r="O7033" s="2">
        <v>43632</v>
      </c>
    </row>
    <row r="7034" spans="1:15" ht="28.8" x14ac:dyDescent="0.3">
      <c r="A7034" s="1" t="s">
        <v>11472</v>
      </c>
      <c r="B7034" s="1" t="str">
        <f>"LGBT Limited"</f>
        <v>LGBT Limited</v>
      </c>
      <c r="C7034" s="1" t="s">
        <v>11473</v>
      </c>
      <c r="F7034" s="1" t="s">
        <v>12</v>
      </c>
      <c r="H7034" s="1" t="s">
        <v>11474</v>
      </c>
      <c r="I7034" s="1" t="s">
        <v>19</v>
      </c>
      <c r="J7034" s="1" t="s">
        <v>6</v>
      </c>
      <c r="K7034" s="1" t="s">
        <v>34</v>
      </c>
      <c r="L7034" s="1">
        <v>6928796</v>
      </c>
      <c r="M7034" s="2">
        <v>42537</v>
      </c>
      <c r="N7034" s="1" t="s">
        <v>8</v>
      </c>
      <c r="O7034" s="2">
        <v>43632</v>
      </c>
    </row>
    <row r="7035" spans="1:15" ht="28.8" x14ac:dyDescent="0.3">
      <c r="A7035" s="1" t="s">
        <v>24451</v>
      </c>
      <c r="B7035" s="1" t="str">
        <f>"Thomas Edward Matthews"</f>
        <v>Thomas Edward Matthews</v>
      </c>
      <c r="C7035" s="1" t="s">
        <v>24452</v>
      </c>
      <c r="F7035" s="1" t="s">
        <v>1184</v>
      </c>
      <c r="H7035" s="1" t="s">
        <v>24453</v>
      </c>
      <c r="I7035" s="1" t="s">
        <v>5</v>
      </c>
      <c r="J7035" s="1" t="s">
        <v>6</v>
      </c>
      <c r="K7035" s="1" t="s">
        <v>24</v>
      </c>
      <c r="M7035" s="2">
        <v>42537</v>
      </c>
      <c r="N7035" s="1" t="s">
        <v>8</v>
      </c>
      <c r="O7035" s="2">
        <v>43632</v>
      </c>
    </row>
    <row r="7036" spans="1:15" ht="28.8" x14ac:dyDescent="0.3">
      <c r="A7036" s="1" t="s">
        <v>24454</v>
      </c>
      <c r="B7036" s="1" t="str">
        <f>"stuart  prytherch stuart prytherch"</f>
        <v>stuart  prytherch stuart prytherch</v>
      </c>
      <c r="C7036" s="1" t="s">
        <v>24455</v>
      </c>
      <c r="F7036" s="1" t="s">
        <v>1321</v>
      </c>
      <c r="H7036" s="1" t="s">
        <v>24456</v>
      </c>
      <c r="I7036" s="1" t="s">
        <v>5</v>
      </c>
      <c r="J7036" s="1" t="s">
        <v>6</v>
      </c>
      <c r="K7036" s="1" t="s">
        <v>24</v>
      </c>
      <c r="M7036" s="2">
        <v>42537</v>
      </c>
      <c r="N7036" s="1" t="s">
        <v>8</v>
      </c>
      <c r="O7036" s="2">
        <v>43632</v>
      </c>
    </row>
    <row r="7037" spans="1:15" ht="43.2" x14ac:dyDescent="0.3">
      <c r="A7037" s="1" t="s">
        <v>24457</v>
      </c>
      <c r="B7037" s="1" t="str">
        <f>"Gary Goodwin G.Goodwin building services "</f>
        <v xml:space="preserve">Gary Goodwin G.Goodwin building services </v>
      </c>
      <c r="C7037" s="1" t="s">
        <v>24458</v>
      </c>
      <c r="F7037" s="1" t="s">
        <v>7633</v>
      </c>
      <c r="H7037" s="1" t="s">
        <v>24459</v>
      </c>
      <c r="I7037" s="1" t="s">
        <v>5</v>
      </c>
      <c r="J7037" s="1" t="s">
        <v>6</v>
      </c>
      <c r="K7037" s="1" t="s">
        <v>24</v>
      </c>
      <c r="M7037" s="2">
        <v>42537</v>
      </c>
      <c r="N7037" s="1" t="s">
        <v>8</v>
      </c>
      <c r="O7037" s="2">
        <v>43632</v>
      </c>
    </row>
    <row r="7038" spans="1:15" ht="28.8" x14ac:dyDescent="0.3">
      <c r="A7038" s="1" t="s">
        <v>9352</v>
      </c>
      <c r="B7038" s="1" t="str">
        <f>"Olynpaidd M&amp;E 2008 Ltd"</f>
        <v>Olynpaidd M&amp;E 2008 Ltd</v>
      </c>
      <c r="C7038" s="1" t="s">
        <v>9353</v>
      </c>
      <c r="D7038" s="1" t="s">
        <v>9354</v>
      </c>
      <c r="F7038" s="1" t="s">
        <v>298</v>
      </c>
      <c r="H7038" s="1" t="s">
        <v>9355</v>
      </c>
      <c r="I7038" s="1" t="s">
        <v>19</v>
      </c>
      <c r="J7038" s="1" t="s">
        <v>6</v>
      </c>
      <c r="K7038" s="1" t="s">
        <v>34</v>
      </c>
      <c r="L7038" s="1">
        <v>7189150</v>
      </c>
      <c r="M7038" s="2">
        <v>42536</v>
      </c>
      <c r="N7038" s="1" t="s">
        <v>8</v>
      </c>
      <c r="O7038" s="2">
        <v>43631</v>
      </c>
    </row>
    <row r="7039" spans="1:15" ht="43.2" x14ac:dyDescent="0.3">
      <c r="A7039" s="1" t="s">
        <v>10421</v>
      </c>
      <c r="B7039" s="1" t="str">
        <f>"IQA Operations Group"</f>
        <v>IQA Operations Group</v>
      </c>
      <c r="C7039" s="1" t="s">
        <v>10422</v>
      </c>
      <c r="F7039" s="1" t="s">
        <v>710</v>
      </c>
      <c r="H7039" s="1" t="s">
        <v>10423</v>
      </c>
      <c r="I7039" s="1" t="s">
        <v>19</v>
      </c>
      <c r="J7039" s="1" t="s">
        <v>67</v>
      </c>
      <c r="K7039" s="1" t="s">
        <v>14</v>
      </c>
      <c r="M7039" s="2">
        <v>42536</v>
      </c>
      <c r="N7039" s="1" t="s">
        <v>8</v>
      </c>
      <c r="O7039" s="1" t="s">
        <v>68</v>
      </c>
    </row>
    <row r="7040" spans="1:15" ht="43.2" x14ac:dyDescent="0.3">
      <c r="A7040" s="1" t="s">
        <v>10424</v>
      </c>
      <c r="B7040" s="1" t="str">
        <f>"Danny Jones"</f>
        <v>Danny Jones</v>
      </c>
      <c r="C7040" s="1" t="s">
        <v>10425</v>
      </c>
      <c r="F7040" s="1" t="s">
        <v>1169</v>
      </c>
      <c r="H7040" s="1" t="s">
        <v>10426</v>
      </c>
      <c r="I7040" s="1" t="s">
        <v>188</v>
      </c>
      <c r="J7040" s="1" t="s">
        <v>67</v>
      </c>
      <c r="K7040" s="1" t="s">
        <v>14</v>
      </c>
      <c r="M7040" s="2">
        <v>42536</v>
      </c>
      <c r="N7040" s="1" t="s">
        <v>8</v>
      </c>
      <c r="O7040" s="1" t="s">
        <v>68</v>
      </c>
    </row>
    <row r="7041" spans="1:15" ht="28.8" x14ac:dyDescent="0.3">
      <c r="A7041" s="1" t="s">
        <v>10427</v>
      </c>
      <c r="B7041" s="1" t="str">
        <f>"Reval Continuing Care Limited"</f>
        <v>Reval Continuing Care Limited</v>
      </c>
      <c r="C7041" s="1" t="s">
        <v>10428</v>
      </c>
      <c r="D7041" s="1" t="s">
        <v>10429</v>
      </c>
      <c r="E7041" s="1" t="s">
        <v>9059</v>
      </c>
      <c r="F7041" s="1" t="s">
        <v>865</v>
      </c>
      <c r="H7041" s="1" t="s">
        <v>10430</v>
      </c>
      <c r="I7041" s="1" t="s">
        <v>19</v>
      </c>
      <c r="J7041" s="1" t="s">
        <v>6</v>
      </c>
      <c r="K7041" s="1" t="s">
        <v>24</v>
      </c>
      <c r="L7041" s="1">
        <v>5049557</v>
      </c>
      <c r="M7041" s="2">
        <v>42536</v>
      </c>
      <c r="N7041" s="1" t="s">
        <v>8</v>
      </c>
      <c r="O7041" s="2">
        <v>43631</v>
      </c>
    </row>
    <row r="7042" spans="1:15" ht="28.8" x14ac:dyDescent="0.3">
      <c r="A7042" s="1" t="s">
        <v>10431</v>
      </c>
      <c r="B7042" s="1" t="str">
        <f>"Sussex Fencing Services Ltd."</f>
        <v>Sussex Fencing Services Ltd.</v>
      </c>
      <c r="C7042" s="1" t="s">
        <v>10432</v>
      </c>
      <c r="D7042" s="1" t="s">
        <v>10433</v>
      </c>
      <c r="F7042" s="1" t="s">
        <v>739</v>
      </c>
      <c r="H7042" s="1" t="s">
        <v>10434</v>
      </c>
      <c r="I7042" s="1" t="s">
        <v>19</v>
      </c>
      <c r="J7042" s="1" t="s">
        <v>6</v>
      </c>
      <c r="K7042" s="1" t="s">
        <v>34</v>
      </c>
      <c r="L7042" s="1">
        <v>5715253</v>
      </c>
      <c r="M7042" s="2">
        <v>42536</v>
      </c>
      <c r="N7042" s="1" t="s">
        <v>8</v>
      </c>
      <c r="O7042" s="2">
        <v>43710</v>
      </c>
    </row>
    <row r="7043" spans="1:15" ht="43.2" x14ac:dyDescent="0.3">
      <c r="A7043" s="1" t="s">
        <v>10435</v>
      </c>
      <c r="B7043" s="1" t="str">
        <f>"Lloyds"</f>
        <v>Lloyds</v>
      </c>
      <c r="C7043" s="1" t="s">
        <v>10436</v>
      </c>
      <c r="F7043" s="1" t="s">
        <v>298</v>
      </c>
      <c r="H7043" s="1" t="s">
        <v>10437</v>
      </c>
      <c r="I7043" s="1" t="s">
        <v>19</v>
      </c>
      <c r="J7043" s="1" t="s">
        <v>67</v>
      </c>
      <c r="K7043" s="1" t="s">
        <v>14</v>
      </c>
      <c r="M7043" s="2">
        <v>42536</v>
      </c>
      <c r="N7043" s="1" t="s">
        <v>8</v>
      </c>
      <c r="O7043" s="1" t="s">
        <v>68</v>
      </c>
    </row>
    <row r="7044" spans="1:15" ht="28.8" x14ac:dyDescent="0.3">
      <c r="A7044" s="1" t="s">
        <v>10438</v>
      </c>
      <c r="B7044" s="1" t="str">
        <f>"V Griffiths Roofing Ltd"</f>
        <v>V Griffiths Roofing Ltd</v>
      </c>
      <c r="C7044" s="1" t="s">
        <v>10439</v>
      </c>
      <c r="F7044" s="1" t="s">
        <v>277</v>
      </c>
      <c r="H7044" s="1" t="s">
        <v>10440</v>
      </c>
      <c r="I7044" s="1" t="s">
        <v>19</v>
      </c>
      <c r="J7044" s="1" t="s">
        <v>6</v>
      </c>
      <c r="K7044" s="1" t="s">
        <v>24</v>
      </c>
      <c r="L7044" s="1">
        <v>1023353</v>
      </c>
      <c r="M7044" s="2">
        <v>42536</v>
      </c>
      <c r="N7044" s="1" t="s">
        <v>8</v>
      </c>
      <c r="O7044" s="2">
        <v>43631</v>
      </c>
    </row>
    <row r="7045" spans="1:15" ht="43.2" x14ac:dyDescent="0.3">
      <c r="A7045" s="1" t="s">
        <v>10441</v>
      </c>
      <c r="B7045" s="1" t="str">
        <f>"Indie Burger limited"</f>
        <v>Indie Burger limited</v>
      </c>
      <c r="C7045" s="1" t="s">
        <v>6275</v>
      </c>
      <c r="F7045" s="1" t="s">
        <v>1063</v>
      </c>
      <c r="H7045" s="1" t="s">
        <v>6276</v>
      </c>
      <c r="I7045" s="1" t="s">
        <v>19</v>
      </c>
      <c r="J7045" s="1" t="s">
        <v>67</v>
      </c>
      <c r="K7045" s="1" t="s">
        <v>14</v>
      </c>
      <c r="M7045" s="2">
        <v>42536</v>
      </c>
      <c r="N7045" s="1" t="s">
        <v>8</v>
      </c>
      <c r="O7045" s="1" t="s">
        <v>68</v>
      </c>
    </row>
    <row r="7046" spans="1:15" ht="28.8" x14ac:dyDescent="0.3">
      <c r="A7046" s="1" t="s">
        <v>10442</v>
      </c>
      <c r="B7046" s="1" t="str">
        <f>"Uk Removals and Packing Ltd"</f>
        <v>Uk Removals and Packing Ltd</v>
      </c>
      <c r="C7046" s="1" t="s">
        <v>10443</v>
      </c>
      <c r="F7046" s="1" t="s">
        <v>10444</v>
      </c>
      <c r="H7046" s="1" t="s">
        <v>10445</v>
      </c>
      <c r="I7046" s="1" t="s">
        <v>19</v>
      </c>
      <c r="J7046" s="1" t="s">
        <v>6</v>
      </c>
      <c r="K7046" s="1" t="s">
        <v>34</v>
      </c>
      <c r="L7046" s="1">
        <v>8648419</v>
      </c>
      <c r="M7046" s="2">
        <v>42536</v>
      </c>
      <c r="N7046" s="1" t="s">
        <v>8</v>
      </c>
      <c r="O7046" s="2">
        <v>43631</v>
      </c>
    </row>
    <row r="7047" spans="1:15" ht="28.8" x14ac:dyDescent="0.3">
      <c r="A7047" s="1" t="s">
        <v>10446</v>
      </c>
      <c r="B7047" s="1" t="str">
        <f>"TJ EVANS ROOFING LIMITED"</f>
        <v>TJ EVANS ROOFING LIMITED</v>
      </c>
      <c r="C7047" s="1" t="s">
        <v>10447</v>
      </c>
      <c r="D7047" s="1" t="s">
        <v>10448</v>
      </c>
      <c r="F7047" s="1" t="s">
        <v>10449</v>
      </c>
      <c r="H7047" s="1" t="s">
        <v>10450</v>
      </c>
      <c r="I7047" s="1" t="s">
        <v>19</v>
      </c>
      <c r="J7047" s="1" t="s">
        <v>6</v>
      </c>
      <c r="K7047" s="1" t="s">
        <v>34</v>
      </c>
      <c r="L7047" s="1">
        <v>8352531</v>
      </c>
      <c r="M7047" s="2">
        <v>42536</v>
      </c>
      <c r="N7047" s="1" t="s">
        <v>8</v>
      </c>
      <c r="O7047" s="2">
        <v>43631</v>
      </c>
    </row>
    <row r="7048" spans="1:15" ht="28.8" x14ac:dyDescent="0.3">
      <c r="A7048" s="1" t="s">
        <v>11449</v>
      </c>
      <c r="B7048" s="1" t="str">
        <f>"Edwards Bros Roofing LTD"</f>
        <v>Edwards Bros Roofing LTD</v>
      </c>
      <c r="C7048" s="1" t="s">
        <v>11450</v>
      </c>
      <c r="F7048" s="1" t="s">
        <v>1700</v>
      </c>
      <c r="H7048" s="1" t="s">
        <v>11451</v>
      </c>
      <c r="I7048" s="1" t="s">
        <v>19</v>
      </c>
      <c r="J7048" s="1" t="s">
        <v>6</v>
      </c>
      <c r="K7048" s="1" t="s">
        <v>34</v>
      </c>
      <c r="L7048" s="1">
        <v>9436680</v>
      </c>
      <c r="M7048" s="2">
        <v>42536</v>
      </c>
      <c r="N7048" s="1" t="s">
        <v>8</v>
      </c>
      <c r="O7048" s="2">
        <v>43631</v>
      </c>
    </row>
    <row r="7049" spans="1:15" ht="43.2" x14ac:dyDescent="0.3">
      <c r="A7049" s="1" t="s">
        <v>11452</v>
      </c>
      <c r="B7049" s="1" t="str">
        <f>"Easyskipbag"</f>
        <v>Easyskipbag</v>
      </c>
      <c r="C7049" s="1" t="s">
        <v>11453</v>
      </c>
      <c r="D7049" s="1" t="s">
        <v>11454</v>
      </c>
      <c r="F7049" s="1" t="s">
        <v>3242</v>
      </c>
      <c r="H7049" s="1" t="s">
        <v>11455</v>
      </c>
      <c r="I7049" s="1" t="s">
        <v>188</v>
      </c>
      <c r="J7049" s="1" t="s">
        <v>67</v>
      </c>
      <c r="K7049" s="1" t="s">
        <v>14</v>
      </c>
      <c r="M7049" s="2">
        <v>42536</v>
      </c>
      <c r="N7049" s="1" t="s">
        <v>8</v>
      </c>
      <c r="O7049" s="1" t="s">
        <v>68</v>
      </c>
    </row>
    <row r="7050" spans="1:15" ht="28.8" x14ac:dyDescent="0.3">
      <c r="A7050" s="1" t="s">
        <v>22835</v>
      </c>
      <c r="B7050" s="1" t="str">
        <f>"Thomas Hughes T E Hughes"</f>
        <v>Thomas Hughes T E Hughes</v>
      </c>
      <c r="C7050" s="1" t="s">
        <v>22836</v>
      </c>
      <c r="F7050" s="1" t="s">
        <v>1696</v>
      </c>
      <c r="H7050" s="1" t="s">
        <v>22837</v>
      </c>
      <c r="I7050" s="1" t="s">
        <v>5</v>
      </c>
      <c r="J7050" s="1" t="s">
        <v>6</v>
      </c>
      <c r="K7050" s="1" t="s">
        <v>1859</v>
      </c>
      <c r="M7050" s="2">
        <v>42536</v>
      </c>
      <c r="N7050" s="1" t="s">
        <v>8</v>
      </c>
      <c r="O7050" s="2">
        <v>43631</v>
      </c>
    </row>
    <row r="7051" spans="1:15" ht="43.2" x14ac:dyDescent="0.3">
      <c r="A7051" s="1" t="s">
        <v>22838</v>
      </c>
      <c r="B7051" s="1" t="str">
        <f>"jim blundell jim blundell builders"</f>
        <v>jim blundell jim blundell builders</v>
      </c>
      <c r="C7051" s="1" t="s">
        <v>22839</v>
      </c>
      <c r="F7051" s="1" t="s">
        <v>1175</v>
      </c>
      <c r="H7051" s="1" t="s">
        <v>22840</v>
      </c>
      <c r="I7051" s="1" t="s">
        <v>5</v>
      </c>
      <c r="J7051" s="1" t="s">
        <v>67</v>
      </c>
      <c r="K7051" s="1" t="s">
        <v>34</v>
      </c>
      <c r="M7051" s="2">
        <v>42536</v>
      </c>
      <c r="N7051" s="1" t="s">
        <v>8</v>
      </c>
      <c r="O7051" s="1" t="s">
        <v>68</v>
      </c>
    </row>
    <row r="7052" spans="1:15" ht="28.8" x14ac:dyDescent="0.3">
      <c r="A7052" s="1" t="s">
        <v>23599</v>
      </c>
      <c r="B7052" s="1" t="str">
        <f>"Mair Jones Period Interiors"</f>
        <v>Mair Jones Period Interiors</v>
      </c>
      <c r="C7052" s="1" t="s">
        <v>23600</v>
      </c>
      <c r="F7052" s="1" t="s">
        <v>1321</v>
      </c>
      <c r="H7052" s="1" t="s">
        <v>23601</v>
      </c>
      <c r="I7052" s="1" t="s">
        <v>5</v>
      </c>
      <c r="J7052" s="1" t="s">
        <v>6</v>
      </c>
      <c r="K7052" s="1" t="s">
        <v>24</v>
      </c>
      <c r="M7052" s="2">
        <v>42536</v>
      </c>
      <c r="N7052" s="1" t="s">
        <v>8</v>
      </c>
      <c r="O7052" s="2">
        <v>43631</v>
      </c>
    </row>
    <row r="7053" spans="1:15" ht="43.2" x14ac:dyDescent="0.3">
      <c r="A7053" s="1" t="s">
        <v>23602</v>
      </c>
      <c r="B7053" s="1" t="str">
        <f>"Alastair McGuffie"</f>
        <v>Alastair McGuffie</v>
      </c>
      <c r="C7053" s="1" t="s">
        <v>23603</v>
      </c>
      <c r="F7053" s="1" t="s">
        <v>27</v>
      </c>
      <c r="H7053" s="1" t="s">
        <v>23604</v>
      </c>
      <c r="I7053" s="1" t="s">
        <v>5</v>
      </c>
      <c r="J7053" s="1" t="s">
        <v>67</v>
      </c>
      <c r="K7053" s="1" t="s">
        <v>14</v>
      </c>
      <c r="M7053" s="2">
        <v>42536</v>
      </c>
      <c r="N7053" s="1" t="s">
        <v>8</v>
      </c>
      <c r="O7053" s="1" t="s">
        <v>68</v>
      </c>
    </row>
    <row r="7054" spans="1:15" ht="28.8" x14ac:dyDescent="0.3">
      <c r="A7054" s="1" t="s">
        <v>23605</v>
      </c>
      <c r="B7054" s="1" t="str">
        <f>"William Slocombe was auto salvage"</f>
        <v>William Slocombe was auto salvage</v>
      </c>
      <c r="C7054" s="1" t="s">
        <v>23606</v>
      </c>
      <c r="D7054" s="1" t="s">
        <v>1503</v>
      </c>
      <c r="F7054" s="1" t="s">
        <v>140</v>
      </c>
      <c r="H7054" s="1" t="s">
        <v>23607</v>
      </c>
      <c r="I7054" s="1" t="s">
        <v>5</v>
      </c>
      <c r="J7054" s="1" t="s">
        <v>6</v>
      </c>
      <c r="K7054" s="1" t="s">
        <v>24</v>
      </c>
      <c r="M7054" s="2">
        <v>42536</v>
      </c>
      <c r="N7054" s="1" t="s">
        <v>8</v>
      </c>
      <c r="O7054" s="2">
        <v>43631</v>
      </c>
    </row>
    <row r="7055" spans="1:15" ht="28.8" x14ac:dyDescent="0.3">
      <c r="A7055" s="1" t="s">
        <v>23608</v>
      </c>
      <c r="B7055" s="1" t="str">
        <f>"Thomas Russell Truss garden maintenance "</f>
        <v xml:space="preserve">Thomas Russell Truss garden maintenance </v>
      </c>
      <c r="C7055" s="1" t="s">
        <v>23609</v>
      </c>
      <c r="F7055" s="1" t="s">
        <v>27</v>
      </c>
      <c r="H7055" s="1" t="s">
        <v>23610</v>
      </c>
      <c r="I7055" s="1" t="s">
        <v>5</v>
      </c>
      <c r="J7055" s="1" t="s">
        <v>6</v>
      </c>
      <c r="K7055" s="1" t="s">
        <v>24</v>
      </c>
      <c r="M7055" s="2">
        <v>42536</v>
      </c>
      <c r="N7055" s="1" t="s">
        <v>8</v>
      </c>
      <c r="O7055" s="2">
        <v>43631</v>
      </c>
    </row>
    <row r="7056" spans="1:15" ht="28.8" x14ac:dyDescent="0.3">
      <c r="A7056" s="1" t="s">
        <v>23611</v>
      </c>
      <c r="B7056" s="1" t="str">
        <f>"adrian knight knights fencing"</f>
        <v>adrian knight knights fencing</v>
      </c>
      <c r="C7056" s="1" t="s">
        <v>23612</v>
      </c>
      <c r="F7056" s="1" t="s">
        <v>65</v>
      </c>
      <c r="H7056" s="1" t="s">
        <v>23613</v>
      </c>
      <c r="I7056" s="1" t="s">
        <v>5</v>
      </c>
      <c r="J7056" s="1" t="s">
        <v>6</v>
      </c>
      <c r="K7056" s="1" t="s">
        <v>34</v>
      </c>
      <c r="M7056" s="2">
        <v>42536</v>
      </c>
      <c r="N7056" s="1" t="s">
        <v>8</v>
      </c>
      <c r="O7056" s="2">
        <v>43631</v>
      </c>
    </row>
    <row r="7057" spans="1:15" ht="28.8" x14ac:dyDescent="0.3">
      <c r="A7057" s="1" t="s">
        <v>24448</v>
      </c>
      <c r="B7057" s="1" t="str">
        <f>"Simon Jones Simon Jones"</f>
        <v>Simon Jones Simon Jones</v>
      </c>
      <c r="C7057" s="1" t="s">
        <v>24449</v>
      </c>
      <c r="F7057" s="1" t="s">
        <v>23836</v>
      </c>
      <c r="H7057" s="1" t="s">
        <v>24450</v>
      </c>
      <c r="I7057" s="1" t="s">
        <v>5</v>
      </c>
      <c r="J7057" s="1" t="s">
        <v>6</v>
      </c>
      <c r="K7057" s="1" t="s">
        <v>24</v>
      </c>
      <c r="M7057" s="2">
        <v>42536</v>
      </c>
      <c r="N7057" s="1" t="s">
        <v>8</v>
      </c>
      <c r="O7057" s="2">
        <v>43631</v>
      </c>
    </row>
    <row r="7058" spans="1:15" ht="28.8" x14ac:dyDescent="0.3">
      <c r="A7058" s="1" t="s">
        <v>9319</v>
      </c>
      <c r="B7058" s="1" t="str">
        <f>"Swansea Valley Tarmac Limited"</f>
        <v>Swansea Valley Tarmac Limited</v>
      </c>
      <c r="C7058" s="1" t="s">
        <v>9320</v>
      </c>
      <c r="F7058" s="1" t="s">
        <v>65</v>
      </c>
      <c r="H7058" s="1" t="s">
        <v>9321</v>
      </c>
      <c r="I7058" s="1" t="s">
        <v>19</v>
      </c>
      <c r="J7058" s="1" t="s">
        <v>6</v>
      </c>
      <c r="K7058" s="1" t="s">
        <v>24</v>
      </c>
      <c r="L7058" s="1">
        <v>9854025</v>
      </c>
      <c r="M7058" s="2">
        <v>42535</v>
      </c>
      <c r="N7058" s="1" t="s">
        <v>8</v>
      </c>
      <c r="O7058" s="2">
        <v>43630</v>
      </c>
    </row>
    <row r="7059" spans="1:15" ht="28.8" x14ac:dyDescent="0.3">
      <c r="A7059" s="1" t="s">
        <v>9322</v>
      </c>
      <c r="B7059" s="1" t="str">
        <f>"Noel Williams &amp; Son"</f>
        <v>Noel Williams &amp; Son</v>
      </c>
      <c r="C7059" s="1" t="s">
        <v>9323</v>
      </c>
      <c r="F7059" s="1" t="s">
        <v>790</v>
      </c>
      <c r="H7059" s="1" t="s">
        <v>9324</v>
      </c>
      <c r="I7059" s="1" t="s">
        <v>125</v>
      </c>
      <c r="J7059" s="1" t="s">
        <v>6</v>
      </c>
      <c r="K7059" s="1" t="s">
        <v>34</v>
      </c>
      <c r="M7059" s="2">
        <v>42535</v>
      </c>
      <c r="N7059" s="1" t="s">
        <v>8</v>
      </c>
      <c r="O7059" s="2">
        <v>43630</v>
      </c>
    </row>
    <row r="7060" spans="1:15" ht="28.8" x14ac:dyDescent="0.3">
      <c r="A7060" s="1" t="s">
        <v>9325</v>
      </c>
      <c r="B7060" s="1" t="str">
        <f>"Brabingers Ltd"</f>
        <v>Brabingers Ltd</v>
      </c>
      <c r="C7060" s="1" t="s">
        <v>9326</v>
      </c>
      <c r="F7060" s="1" t="s">
        <v>4046</v>
      </c>
      <c r="H7060" s="1" t="s">
        <v>9327</v>
      </c>
      <c r="I7060" s="1" t="s">
        <v>19</v>
      </c>
      <c r="J7060" s="1" t="s">
        <v>6</v>
      </c>
      <c r="K7060" s="1" t="s">
        <v>34</v>
      </c>
      <c r="L7060" s="1">
        <v>4526250</v>
      </c>
      <c r="M7060" s="2">
        <v>42535</v>
      </c>
      <c r="N7060" s="1" t="s">
        <v>8</v>
      </c>
      <c r="O7060" s="2">
        <v>43630</v>
      </c>
    </row>
    <row r="7061" spans="1:15" ht="28.8" x14ac:dyDescent="0.3">
      <c r="A7061" s="1" t="s">
        <v>9328</v>
      </c>
      <c r="B7061" s="1" t="str">
        <f>"Brabingers Ltd"</f>
        <v>Brabingers Ltd</v>
      </c>
      <c r="C7061" s="1" t="s">
        <v>9329</v>
      </c>
      <c r="D7061" s="1" t="s">
        <v>344</v>
      </c>
      <c r="F7061" s="1" t="s">
        <v>9330</v>
      </c>
      <c r="H7061" s="1" t="s">
        <v>9331</v>
      </c>
      <c r="I7061" s="1" t="s">
        <v>19</v>
      </c>
      <c r="J7061" s="1" t="s">
        <v>6</v>
      </c>
      <c r="K7061" s="1" t="s">
        <v>34</v>
      </c>
      <c r="L7061" s="1">
        <v>4526250</v>
      </c>
      <c r="M7061" s="2">
        <v>42535</v>
      </c>
      <c r="N7061" s="1" t="s">
        <v>8</v>
      </c>
      <c r="O7061" s="2">
        <v>43630</v>
      </c>
    </row>
    <row r="7062" spans="1:15" ht="28.8" x14ac:dyDescent="0.3">
      <c r="A7062" s="1" t="s">
        <v>9332</v>
      </c>
      <c r="B7062" s="1" t="str">
        <f>"McCarthy Distribution Ltd"</f>
        <v>McCarthy Distribution Ltd</v>
      </c>
      <c r="C7062" s="1" t="s">
        <v>9333</v>
      </c>
      <c r="D7062" s="1" t="s">
        <v>9334</v>
      </c>
      <c r="F7062" s="1" t="s">
        <v>198</v>
      </c>
      <c r="H7062" s="1" t="s">
        <v>9335</v>
      </c>
      <c r="I7062" s="1" t="s">
        <v>19</v>
      </c>
      <c r="J7062" s="1" t="s">
        <v>6</v>
      </c>
      <c r="K7062" s="1" t="s">
        <v>34</v>
      </c>
      <c r="L7062" s="1">
        <v>6629950</v>
      </c>
      <c r="M7062" s="2">
        <v>42535</v>
      </c>
      <c r="N7062" s="1" t="s">
        <v>8</v>
      </c>
      <c r="O7062" s="2">
        <v>43630</v>
      </c>
    </row>
    <row r="7063" spans="1:15" ht="43.2" x14ac:dyDescent="0.3">
      <c r="A7063" s="1" t="s">
        <v>9336</v>
      </c>
      <c r="B7063" s="1" t="str">
        <f>"The Wallich"</f>
        <v>The Wallich</v>
      </c>
      <c r="C7063" s="1" t="s">
        <v>9337</v>
      </c>
      <c r="F7063" s="1" t="s">
        <v>27</v>
      </c>
      <c r="H7063" s="1" t="s">
        <v>9338</v>
      </c>
      <c r="I7063" s="1" t="s">
        <v>1872</v>
      </c>
      <c r="J7063" s="1" t="s">
        <v>67</v>
      </c>
      <c r="K7063" s="1" t="s">
        <v>14</v>
      </c>
      <c r="M7063" s="2">
        <v>42535</v>
      </c>
      <c r="N7063" s="1" t="s">
        <v>8</v>
      </c>
      <c r="O7063" s="1" t="s">
        <v>68</v>
      </c>
    </row>
    <row r="7064" spans="1:15" ht="43.2" x14ac:dyDescent="0.3">
      <c r="A7064" s="1" t="s">
        <v>9339</v>
      </c>
      <c r="B7064" s="1" t="str">
        <f>"Han Green Solutions Ltd"</f>
        <v>Han Green Solutions Ltd</v>
      </c>
      <c r="C7064" s="1" t="s">
        <v>9340</v>
      </c>
      <c r="F7064" s="1" t="s">
        <v>9341</v>
      </c>
      <c r="H7064" s="1" t="s">
        <v>9342</v>
      </c>
      <c r="I7064" s="1" t="s">
        <v>19</v>
      </c>
      <c r="J7064" s="1" t="s">
        <v>67</v>
      </c>
      <c r="K7064" s="1" t="s">
        <v>14</v>
      </c>
      <c r="M7064" s="2">
        <v>42535</v>
      </c>
      <c r="N7064" s="1" t="s">
        <v>8</v>
      </c>
      <c r="O7064" s="1" t="s">
        <v>68</v>
      </c>
    </row>
    <row r="7065" spans="1:15" ht="28.8" x14ac:dyDescent="0.3">
      <c r="A7065" s="1" t="s">
        <v>9343</v>
      </c>
      <c r="B7065" s="1" t="str">
        <f>"PARKLOAD LTD"</f>
        <v>PARKLOAD LTD</v>
      </c>
      <c r="C7065" s="1" t="s">
        <v>9344</v>
      </c>
      <c r="F7065" s="1" t="s">
        <v>996</v>
      </c>
      <c r="H7065" s="1" t="s">
        <v>9345</v>
      </c>
      <c r="I7065" s="1" t="s">
        <v>19</v>
      </c>
      <c r="J7065" s="1" t="s">
        <v>6</v>
      </c>
      <c r="K7065" s="1" t="s">
        <v>24</v>
      </c>
      <c r="L7065" s="1">
        <v>3413035</v>
      </c>
      <c r="M7065" s="2">
        <v>42535</v>
      </c>
      <c r="N7065" s="1" t="s">
        <v>8</v>
      </c>
      <c r="O7065" s="2">
        <v>43630</v>
      </c>
    </row>
    <row r="7066" spans="1:15" ht="43.2" x14ac:dyDescent="0.3">
      <c r="A7066" s="1" t="s">
        <v>9346</v>
      </c>
      <c r="B7066" s="1" t="str">
        <f>"UTS RESCUE AND RECOVERY LTD"</f>
        <v>UTS RESCUE AND RECOVERY LTD</v>
      </c>
      <c r="C7066" s="1" t="s">
        <v>9347</v>
      </c>
      <c r="F7066" s="1" t="s">
        <v>277</v>
      </c>
      <c r="H7066" s="1" t="s">
        <v>9348</v>
      </c>
      <c r="I7066" s="1" t="s">
        <v>19</v>
      </c>
      <c r="J7066" s="1" t="s">
        <v>67</v>
      </c>
      <c r="K7066" s="1" t="s">
        <v>14</v>
      </c>
      <c r="M7066" s="2">
        <v>42535</v>
      </c>
      <c r="N7066" s="1" t="s">
        <v>8</v>
      </c>
      <c r="O7066" s="1" t="s">
        <v>68</v>
      </c>
    </row>
    <row r="7067" spans="1:15" ht="28.8" x14ac:dyDescent="0.3">
      <c r="A7067" s="1" t="s">
        <v>9349</v>
      </c>
      <c r="B7067" s="1" t="str">
        <f>"Tregarn Developments"</f>
        <v>Tregarn Developments</v>
      </c>
      <c r="C7067" s="1" t="s">
        <v>9350</v>
      </c>
      <c r="F7067" s="1" t="s">
        <v>91</v>
      </c>
      <c r="H7067" s="1" t="s">
        <v>9351</v>
      </c>
      <c r="I7067" s="1" t="s">
        <v>125</v>
      </c>
      <c r="J7067" s="1" t="s">
        <v>6</v>
      </c>
      <c r="K7067" s="1" t="s">
        <v>24</v>
      </c>
      <c r="M7067" s="2">
        <v>42535</v>
      </c>
      <c r="N7067" s="1" t="s">
        <v>8</v>
      </c>
      <c r="O7067" s="2">
        <v>43630</v>
      </c>
    </row>
    <row r="7068" spans="1:15" ht="28.8" x14ac:dyDescent="0.3">
      <c r="A7068" s="1" t="s">
        <v>22830</v>
      </c>
      <c r="B7068" s="1" t="str">
        <f>"paul davies Paul Davies Building &amp; Plant Hire"</f>
        <v>paul davies Paul Davies Building &amp; Plant Hire</v>
      </c>
      <c r="C7068" s="1" t="s">
        <v>22831</v>
      </c>
      <c r="F7068" s="1" t="s">
        <v>2281</v>
      </c>
      <c r="H7068" s="1" t="s">
        <v>2903</v>
      </c>
      <c r="I7068" s="1" t="s">
        <v>5</v>
      </c>
      <c r="J7068" s="1" t="s">
        <v>6</v>
      </c>
      <c r="K7068" s="1" t="s">
        <v>24</v>
      </c>
      <c r="M7068" s="2">
        <v>42535</v>
      </c>
      <c r="N7068" s="1" t="s">
        <v>8</v>
      </c>
      <c r="O7068" s="2">
        <v>43630</v>
      </c>
    </row>
    <row r="7069" spans="1:15" ht="28.8" x14ac:dyDescent="0.3">
      <c r="A7069" s="1" t="s">
        <v>22832</v>
      </c>
      <c r="B7069" s="1" t="str">
        <f>"Robert Davies Robert Davies"</f>
        <v>Robert Davies Robert Davies</v>
      </c>
      <c r="C7069" s="1" t="s">
        <v>22833</v>
      </c>
      <c r="F7069" s="1" t="s">
        <v>457</v>
      </c>
      <c r="H7069" s="1" t="s">
        <v>22834</v>
      </c>
      <c r="I7069" s="1" t="s">
        <v>5</v>
      </c>
      <c r="J7069" s="1" t="s">
        <v>6</v>
      </c>
      <c r="K7069" s="1" t="s">
        <v>24</v>
      </c>
      <c r="M7069" s="2">
        <v>42535</v>
      </c>
      <c r="N7069" s="1" t="s">
        <v>8</v>
      </c>
      <c r="O7069" s="2">
        <v>43630</v>
      </c>
    </row>
    <row r="7070" spans="1:15" ht="43.2" x14ac:dyDescent="0.3">
      <c r="A7070" s="1" t="s">
        <v>8175</v>
      </c>
      <c r="B7070" s="1" t="str">
        <f>"Border Surfacing (Contracting) Ltd"</f>
        <v>Border Surfacing (Contracting) Ltd</v>
      </c>
      <c r="C7070" s="1" t="s">
        <v>8176</v>
      </c>
      <c r="F7070" s="1" t="s">
        <v>2711</v>
      </c>
      <c r="H7070" s="1" t="s">
        <v>8177</v>
      </c>
      <c r="I7070" s="1" t="s">
        <v>19</v>
      </c>
      <c r="J7070" s="1" t="s">
        <v>67</v>
      </c>
      <c r="K7070" s="1" t="s">
        <v>14</v>
      </c>
      <c r="M7070" s="2">
        <v>42534</v>
      </c>
      <c r="N7070" s="1" t="s">
        <v>8</v>
      </c>
      <c r="O7070" s="1" t="s">
        <v>68</v>
      </c>
    </row>
    <row r="7071" spans="1:15" ht="43.2" x14ac:dyDescent="0.3">
      <c r="A7071" s="1" t="s">
        <v>8178</v>
      </c>
      <c r="B7071" s="1" t="str">
        <f>"wjec cbac ltd"</f>
        <v>wjec cbac ltd</v>
      </c>
      <c r="C7071" s="1" t="s">
        <v>8179</v>
      </c>
      <c r="D7071" s="1" t="s">
        <v>8180</v>
      </c>
      <c r="F7071" s="1" t="s">
        <v>277</v>
      </c>
      <c r="H7071" s="1" t="s">
        <v>8181</v>
      </c>
      <c r="I7071" s="1" t="s">
        <v>19</v>
      </c>
      <c r="J7071" s="1" t="s">
        <v>67</v>
      </c>
      <c r="K7071" s="1" t="s">
        <v>14</v>
      </c>
      <c r="M7071" s="2">
        <v>42534</v>
      </c>
      <c r="N7071" s="1" t="s">
        <v>8</v>
      </c>
      <c r="O7071" s="1" t="s">
        <v>68</v>
      </c>
    </row>
    <row r="7072" spans="1:15" ht="28.8" x14ac:dyDescent="0.3">
      <c r="A7072" s="1" t="s">
        <v>8182</v>
      </c>
      <c r="B7072" s="1" t="str">
        <f>"Dampshield Building Maintanance LTD"</f>
        <v>Dampshield Building Maintanance LTD</v>
      </c>
      <c r="C7072" s="1" t="s">
        <v>8183</v>
      </c>
      <c r="F7072" s="1" t="s">
        <v>27</v>
      </c>
      <c r="H7072" s="1" t="s">
        <v>8184</v>
      </c>
      <c r="I7072" s="1" t="s">
        <v>19</v>
      </c>
      <c r="J7072" s="1" t="s">
        <v>6</v>
      </c>
      <c r="K7072" s="1" t="s">
        <v>34</v>
      </c>
      <c r="L7072" s="1">
        <v>8870997</v>
      </c>
      <c r="M7072" s="2">
        <v>42534</v>
      </c>
      <c r="N7072" s="1" t="s">
        <v>8</v>
      </c>
      <c r="O7072" s="2">
        <v>43629</v>
      </c>
    </row>
    <row r="7073" spans="1:15" ht="43.2" x14ac:dyDescent="0.3">
      <c r="A7073" s="1" t="s">
        <v>9312</v>
      </c>
      <c r="B7073" s="1" t="str">
        <f>"DIRECT HEALTHCARE SERVICES LTD"</f>
        <v>DIRECT HEALTHCARE SERVICES LTD</v>
      </c>
      <c r="C7073" s="1" t="s">
        <v>9313</v>
      </c>
      <c r="D7073" s="1" t="s">
        <v>4857</v>
      </c>
      <c r="F7073" s="1" t="s">
        <v>103</v>
      </c>
      <c r="H7073" s="1" t="s">
        <v>9314</v>
      </c>
      <c r="I7073" s="1" t="s">
        <v>19</v>
      </c>
      <c r="J7073" s="1" t="s">
        <v>6</v>
      </c>
      <c r="K7073" s="1" t="s">
        <v>34</v>
      </c>
      <c r="L7073" s="1">
        <v>5252571</v>
      </c>
      <c r="M7073" s="2">
        <v>42534</v>
      </c>
      <c r="N7073" s="1" t="s">
        <v>8</v>
      </c>
      <c r="O7073" s="2">
        <v>43629</v>
      </c>
    </row>
    <row r="7074" spans="1:15" ht="28.8" x14ac:dyDescent="0.3">
      <c r="A7074" s="1" t="s">
        <v>9315</v>
      </c>
      <c r="B7074" s="1" t="str">
        <f>"S.H. Phillips Building Contractor"</f>
        <v>S.H. Phillips Building Contractor</v>
      </c>
      <c r="C7074" s="1" t="s">
        <v>9316</v>
      </c>
      <c r="D7074" s="1" t="s">
        <v>9317</v>
      </c>
      <c r="F7074" s="1" t="s">
        <v>12</v>
      </c>
      <c r="H7074" s="1" t="s">
        <v>9318</v>
      </c>
      <c r="I7074" s="1" t="s">
        <v>19</v>
      </c>
      <c r="J7074" s="1" t="s">
        <v>6</v>
      </c>
      <c r="K7074" s="1" t="s">
        <v>24</v>
      </c>
      <c r="L7074" s="1">
        <v>9294511</v>
      </c>
      <c r="M7074" s="2">
        <v>42534</v>
      </c>
      <c r="N7074" s="1" t="s">
        <v>8</v>
      </c>
      <c r="O7074" s="2">
        <v>43629</v>
      </c>
    </row>
    <row r="7075" spans="1:15" ht="43.2" x14ac:dyDescent="0.3">
      <c r="A7075" s="1" t="s">
        <v>22064</v>
      </c>
      <c r="B7075" s="1" t="str">
        <f>"Leslie Powell L C Powell Plant Hire Contractors"</f>
        <v>Leslie Powell L C Powell Plant Hire Contractors</v>
      </c>
      <c r="C7075" s="1" t="s">
        <v>22065</v>
      </c>
      <c r="F7075" s="1" t="s">
        <v>1230</v>
      </c>
      <c r="H7075" s="1" t="s">
        <v>22066</v>
      </c>
      <c r="I7075" s="1" t="s">
        <v>5</v>
      </c>
      <c r="J7075" s="1" t="s">
        <v>6</v>
      </c>
      <c r="K7075" s="1" t="s">
        <v>34</v>
      </c>
      <c r="M7075" s="2">
        <v>42534</v>
      </c>
      <c r="N7075" s="1" t="s">
        <v>8</v>
      </c>
      <c r="O7075" s="2">
        <v>43629</v>
      </c>
    </row>
    <row r="7076" spans="1:15" ht="28.8" x14ac:dyDescent="0.3">
      <c r="A7076" s="1" t="s">
        <v>22067</v>
      </c>
      <c r="B7076" s="1" t="str">
        <f>"christopher jones ALPHA FASTENERS"</f>
        <v>christopher jones ALPHA FASTENERS</v>
      </c>
      <c r="C7076" s="1" t="s">
        <v>22068</v>
      </c>
      <c r="F7076" s="1" t="s">
        <v>3415</v>
      </c>
      <c r="H7076" s="1" t="s">
        <v>3199</v>
      </c>
      <c r="I7076" s="1" t="s">
        <v>5</v>
      </c>
      <c r="J7076" s="1" t="s">
        <v>6</v>
      </c>
      <c r="K7076" s="1" t="s">
        <v>24</v>
      </c>
      <c r="M7076" s="2">
        <v>42534</v>
      </c>
      <c r="N7076" s="1" t="s">
        <v>8</v>
      </c>
      <c r="O7076" s="2">
        <v>43629</v>
      </c>
    </row>
    <row r="7077" spans="1:15" ht="28.8" x14ac:dyDescent="0.3">
      <c r="A7077" s="1" t="s">
        <v>22069</v>
      </c>
      <c r="B7077" s="1" t="str">
        <f>"wayne tucker frontline fencing &amp; landscapes"</f>
        <v>wayne tucker frontline fencing &amp; landscapes</v>
      </c>
      <c r="C7077" s="1" t="s">
        <v>22070</v>
      </c>
      <c r="F7077" s="1" t="s">
        <v>508</v>
      </c>
      <c r="H7077" s="1" t="s">
        <v>22071</v>
      </c>
      <c r="I7077" s="1" t="s">
        <v>5</v>
      </c>
      <c r="J7077" s="1" t="s">
        <v>6</v>
      </c>
      <c r="K7077" s="1" t="s">
        <v>24</v>
      </c>
      <c r="M7077" s="2">
        <v>42534</v>
      </c>
      <c r="N7077" s="1" t="s">
        <v>8</v>
      </c>
      <c r="O7077" s="2">
        <v>43629</v>
      </c>
    </row>
    <row r="7078" spans="1:15" ht="28.8" x14ac:dyDescent="0.3">
      <c r="A7078" s="1" t="s">
        <v>22072</v>
      </c>
      <c r="B7078" s="1" t="str">
        <f>"Eifion Hughes Eifion Hughes"</f>
        <v>Eifion Hughes Eifion Hughes</v>
      </c>
      <c r="C7078" s="1" t="s">
        <v>22073</v>
      </c>
      <c r="F7078" s="1" t="s">
        <v>710</v>
      </c>
      <c r="H7078" s="1" t="s">
        <v>22074</v>
      </c>
      <c r="I7078" s="1" t="s">
        <v>5</v>
      </c>
      <c r="J7078" s="1" t="s">
        <v>6</v>
      </c>
      <c r="K7078" s="1" t="s">
        <v>24</v>
      </c>
      <c r="M7078" s="2">
        <v>42534</v>
      </c>
      <c r="N7078" s="1" t="s">
        <v>8</v>
      </c>
      <c r="O7078" s="2">
        <v>43629</v>
      </c>
    </row>
    <row r="7079" spans="1:15" ht="43.2" x14ac:dyDescent="0.3">
      <c r="A7079" s="1" t="s">
        <v>22827</v>
      </c>
      <c r="B7079" s="1" t="str">
        <f>"Philip Jones"</f>
        <v>Philip Jones</v>
      </c>
      <c r="C7079" s="1" t="s">
        <v>22828</v>
      </c>
      <c r="D7079" s="1" t="s">
        <v>2979</v>
      </c>
      <c r="F7079" s="1" t="s">
        <v>27</v>
      </c>
      <c r="H7079" s="1" t="s">
        <v>22829</v>
      </c>
      <c r="I7079" s="1" t="s">
        <v>5</v>
      </c>
      <c r="J7079" s="1" t="s">
        <v>67</v>
      </c>
      <c r="K7079" s="1" t="s">
        <v>14</v>
      </c>
      <c r="M7079" s="2">
        <v>42534</v>
      </c>
      <c r="N7079" s="1" t="s">
        <v>8</v>
      </c>
      <c r="O7079" s="1" t="s">
        <v>68</v>
      </c>
    </row>
    <row r="7080" spans="1:15" ht="28.8" x14ac:dyDescent="0.3">
      <c r="A7080" s="1" t="s">
        <v>22051</v>
      </c>
      <c r="B7080" s="1" t="str">
        <f>"jonathan leyshon all plastering"</f>
        <v>jonathan leyshon all plastering</v>
      </c>
      <c r="C7080" s="1" t="s">
        <v>22052</v>
      </c>
      <c r="F7080" s="1" t="s">
        <v>865</v>
      </c>
      <c r="H7080" s="1" t="s">
        <v>22053</v>
      </c>
      <c r="I7080" s="1" t="s">
        <v>5</v>
      </c>
      <c r="J7080" s="1" t="s">
        <v>6</v>
      </c>
      <c r="K7080" s="1" t="s">
        <v>34</v>
      </c>
      <c r="M7080" s="2">
        <v>42533</v>
      </c>
      <c r="N7080" s="1" t="s">
        <v>8</v>
      </c>
      <c r="O7080" s="2">
        <v>43628</v>
      </c>
    </row>
    <row r="7081" spans="1:15" ht="43.2" x14ac:dyDescent="0.3">
      <c r="A7081" s="1" t="s">
        <v>22054</v>
      </c>
      <c r="B7081" s="1" t="str">
        <f>"John Howard Williams"</f>
        <v>John Howard Williams</v>
      </c>
      <c r="C7081" s="1" t="s">
        <v>22055</v>
      </c>
      <c r="D7081" s="1" t="s">
        <v>22056</v>
      </c>
      <c r="E7081" s="1" t="s">
        <v>22057</v>
      </c>
      <c r="F7081" s="1" t="s">
        <v>65</v>
      </c>
      <c r="H7081" s="1" t="s">
        <v>22058</v>
      </c>
      <c r="I7081" s="1" t="s">
        <v>5</v>
      </c>
      <c r="J7081" s="1" t="s">
        <v>67</v>
      </c>
      <c r="K7081" s="1" t="s">
        <v>24</v>
      </c>
      <c r="M7081" s="2">
        <v>42533</v>
      </c>
      <c r="N7081" s="1" t="s">
        <v>8</v>
      </c>
      <c r="O7081" s="1" t="s">
        <v>68</v>
      </c>
    </row>
    <row r="7082" spans="1:15" ht="28.8" x14ac:dyDescent="0.3">
      <c r="A7082" s="1" t="s">
        <v>22059</v>
      </c>
      <c r="B7082" s="1" t="str">
        <f>"Tony Rouse Fosseway farm services"</f>
        <v>Tony Rouse Fosseway farm services</v>
      </c>
      <c r="C7082" s="1" t="s">
        <v>22060</v>
      </c>
      <c r="D7082" s="1" t="s">
        <v>22061</v>
      </c>
      <c r="F7082" s="1" t="s">
        <v>22062</v>
      </c>
      <c r="H7082" s="1" t="s">
        <v>22063</v>
      </c>
      <c r="I7082" s="1" t="s">
        <v>5</v>
      </c>
      <c r="J7082" s="1" t="s">
        <v>6</v>
      </c>
      <c r="K7082" s="1" t="s">
        <v>24</v>
      </c>
      <c r="M7082" s="2">
        <v>42533</v>
      </c>
      <c r="N7082" s="1" t="s">
        <v>8</v>
      </c>
      <c r="O7082" s="2">
        <v>43628</v>
      </c>
    </row>
    <row r="7083" spans="1:15" ht="28.8" x14ac:dyDescent="0.3">
      <c r="A7083" s="1" t="s">
        <v>8172</v>
      </c>
      <c r="B7083" s="1" t="str">
        <f>"Stone &amp; Stoveltd"</f>
        <v>Stone &amp; Stoveltd</v>
      </c>
      <c r="C7083" s="1" t="s">
        <v>8173</v>
      </c>
      <c r="F7083" s="1" t="s">
        <v>65</v>
      </c>
      <c r="H7083" s="1" t="s">
        <v>8174</v>
      </c>
      <c r="I7083" s="1" t="s">
        <v>19</v>
      </c>
      <c r="J7083" s="1" t="s">
        <v>6</v>
      </c>
      <c r="K7083" s="1" t="s">
        <v>34</v>
      </c>
      <c r="L7083" s="1">
        <v>9442861</v>
      </c>
      <c r="M7083" s="2">
        <v>42532</v>
      </c>
      <c r="N7083" s="1" t="s">
        <v>8</v>
      </c>
      <c r="O7083" s="2">
        <v>43627</v>
      </c>
    </row>
    <row r="7084" spans="1:15" ht="43.2" x14ac:dyDescent="0.3">
      <c r="A7084" s="1" t="s">
        <v>8157</v>
      </c>
      <c r="B7084" s="1" t="str">
        <f>"Mike and Marion Hulley Gardening Services"</f>
        <v>Mike and Marion Hulley Gardening Services</v>
      </c>
      <c r="C7084" s="1" t="s">
        <v>8158</v>
      </c>
      <c r="F7084" s="1" t="s">
        <v>214</v>
      </c>
      <c r="H7084" s="1" t="s">
        <v>8159</v>
      </c>
      <c r="I7084" s="1" t="s">
        <v>125</v>
      </c>
      <c r="J7084" s="1" t="s">
        <v>67</v>
      </c>
      <c r="K7084" s="1" t="s">
        <v>24</v>
      </c>
      <c r="M7084" s="2">
        <v>42531</v>
      </c>
      <c r="N7084" s="1" t="s">
        <v>8</v>
      </c>
      <c r="O7084" s="1" t="s">
        <v>68</v>
      </c>
    </row>
    <row r="7085" spans="1:15" ht="43.2" x14ac:dyDescent="0.3">
      <c r="A7085" s="1" t="s">
        <v>8160</v>
      </c>
      <c r="B7085" s="1" t="str">
        <f>"Blooming blinds"</f>
        <v>Blooming blinds</v>
      </c>
      <c r="C7085" s="1" t="s">
        <v>8161</v>
      </c>
      <c r="F7085" s="1" t="s">
        <v>7543</v>
      </c>
      <c r="H7085" s="1" t="s">
        <v>8162</v>
      </c>
      <c r="I7085" s="1" t="s">
        <v>125</v>
      </c>
      <c r="J7085" s="1" t="s">
        <v>67</v>
      </c>
      <c r="K7085" s="1" t="s">
        <v>14</v>
      </c>
      <c r="M7085" s="2">
        <v>42531</v>
      </c>
      <c r="N7085" s="1" t="s">
        <v>8</v>
      </c>
      <c r="O7085" s="1" t="s">
        <v>68</v>
      </c>
    </row>
    <row r="7086" spans="1:15" ht="28.8" x14ac:dyDescent="0.3">
      <c r="A7086" s="1" t="s">
        <v>8163</v>
      </c>
      <c r="B7086" s="1" t="str">
        <f>"ABERTAWESECTIONALBUILDINGSLIMITED"</f>
        <v>ABERTAWESECTIONALBUILDINGSLIMITED</v>
      </c>
      <c r="C7086" s="1" t="s">
        <v>8164</v>
      </c>
      <c r="D7086" s="1" t="s">
        <v>8165</v>
      </c>
      <c r="F7086" s="1" t="s">
        <v>888</v>
      </c>
      <c r="H7086" s="1" t="s">
        <v>3795</v>
      </c>
      <c r="I7086" s="1" t="s">
        <v>19</v>
      </c>
      <c r="J7086" s="1" t="s">
        <v>6</v>
      </c>
      <c r="K7086" s="1" t="s">
        <v>34</v>
      </c>
      <c r="L7086" s="1">
        <v>8655119</v>
      </c>
      <c r="M7086" s="2">
        <v>42531</v>
      </c>
      <c r="N7086" s="1" t="s">
        <v>8</v>
      </c>
      <c r="O7086" s="2">
        <v>43749</v>
      </c>
    </row>
    <row r="7087" spans="1:15" ht="28.8" x14ac:dyDescent="0.3">
      <c r="A7087" s="1" t="s">
        <v>8166</v>
      </c>
      <c r="B7087" s="1" t="str">
        <f>"British Soil Ltd."</f>
        <v>British Soil Ltd.</v>
      </c>
      <c r="C7087" s="1" t="s">
        <v>8167</v>
      </c>
      <c r="D7087" s="1" t="s">
        <v>8168</v>
      </c>
      <c r="F7087" s="1" t="s">
        <v>27</v>
      </c>
      <c r="H7087" s="1" t="s">
        <v>8169</v>
      </c>
      <c r="I7087" s="1" t="s">
        <v>19</v>
      </c>
      <c r="J7087" s="1" t="s">
        <v>6</v>
      </c>
      <c r="K7087" s="1" t="s">
        <v>34</v>
      </c>
      <c r="L7087" s="1">
        <v>941567</v>
      </c>
      <c r="M7087" s="2">
        <v>42531</v>
      </c>
      <c r="N7087" s="1" t="s">
        <v>8</v>
      </c>
      <c r="O7087" s="2">
        <v>43626</v>
      </c>
    </row>
    <row r="7088" spans="1:15" ht="28.8" x14ac:dyDescent="0.3">
      <c r="A7088" s="1" t="s">
        <v>8170</v>
      </c>
      <c r="B7088" s="1" t="str">
        <f>"I T Williams Co. Ltd."</f>
        <v>I T Williams Co. Ltd.</v>
      </c>
      <c r="C7088" s="1" t="s">
        <v>8171</v>
      </c>
      <c r="F7088" s="1" t="s">
        <v>1700</v>
      </c>
      <c r="H7088" s="1" t="s">
        <v>2934</v>
      </c>
      <c r="I7088" s="1" t="s">
        <v>19</v>
      </c>
      <c r="J7088" s="1" t="s">
        <v>6</v>
      </c>
      <c r="K7088" s="1" t="s">
        <v>24</v>
      </c>
      <c r="L7088" s="1">
        <v>1136377</v>
      </c>
      <c r="M7088" s="2">
        <v>42531</v>
      </c>
      <c r="N7088" s="1" t="s">
        <v>8</v>
      </c>
      <c r="O7088" s="2">
        <v>43626</v>
      </c>
    </row>
    <row r="7089" spans="1:15" ht="28.8" x14ac:dyDescent="0.3">
      <c r="A7089" s="1" t="s">
        <v>11421</v>
      </c>
      <c r="B7089" s="1" t="str">
        <f>"MR H MR C LEWIS TA G.H. LEWIS  SONS"</f>
        <v>MR H MR C LEWIS TA G.H. LEWIS  SONS</v>
      </c>
      <c r="C7089" s="1" t="s">
        <v>11422</v>
      </c>
      <c r="F7089" s="1" t="s">
        <v>1169</v>
      </c>
      <c r="H7089" s="1" t="s">
        <v>11423</v>
      </c>
      <c r="I7089" s="1" t="s">
        <v>125</v>
      </c>
      <c r="J7089" s="1" t="s">
        <v>6</v>
      </c>
      <c r="K7089" s="1" t="s">
        <v>24</v>
      </c>
      <c r="M7089" s="2">
        <v>42531</v>
      </c>
      <c r="N7089" s="1" t="s">
        <v>8</v>
      </c>
      <c r="O7089" s="2">
        <v>43626</v>
      </c>
    </row>
    <row r="7090" spans="1:15" ht="28.8" x14ac:dyDescent="0.3">
      <c r="A7090" s="1" t="s">
        <v>22045</v>
      </c>
      <c r="B7090" s="1" t="str">
        <f>"Brian Jones Mr Brian Jones"</f>
        <v>Brian Jones Mr Brian Jones</v>
      </c>
      <c r="C7090" s="1" t="s">
        <v>22046</v>
      </c>
      <c r="F7090" s="1" t="s">
        <v>3415</v>
      </c>
      <c r="H7090" s="1" t="s">
        <v>22047</v>
      </c>
      <c r="I7090" s="1" t="s">
        <v>5</v>
      </c>
      <c r="J7090" s="1" t="s">
        <v>6</v>
      </c>
      <c r="K7090" s="1" t="s">
        <v>24</v>
      </c>
      <c r="M7090" s="2">
        <v>42531</v>
      </c>
      <c r="N7090" s="1" t="s">
        <v>8</v>
      </c>
      <c r="O7090" s="2">
        <v>43626</v>
      </c>
    </row>
    <row r="7091" spans="1:15" ht="28.8" x14ac:dyDescent="0.3">
      <c r="A7091" s="1" t="s">
        <v>22048</v>
      </c>
      <c r="B7091" s="1" t="str">
        <f>"Lee  Robins  Robins Haulage"</f>
        <v>Lee  Robins  Robins Haulage</v>
      </c>
      <c r="C7091" s="1" t="s">
        <v>22049</v>
      </c>
      <c r="F7091" s="1" t="s">
        <v>8319</v>
      </c>
      <c r="H7091" s="1" t="s">
        <v>22050</v>
      </c>
      <c r="I7091" s="1" t="s">
        <v>5</v>
      </c>
      <c r="J7091" s="1" t="s">
        <v>6</v>
      </c>
      <c r="K7091" s="1" t="s">
        <v>34</v>
      </c>
      <c r="M7091" s="2">
        <v>42531</v>
      </c>
      <c r="N7091" s="1" t="s">
        <v>8</v>
      </c>
      <c r="O7091" s="2">
        <v>43626</v>
      </c>
    </row>
    <row r="7092" spans="1:15" ht="43.2" x14ac:dyDescent="0.3">
      <c r="A7092" s="1" t="s">
        <v>10384</v>
      </c>
      <c r="B7092" s="1" t="str">
        <f>"Smart Cut Ltd"</f>
        <v>Smart Cut Ltd</v>
      </c>
      <c r="C7092" s="1" t="s">
        <v>10385</v>
      </c>
      <c r="D7092" s="1" t="s">
        <v>10386</v>
      </c>
      <c r="F7092" s="1" t="s">
        <v>10387</v>
      </c>
      <c r="H7092" s="1" t="s">
        <v>10388</v>
      </c>
      <c r="I7092" s="1" t="s">
        <v>19</v>
      </c>
      <c r="J7092" s="1" t="s">
        <v>67</v>
      </c>
      <c r="K7092" s="1" t="s">
        <v>14</v>
      </c>
      <c r="M7092" s="2">
        <v>42530</v>
      </c>
      <c r="N7092" s="1" t="s">
        <v>8</v>
      </c>
      <c r="O7092" s="1" t="s">
        <v>68</v>
      </c>
    </row>
    <row r="7093" spans="1:15" ht="28.8" x14ac:dyDescent="0.3">
      <c r="A7093" s="1" t="s">
        <v>10389</v>
      </c>
      <c r="B7093" s="1" t="str">
        <f>"Doc Windows Ltd"</f>
        <v>Doc Windows Ltd</v>
      </c>
      <c r="C7093" s="1" t="s">
        <v>10390</v>
      </c>
      <c r="D7093" s="1" t="s">
        <v>10391</v>
      </c>
      <c r="E7093" s="1" t="s">
        <v>155</v>
      </c>
      <c r="F7093" s="1" t="s">
        <v>91</v>
      </c>
      <c r="H7093" s="1" t="s">
        <v>3077</v>
      </c>
      <c r="I7093" s="1" t="s">
        <v>19</v>
      </c>
      <c r="J7093" s="1" t="s">
        <v>6</v>
      </c>
      <c r="K7093" s="1" t="s">
        <v>24</v>
      </c>
      <c r="L7093" s="1">
        <v>9334226</v>
      </c>
      <c r="M7093" s="2">
        <v>42530</v>
      </c>
      <c r="N7093" s="1" t="s">
        <v>8</v>
      </c>
      <c r="O7093" s="2">
        <v>43625</v>
      </c>
    </row>
    <row r="7094" spans="1:15" ht="28.8" x14ac:dyDescent="0.3">
      <c r="A7094" s="1" t="s">
        <v>10392</v>
      </c>
      <c r="B7094" s="1" t="str">
        <f>"Jet-Vac Systems Ltd."</f>
        <v>Jet-Vac Systems Ltd.</v>
      </c>
      <c r="C7094" s="1" t="s">
        <v>1645</v>
      </c>
      <c r="F7094" s="1" t="s">
        <v>1351</v>
      </c>
      <c r="H7094" s="1" t="s">
        <v>1352</v>
      </c>
      <c r="I7094" s="1" t="s">
        <v>19</v>
      </c>
      <c r="J7094" s="1" t="s">
        <v>6</v>
      </c>
      <c r="K7094" s="1" t="s">
        <v>34</v>
      </c>
      <c r="L7094" s="1">
        <v>2415421</v>
      </c>
      <c r="M7094" s="2">
        <v>42530</v>
      </c>
      <c r="N7094" s="1" t="s">
        <v>8</v>
      </c>
      <c r="O7094" s="2">
        <v>43625</v>
      </c>
    </row>
    <row r="7095" spans="1:15" ht="28.8" x14ac:dyDescent="0.3">
      <c r="A7095" s="1" t="s">
        <v>10393</v>
      </c>
      <c r="B7095" s="1" t="str">
        <f>"Woodstock Waste Disposal"</f>
        <v>Woodstock Waste Disposal</v>
      </c>
      <c r="C7095" s="1" t="s">
        <v>10394</v>
      </c>
      <c r="F7095" s="1" t="s">
        <v>2906</v>
      </c>
      <c r="H7095" s="1" t="s">
        <v>10395</v>
      </c>
      <c r="I7095" s="1" t="s">
        <v>125</v>
      </c>
      <c r="J7095" s="1" t="s">
        <v>6</v>
      </c>
      <c r="K7095" s="1" t="s">
        <v>24</v>
      </c>
      <c r="M7095" s="2">
        <v>42530</v>
      </c>
      <c r="N7095" s="1" t="s">
        <v>8</v>
      </c>
      <c r="O7095" s="2">
        <v>43625</v>
      </c>
    </row>
    <row r="7096" spans="1:15" ht="28.8" x14ac:dyDescent="0.3">
      <c r="A7096" s="1" t="s">
        <v>10396</v>
      </c>
      <c r="B7096" s="1" t="str">
        <f>"Aeron Waste Services"</f>
        <v>Aeron Waste Services</v>
      </c>
      <c r="C7096" s="1" t="s">
        <v>10397</v>
      </c>
      <c r="F7096" s="1" t="s">
        <v>5640</v>
      </c>
      <c r="H7096" s="1" t="s">
        <v>10398</v>
      </c>
      <c r="I7096" s="1" t="s">
        <v>125</v>
      </c>
      <c r="J7096" s="1" t="s">
        <v>6</v>
      </c>
      <c r="K7096" s="1" t="s">
        <v>34</v>
      </c>
      <c r="M7096" s="2">
        <v>42530</v>
      </c>
      <c r="N7096" s="1" t="s">
        <v>8</v>
      </c>
      <c r="O7096" s="2">
        <v>43625</v>
      </c>
    </row>
    <row r="7097" spans="1:15" x14ac:dyDescent="0.3">
      <c r="A7097" s="1" t="s">
        <v>11415</v>
      </c>
      <c r="B7097" s="1" t="str">
        <f>"Aiva Associates Limited"</f>
        <v>Aiva Associates Limited</v>
      </c>
      <c r="C7097" s="1" t="s">
        <v>11416</v>
      </c>
      <c r="F7097" s="1" t="s">
        <v>27</v>
      </c>
      <c r="H7097" s="1" t="s">
        <v>11417</v>
      </c>
      <c r="I7097" s="1" t="s">
        <v>19</v>
      </c>
      <c r="J7097" s="1" t="s">
        <v>6</v>
      </c>
      <c r="K7097" s="1" t="s">
        <v>1859</v>
      </c>
      <c r="L7097" s="1">
        <v>9126778</v>
      </c>
      <c r="M7097" s="2">
        <v>42530</v>
      </c>
      <c r="N7097" s="1" t="s">
        <v>8</v>
      </c>
      <c r="O7097" s="2">
        <v>43625</v>
      </c>
    </row>
    <row r="7098" spans="1:15" ht="28.8" x14ac:dyDescent="0.3">
      <c r="A7098" s="1" t="s">
        <v>11418</v>
      </c>
      <c r="B7098" s="1" t="str">
        <f>"House services Derby ltd"</f>
        <v>House services Derby ltd</v>
      </c>
      <c r="C7098" s="1" t="s">
        <v>11419</v>
      </c>
      <c r="F7098" s="1" t="s">
        <v>6304</v>
      </c>
      <c r="H7098" s="1" t="s">
        <v>11420</v>
      </c>
      <c r="I7098" s="1" t="s">
        <v>19</v>
      </c>
      <c r="J7098" s="1" t="s">
        <v>6</v>
      </c>
      <c r="K7098" s="1" t="s">
        <v>34</v>
      </c>
      <c r="L7098" s="1">
        <v>8184775</v>
      </c>
      <c r="M7098" s="2">
        <v>42530</v>
      </c>
      <c r="N7098" s="1" t="s">
        <v>8</v>
      </c>
      <c r="O7098" s="2">
        <v>43625</v>
      </c>
    </row>
    <row r="7099" spans="1:15" ht="28.8" x14ac:dyDescent="0.3">
      <c r="A7099" s="1" t="s">
        <v>23584</v>
      </c>
      <c r="B7099" s="1" t="str">
        <f>"Ivor Colin James"</f>
        <v>Ivor Colin James</v>
      </c>
      <c r="C7099" s="1" t="s">
        <v>23585</v>
      </c>
      <c r="D7099" s="1" t="s">
        <v>14526</v>
      </c>
      <c r="F7099" s="1" t="s">
        <v>786</v>
      </c>
      <c r="H7099" s="1" t="s">
        <v>23586</v>
      </c>
      <c r="I7099" s="1" t="s">
        <v>5</v>
      </c>
      <c r="J7099" s="1" t="s">
        <v>6</v>
      </c>
      <c r="K7099" s="1" t="s">
        <v>24</v>
      </c>
      <c r="M7099" s="2">
        <v>42530</v>
      </c>
      <c r="N7099" s="1" t="s">
        <v>8</v>
      </c>
      <c r="O7099" s="2">
        <v>43625</v>
      </c>
    </row>
    <row r="7100" spans="1:15" ht="28.8" x14ac:dyDescent="0.3">
      <c r="A7100" s="1" t="s">
        <v>23587</v>
      </c>
      <c r="B7100" s="1" t="str">
        <f>"Geraint Jones G G Jones(Contractors)"</f>
        <v>Geraint Jones G G Jones(Contractors)</v>
      </c>
      <c r="C7100" s="1" t="s">
        <v>23588</v>
      </c>
      <c r="D7100" s="1" t="s">
        <v>10324</v>
      </c>
      <c r="F7100" s="1" t="s">
        <v>198</v>
      </c>
      <c r="H7100" s="1" t="s">
        <v>23589</v>
      </c>
      <c r="I7100" s="1" t="s">
        <v>5</v>
      </c>
      <c r="J7100" s="1" t="s">
        <v>6</v>
      </c>
      <c r="K7100" s="1" t="s">
        <v>24</v>
      </c>
      <c r="M7100" s="2">
        <v>42530</v>
      </c>
      <c r="N7100" s="1" t="s">
        <v>8</v>
      </c>
      <c r="O7100" s="2">
        <v>43625</v>
      </c>
    </row>
    <row r="7101" spans="1:15" ht="28.8" x14ac:dyDescent="0.3">
      <c r="A7101" s="1" t="s">
        <v>9259</v>
      </c>
      <c r="B7101" s="1" t="str">
        <f>"Martin Rees Electrical Contractors Ltd."</f>
        <v>Martin Rees Electrical Contractors Ltd.</v>
      </c>
      <c r="C7101" s="1" t="s">
        <v>9260</v>
      </c>
      <c r="F7101" s="1" t="s">
        <v>9261</v>
      </c>
      <c r="H7101" s="1" t="s">
        <v>9262</v>
      </c>
      <c r="I7101" s="1" t="s">
        <v>19</v>
      </c>
      <c r="J7101" s="1" t="s">
        <v>6</v>
      </c>
      <c r="K7101" s="1" t="s">
        <v>34</v>
      </c>
      <c r="L7101" s="1">
        <v>5398401</v>
      </c>
      <c r="M7101" s="2">
        <v>42529</v>
      </c>
      <c r="N7101" s="1" t="s">
        <v>8</v>
      </c>
      <c r="O7101" s="2">
        <v>43624</v>
      </c>
    </row>
    <row r="7102" spans="1:15" ht="43.2" x14ac:dyDescent="0.3">
      <c r="A7102" s="1" t="s">
        <v>9263</v>
      </c>
      <c r="B7102" s="1" t="str">
        <f>"Chaldean Properties Ltd"</f>
        <v>Chaldean Properties Ltd</v>
      </c>
      <c r="C7102" s="1" t="s">
        <v>9264</v>
      </c>
      <c r="F7102" s="1" t="s">
        <v>123</v>
      </c>
      <c r="H7102" s="1" t="s">
        <v>9265</v>
      </c>
      <c r="I7102" s="1" t="s">
        <v>19</v>
      </c>
      <c r="J7102" s="1" t="s">
        <v>67</v>
      </c>
      <c r="K7102" s="1" t="s">
        <v>14</v>
      </c>
      <c r="M7102" s="2">
        <v>42529</v>
      </c>
      <c r="N7102" s="1" t="s">
        <v>8</v>
      </c>
      <c r="O7102" s="1" t="s">
        <v>68</v>
      </c>
    </row>
    <row r="7103" spans="1:15" ht="28.8" x14ac:dyDescent="0.3">
      <c r="A7103" s="1" t="s">
        <v>9266</v>
      </c>
      <c r="B7103" s="1" t="str">
        <f>"F E Crick and Sons"</f>
        <v>F E Crick and Sons</v>
      </c>
      <c r="C7103" s="1" t="s">
        <v>9267</v>
      </c>
      <c r="D7103" s="1" t="s">
        <v>3585</v>
      </c>
      <c r="F7103" s="1" t="s">
        <v>32</v>
      </c>
      <c r="H7103" s="1" t="s">
        <v>9268</v>
      </c>
      <c r="I7103" s="1" t="s">
        <v>125</v>
      </c>
      <c r="J7103" s="1" t="s">
        <v>6</v>
      </c>
      <c r="K7103" s="1" t="s">
        <v>34</v>
      </c>
      <c r="M7103" s="2">
        <v>42529</v>
      </c>
      <c r="N7103" s="1" t="s">
        <v>8</v>
      </c>
      <c r="O7103" s="2">
        <v>43624</v>
      </c>
    </row>
    <row r="7104" spans="1:15" ht="28.8" x14ac:dyDescent="0.3">
      <c r="A7104" s="1" t="s">
        <v>9269</v>
      </c>
      <c r="B7104" s="1" t="str">
        <f>"cardigan windows glass &amp; glazing lt"</f>
        <v>cardigan windows glass &amp; glazing lt</v>
      </c>
      <c r="C7104" s="1" t="s">
        <v>9270</v>
      </c>
      <c r="F7104" s="1" t="s">
        <v>1511</v>
      </c>
      <c r="H7104" s="1" t="s">
        <v>9271</v>
      </c>
      <c r="I7104" s="1" t="s">
        <v>19</v>
      </c>
      <c r="J7104" s="1" t="s">
        <v>6</v>
      </c>
      <c r="K7104" s="1" t="s">
        <v>24</v>
      </c>
      <c r="L7104" s="1">
        <v>2694737</v>
      </c>
      <c r="M7104" s="2">
        <v>42529</v>
      </c>
      <c r="N7104" s="1" t="s">
        <v>8</v>
      </c>
      <c r="O7104" s="2">
        <v>43624</v>
      </c>
    </row>
    <row r="7105" spans="1:15" ht="28.8" x14ac:dyDescent="0.3">
      <c r="A7105" s="1" t="s">
        <v>10370</v>
      </c>
      <c r="B7105" s="1" t="str">
        <f>"Paramount Office Interiors Ltd."</f>
        <v>Paramount Office Interiors Ltd.</v>
      </c>
      <c r="C7105" s="1" t="s">
        <v>10371</v>
      </c>
      <c r="D7105" s="1" t="s">
        <v>10372</v>
      </c>
      <c r="F7105" s="1" t="s">
        <v>27</v>
      </c>
      <c r="H7105" s="1" t="s">
        <v>10373</v>
      </c>
      <c r="I7105" s="1" t="s">
        <v>19</v>
      </c>
      <c r="J7105" s="1" t="s">
        <v>6</v>
      </c>
      <c r="K7105" s="1" t="s">
        <v>24</v>
      </c>
      <c r="L7105" s="1">
        <v>2369310</v>
      </c>
      <c r="M7105" s="2">
        <v>42529</v>
      </c>
      <c r="N7105" s="1" t="s">
        <v>8</v>
      </c>
      <c r="O7105" s="2">
        <v>43624</v>
      </c>
    </row>
    <row r="7106" spans="1:15" ht="43.2" x14ac:dyDescent="0.3">
      <c r="A7106" s="1" t="s">
        <v>10374</v>
      </c>
      <c r="B7106" s="1" t="str">
        <f>"llandow van centre"</f>
        <v>llandow van centre</v>
      </c>
      <c r="C7106" s="1" t="s">
        <v>10375</v>
      </c>
      <c r="D7106" s="1" t="s">
        <v>10376</v>
      </c>
      <c r="F7106" s="1" t="s">
        <v>10377</v>
      </c>
      <c r="H7106" s="1" t="s">
        <v>10378</v>
      </c>
      <c r="I7106" s="1" t="s">
        <v>19</v>
      </c>
      <c r="J7106" s="1" t="s">
        <v>67</v>
      </c>
      <c r="K7106" s="1" t="s">
        <v>14</v>
      </c>
      <c r="M7106" s="2">
        <v>42529</v>
      </c>
      <c r="N7106" s="1" t="s">
        <v>8</v>
      </c>
      <c r="O7106" s="1" t="s">
        <v>68</v>
      </c>
    </row>
    <row r="7107" spans="1:15" ht="28.8" x14ac:dyDescent="0.3">
      <c r="A7107" s="1" t="s">
        <v>10379</v>
      </c>
      <c r="B7107" s="1" t="str">
        <f>"Penrhyn Paving"</f>
        <v>Penrhyn Paving</v>
      </c>
      <c r="C7107" s="1" t="s">
        <v>10380</v>
      </c>
      <c r="F7107" s="1" t="s">
        <v>4033</v>
      </c>
      <c r="H7107" s="1" t="s">
        <v>10381</v>
      </c>
      <c r="I7107" s="1" t="s">
        <v>19</v>
      </c>
      <c r="J7107" s="1" t="s">
        <v>6</v>
      </c>
      <c r="K7107" s="1" t="s">
        <v>24</v>
      </c>
      <c r="L7107" s="1">
        <v>5405083</v>
      </c>
      <c r="M7107" s="2">
        <v>42529</v>
      </c>
      <c r="N7107" s="1" t="s">
        <v>8</v>
      </c>
      <c r="O7107" s="2">
        <v>43624</v>
      </c>
    </row>
    <row r="7108" spans="1:15" ht="43.2" x14ac:dyDescent="0.3">
      <c r="A7108" s="1" t="s">
        <v>10382</v>
      </c>
      <c r="B7108" s="1" t="str">
        <f>"3Sixty Waste Management Ltd"</f>
        <v>3Sixty Waste Management Ltd</v>
      </c>
      <c r="C7108" s="1" t="s">
        <v>10383</v>
      </c>
      <c r="F7108" s="1" t="s">
        <v>1937</v>
      </c>
      <c r="H7108" s="1" t="s">
        <v>9369</v>
      </c>
      <c r="I7108" s="1" t="s">
        <v>19</v>
      </c>
      <c r="J7108" s="1" t="s">
        <v>6</v>
      </c>
      <c r="K7108" s="1" t="s">
        <v>34</v>
      </c>
      <c r="L7108" s="1">
        <v>10088827</v>
      </c>
      <c r="M7108" s="2">
        <v>42529</v>
      </c>
      <c r="N7108" s="1" t="s">
        <v>8</v>
      </c>
      <c r="O7108" s="2">
        <v>43624</v>
      </c>
    </row>
    <row r="7109" spans="1:15" ht="28.8" x14ac:dyDescent="0.3">
      <c r="A7109" s="1" t="s">
        <v>22786</v>
      </c>
      <c r="B7109" s="1" t="str">
        <f>"harry morgan h. lewis &amp;co"</f>
        <v>harry morgan h. lewis &amp;co</v>
      </c>
      <c r="C7109" s="1" t="s">
        <v>22787</v>
      </c>
      <c r="F7109" s="1" t="s">
        <v>114</v>
      </c>
      <c r="H7109" s="1" t="s">
        <v>22788</v>
      </c>
      <c r="I7109" s="1" t="s">
        <v>5</v>
      </c>
      <c r="J7109" s="1" t="s">
        <v>6</v>
      </c>
      <c r="K7109" s="1" t="s">
        <v>24</v>
      </c>
      <c r="M7109" s="2">
        <v>42529</v>
      </c>
      <c r="N7109" s="1" t="s">
        <v>8</v>
      </c>
      <c r="O7109" s="2">
        <v>43624</v>
      </c>
    </row>
    <row r="7110" spans="1:15" ht="43.2" x14ac:dyDescent="0.3">
      <c r="A7110" s="1" t="s">
        <v>23576</v>
      </c>
      <c r="B7110" s="1" t="str">
        <f>"Adam Lee Adams garden &amp; property maintenance"</f>
        <v>Adam Lee Adams garden &amp; property maintenance</v>
      </c>
      <c r="C7110" s="1" t="s">
        <v>23577</v>
      </c>
      <c r="F7110" s="1" t="s">
        <v>42</v>
      </c>
      <c r="H7110" s="1" t="s">
        <v>23578</v>
      </c>
      <c r="I7110" s="1" t="s">
        <v>5</v>
      </c>
      <c r="J7110" s="1" t="s">
        <v>6</v>
      </c>
      <c r="K7110" s="1" t="s">
        <v>24</v>
      </c>
      <c r="M7110" s="2">
        <v>42529</v>
      </c>
      <c r="N7110" s="1" t="s">
        <v>8</v>
      </c>
      <c r="O7110" s="2">
        <v>43624</v>
      </c>
    </row>
    <row r="7111" spans="1:15" ht="28.8" x14ac:dyDescent="0.3">
      <c r="A7111" s="1" t="s">
        <v>23579</v>
      </c>
      <c r="B7111" s="1" t="str">
        <f>"Mark Beer MB Glass and glazing"</f>
        <v>Mark Beer MB Glass and glazing</v>
      </c>
      <c r="C7111" s="1" t="s">
        <v>23580</v>
      </c>
      <c r="F7111" s="1" t="s">
        <v>65</v>
      </c>
      <c r="H7111" s="1" t="s">
        <v>10321</v>
      </c>
      <c r="I7111" s="1" t="s">
        <v>5</v>
      </c>
      <c r="J7111" s="1" t="s">
        <v>6</v>
      </c>
      <c r="K7111" s="1" t="s">
        <v>24</v>
      </c>
      <c r="M7111" s="2">
        <v>42529</v>
      </c>
      <c r="N7111" s="1" t="s">
        <v>8</v>
      </c>
      <c r="O7111" s="2">
        <v>43624</v>
      </c>
    </row>
    <row r="7112" spans="1:15" ht="28.8" x14ac:dyDescent="0.3">
      <c r="A7112" s="1" t="s">
        <v>23581</v>
      </c>
      <c r="B7112" s="1" t="str">
        <f>"Adrian  Bahlert"</f>
        <v>Adrian  Bahlert</v>
      </c>
      <c r="C7112" s="1" t="s">
        <v>23582</v>
      </c>
      <c r="F7112" s="1" t="s">
        <v>1351</v>
      </c>
      <c r="H7112" s="1" t="s">
        <v>23583</v>
      </c>
      <c r="I7112" s="1" t="s">
        <v>5</v>
      </c>
      <c r="J7112" s="1" t="s">
        <v>6</v>
      </c>
      <c r="K7112" s="1" t="s">
        <v>24</v>
      </c>
      <c r="M7112" s="2">
        <v>42529</v>
      </c>
      <c r="N7112" s="1" t="s">
        <v>8</v>
      </c>
      <c r="O7112" s="2">
        <v>43694</v>
      </c>
    </row>
    <row r="7113" spans="1:15" ht="28.8" x14ac:dyDescent="0.3">
      <c r="A7113" s="1" t="s">
        <v>8067</v>
      </c>
      <c r="B7113" s="1" t="str">
        <f>"Sonic Services Ltd."</f>
        <v>Sonic Services Ltd.</v>
      </c>
      <c r="C7113" s="1" t="s">
        <v>8068</v>
      </c>
      <c r="D7113" s="1" t="s">
        <v>8069</v>
      </c>
      <c r="E7113" s="1" t="s">
        <v>389</v>
      </c>
      <c r="F7113" s="1" t="s">
        <v>91</v>
      </c>
      <c r="H7113" s="1" t="s">
        <v>8070</v>
      </c>
      <c r="I7113" s="1" t="s">
        <v>19</v>
      </c>
      <c r="J7113" s="1" t="s">
        <v>6</v>
      </c>
      <c r="K7113" s="1" t="s">
        <v>24</v>
      </c>
      <c r="L7113" s="1">
        <v>2893001</v>
      </c>
      <c r="M7113" s="2">
        <v>42528</v>
      </c>
      <c r="N7113" s="1" t="s">
        <v>8</v>
      </c>
      <c r="O7113" s="2">
        <v>43623</v>
      </c>
    </row>
    <row r="7114" spans="1:15" ht="43.2" x14ac:dyDescent="0.3">
      <c r="A7114" s="1" t="s">
        <v>8071</v>
      </c>
      <c r="B7114" s="1" t="str">
        <f>"ABY TRANSABY"</f>
        <v>ABY TRANSABY</v>
      </c>
      <c r="C7114" s="1" t="s">
        <v>8072</v>
      </c>
      <c r="G7114" s="1" t="s">
        <v>8073</v>
      </c>
      <c r="I7114" s="1" t="s">
        <v>19</v>
      </c>
      <c r="J7114" s="1" t="s">
        <v>67</v>
      </c>
      <c r="K7114" s="1" t="s">
        <v>14</v>
      </c>
      <c r="M7114" s="2">
        <v>42528</v>
      </c>
      <c r="N7114" s="1" t="s">
        <v>8</v>
      </c>
      <c r="O7114" s="1" t="s">
        <v>68</v>
      </c>
    </row>
    <row r="7115" spans="1:15" ht="43.2" x14ac:dyDescent="0.3">
      <c r="A7115" s="1" t="s">
        <v>8074</v>
      </c>
      <c r="B7115" s="1" t="str">
        <f>"JENNINGS BUILDING &amp; CIVIL ENGINEERING LTD"</f>
        <v>JENNINGS BUILDING &amp; CIVIL ENGINEERING LTD</v>
      </c>
      <c r="C7115" s="1" t="s">
        <v>8075</v>
      </c>
      <c r="D7115" s="1" t="s">
        <v>8076</v>
      </c>
      <c r="F7115" s="1" t="s">
        <v>1184</v>
      </c>
      <c r="H7115" s="1" t="s">
        <v>8077</v>
      </c>
      <c r="I7115" s="1" t="s">
        <v>19</v>
      </c>
      <c r="J7115" s="1" t="s">
        <v>6</v>
      </c>
      <c r="K7115" s="1" t="s">
        <v>34</v>
      </c>
      <c r="L7115" s="1">
        <v>1836048</v>
      </c>
      <c r="M7115" s="2">
        <v>42528</v>
      </c>
      <c r="N7115" s="1" t="s">
        <v>8</v>
      </c>
      <c r="O7115" s="2">
        <v>43623</v>
      </c>
    </row>
    <row r="7116" spans="1:15" ht="28.8" x14ac:dyDescent="0.3">
      <c r="A7116" s="1" t="s">
        <v>8078</v>
      </c>
      <c r="B7116" s="1" t="str">
        <f>"Heads of the Valley Salvage Ltd."</f>
        <v>Heads of the Valley Salvage Ltd.</v>
      </c>
      <c r="C7116" s="1" t="s">
        <v>8079</v>
      </c>
      <c r="F7116" s="1" t="s">
        <v>739</v>
      </c>
      <c r="H7116" s="1" t="s">
        <v>8080</v>
      </c>
      <c r="I7116" s="1" t="s">
        <v>19</v>
      </c>
      <c r="J7116" s="1" t="s">
        <v>6</v>
      </c>
      <c r="K7116" s="1" t="s">
        <v>24</v>
      </c>
      <c r="L7116" s="1">
        <v>1498601</v>
      </c>
      <c r="M7116" s="2">
        <v>42528</v>
      </c>
      <c r="N7116" s="1" t="s">
        <v>8</v>
      </c>
      <c r="O7116" s="2">
        <v>43623</v>
      </c>
    </row>
    <row r="7117" spans="1:15" ht="28.8" x14ac:dyDescent="0.3">
      <c r="A7117" s="1" t="s">
        <v>8081</v>
      </c>
      <c r="B7117" s="1" t="str">
        <f>"M H Davies Contractors Ltd."</f>
        <v>M H Davies Contractors Ltd.</v>
      </c>
      <c r="C7117" s="1" t="s">
        <v>8082</v>
      </c>
      <c r="D7117" s="1" t="s">
        <v>8083</v>
      </c>
      <c r="F7117" s="1" t="s">
        <v>3415</v>
      </c>
      <c r="H7117" s="1" t="s">
        <v>8084</v>
      </c>
      <c r="I7117" s="1" t="s">
        <v>19</v>
      </c>
      <c r="J7117" s="1" t="s">
        <v>6</v>
      </c>
      <c r="K7117" s="1" t="s">
        <v>24</v>
      </c>
      <c r="L7117" s="1">
        <v>4712917</v>
      </c>
      <c r="M7117" s="2">
        <v>42528</v>
      </c>
      <c r="N7117" s="1" t="s">
        <v>8</v>
      </c>
      <c r="O7117" s="2">
        <v>43623</v>
      </c>
    </row>
    <row r="7118" spans="1:15" ht="43.2" x14ac:dyDescent="0.3">
      <c r="A7118" s="1" t="s">
        <v>8085</v>
      </c>
      <c r="B7118" s="1" t="str">
        <f>"A and A tree and garden services "</f>
        <v xml:space="preserve">A and A tree and garden services </v>
      </c>
      <c r="C7118" s="1" t="s">
        <v>8086</v>
      </c>
      <c r="F7118" s="1" t="s">
        <v>27</v>
      </c>
      <c r="H7118" s="1" t="s">
        <v>8087</v>
      </c>
      <c r="I7118" s="1" t="s">
        <v>125</v>
      </c>
      <c r="J7118" s="1" t="s">
        <v>67</v>
      </c>
      <c r="K7118" s="1" t="s">
        <v>14</v>
      </c>
      <c r="M7118" s="2">
        <v>42528</v>
      </c>
      <c r="N7118" s="1" t="s">
        <v>8</v>
      </c>
      <c r="O7118" s="1" t="s">
        <v>68</v>
      </c>
    </row>
    <row r="7119" spans="1:15" ht="28.8" x14ac:dyDescent="0.3">
      <c r="A7119" s="1" t="s">
        <v>8088</v>
      </c>
      <c r="B7119" s="1" t="str">
        <f>"David Taylor (Garages) Ltd. "</f>
        <v xml:space="preserve">David Taylor (Garages) Ltd. </v>
      </c>
      <c r="C7119" s="1" t="s">
        <v>8089</v>
      </c>
      <c r="F7119" s="1" t="s">
        <v>7147</v>
      </c>
      <c r="H7119" s="1" t="s">
        <v>2581</v>
      </c>
      <c r="I7119" s="1" t="s">
        <v>19</v>
      </c>
      <c r="J7119" s="1" t="s">
        <v>6</v>
      </c>
      <c r="K7119" s="1" t="s">
        <v>34</v>
      </c>
      <c r="L7119" s="1">
        <v>1270623</v>
      </c>
      <c r="M7119" s="2">
        <v>42528</v>
      </c>
      <c r="N7119" s="1" t="s">
        <v>8</v>
      </c>
      <c r="O7119" s="2">
        <v>43623</v>
      </c>
    </row>
    <row r="7120" spans="1:15" ht="28.8" x14ac:dyDescent="0.3">
      <c r="A7120" s="1" t="s">
        <v>8090</v>
      </c>
      <c r="B7120" s="1" t="str">
        <f>"cloudfm shared services"</f>
        <v>cloudfm shared services</v>
      </c>
      <c r="C7120" s="1" t="s">
        <v>8091</v>
      </c>
      <c r="F7120" s="1" t="s">
        <v>4200</v>
      </c>
      <c r="H7120" s="1" t="s">
        <v>8092</v>
      </c>
      <c r="I7120" s="1" t="s">
        <v>19</v>
      </c>
      <c r="J7120" s="1" t="s">
        <v>6</v>
      </c>
      <c r="K7120" s="1" t="s">
        <v>34</v>
      </c>
      <c r="L7120" s="1">
        <v>8189233</v>
      </c>
      <c r="M7120" s="2">
        <v>42528</v>
      </c>
      <c r="N7120" s="1" t="s">
        <v>8</v>
      </c>
      <c r="O7120" s="2">
        <v>43623</v>
      </c>
    </row>
    <row r="7121" spans="1:15" ht="28.8" x14ac:dyDescent="0.3">
      <c r="A7121" s="1" t="s">
        <v>8093</v>
      </c>
      <c r="B7121" s="1" t="str">
        <f>"felinfawrcyf"</f>
        <v>felinfawrcyf</v>
      </c>
      <c r="C7121" s="1" t="s">
        <v>8094</v>
      </c>
      <c r="F7121" s="1" t="s">
        <v>8095</v>
      </c>
      <c r="H7121" s="1" t="s">
        <v>8096</v>
      </c>
      <c r="I7121" s="1" t="s">
        <v>19</v>
      </c>
      <c r="J7121" s="1" t="s">
        <v>6</v>
      </c>
      <c r="K7121" s="1" t="s">
        <v>24</v>
      </c>
      <c r="L7121" s="1">
        <v>6826997</v>
      </c>
      <c r="M7121" s="2">
        <v>42528</v>
      </c>
      <c r="N7121" s="1" t="s">
        <v>8</v>
      </c>
      <c r="O7121" s="2">
        <v>43623</v>
      </c>
    </row>
    <row r="7122" spans="1:15" ht="28.8" x14ac:dyDescent="0.3">
      <c r="A7122" s="1" t="s">
        <v>8097</v>
      </c>
      <c r="B7122" s="1" t="str">
        <f>"Hillside Plumbing"</f>
        <v>Hillside Plumbing</v>
      </c>
      <c r="C7122" s="1" t="s">
        <v>8098</v>
      </c>
      <c r="F7122" s="1" t="s">
        <v>739</v>
      </c>
      <c r="H7122" s="1" t="s">
        <v>8099</v>
      </c>
      <c r="I7122" s="1" t="s">
        <v>19</v>
      </c>
      <c r="J7122" s="1" t="s">
        <v>6</v>
      </c>
      <c r="K7122" s="1" t="s">
        <v>24</v>
      </c>
      <c r="L7122" s="1">
        <v>9692081</v>
      </c>
      <c r="M7122" s="2">
        <v>42528</v>
      </c>
      <c r="N7122" s="1" t="s">
        <v>8</v>
      </c>
      <c r="O7122" s="2">
        <v>43623</v>
      </c>
    </row>
    <row r="7123" spans="1:15" ht="43.2" x14ac:dyDescent="0.3">
      <c r="A7123" s="1" t="s">
        <v>8100</v>
      </c>
      <c r="B7123" s="1" t="str">
        <f>"Wayne Tyres"</f>
        <v>Wayne Tyres</v>
      </c>
      <c r="C7123" s="1" t="s">
        <v>8101</v>
      </c>
      <c r="F7123" s="1" t="s">
        <v>8102</v>
      </c>
      <c r="H7123" s="1" t="s">
        <v>8103</v>
      </c>
      <c r="I7123" s="1" t="s">
        <v>188</v>
      </c>
      <c r="J7123" s="1" t="s">
        <v>67</v>
      </c>
      <c r="K7123" s="1" t="s">
        <v>14</v>
      </c>
      <c r="M7123" s="2">
        <v>42528</v>
      </c>
      <c r="N7123" s="1" t="s">
        <v>8</v>
      </c>
      <c r="O7123" s="1" t="s">
        <v>68</v>
      </c>
    </row>
    <row r="7124" spans="1:15" ht="43.2" x14ac:dyDescent="0.3">
      <c r="A7124" s="1" t="s">
        <v>22003</v>
      </c>
      <c r="B7124" s="1" t="str">
        <f>"Alan Andrews"</f>
        <v>Alan Andrews</v>
      </c>
      <c r="C7124" s="1" t="s">
        <v>22004</v>
      </c>
      <c r="F7124" s="1" t="s">
        <v>42</v>
      </c>
      <c r="H7124" s="1" t="s">
        <v>3491</v>
      </c>
      <c r="I7124" s="1" t="s">
        <v>5</v>
      </c>
      <c r="J7124" s="1" t="s">
        <v>67</v>
      </c>
      <c r="K7124" s="1" t="s">
        <v>14</v>
      </c>
      <c r="M7124" s="2">
        <v>42528</v>
      </c>
      <c r="N7124" s="1" t="s">
        <v>8</v>
      </c>
      <c r="O7124" s="1" t="s">
        <v>68</v>
      </c>
    </row>
    <row r="7125" spans="1:15" ht="28.8" x14ac:dyDescent="0.3">
      <c r="A7125" s="1" t="s">
        <v>22005</v>
      </c>
      <c r="B7125" s="1" t="str">
        <f>"lloyd nicholas xLN't property services"</f>
        <v>lloyd nicholas xLN't property services</v>
      </c>
      <c r="C7125" s="1" t="s">
        <v>22006</v>
      </c>
      <c r="F7125" s="1" t="s">
        <v>174</v>
      </c>
      <c r="H7125" s="1" t="s">
        <v>22007</v>
      </c>
      <c r="I7125" s="1" t="s">
        <v>5</v>
      </c>
      <c r="J7125" s="1" t="s">
        <v>6</v>
      </c>
      <c r="K7125" s="1" t="s">
        <v>24</v>
      </c>
      <c r="M7125" s="2">
        <v>42528</v>
      </c>
      <c r="N7125" s="1" t="s">
        <v>8</v>
      </c>
      <c r="O7125" s="2">
        <v>43623</v>
      </c>
    </row>
    <row r="7126" spans="1:15" ht="28.8" x14ac:dyDescent="0.3">
      <c r="A7126" s="1" t="s">
        <v>5829</v>
      </c>
      <c r="B7126" s="1" t="str">
        <f>"Essex &amp; Rayleigh Roofing Ltd"</f>
        <v>Essex &amp; Rayleigh Roofing Ltd</v>
      </c>
      <c r="C7126" s="1" t="s">
        <v>5830</v>
      </c>
      <c r="F7126" s="1" t="s">
        <v>3648</v>
      </c>
      <c r="H7126" s="1" t="s">
        <v>5831</v>
      </c>
      <c r="I7126" s="1" t="s">
        <v>19</v>
      </c>
      <c r="J7126" s="1" t="s">
        <v>6</v>
      </c>
      <c r="K7126" s="1" t="s">
        <v>24</v>
      </c>
      <c r="L7126" s="1">
        <v>4821491</v>
      </c>
      <c r="M7126" s="2">
        <v>42527</v>
      </c>
      <c r="N7126" s="1" t="s">
        <v>8</v>
      </c>
      <c r="O7126" s="2">
        <v>43622</v>
      </c>
    </row>
    <row r="7127" spans="1:15" ht="28.8" x14ac:dyDescent="0.3">
      <c r="A7127" s="1" t="s">
        <v>5832</v>
      </c>
      <c r="B7127" s="1" t="str">
        <f>"A C R Environmental Wales Ltd."</f>
        <v>A C R Environmental Wales Ltd.</v>
      </c>
      <c r="C7127" s="1" t="s">
        <v>5833</v>
      </c>
      <c r="F7127" s="1" t="s">
        <v>96</v>
      </c>
      <c r="H7127" s="1" t="s">
        <v>5834</v>
      </c>
      <c r="I7127" s="1" t="s">
        <v>19</v>
      </c>
      <c r="J7127" s="1" t="s">
        <v>6</v>
      </c>
      <c r="K7127" s="1" t="s">
        <v>24</v>
      </c>
      <c r="L7127" s="1">
        <v>6432029</v>
      </c>
      <c r="M7127" s="2">
        <v>42527</v>
      </c>
      <c r="N7127" s="1" t="s">
        <v>8</v>
      </c>
      <c r="O7127" s="2">
        <v>43622</v>
      </c>
    </row>
    <row r="7128" spans="1:15" ht="43.2" x14ac:dyDescent="0.3">
      <c r="A7128" s="1" t="s">
        <v>5835</v>
      </c>
      <c r="B7128" s="1" t="str">
        <f>"PES SYSTEMS LTD"</f>
        <v>PES SYSTEMS LTD</v>
      </c>
      <c r="C7128" s="1" t="s">
        <v>5836</v>
      </c>
      <c r="D7128" s="1" t="s">
        <v>5837</v>
      </c>
      <c r="F7128" s="1" t="s">
        <v>64</v>
      </c>
      <c r="H7128" s="1" t="s">
        <v>5838</v>
      </c>
      <c r="I7128" s="1" t="s">
        <v>19</v>
      </c>
      <c r="J7128" s="1" t="s">
        <v>67</v>
      </c>
      <c r="K7128" s="1" t="s">
        <v>14</v>
      </c>
      <c r="M7128" s="2">
        <v>42527</v>
      </c>
      <c r="N7128" s="1" t="s">
        <v>8</v>
      </c>
      <c r="O7128" s="1" t="s">
        <v>68</v>
      </c>
    </row>
    <row r="7129" spans="1:15" x14ac:dyDescent="0.3">
      <c r="A7129" s="1" t="s">
        <v>5839</v>
      </c>
      <c r="B7129" s="1" t="str">
        <f>"WES Ltd"</f>
        <v>WES Ltd</v>
      </c>
      <c r="C7129" s="1" t="s">
        <v>5840</v>
      </c>
      <c r="F7129" s="1" t="s">
        <v>5841</v>
      </c>
      <c r="H7129" s="1" t="s">
        <v>5842</v>
      </c>
      <c r="I7129" s="1" t="s">
        <v>19</v>
      </c>
      <c r="J7129" s="1" t="s">
        <v>6</v>
      </c>
      <c r="K7129" s="1" t="s">
        <v>24</v>
      </c>
      <c r="L7129" s="1">
        <v>3086750</v>
      </c>
      <c r="M7129" s="2">
        <v>42527</v>
      </c>
      <c r="N7129" s="1" t="s">
        <v>8</v>
      </c>
      <c r="O7129" s="2">
        <v>43622</v>
      </c>
    </row>
    <row r="7130" spans="1:15" ht="28.8" x14ac:dyDescent="0.3">
      <c r="A7130" s="1" t="s">
        <v>7007</v>
      </c>
      <c r="B7130" s="1" t="str">
        <f>"MONO METALS"</f>
        <v>MONO METALS</v>
      </c>
      <c r="C7130" s="1" t="s">
        <v>7008</v>
      </c>
      <c r="F7130" s="1" t="s">
        <v>156</v>
      </c>
      <c r="H7130" s="1" t="s">
        <v>7009</v>
      </c>
      <c r="I7130" s="1" t="s">
        <v>19</v>
      </c>
      <c r="J7130" s="1" t="s">
        <v>6</v>
      </c>
      <c r="K7130" s="1" t="s">
        <v>34</v>
      </c>
      <c r="L7130" s="1">
        <v>7712940</v>
      </c>
      <c r="M7130" s="2">
        <v>42527</v>
      </c>
      <c r="N7130" s="1" t="s">
        <v>8</v>
      </c>
      <c r="O7130" s="2">
        <v>43622</v>
      </c>
    </row>
    <row r="7131" spans="1:15" ht="28.8" x14ac:dyDescent="0.3">
      <c r="A7131" s="1" t="s">
        <v>7010</v>
      </c>
      <c r="B7131" s="1" t="str">
        <f>"Sayer Properties Ltd"</f>
        <v>Sayer Properties Ltd</v>
      </c>
      <c r="C7131" s="1" t="s">
        <v>7011</v>
      </c>
      <c r="D7131" s="1" t="s">
        <v>7012</v>
      </c>
      <c r="F7131" s="1" t="s">
        <v>27</v>
      </c>
      <c r="H7131" s="1" t="s">
        <v>7013</v>
      </c>
      <c r="I7131" s="1" t="s">
        <v>19</v>
      </c>
      <c r="J7131" s="1" t="s">
        <v>6</v>
      </c>
      <c r="K7131" s="1" t="s">
        <v>34</v>
      </c>
      <c r="L7131" s="1">
        <v>4814699</v>
      </c>
      <c r="M7131" s="2">
        <v>42527</v>
      </c>
      <c r="N7131" s="1" t="s">
        <v>8</v>
      </c>
      <c r="O7131" s="2">
        <v>43637</v>
      </c>
    </row>
    <row r="7132" spans="1:15" ht="28.8" x14ac:dyDescent="0.3">
      <c r="A7132" s="1" t="s">
        <v>7014</v>
      </c>
      <c r="B7132" s="1" t="str">
        <f>"MOTION RAIL LTD"</f>
        <v>MOTION RAIL LTD</v>
      </c>
      <c r="C7132" s="1" t="s">
        <v>7015</v>
      </c>
      <c r="F7132" s="1" t="s">
        <v>641</v>
      </c>
      <c r="H7132" s="1" t="s">
        <v>7016</v>
      </c>
      <c r="I7132" s="1" t="s">
        <v>19</v>
      </c>
      <c r="J7132" s="1" t="s">
        <v>6</v>
      </c>
      <c r="K7132" s="1" t="s">
        <v>34</v>
      </c>
      <c r="L7132" s="1">
        <v>7020346</v>
      </c>
      <c r="M7132" s="2">
        <v>42527</v>
      </c>
      <c r="N7132" s="1" t="s">
        <v>8</v>
      </c>
      <c r="O7132" s="2">
        <v>43621</v>
      </c>
    </row>
    <row r="7133" spans="1:15" ht="28.8" x14ac:dyDescent="0.3">
      <c r="A7133" s="1" t="s">
        <v>7017</v>
      </c>
      <c r="B7133" s="1" t="str">
        <f>"KENDLEY LTD"</f>
        <v>KENDLEY LTD</v>
      </c>
      <c r="C7133" s="1" t="s">
        <v>7018</v>
      </c>
      <c r="F7133" s="1" t="s">
        <v>1278</v>
      </c>
      <c r="H7133" s="1" t="s">
        <v>7019</v>
      </c>
      <c r="I7133" s="1" t="s">
        <v>19</v>
      </c>
      <c r="J7133" s="1" t="s">
        <v>6</v>
      </c>
      <c r="K7133" s="1" t="s">
        <v>34</v>
      </c>
      <c r="L7133" s="1">
        <v>3353593</v>
      </c>
      <c r="M7133" s="2">
        <v>42527</v>
      </c>
      <c r="N7133" s="1" t="s">
        <v>8</v>
      </c>
      <c r="O7133" s="2">
        <v>43622</v>
      </c>
    </row>
    <row r="7134" spans="1:15" ht="28.8" x14ac:dyDescent="0.3">
      <c r="A7134" s="1" t="s">
        <v>7020</v>
      </c>
      <c r="B7134" s="1" t="str">
        <f>"Play &amp; Leisure Ltd."</f>
        <v>Play &amp; Leisure Ltd.</v>
      </c>
      <c r="C7134" s="1" t="s">
        <v>7021</v>
      </c>
      <c r="D7134" s="1" t="s">
        <v>7022</v>
      </c>
      <c r="F7134" s="1" t="s">
        <v>2277</v>
      </c>
      <c r="H7134" s="1" t="s">
        <v>3748</v>
      </c>
      <c r="I7134" s="1" t="s">
        <v>19</v>
      </c>
      <c r="J7134" s="1" t="s">
        <v>6</v>
      </c>
      <c r="K7134" s="1" t="s">
        <v>34</v>
      </c>
      <c r="L7134" s="1">
        <v>2664792</v>
      </c>
      <c r="M7134" s="2">
        <v>42527</v>
      </c>
      <c r="N7134" s="1" t="s">
        <v>8</v>
      </c>
      <c r="O7134" s="2">
        <v>43622</v>
      </c>
    </row>
    <row r="7135" spans="1:15" ht="43.2" x14ac:dyDescent="0.3">
      <c r="A7135" s="1" t="s">
        <v>8065</v>
      </c>
      <c r="B7135" s="1" t="str">
        <f>"D  John Rees Haulage Ltd."</f>
        <v>D  John Rees Haulage Ltd.</v>
      </c>
      <c r="C7135" s="1" t="s">
        <v>8066</v>
      </c>
      <c r="D7135" s="1" t="s">
        <v>551</v>
      </c>
      <c r="E7135" s="1" t="s">
        <v>449</v>
      </c>
      <c r="F7135" s="1" t="s">
        <v>42</v>
      </c>
      <c r="H7135" s="1" t="s">
        <v>552</v>
      </c>
      <c r="I7135" s="1" t="s">
        <v>19</v>
      </c>
      <c r="J7135" s="1" t="s">
        <v>67</v>
      </c>
      <c r="K7135" s="1" t="s">
        <v>24</v>
      </c>
      <c r="L7135" s="1">
        <v>3516224</v>
      </c>
      <c r="M7135" s="2">
        <v>42527</v>
      </c>
      <c r="N7135" s="1" t="s">
        <v>8</v>
      </c>
      <c r="O7135" s="1" t="s">
        <v>68</v>
      </c>
    </row>
    <row r="7136" spans="1:15" ht="28.8" x14ac:dyDescent="0.3">
      <c r="A7136" s="1" t="s">
        <v>20453</v>
      </c>
      <c r="B7136" s="1" t="str">
        <f>"Dean Kent D K Roofing &amp; Building"</f>
        <v>Dean Kent D K Roofing &amp; Building</v>
      </c>
      <c r="C7136" s="1" t="s">
        <v>20454</v>
      </c>
      <c r="D7136" s="1" t="s">
        <v>1571</v>
      </c>
      <c r="F7136" s="1" t="s">
        <v>91</v>
      </c>
      <c r="H7136" s="1" t="s">
        <v>20455</v>
      </c>
      <c r="I7136" s="1" t="s">
        <v>5</v>
      </c>
      <c r="J7136" s="1" t="s">
        <v>6</v>
      </c>
      <c r="K7136" s="1" t="s">
        <v>34</v>
      </c>
      <c r="M7136" s="2">
        <v>42527</v>
      </c>
      <c r="N7136" s="1" t="s">
        <v>8</v>
      </c>
      <c r="O7136" s="2">
        <v>43622</v>
      </c>
    </row>
    <row r="7137" spans="1:15" ht="28.8" x14ac:dyDescent="0.3">
      <c r="A7137" s="1" t="s">
        <v>20456</v>
      </c>
      <c r="B7137" s="1" t="str">
        <f>"Peter Harper P W Harper Roofing"</f>
        <v>Peter Harper P W Harper Roofing</v>
      </c>
      <c r="C7137" s="1" t="s">
        <v>20457</v>
      </c>
      <c r="D7137" s="1" t="s">
        <v>20458</v>
      </c>
      <c r="F7137" s="1" t="s">
        <v>3726</v>
      </c>
      <c r="H7137" s="1" t="s">
        <v>12075</v>
      </c>
      <c r="I7137" s="1" t="s">
        <v>5</v>
      </c>
      <c r="J7137" s="1" t="s">
        <v>6</v>
      </c>
      <c r="K7137" s="1" t="s">
        <v>24</v>
      </c>
      <c r="M7137" s="2">
        <v>42527</v>
      </c>
      <c r="N7137" s="1" t="s">
        <v>8</v>
      </c>
      <c r="O7137" s="2">
        <v>43622</v>
      </c>
    </row>
    <row r="7138" spans="1:15" ht="28.8" x14ac:dyDescent="0.3">
      <c r="A7138" s="1" t="s">
        <v>21224</v>
      </c>
      <c r="B7138" s="1" t="str">
        <f>"Geraint Roberts D G Roberts Haulage"</f>
        <v>Geraint Roberts D G Roberts Haulage</v>
      </c>
      <c r="C7138" s="1" t="s">
        <v>21225</v>
      </c>
      <c r="D7138" s="1" t="s">
        <v>19530</v>
      </c>
      <c r="F7138" s="1" t="s">
        <v>607</v>
      </c>
      <c r="H7138" s="1" t="s">
        <v>21226</v>
      </c>
      <c r="I7138" s="1" t="s">
        <v>5</v>
      </c>
      <c r="J7138" s="1" t="s">
        <v>6</v>
      </c>
      <c r="K7138" s="1" t="s">
        <v>24</v>
      </c>
      <c r="M7138" s="2">
        <v>42527</v>
      </c>
      <c r="N7138" s="1" t="s">
        <v>8</v>
      </c>
      <c r="O7138" s="2">
        <v>43632</v>
      </c>
    </row>
    <row r="7139" spans="1:15" ht="28.8" x14ac:dyDescent="0.3">
      <c r="A7139" s="1" t="s">
        <v>21227</v>
      </c>
      <c r="B7139" s="1" t="str">
        <f>"Peter Charles Smart Smarts Transport"</f>
        <v>Peter Charles Smart Smarts Transport</v>
      </c>
      <c r="C7139" s="1" t="s">
        <v>21228</v>
      </c>
      <c r="F7139" s="1" t="s">
        <v>3415</v>
      </c>
      <c r="H7139" s="1" t="s">
        <v>21229</v>
      </c>
      <c r="I7139" s="1" t="s">
        <v>5</v>
      </c>
      <c r="J7139" s="1" t="s">
        <v>6</v>
      </c>
      <c r="K7139" s="1" t="s">
        <v>24</v>
      </c>
      <c r="M7139" s="2">
        <v>42527</v>
      </c>
      <c r="N7139" s="1" t="s">
        <v>8</v>
      </c>
      <c r="O7139" s="2">
        <v>43622</v>
      </c>
    </row>
    <row r="7140" spans="1:15" ht="43.2" x14ac:dyDescent="0.3">
      <c r="A7140" s="1" t="s">
        <v>21230</v>
      </c>
      <c r="B7140" s="1" t="str">
        <f>"simon ackroyd"</f>
        <v>simon ackroyd</v>
      </c>
      <c r="C7140" s="1" t="s">
        <v>21231</v>
      </c>
      <c r="F7140" s="1" t="s">
        <v>15903</v>
      </c>
      <c r="H7140" s="1" t="s">
        <v>21232</v>
      </c>
      <c r="I7140" s="1" t="s">
        <v>5</v>
      </c>
      <c r="J7140" s="1" t="s">
        <v>67</v>
      </c>
      <c r="K7140" s="1" t="s">
        <v>14</v>
      </c>
      <c r="M7140" s="2">
        <v>42527</v>
      </c>
      <c r="N7140" s="1" t="s">
        <v>8</v>
      </c>
      <c r="O7140" s="1" t="s">
        <v>68</v>
      </c>
    </row>
    <row r="7141" spans="1:15" ht="43.2" x14ac:dyDescent="0.3">
      <c r="A7141" s="1" t="s">
        <v>21233</v>
      </c>
      <c r="B7141" s="1" t="str">
        <f>"Michael Boyer"</f>
        <v>Michael Boyer</v>
      </c>
      <c r="C7141" s="1" t="s">
        <v>21234</v>
      </c>
      <c r="F7141" s="1" t="s">
        <v>277</v>
      </c>
      <c r="H7141" s="1" t="s">
        <v>21235</v>
      </c>
      <c r="I7141" s="1" t="s">
        <v>5</v>
      </c>
      <c r="J7141" s="1" t="s">
        <v>67</v>
      </c>
      <c r="K7141" s="1" t="s">
        <v>24</v>
      </c>
      <c r="M7141" s="2">
        <v>42527</v>
      </c>
      <c r="N7141" s="1" t="s">
        <v>8</v>
      </c>
      <c r="O7141" s="1" t="s">
        <v>68</v>
      </c>
    </row>
    <row r="7142" spans="1:15" ht="28.8" x14ac:dyDescent="0.3">
      <c r="A7142" s="1" t="s">
        <v>5825</v>
      </c>
      <c r="B7142" s="1" t="str">
        <f>"Jackson Fire and Security UK Ltd"</f>
        <v>Jackson Fire and Security UK Ltd</v>
      </c>
      <c r="C7142" s="1" t="s">
        <v>5826</v>
      </c>
      <c r="D7142" s="1" t="s">
        <v>5827</v>
      </c>
      <c r="F7142" s="1" t="s">
        <v>720</v>
      </c>
      <c r="H7142" s="1" t="s">
        <v>5828</v>
      </c>
      <c r="I7142" s="1" t="s">
        <v>19</v>
      </c>
      <c r="J7142" s="1" t="s">
        <v>6</v>
      </c>
      <c r="K7142" s="1" t="s">
        <v>24</v>
      </c>
      <c r="L7142" s="1">
        <v>8516102</v>
      </c>
      <c r="M7142" s="2">
        <v>42526</v>
      </c>
      <c r="N7142" s="1" t="s">
        <v>8</v>
      </c>
      <c r="O7142" s="2">
        <v>43621</v>
      </c>
    </row>
    <row r="7143" spans="1:15" ht="28.8" x14ac:dyDescent="0.3">
      <c r="A7143" s="1" t="s">
        <v>20447</v>
      </c>
      <c r="B7143" s="1" t="str">
        <f>"Alex Williams CBS Building"</f>
        <v>Alex Williams CBS Building</v>
      </c>
      <c r="C7143" s="1" t="s">
        <v>20448</v>
      </c>
      <c r="F7143" s="1" t="s">
        <v>65</v>
      </c>
      <c r="H7143" s="1" t="s">
        <v>20449</v>
      </c>
      <c r="I7143" s="1" t="s">
        <v>5</v>
      </c>
      <c r="J7143" s="1" t="s">
        <v>6</v>
      </c>
      <c r="K7143" s="1" t="s">
        <v>34</v>
      </c>
      <c r="M7143" s="2">
        <v>42526</v>
      </c>
      <c r="N7143" s="1" t="s">
        <v>8</v>
      </c>
      <c r="O7143" s="2">
        <v>43621</v>
      </c>
    </row>
    <row r="7144" spans="1:15" ht="28.8" x14ac:dyDescent="0.3">
      <c r="A7144" s="1" t="s">
        <v>20450</v>
      </c>
      <c r="B7144" s="1" t="str">
        <f>"eurwyn vaughan Coastal Landscapes"</f>
        <v>eurwyn vaughan Coastal Landscapes</v>
      </c>
      <c r="C7144" s="1" t="s">
        <v>20451</v>
      </c>
      <c r="F7144" s="1" t="s">
        <v>374</v>
      </c>
      <c r="H7144" s="1" t="s">
        <v>20452</v>
      </c>
      <c r="I7144" s="1" t="s">
        <v>5</v>
      </c>
      <c r="J7144" s="1" t="s">
        <v>6</v>
      </c>
      <c r="K7144" s="1" t="s">
        <v>24</v>
      </c>
      <c r="M7144" s="2">
        <v>42526</v>
      </c>
      <c r="N7144" s="1" t="s">
        <v>8</v>
      </c>
      <c r="O7144" s="2">
        <v>43621</v>
      </c>
    </row>
    <row r="7145" spans="1:15" ht="28.8" x14ac:dyDescent="0.3">
      <c r="A7145" s="1" t="s">
        <v>20440</v>
      </c>
      <c r="B7145" s="1" t="str">
        <f>"Stephen Millhouse Mill house builders"</f>
        <v>Stephen Millhouse Mill house builders</v>
      </c>
      <c r="C7145" s="1" t="s">
        <v>20441</v>
      </c>
      <c r="F7145" s="1" t="s">
        <v>20442</v>
      </c>
      <c r="H7145" s="1" t="s">
        <v>20443</v>
      </c>
      <c r="I7145" s="1" t="s">
        <v>5</v>
      </c>
      <c r="J7145" s="1" t="s">
        <v>6</v>
      </c>
      <c r="K7145" s="1" t="s">
        <v>34</v>
      </c>
      <c r="M7145" s="2">
        <v>42525</v>
      </c>
      <c r="N7145" s="1" t="s">
        <v>8</v>
      </c>
      <c r="O7145" s="2">
        <v>43620</v>
      </c>
    </row>
    <row r="7146" spans="1:15" ht="28.8" x14ac:dyDescent="0.3">
      <c r="A7146" s="1" t="s">
        <v>20444</v>
      </c>
      <c r="B7146" s="1" t="str">
        <f>"Richard Thomas Richard Luke thomas"</f>
        <v>Richard Thomas Richard Luke thomas</v>
      </c>
      <c r="C7146" s="1" t="s">
        <v>20445</v>
      </c>
      <c r="F7146" s="1" t="s">
        <v>42</v>
      </c>
      <c r="H7146" s="1" t="s">
        <v>20446</v>
      </c>
      <c r="I7146" s="1" t="s">
        <v>5</v>
      </c>
      <c r="J7146" s="1" t="s">
        <v>6</v>
      </c>
      <c r="K7146" s="1" t="s">
        <v>24</v>
      </c>
      <c r="M7146" s="2">
        <v>42525</v>
      </c>
      <c r="N7146" s="1" t="s">
        <v>8</v>
      </c>
      <c r="O7146" s="2">
        <v>43620</v>
      </c>
    </row>
    <row r="7147" spans="1:15" ht="28.8" x14ac:dyDescent="0.3">
      <c r="A7147" s="1" t="s">
        <v>4637</v>
      </c>
      <c r="B7147" s="1" t="str">
        <f>"Chenery Enterprises Ltd"</f>
        <v>Chenery Enterprises Ltd</v>
      </c>
      <c r="C7147" s="1" t="s">
        <v>4638</v>
      </c>
      <c r="D7147" s="1" t="s">
        <v>4639</v>
      </c>
      <c r="F7147" s="1" t="s">
        <v>4640</v>
      </c>
      <c r="H7147" s="1" t="s">
        <v>4641</v>
      </c>
      <c r="I7147" s="1" t="s">
        <v>19</v>
      </c>
      <c r="J7147" s="1" t="s">
        <v>6</v>
      </c>
      <c r="K7147" s="1" t="s">
        <v>34</v>
      </c>
      <c r="L7147" s="1">
        <v>7811251</v>
      </c>
      <c r="M7147" s="2">
        <v>42524</v>
      </c>
      <c r="N7147" s="1" t="s">
        <v>8</v>
      </c>
      <c r="O7147" s="2">
        <v>43618</v>
      </c>
    </row>
    <row r="7148" spans="1:15" ht="28.8" x14ac:dyDescent="0.3">
      <c r="A7148" s="1" t="s">
        <v>4642</v>
      </c>
      <c r="B7148" s="1" t="str">
        <f>"FFENESTRI D&amp;G WINDOWS LTD"</f>
        <v>FFENESTRI D&amp;G WINDOWS LTD</v>
      </c>
      <c r="C7148" s="1" t="s">
        <v>4643</v>
      </c>
      <c r="D7148" s="1" t="s">
        <v>4644</v>
      </c>
      <c r="F7148" s="1" t="s">
        <v>4645</v>
      </c>
      <c r="H7148" s="1" t="s">
        <v>4646</v>
      </c>
      <c r="I7148" s="1" t="s">
        <v>19</v>
      </c>
      <c r="J7148" s="1" t="s">
        <v>6</v>
      </c>
      <c r="K7148" s="1" t="s">
        <v>24</v>
      </c>
      <c r="L7148" s="1">
        <v>7170205</v>
      </c>
      <c r="M7148" s="2">
        <v>42524</v>
      </c>
      <c r="N7148" s="1" t="s">
        <v>8</v>
      </c>
      <c r="O7148" s="2">
        <v>43619</v>
      </c>
    </row>
    <row r="7149" spans="1:15" ht="28.8" x14ac:dyDescent="0.3">
      <c r="A7149" s="1" t="s">
        <v>4647</v>
      </c>
      <c r="B7149" s="1" t="str">
        <f>"Glamorgan Services Ltd."</f>
        <v>Glamorgan Services Ltd.</v>
      </c>
      <c r="C7149" s="1" t="s">
        <v>4648</v>
      </c>
      <c r="D7149" s="1" t="s">
        <v>4649</v>
      </c>
      <c r="F7149" s="1" t="s">
        <v>174</v>
      </c>
      <c r="H7149" s="1" t="s">
        <v>4650</v>
      </c>
      <c r="I7149" s="1" t="s">
        <v>19</v>
      </c>
      <c r="J7149" s="1" t="s">
        <v>6</v>
      </c>
      <c r="K7149" s="1" t="s">
        <v>34</v>
      </c>
      <c r="L7149" s="1">
        <v>3371448</v>
      </c>
      <c r="M7149" s="2">
        <v>42524</v>
      </c>
      <c r="N7149" s="1" t="s">
        <v>8</v>
      </c>
      <c r="O7149" s="2">
        <v>43619</v>
      </c>
    </row>
    <row r="7150" spans="1:15" ht="28.8" x14ac:dyDescent="0.3">
      <c r="A7150" s="1" t="s">
        <v>4651</v>
      </c>
      <c r="B7150" s="1" t="str">
        <f>"BWM LTD"</f>
        <v>BWM LTD</v>
      </c>
      <c r="C7150" s="1" t="s">
        <v>4652</v>
      </c>
      <c r="D7150" s="1" t="s">
        <v>3029</v>
      </c>
      <c r="F7150" s="1" t="s">
        <v>277</v>
      </c>
      <c r="H7150" s="1" t="s">
        <v>4653</v>
      </c>
      <c r="I7150" s="1" t="s">
        <v>19</v>
      </c>
      <c r="J7150" s="1" t="s">
        <v>6</v>
      </c>
      <c r="K7150" s="1" t="s">
        <v>34</v>
      </c>
      <c r="L7150" s="1">
        <v>3145682</v>
      </c>
      <c r="M7150" s="2">
        <v>42524</v>
      </c>
      <c r="N7150" s="1" t="s">
        <v>8</v>
      </c>
      <c r="O7150" s="2">
        <v>43619</v>
      </c>
    </row>
    <row r="7151" spans="1:15" ht="28.8" x14ac:dyDescent="0.3">
      <c r="A7151" s="1" t="s">
        <v>4654</v>
      </c>
      <c r="B7151" s="1" t="str">
        <f>"Business Industrial Solutions Ltd"</f>
        <v>Business Industrial Solutions Ltd</v>
      </c>
      <c r="C7151" s="1" t="s">
        <v>4655</v>
      </c>
      <c r="D7151" s="1" t="s">
        <v>1867</v>
      </c>
      <c r="F7151" s="1" t="s">
        <v>4656</v>
      </c>
      <c r="H7151" s="1" t="s">
        <v>3501</v>
      </c>
      <c r="I7151" s="1" t="s">
        <v>19</v>
      </c>
      <c r="J7151" s="1" t="s">
        <v>6</v>
      </c>
      <c r="K7151" s="1" t="s">
        <v>34</v>
      </c>
      <c r="L7151" s="1">
        <v>6541914</v>
      </c>
      <c r="M7151" s="2">
        <v>42524</v>
      </c>
      <c r="N7151" s="1" t="s">
        <v>8</v>
      </c>
      <c r="O7151" s="2">
        <v>43619</v>
      </c>
    </row>
    <row r="7152" spans="1:15" x14ac:dyDescent="0.3">
      <c r="A7152" s="1" t="s">
        <v>19648</v>
      </c>
      <c r="B7152" s="1" t="str">
        <f>"Haydn Evans H D Evans"</f>
        <v>Haydn Evans H D Evans</v>
      </c>
      <c r="C7152" s="1" t="s">
        <v>19649</v>
      </c>
      <c r="F7152" s="1" t="s">
        <v>96</v>
      </c>
      <c r="H7152" s="1" t="s">
        <v>19650</v>
      </c>
      <c r="I7152" s="1" t="s">
        <v>5</v>
      </c>
      <c r="J7152" s="1" t="s">
        <v>6</v>
      </c>
      <c r="K7152" s="1" t="s">
        <v>24</v>
      </c>
      <c r="M7152" s="2">
        <v>42524</v>
      </c>
      <c r="N7152" s="1" t="s">
        <v>8</v>
      </c>
      <c r="O7152" s="2">
        <v>43619</v>
      </c>
    </row>
    <row r="7153" spans="1:15" ht="28.8" x14ac:dyDescent="0.3">
      <c r="A7153" s="1" t="s">
        <v>19651</v>
      </c>
      <c r="B7153" s="1" t="str">
        <f>"Matthew  Barnett Matthew Barnett"</f>
        <v>Matthew  Barnett Matthew Barnett</v>
      </c>
      <c r="C7153" s="1" t="s">
        <v>19652</v>
      </c>
      <c r="D7153" s="1" t="s">
        <v>19653</v>
      </c>
      <c r="F7153" s="1" t="s">
        <v>123</v>
      </c>
      <c r="H7153" s="1" t="s">
        <v>19654</v>
      </c>
      <c r="I7153" s="1" t="s">
        <v>5</v>
      </c>
      <c r="J7153" s="1" t="s">
        <v>6</v>
      </c>
      <c r="K7153" s="1" t="s">
        <v>24</v>
      </c>
      <c r="M7153" s="2">
        <v>42524</v>
      </c>
      <c r="N7153" s="1" t="s">
        <v>8</v>
      </c>
      <c r="O7153" s="2">
        <v>43619</v>
      </c>
    </row>
    <row r="7154" spans="1:15" ht="28.8" x14ac:dyDescent="0.3">
      <c r="A7154" s="1" t="s">
        <v>19655</v>
      </c>
      <c r="B7154" s="1" t="str">
        <f>"Mike Jones Mike Jones Haulage"</f>
        <v>Mike Jones Mike Jones Haulage</v>
      </c>
      <c r="C7154" s="1" t="s">
        <v>19656</v>
      </c>
      <c r="F7154" s="1" t="s">
        <v>996</v>
      </c>
      <c r="H7154" s="1" t="s">
        <v>19657</v>
      </c>
      <c r="I7154" s="1" t="s">
        <v>5</v>
      </c>
      <c r="J7154" s="1" t="s">
        <v>6</v>
      </c>
      <c r="K7154" s="1" t="s">
        <v>34</v>
      </c>
      <c r="M7154" s="2">
        <v>42524</v>
      </c>
      <c r="N7154" s="1" t="s">
        <v>8</v>
      </c>
      <c r="O7154" s="2">
        <v>43619</v>
      </c>
    </row>
    <row r="7155" spans="1:15" ht="43.2" x14ac:dyDescent="0.3">
      <c r="A7155" s="1" t="s">
        <v>19658</v>
      </c>
      <c r="B7155" s="1" t="str">
        <f>"Griffith Roberts"</f>
        <v>Griffith Roberts</v>
      </c>
      <c r="C7155" s="1" t="s">
        <v>19659</v>
      </c>
      <c r="F7155" s="1" t="s">
        <v>2535</v>
      </c>
      <c r="H7155" s="1" t="s">
        <v>19660</v>
      </c>
      <c r="I7155" s="1" t="s">
        <v>5</v>
      </c>
      <c r="J7155" s="1" t="s">
        <v>67</v>
      </c>
      <c r="K7155" s="1" t="s">
        <v>14</v>
      </c>
      <c r="M7155" s="2">
        <v>42524</v>
      </c>
      <c r="N7155" s="1" t="s">
        <v>8</v>
      </c>
      <c r="O7155" s="1" t="s">
        <v>68</v>
      </c>
    </row>
    <row r="7156" spans="1:15" ht="28.8" x14ac:dyDescent="0.3">
      <c r="A7156" s="1" t="s">
        <v>19661</v>
      </c>
      <c r="B7156" s="1" t="str">
        <f>"Edward Hughes Edward Hughes"</f>
        <v>Edward Hughes Edward Hughes</v>
      </c>
      <c r="C7156" s="1" t="s">
        <v>19662</v>
      </c>
      <c r="F7156" s="1" t="s">
        <v>10970</v>
      </c>
      <c r="H7156" s="1" t="s">
        <v>19663</v>
      </c>
      <c r="I7156" s="1" t="s">
        <v>5</v>
      </c>
      <c r="J7156" s="1" t="s">
        <v>6</v>
      </c>
      <c r="K7156" s="1" t="s">
        <v>24</v>
      </c>
      <c r="M7156" s="2">
        <v>42524</v>
      </c>
      <c r="N7156" s="1" t="s">
        <v>8</v>
      </c>
      <c r="O7156" s="2">
        <v>43619</v>
      </c>
    </row>
    <row r="7157" spans="1:15" ht="28.8" x14ac:dyDescent="0.3">
      <c r="A7157" s="1" t="s">
        <v>19664</v>
      </c>
      <c r="B7157" s="1" t="str">
        <f>"Cyril Norton CYRIL NORTON &amp; SON"</f>
        <v>Cyril Norton CYRIL NORTON &amp; SON</v>
      </c>
      <c r="C7157" s="1" t="s">
        <v>19665</v>
      </c>
      <c r="F7157" s="1" t="s">
        <v>64</v>
      </c>
      <c r="H7157" s="1" t="s">
        <v>18193</v>
      </c>
      <c r="I7157" s="1" t="s">
        <v>5</v>
      </c>
      <c r="J7157" s="1" t="s">
        <v>6</v>
      </c>
      <c r="K7157" s="1" t="s">
        <v>34</v>
      </c>
      <c r="M7157" s="2">
        <v>42524</v>
      </c>
      <c r="N7157" s="1" t="s">
        <v>8</v>
      </c>
      <c r="O7157" s="2">
        <v>43619</v>
      </c>
    </row>
    <row r="7158" spans="1:15" ht="43.2" x14ac:dyDescent="0.3">
      <c r="A7158" s="1" t="s">
        <v>20438</v>
      </c>
      <c r="B7158" s="1" t="str">
        <f>"Adrian Lincoln"</f>
        <v>Adrian Lincoln</v>
      </c>
      <c r="C7158" s="1" t="s">
        <v>20439</v>
      </c>
      <c r="F7158" s="1" t="s">
        <v>438</v>
      </c>
      <c r="H7158" s="1" t="s">
        <v>4553</v>
      </c>
      <c r="I7158" s="1" t="s">
        <v>5</v>
      </c>
      <c r="J7158" s="1" t="s">
        <v>67</v>
      </c>
      <c r="K7158" s="1" t="s">
        <v>14</v>
      </c>
      <c r="M7158" s="2">
        <v>42524</v>
      </c>
      <c r="N7158" s="1" t="s">
        <v>8</v>
      </c>
      <c r="O7158" s="1" t="s">
        <v>68</v>
      </c>
    </row>
    <row r="7159" spans="1:15" ht="43.2" x14ac:dyDescent="0.3">
      <c r="A7159" s="1" t="s">
        <v>3544</v>
      </c>
      <c r="B7159" s="1" t="str">
        <f>"MARTIN EVANS LTD"</f>
        <v>MARTIN EVANS LTD</v>
      </c>
      <c r="C7159" s="1" t="s">
        <v>3545</v>
      </c>
      <c r="F7159" s="1" t="s">
        <v>1180</v>
      </c>
      <c r="H7159" s="1" t="s">
        <v>3546</v>
      </c>
      <c r="I7159" s="1" t="s">
        <v>19</v>
      </c>
      <c r="J7159" s="1" t="s">
        <v>67</v>
      </c>
      <c r="K7159" s="1" t="s">
        <v>24</v>
      </c>
      <c r="L7159" s="1">
        <v>4911881</v>
      </c>
      <c r="M7159" s="2">
        <v>42523</v>
      </c>
      <c r="N7159" s="1" t="s">
        <v>8</v>
      </c>
      <c r="O7159" s="1" t="s">
        <v>68</v>
      </c>
    </row>
    <row r="7160" spans="1:15" ht="43.2" x14ac:dyDescent="0.3">
      <c r="A7160" s="1" t="s">
        <v>3547</v>
      </c>
      <c r="B7160" s="1" t="str">
        <f>"Gwaith Cerrig Beddi"</f>
        <v>Gwaith Cerrig Beddi</v>
      </c>
      <c r="C7160" s="1" t="s">
        <v>3548</v>
      </c>
      <c r="D7160" s="1" t="s">
        <v>2757</v>
      </c>
      <c r="F7160" s="1" t="s">
        <v>3549</v>
      </c>
      <c r="H7160" s="1" t="s">
        <v>3550</v>
      </c>
      <c r="I7160" s="1" t="s">
        <v>125</v>
      </c>
      <c r="J7160" s="1" t="s">
        <v>67</v>
      </c>
      <c r="K7160" s="1" t="s">
        <v>14</v>
      </c>
      <c r="M7160" s="2">
        <v>42523</v>
      </c>
      <c r="N7160" s="1" t="s">
        <v>8</v>
      </c>
      <c r="O7160" s="1" t="s">
        <v>68</v>
      </c>
    </row>
    <row r="7161" spans="1:15" ht="28.8" x14ac:dyDescent="0.3">
      <c r="A7161" s="1" t="s">
        <v>3551</v>
      </c>
      <c r="B7161" s="1" t="str">
        <f>"DUDLEYS ALUMINIUM LTD"</f>
        <v>DUDLEYS ALUMINIUM LTD</v>
      </c>
      <c r="C7161" s="1" t="s">
        <v>3552</v>
      </c>
      <c r="F7161" s="1" t="s">
        <v>27</v>
      </c>
      <c r="H7161" s="1" t="s">
        <v>3553</v>
      </c>
      <c r="I7161" s="1" t="s">
        <v>19</v>
      </c>
      <c r="J7161" s="1" t="s">
        <v>6</v>
      </c>
      <c r="K7161" s="1" t="s">
        <v>34</v>
      </c>
      <c r="L7161" s="1">
        <v>5354013</v>
      </c>
      <c r="M7161" s="2">
        <v>42523</v>
      </c>
      <c r="N7161" s="1" t="s">
        <v>8</v>
      </c>
      <c r="O7161" s="2">
        <v>43618</v>
      </c>
    </row>
    <row r="7162" spans="1:15" ht="28.8" x14ac:dyDescent="0.3">
      <c r="A7162" s="1" t="s">
        <v>4632</v>
      </c>
      <c r="B7162" s="1" t="str">
        <f>"John Raymond Transport Ltd."</f>
        <v>John Raymond Transport Ltd.</v>
      </c>
      <c r="C7162" s="1" t="s">
        <v>4633</v>
      </c>
      <c r="D7162" s="1" t="s">
        <v>4634</v>
      </c>
      <c r="F7162" s="1" t="s">
        <v>4635</v>
      </c>
      <c r="H7162" s="1" t="s">
        <v>4636</v>
      </c>
      <c r="I7162" s="1" t="s">
        <v>19</v>
      </c>
      <c r="J7162" s="1" t="s">
        <v>6</v>
      </c>
      <c r="K7162" s="1" t="s">
        <v>24</v>
      </c>
      <c r="L7162" s="1">
        <v>400527</v>
      </c>
      <c r="M7162" s="2">
        <v>42523</v>
      </c>
      <c r="N7162" s="1" t="s">
        <v>8</v>
      </c>
      <c r="O7162" s="2">
        <v>43618</v>
      </c>
    </row>
    <row r="7163" spans="1:15" ht="43.2" x14ac:dyDescent="0.3">
      <c r="A7163" s="1" t="s">
        <v>18834</v>
      </c>
      <c r="B7163" s="1" t="str">
        <f>"Barry Llewelyn"</f>
        <v>Barry Llewelyn</v>
      </c>
      <c r="C7163" s="1" t="s">
        <v>5730</v>
      </c>
      <c r="F7163" s="1" t="s">
        <v>714</v>
      </c>
      <c r="H7163" s="1" t="s">
        <v>5731</v>
      </c>
      <c r="I7163" s="1" t="s">
        <v>5</v>
      </c>
      <c r="J7163" s="1" t="s">
        <v>67</v>
      </c>
      <c r="K7163" s="1" t="s">
        <v>14</v>
      </c>
      <c r="M7163" s="2">
        <v>42523</v>
      </c>
      <c r="N7163" s="1" t="s">
        <v>8</v>
      </c>
      <c r="O7163" s="1" t="s">
        <v>68</v>
      </c>
    </row>
    <row r="7164" spans="1:15" ht="28.8" x14ac:dyDescent="0.3">
      <c r="A7164" s="1" t="s">
        <v>18835</v>
      </c>
      <c r="B7164" s="1" t="str">
        <f>"David  Beirne David Beirne"</f>
        <v>David  Beirne David Beirne</v>
      </c>
      <c r="C7164" s="1" t="s">
        <v>18836</v>
      </c>
      <c r="F7164" s="1" t="s">
        <v>380</v>
      </c>
      <c r="H7164" s="1" t="s">
        <v>18837</v>
      </c>
      <c r="I7164" s="1" t="s">
        <v>5</v>
      </c>
      <c r="J7164" s="1" t="s">
        <v>6</v>
      </c>
      <c r="K7164" s="1" t="s">
        <v>34</v>
      </c>
      <c r="M7164" s="2">
        <v>42523</v>
      </c>
      <c r="N7164" s="1" t="s">
        <v>8</v>
      </c>
      <c r="O7164" s="2">
        <v>43618</v>
      </c>
    </row>
    <row r="7165" spans="1:15" ht="28.8" x14ac:dyDescent="0.3">
      <c r="A7165" s="1" t="s">
        <v>18838</v>
      </c>
      <c r="B7165" s="1" t="str">
        <f>"Caryl Discombe Oxwich Camping Park"</f>
        <v>Caryl Discombe Oxwich Camping Park</v>
      </c>
      <c r="C7165" s="1" t="s">
        <v>18839</v>
      </c>
      <c r="F7165" s="1" t="s">
        <v>64</v>
      </c>
      <c r="H7165" s="1" t="s">
        <v>18840</v>
      </c>
      <c r="I7165" s="1" t="s">
        <v>5</v>
      </c>
      <c r="J7165" s="1" t="s">
        <v>6</v>
      </c>
      <c r="K7165" s="1" t="s">
        <v>24</v>
      </c>
      <c r="M7165" s="2">
        <v>42523</v>
      </c>
      <c r="N7165" s="1" t="s">
        <v>8</v>
      </c>
      <c r="O7165" s="2">
        <v>43618</v>
      </c>
    </row>
    <row r="7166" spans="1:15" ht="43.2" x14ac:dyDescent="0.3">
      <c r="A7166" s="1" t="s">
        <v>18841</v>
      </c>
      <c r="B7166" s="1" t="str">
        <f>"Gordon Bricknell"</f>
        <v>Gordon Bricknell</v>
      </c>
      <c r="C7166" s="1" t="s">
        <v>18842</v>
      </c>
      <c r="F7166" s="1" t="s">
        <v>11028</v>
      </c>
      <c r="H7166" s="1" t="s">
        <v>18843</v>
      </c>
      <c r="I7166" s="1" t="s">
        <v>5</v>
      </c>
      <c r="J7166" s="1" t="s">
        <v>67</v>
      </c>
      <c r="K7166" s="1" t="s">
        <v>14</v>
      </c>
      <c r="M7166" s="2">
        <v>42523</v>
      </c>
      <c r="N7166" s="1" t="s">
        <v>8</v>
      </c>
      <c r="O7166" s="1" t="s">
        <v>68</v>
      </c>
    </row>
    <row r="7167" spans="1:15" ht="43.2" x14ac:dyDescent="0.3">
      <c r="A7167" s="1" t="s">
        <v>19645</v>
      </c>
      <c r="B7167" s="1" t="str">
        <f>"DENNIS WYNNE"</f>
        <v>DENNIS WYNNE</v>
      </c>
      <c r="C7167" s="1" t="s">
        <v>19646</v>
      </c>
      <c r="F7167" s="1" t="s">
        <v>198</v>
      </c>
      <c r="H7167" s="1" t="s">
        <v>19647</v>
      </c>
      <c r="I7167" s="1" t="s">
        <v>5</v>
      </c>
      <c r="J7167" s="1" t="s">
        <v>67</v>
      </c>
      <c r="K7167" s="1" t="s">
        <v>24</v>
      </c>
      <c r="M7167" s="2">
        <v>42523</v>
      </c>
      <c r="N7167" s="1" t="s">
        <v>8</v>
      </c>
      <c r="O7167" s="1" t="s">
        <v>68</v>
      </c>
    </row>
    <row r="7168" spans="1:15" ht="28.8" x14ac:dyDescent="0.3">
      <c r="A7168" s="1" t="s">
        <v>3535</v>
      </c>
      <c r="B7168" s="1" t="str">
        <f>"North cotswold landscapes ltd "</f>
        <v xml:space="preserve">North cotswold landscapes ltd </v>
      </c>
      <c r="C7168" s="1" t="s">
        <v>3536</v>
      </c>
      <c r="F7168" s="1" t="s">
        <v>3537</v>
      </c>
      <c r="H7168" s="1" t="s">
        <v>3538</v>
      </c>
      <c r="I7168" s="1" t="s">
        <v>19</v>
      </c>
      <c r="J7168" s="1" t="s">
        <v>6</v>
      </c>
      <c r="K7168" s="1" t="s">
        <v>34</v>
      </c>
      <c r="L7168" s="1">
        <v>8415139</v>
      </c>
      <c r="M7168" s="2">
        <v>42522</v>
      </c>
      <c r="N7168" s="1" t="s">
        <v>8</v>
      </c>
      <c r="O7168" s="2">
        <v>43617</v>
      </c>
    </row>
    <row r="7169" spans="1:15" ht="28.8" x14ac:dyDescent="0.3">
      <c r="A7169" s="1" t="s">
        <v>3539</v>
      </c>
      <c r="B7169" s="1" t="str">
        <f>"Steve Hughes Haulage Ltd."</f>
        <v>Steve Hughes Haulage Ltd.</v>
      </c>
      <c r="C7169" s="1" t="s">
        <v>3540</v>
      </c>
      <c r="D7169" s="1" t="s">
        <v>3541</v>
      </c>
      <c r="F7169" s="1" t="s">
        <v>3542</v>
      </c>
      <c r="H7169" s="1" t="s">
        <v>3543</v>
      </c>
      <c r="I7169" s="1" t="s">
        <v>19</v>
      </c>
      <c r="J7169" s="1" t="s">
        <v>6</v>
      </c>
      <c r="K7169" s="1" t="s">
        <v>24</v>
      </c>
      <c r="L7169" s="1">
        <v>4945991</v>
      </c>
      <c r="M7169" s="2">
        <v>42522</v>
      </c>
      <c r="N7169" s="1" t="s">
        <v>8</v>
      </c>
      <c r="O7169" s="2">
        <v>43617</v>
      </c>
    </row>
    <row r="7170" spans="1:15" ht="28.8" x14ac:dyDescent="0.3">
      <c r="A7170" s="1" t="s">
        <v>17247</v>
      </c>
      <c r="B7170" s="1" t="str">
        <f>"Palms Landscaping Limited"</f>
        <v>Palms Landscaping Limited</v>
      </c>
      <c r="C7170" s="1" t="s">
        <v>17248</v>
      </c>
      <c r="F7170" s="1" t="s">
        <v>42</v>
      </c>
      <c r="H7170" s="1" t="s">
        <v>17249</v>
      </c>
      <c r="I7170" s="1" t="s">
        <v>19</v>
      </c>
      <c r="J7170" s="1" t="s">
        <v>6</v>
      </c>
      <c r="K7170" s="1" t="s">
        <v>34</v>
      </c>
      <c r="L7170" s="1">
        <v>5005757</v>
      </c>
      <c r="M7170" s="2">
        <v>42522</v>
      </c>
      <c r="N7170" s="1" t="s">
        <v>8</v>
      </c>
      <c r="O7170" s="2">
        <v>43617</v>
      </c>
    </row>
    <row r="7171" spans="1:15" x14ac:dyDescent="0.3">
      <c r="A7171" s="1" t="s">
        <v>17250</v>
      </c>
      <c r="B7171" s="1" t="str">
        <f>"Debrett Fires Ltd."</f>
        <v>Debrett Fires Ltd.</v>
      </c>
      <c r="C7171" s="1" t="s">
        <v>17251</v>
      </c>
      <c r="F7171" s="1" t="s">
        <v>1184</v>
      </c>
      <c r="H7171" s="1" t="s">
        <v>8594</v>
      </c>
      <c r="I7171" s="1" t="s">
        <v>19</v>
      </c>
      <c r="J7171" s="1" t="s">
        <v>6</v>
      </c>
      <c r="K7171" s="1" t="s">
        <v>24</v>
      </c>
      <c r="L7171" s="1">
        <v>4563349</v>
      </c>
      <c r="M7171" s="2">
        <v>42522</v>
      </c>
      <c r="N7171" s="1" t="s">
        <v>8</v>
      </c>
      <c r="O7171" s="2">
        <v>43617</v>
      </c>
    </row>
    <row r="7172" spans="1:15" ht="43.2" x14ac:dyDescent="0.3">
      <c r="A7172" s="1" t="s">
        <v>18248</v>
      </c>
      <c r="B7172" s="1" t="str">
        <f>"PAPERBACK COLLECTION &amp; RECYCLING LTD"</f>
        <v>PAPERBACK COLLECTION &amp; RECYCLING LTD</v>
      </c>
      <c r="C7172" s="1" t="s">
        <v>13567</v>
      </c>
      <c r="D7172" s="1" t="s">
        <v>8848</v>
      </c>
      <c r="F7172" s="1" t="s">
        <v>1346</v>
      </c>
      <c r="H7172" s="1" t="s">
        <v>8423</v>
      </c>
      <c r="I7172" s="1" t="s">
        <v>19</v>
      </c>
      <c r="J7172" s="1" t="s">
        <v>6</v>
      </c>
      <c r="K7172" s="1" t="s">
        <v>34</v>
      </c>
      <c r="L7172" s="1">
        <v>3056146</v>
      </c>
      <c r="M7172" s="2">
        <v>42522</v>
      </c>
      <c r="N7172" s="1" t="s">
        <v>8</v>
      </c>
      <c r="O7172" s="2">
        <v>43617</v>
      </c>
    </row>
    <row r="7173" spans="1:15" ht="43.2" x14ac:dyDescent="0.3">
      <c r="A7173" s="1" t="s">
        <v>18249</v>
      </c>
      <c r="B7173" s="1" t="str">
        <f>"Caldy Motors Ltd"</f>
        <v>Caldy Motors Ltd</v>
      </c>
      <c r="C7173" s="1" t="s">
        <v>18250</v>
      </c>
      <c r="D7173" s="1" t="s">
        <v>18251</v>
      </c>
      <c r="F7173" s="1" t="s">
        <v>14052</v>
      </c>
      <c r="H7173" s="1" t="s">
        <v>18252</v>
      </c>
      <c r="I7173" s="1" t="s">
        <v>19</v>
      </c>
      <c r="J7173" s="1" t="s">
        <v>67</v>
      </c>
      <c r="K7173" s="1" t="s">
        <v>14</v>
      </c>
      <c r="M7173" s="2">
        <v>42522</v>
      </c>
      <c r="N7173" s="1" t="s">
        <v>8</v>
      </c>
      <c r="O7173" s="1" t="s">
        <v>68</v>
      </c>
    </row>
    <row r="7174" spans="1:15" ht="28.8" x14ac:dyDescent="0.3">
      <c r="A7174" s="1" t="s">
        <v>18253</v>
      </c>
      <c r="B7174" s="1" t="str">
        <f>"Cutting Edge Landscapes (wm) Ltd"</f>
        <v>Cutting Edge Landscapes (wm) Ltd</v>
      </c>
      <c r="C7174" s="1" t="s">
        <v>18254</v>
      </c>
      <c r="D7174" s="1" t="s">
        <v>14862</v>
      </c>
      <c r="F7174" s="1" t="s">
        <v>198</v>
      </c>
      <c r="H7174" s="1" t="s">
        <v>4217</v>
      </c>
      <c r="I7174" s="1" t="s">
        <v>19</v>
      </c>
      <c r="J7174" s="1" t="s">
        <v>6</v>
      </c>
      <c r="K7174" s="1" t="s">
        <v>24</v>
      </c>
      <c r="L7174" s="1">
        <v>6524743</v>
      </c>
      <c r="M7174" s="2">
        <v>42522</v>
      </c>
      <c r="N7174" s="1" t="s">
        <v>8</v>
      </c>
      <c r="O7174" s="2">
        <v>43617</v>
      </c>
    </row>
    <row r="7175" spans="1:15" ht="28.8" x14ac:dyDescent="0.3">
      <c r="A7175" s="1" t="s">
        <v>18255</v>
      </c>
      <c r="B7175" s="1" t="str">
        <f>"A J Carrington &amp; sons ltd"</f>
        <v>A J Carrington &amp; sons ltd</v>
      </c>
      <c r="C7175" s="1" t="s">
        <v>18256</v>
      </c>
      <c r="D7175" s="1" t="s">
        <v>18257</v>
      </c>
      <c r="F7175" s="1" t="s">
        <v>5546</v>
      </c>
      <c r="H7175" s="1" t="s">
        <v>18258</v>
      </c>
      <c r="I7175" s="1" t="s">
        <v>19</v>
      </c>
      <c r="J7175" s="1" t="s">
        <v>6</v>
      </c>
      <c r="K7175" s="1" t="s">
        <v>24</v>
      </c>
      <c r="L7175" s="1">
        <v>4519488</v>
      </c>
      <c r="M7175" s="2">
        <v>42522</v>
      </c>
      <c r="N7175" s="1" t="s">
        <v>8</v>
      </c>
      <c r="O7175" s="2">
        <v>43617</v>
      </c>
    </row>
    <row r="7176" spans="1:15" ht="28.8" x14ac:dyDescent="0.3">
      <c r="A7176" s="1" t="s">
        <v>18259</v>
      </c>
      <c r="B7176" s="1" t="str">
        <f>"R L Davies &amp; Son Ltd"</f>
        <v>R L Davies &amp; Son Ltd</v>
      </c>
      <c r="C7176" s="1" t="s">
        <v>18260</v>
      </c>
      <c r="D7176" s="1" t="s">
        <v>8076</v>
      </c>
      <c r="F7176" s="1" t="s">
        <v>1184</v>
      </c>
      <c r="H7176" s="1" t="s">
        <v>18261</v>
      </c>
      <c r="I7176" s="1" t="s">
        <v>19</v>
      </c>
      <c r="J7176" s="1" t="s">
        <v>6</v>
      </c>
      <c r="K7176" s="1" t="s">
        <v>34</v>
      </c>
      <c r="L7176" s="1">
        <v>1783213</v>
      </c>
      <c r="M7176" s="2">
        <v>42522</v>
      </c>
      <c r="N7176" s="1" t="s">
        <v>8</v>
      </c>
      <c r="O7176" s="2">
        <v>43617</v>
      </c>
    </row>
    <row r="7177" spans="1:15" ht="28.8" x14ac:dyDescent="0.3">
      <c r="A7177" s="1" t="s">
        <v>29867</v>
      </c>
      <c r="B7177" s="1" t="str">
        <f>"Daniel Tyrer Daniel Tyrer"</f>
        <v>Daniel Tyrer Daniel Tyrer</v>
      </c>
      <c r="C7177" s="1" t="s">
        <v>29868</v>
      </c>
      <c r="F7177" s="1" t="s">
        <v>3888</v>
      </c>
      <c r="H7177" s="1" t="s">
        <v>29869</v>
      </c>
      <c r="I7177" s="1" t="s">
        <v>5</v>
      </c>
      <c r="J7177" s="1" t="s">
        <v>6</v>
      </c>
      <c r="K7177" s="1" t="s">
        <v>34</v>
      </c>
      <c r="M7177" s="2">
        <v>42522</v>
      </c>
      <c r="N7177" s="1" t="s">
        <v>8</v>
      </c>
      <c r="O7177" s="2">
        <v>43617</v>
      </c>
    </row>
    <row r="7178" spans="1:15" ht="28.8" x14ac:dyDescent="0.3">
      <c r="A7178" s="1" t="s">
        <v>29870</v>
      </c>
      <c r="B7178" s="1" t="str">
        <f>"DEREK FOX GWENT SKIP HIRE"</f>
        <v>DEREK FOX GWENT SKIP HIRE</v>
      </c>
      <c r="C7178" s="1" t="s">
        <v>29871</v>
      </c>
      <c r="F7178" s="1" t="s">
        <v>621</v>
      </c>
      <c r="H7178" s="1" t="s">
        <v>29872</v>
      </c>
      <c r="I7178" s="1" t="s">
        <v>5</v>
      </c>
      <c r="J7178" s="1" t="s">
        <v>6</v>
      </c>
      <c r="K7178" s="1" t="s">
        <v>24</v>
      </c>
      <c r="M7178" s="2">
        <v>42522</v>
      </c>
      <c r="N7178" s="1" t="s">
        <v>8</v>
      </c>
      <c r="O7178" s="2">
        <v>43617</v>
      </c>
    </row>
    <row r="7179" spans="1:15" ht="28.8" x14ac:dyDescent="0.3">
      <c r="A7179" s="1" t="s">
        <v>29873</v>
      </c>
      <c r="B7179" s="1" t="str">
        <f>"WILLIAM EDWARDS DAVIES"</f>
        <v>WILLIAM EDWARDS DAVIES</v>
      </c>
      <c r="C7179" s="1" t="s">
        <v>29874</v>
      </c>
      <c r="F7179" s="1" t="s">
        <v>103</v>
      </c>
      <c r="H7179" s="1" t="s">
        <v>29875</v>
      </c>
      <c r="I7179" s="1" t="s">
        <v>5</v>
      </c>
      <c r="J7179" s="1" t="s">
        <v>6</v>
      </c>
      <c r="K7179" s="1" t="s">
        <v>24</v>
      </c>
      <c r="M7179" s="2">
        <v>42522</v>
      </c>
      <c r="N7179" s="1" t="s">
        <v>8</v>
      </c>
      <c r="O7179" s="2">
        <v>43617</v>
      </c>
    </row>
    <row r="7180" spans="1:15" ht="28.8" x14ac:dyDescent="0.3">
      <c r="A7180" s="1" t="s">
        <v>29876</v>
      </c>
      <c r="B7180" s="1" t="str">
        <f>"Leon Baines WoodWorks"</f>
        <v>Leon Baines WoodWorks</v>
      </c>
      <c r="C7180" s="1" t="s">
        <v>29877</v>
      </c>
      <c r="F7180" s="1" t="s">
        <v>290</v>
      </c>
      <c r="H7180" s="1" t="s">
        <v>29878</v>
      </c>
      <c r="I7180" s="1" t="s">
        <v>5</v>
      </c>
      <c r="J7180" s="1" t="s">
        <v>6</v>
      </c>
      <c r="K7180" s="1" t="s">
        <v>34</v>
      </c>
      <c r="M7180" s="2">
        <v>42522</v>
      </c>
      <c r="N7180" s="1" t="s">
        <v>8</v>
      </c>
      <c r="O7180" s="2">
        <v>43617</v>
      </c>
    </row>
    <row r="7181" spans="1:15" ht="28.8" x14ac:dyDescent="0.3">
      <c r="A7181" s="1" t="s">
        <v>29879</v>
      </c>
      <c r="B7181" s="1" t="str">
        <f>"Wayne  Appleby  W.A Flooring &amp; Upholstery "</f>
        <v xml:space="preserve">Wayne  Appleby  W.A Flooring &amp; Upholstery </v>
      </c>
      <c r="C7181" s="1" t="s">
        <v>29880</v>
      </c>
      <c r="F7181" s="1" t="s">
        <v>83</v>
      </c>
      <c r="H7181" s="1" t="s">
        <v>29881</v>
      </c>
      <c r="I7181" s="1" t="s">
        <v>5</v>
      </c>
      <c r="J7181" s="1" t="s">
        <v>6</v>
      </c>
      <c r="K7181" s="1" t="s">
        <v>24</v>
      </c>
      <c r="M7181" s="2">
        <v>42522</v>
      </c>
      <c r="N7181" s="1" t="s">
        <v>8</v>
      </c>
      <c r="O7181" s="2">
        <v>43617</v>
      </c>
    </row>
    <row r="7182" spans="1:15" ht="28.8" x14ac:dyDescent="0.3">
      <c r="A7182" s="1" t="s">
        <v>29882</v>
      </c>
      <c r="B7182" s="1" t="str">
        <f>"Malcolm Peters See Green Environmental"</f>
        <v>Malcolm Peters See Green Environmental</v>
      </c>
      <c r="C7182" s="1" t="s">
        <v>29883</v>
      </c>
      <c r="D7182" s="1" t="s">
        <v>95</v>
      </c>
      <c r="F7182" s="1" t="s">
        <v>198</v>
      </c>
      <c r="H7182" s="1" t="s">
        <v>18833</v>
      </c>
      <c r="I7182" s="1" t="s">
        <v>5</v>
      </c>
      <c r="J7182" s="1" t="s">
        <v>6</v>
      </c>
      <c r="K7182" s="1" t="s">
        <v>24</v>
      </c>
      <c r="M7182" s="2">
        <v>42522</v>
      </c>
      <c r="N7182" s="1" t="s">
        <v>8</v>
      </c>
      <c r="O7182" s="2">
        <v>43617</v>
      </c>
    </row>
    <row r="7183" spans="1:15" ht="43.2" x14ac:dyDescent="0.3">
      <c r="A7183" s="1" t="s">
        <v>29884</v>
      </c>
      <c r="B7183" s="1" t="str">
        <f>"Rachael Williams"</f>
        <v>Rachael Williams</v>
      </c>
      <c r="C7183" s="1" t="s">
        <v>29885</v>
      </c>
      <c r="F7183" s="1" t="s">
        <v>1610</v>
      </c>
      <c r="H7183" s="1" t="s">
        <v>29886</v>
      </c>
      <c r="I7183" s="1" t="s">
        <v>5</v>
      </c>
      <c r="J7183" s="1" t="s">
        <v>67</v>
      </c>
      <c r="K7183" s="1" t="s">
        <v>14</v>
      </c>
      <c r="M7183" s="2">
        <v>42522</v>
      </c>
      <c r="N7183" s="1" t="s">
        <v>8</v>
      </c>
      <c r="O7183" s="1" t="s">
        <v>68</v>
      </c>
    </row>
    <row r="7184" spans="1:15" ht="28.8" x14ac:dyDescent="0.3">
      <c r="A7184" s="1" t="s">
        <v>17222</v>
      </c>
      <c r="B7184" s="1" t="str">
        <f>"Thomas Waste Management Ltd."</f>
        <v>Thomas Waste Management Ltd.</v>
      </c>
      <c r="C7184" s="1" t="s">
        <v>17223</v>
      </c>
      <c r="D7184" s="1" t="s">
        <v>1235</v>
      </c>
      <c r="F7184" s="1" t="s">
        <v>8319</v>
      </c>
      <c r="H7184" s="1" t="s">
        <v>17224</v>
      </c>
      <c r="I7184" s="1" t="s">
        <v>19</v>
      </c>
      <c r="J7184" s="1" t="s">
        <v>6</v>
      </c>
      <c r="K7184" s="1" t="s">
        <v>34</v>
      </c>
      <c r="L7184" s="1">
        <v>2921413</v>
      </c>
      <c r="M7184" s="2">
        <v>42521</v>
      </c>
      <c r="N7184" s="1" t="s">
        <v>8</v>
      </c>
      <c r="O7184" s="2">
        <v>43616</v>
      </c>
    </row>
    <row r="7185" spans="1:15" ht="28.8" x14ac:dyDescent="0.3">
      <c r="A7185" s="1" t="s">
        <v>17225</v>
      </c>
      <c r="B7185" s="1" t="str">
        <f>"FORDPAD LIMITED"</f>
        <v>FORDPAD LIMITED</v>
      </c>
      <c r="C7185" s="1" t="s">
        <v>17226</v>
      </c>
      <c r="F7185" s="1" t="s">
        <v>174</v>
      </c>
      <c r="H7185" s="1" t="s">
        <v>17227</v>
      </c>
      <c r="I7185" s="1" t="s">
        <v>19</v>
      </c>
      <c r="J7185" s="1" t="s">
        <v>6</v>
      </c>
      <c r="K7185" s="1" t="s">
        <v>34</v>
      </c>
      <c r="L7185" s="1">
        <v>1620117</v>
      </c>
      <c r="M7185" s="2">
        <v>42521</v>
      </c>
      <c r="N7185" s="1" t="s">
        <v>8</v>
      </c>
      <c r="O7185" s="2">
        <v>43616</v>
      </c>
    </row>
    <row r="7186" spans="1:15" ht="43.2" x14ac:dyDescent="0.3">
      <c r="A7186" s="1" t="s">
        <v>17228</v>
      </c>
      <c r="B7186" s="1" t="str">
        <f>"ENVIROVENTURE WASTE SOLUTIONS LTD"</f>
        <v>ENVIROVENTURE WASTE SOLUTIONS LTD</v>
      </c>
      <c r="C7186" s="1" t="s">
        <v>17229</v>
      </c>
      <c r="F7186" s="1" t="s">
        <v>17230</v>
      </c>
      <c r="H7186" s="1" t="s">
        <v>2593</v>
      </c>
      <c r="I7186" s="1" t="s">
        <v>19</v>
      </c>
      <c r="J7186" s="1" t="s">
        <v>6</v>
      </c>
      <c r="K7186" s="1" t="s">
        <v>34</v>
      </c>
      <c r="L7186" s="1">
        <v>6331925</v>
      </c>
      <c r="M7186" s="2">
        <v>42521</v>
      </c>
      <c r="N7186" s="1" t="s">
        <v>8</v>
      </c>
      <c r="O7186" s="2">
        <v>43616</v>
      </c>
    </row>
    <row r="7187" spans="1:15" ht="28.8" x14ac:dyDescent="0.3">
      <c r="A7187" s="1" t="s">
        <v>17231</v>
      </c>
      <c r="B7187" s="1" t="str">
        <f>"Crynant Plant &amp; Construction Ltd "</f>
        <v xml:space="preserve">Crynant Plant &amp; Construction Ltd </v>
      </c>
      <c r="C7187" s="1" t="s">
        <v>5858</v>
      </c>
      <c r="F7187" s="1" t="s">
        <v>174</v>
      </c>
      <c r="H7187" s="1" t="s">
        <v>5859</v>
      </c>
      <c r="I7187" s="1" t="s">
        <v>19</v>
      </c>
      <c r="J7187" s="1" t="s">
        <v>6</v>
      </c>
      <c r="K7187" s="1" t="s">
        <v>24</v>
      </c>
      <c r="L7187" s="1">
        <v>4716519</v>
      </c>
      <c r="M7187" s="2">
        <v>42521</v>
      </c>
      <c r="N7187" s="1" t="s">
        <v>8</v>
      </c>
      <c r="O7187" s="2">
        <v>43616</v>
      </c>
    </row>
    <row r="7188" spans="1:15" ht="28.8" x14ac:dyDescent="0.3">
      <c r="A7188" s="1" t="s">
        <v>17232</v>
      </c>
      <c r="B7188" s="1" t="str">
        <f>"ADENHART (WALES) LTD"</f>
        <v>ADENHART (WALES) LTD</v>
      </c>
      <c r="C7188" s="1" t="s">
        <v>17233</v>
      </c>
      <c r="F7188" s="1" t="s">
        <v>27</v>
      </c>
      <c r="H7188" s="1" t="s">
        <v>7139</v>
      </c>
      <c r="I7188" s="1" t="s">
        <v>19</v>
      </c>
      <c r="J7188" s="1" t="s">
        <v>6</v>
      </c>
      <c r="K7188" s="1" t="s">
        <v>24</v>
      </c>
      <c r="L7188" s="1">
        <v>7192381</v>
      </c>
      <c r="M7188" s="2">
        <v>42521</v>
      </c>
      <c r="N7188" s="1" t="s">
        <v>8</v>
      </c>
      <c r="O7188" s="2">
        <v>43616</v>
      </c>
    </row>
    <row r="7189" spans="1:15" ht="28.8" x14ac:dyDescent="0.3">
      <c r="A7189" s="1" t="s">
        <v>17234</v>
      </c>
      <c r="B7189" s="1" t="str">
        <f>"Crynant Plant Ltd."</f>
        <v>Crynant Plant Ltd.</v>
      </c>
      <c r="C7189" s="1" t="s">
        <v>173</v>
      </c>
      <c r="F7189" s="1" t="s">
        <v>174</v>
      </c>
      <c r="H7189" s="1" t="s">
        <v>175</v>
      </c>
      <c r="I7189" s="1" t="s">
        <v>19</v>
      </c>
      <c r="J7189" s="1" t="s">
        <v>6</v>
      </c>
      <c r="K7189" s="1" t="s">
        <v>24</v>
      </c>
      <c r="L7189" s="1">
        <v>1986755</v>
      </c>
      <c r="M7189" s="2">
        <v>42521</v>
      </c>
      <c r="N7189" s="1" t="s">
        <v>8</v>
      </c>
      <c r="O7189" s="2">
        <v>43616</v>
      </c>
    </row>
    <row r="7190" spans="1:15" ht="28.8" x14ac:dyDescent="0.3">
      <c r="A7190" s="1" t="s">
        <v>17235</v>
      </c>
      <c r="B7190" s="1" t="str">
        <f>"ROBIN WYNN &amp; CO"</f>
        <v>ROBIN WYNN &amp; CO</v>
      </c>
      <c r="C7190" s="1" t="s">
        <v>17236</v>
      </c>
      <c r="D7190" s="1" t="s">
        <v>17237</v>
      </c>
      <c r="F7190" s="1" t="s">
        <v>198</v>
      </c>
      <c r="H7190" s="1" t="s">
        <v>17238</v>
      </c>
      <c r="I7190" s="1" t="s">
        <v>125</v>
      </c>
      <c r="J7190" s="1" t="s">
        <v>6</v>
      </c>
      <c r="K7190" s="1" t="s">
        <v>34</v>
      </c>
      <c r="M7190" s="2">
        <v>42521</v>
      </c>
      <c r="N7190" s="1" t="s">
        <v>8</v>
      </c>
      <c r="O7190" s="2">
        <v>43616</v>
      </c>
    </row>
    <row r="7191" spans="1:15" ht="43.2" x14ac:dyDescent="0.3">
      <c r="A7191" s="1" t="s">
        <v>17239</v>
      </c>
      <c r="B7191" s="1" t="str">
        <f>"M R AND SONS"</f>
        <v>M R AND SONS</v>
      </c>
      <c r="C7191" s="1" t="s">
        <v>17240</v>
      </c>
      <c r="F7191" s="1" t="s">
        <v>17241</v>
      </c>
      <c r="H7191" s="1" t="s">
        <v>17242</v>
      </c>
      <c r="I7191" s="1" t="s">
        <v>188</v>
      </c>
      <c r="J7191" s="1" t="s">
        <v>67</v>
      </c>
      <c r="K7191" s="1" t="s">
        <v>14</v>
      </c>
      <c r="M7191" s="2">
        <v>42521</v>
      </c>
      <c r="N7191" s="1" t="s">
        <v>8</v>
      </c>
      <c r="O7191" s="1" t="s">
        <v>68</v>
      </c>
    </row>
    <row r="7192" spans="1:15" ht="28.8" x14ac:dyDescent="0.3">
      <c r="A7192" s="1" t="s">
        <v>17243</v>
      </c>
      <c r="B7192" s="1" t="str">
        <f>"Davies Roberts &amp; Bowen Builders"</f>
        <v>Davies Roberts &amp; Bowen Builders</v>
      </c>
      <c r="C7192" s="1" t="s">
        <v>17244</v>
      </c>
      <c r="F7192" s="1" t="s">
        <v>17245</v>
      </c>
      <c r="H7192" s="1" t="s">
        <v>17246</v>
      </c>
      <c r="I7192" s="1" t="s">
        <v>125</v>
      </c>
      <c r="J7192" s="1" t="s">
        <v>6</v>
      </c>
      <c r="K7192" s="1" t="s">
        <v>34</v>
      </c>
      <c r="M7192" s="2">
        <v>42521</v>
      </c>
      <c r="N7192" s="1" t="s">
        <v>8</v>
      </c>
      <c r="O7192" s="2">
        <v>43616</v>
      </c>
    </row>
    <row r="7193" spans="1:15" ht="28.8" x14ac:dyDescent="0.3">
      <c r="A7193" s="1" t="s">
        <v>29113</v>
      </c>
      <c r="B7193" s="1" t="str">
        <f>"John Roberts John Roberts"</f>
        <v>John Roberts John Roberts</v>
      </c>
      <c r="C7193" s="1" t="s">
        <v>29114</v>
      </c>
      <c r="F7193" s="1" t="s">
        <v>790</v>
      </c>
      <c r="H7193" s="1" t="s">
        <v>29115</v>
      </c>
      <c r="I7193" s="1" t="s">
        <v>5</v>
      </c>
      <c r="J7193" s="1" t="s">
        <v>6</v>
      </c>
      <c r="K7193" s="1" t="s">
        <v>24</v>
      </c>
      <c r="M7193" s="2">
        <v>42521</v>
      </c>
      <c r="N7193" s="1" t="s">
        <v>8</v>
      </c>
      <c r="O7193" s="2">
        <v>43616</v>
      </c>
    </row>
    <row r="7194" spans="1:15" ht="28.8" x14ac:dyDescent="0.3">
      <c r="A7194" s="1" t="s">
        <v>29116</v>
      </c>
      <c r="B7194" s="1" t="str">
        <f>"james britton pyramid solutions"</f>
        <v>james britton pyramid solutions</v>
      </c>
      <c r="C7194" s="1" t="s">
        <v>29117</v>
      </c>
      <c r="F7194" s="1" t="s">
        <v>298</v>
      </c>
      <c r="H7194" s="1" t="s">
        <v>29118</v>
      </c>
      <c r="I7194" s="1" t="s">
        <v>5</v>
      </c>
      <c r="J7194" s="1" t="s">
        <v>6</v>
      </c>
      <c r="K7194" s="1" t="s">
        <v>24</v>
      </c>
      <c r="M7194" s="2">
        <v>42521</v>
      </c>
      <c r="N7194" s="1" t="s">
        <v>8</v>
      </c>
      <c r="O7194" s="2">
        <v>43616</v>
      </c>
    </row>
    <row r="7195" spans="1:15" ht="43.2" x14ac:dyDescent="0.3">
      <c r="A7195" s="1" t="s">
        <v>29119</v>
      </c>
      <c r="B7195" s="1" t="str">
        <f>"STUART BUTLER"</f>
        <v>STUART BUTLER</v>
      </c>
      <c r="C7195" s="1" t="s">
        <v>29120</v>
      </c>
      <c r="D7195" s="1" t="s">
        <v>29121</v>
      </c>
      <c r="F7195" s="1" t="s">
        <v>198</v>
      </c>
      <c r="H7195" s="1" t="s">
        <v>29122</v>
      </c>
      <c r="I7195" s="1" t="s">
        <v>5</v>
      </c>
      <c r="J7195" s="1" t="s">
        <v>67</v>
      </c>
      <c r="K7195" s="1" t="s">
        <v>14</v>
      </c>
      <c r="M7195" s="2">
        <v>42521</v>
      </c>
      <c r="N7195" s="1" t="s">
        <v>8</v>
      </c>
      <c r="O7195" s="1" t="s">
        <v>68</v>
      </c>
    </row>
    <row r="7196" spans="1:15" ht="28.8" x14ac:dyDescent="0.3">
      <c r="A7196" s="1" t="s">
        <v>17219</v>
      </c>
      <c r="B7196" s="1" t="str">
        <f>"CWM AGRICULTURAL LTD"</f>
        <v>CWM AGRICULTURAL LTD</v>
      </c>
      <c r="C7196" s="1" t="s">
        <v>17220</v>
      </c>
      <c r="F7196" s="1" t="s">
        <v>996</v>
      </c>
      <c r="H7196" s="1" t="s">
        <v>17221</v>
      </c>
      <c r="I7196" s="1" t="s">
        <v>19</v>
      </c>
      <c r="J7196" s="1" t="s">
        <v>6</v>
      </c>
      <c r="K7196" s="1" t="s">
        <v>24</v>
      </c>
      <c r="L7196" s="1">
        <v>6224675</v>
      </c>
      <c r="M7196" s="2">
        <v>42520</v>
      </c>
      <c r="N7196" s="1" t="s">
        <v>8</v>
      </c>
      <c r="O7196" s="2">
        <v>43615</v>
      </c>
    </row>
    <row r="7197" spans="1:15" ht="28.8" x14ac:dyDescent="0.3">
      <c r="A7197" s="1" t="s">
        <v>29104</v>
      </c>
      <c r="B7197" s="1" t="str">
        <f>"David Oakley gwynedd ground sevices"</f>
        <v>David Oakley gwynedd ground sevices</v>
      </c>
      <c r="C7197" s="1" t="s">
        <v>29105</v>
      </c>
      <c r="F7197" s="1" t="s">
        <v>1316</v>
      </c>
      <c r="H7197" s="1" t="s">
        <v>29106</v>
      </c>
      <c r="I7197" s="1" t="s">
        <v>5</v>
      </c>
      <c r="J7197" s="1" t="s">
        <v>6</v>
      </c>
      <c r="K7197" s="1" t="s">
        <v>24</v>
      </c>
      <c r="M7197" s="2">
        <v>42520</v>
      </c>
      <c r="N7197" s="1" t="s">
        <v>8</v>
      </c>
      <c r="O7197" s="2">
        <v>43615</v>
      </c>
    </row>
    <row r="7198" spans="1:15" ht="28.8" x14ac:dyDescent="0.3">
      <c r="A7198" s="1" t="s">
        <v>29107</v>
      </c>
      <c r="B7198" s="1" t="str">
        <f>"William  Wainwright"</f>
        <v>William  Wainwright</v>
      </c>
      <c r="C7198" s="1" t="s">
        <v>29108</v>
      </c>
      <c r="F7198" s="1" t="s">
        <v>3142</v>
      </c>
      <c r="H7198" s="1" t="s">
        <v>29109</v>
      </c>
      <c r="I7198" s="1" t="s">
        <v>5</v>
      </c>
      <c r="J7198" s="1" t="s">
        <v>6</v>
      </c>
      <c r="K7198" s="1" t="s">
        <v>34</v>
      </c>
      <c r="M7198" s="2">
        <v>42520</v>
      </c>
      <c r="N7198" s="1" t="s">
        <v>8</v>
      </c>
      <c r="O7198" s="2">
        <v>43615</v>
      </c>
    </row>
    <row r="7199" spans="1:15" ht="28.8" x14ac:dyDescent="0.3">
      <c r="A7199" s="1" t="s">
        <v>29110</v>
      </c>
      <c r="B7199" s="1" t="str">
        <f>"William Paul Richards"</f>
        <v>William Paul Richards</v>
      </c>
      <c r="C7199" s="1" t="s">
        <v>29111</v>
      </c>
      <c r="F7199" s="1" t="s">
        <v>174</v>
      </c>
      <c r="H7199" s="1" t="s">
        <v>29112</v>
      </c>
      <c r="I7199" s="1" t="s">
        <v>5</v>
      </c>
      <c r="J7199" s="1" t="s">
        <v>6</v>
      </c>
      <c r="K7199" s="1" t="s">
        <v>24</v>
      </c>
      <c r="M7199" s="2">
        <v>42520</v>
      </c>
      <c r="N7199" s="1" t="s">
        <v>8</v>
      </c>
      <c r="O7199" s="2">
        <v>43615</v>
      </c>
    </row>
    <row r="7200" spans="1:15" ht="28.8" x14ac:dyDescent="0.3">
      <c r="A7200" s="1" t="s">
        <v>16285</v>
      </c>
      <c r="B7200" s="1" t="str">
        <f>"COURTNEY HOMES LTD"</f>
        <v>COURTNEY HOMES LTD</v>
      </c>
      <c r="C7200" s="1" t="s">
        <v>16286</v>
      </c>
      <c r="D7200" s="1" t="s">
        <v>2006</v>
      </c>
      <c r="F7200" s="1" t="s">
        <v>27</v>
      </c>
      <c r="H7200" s="1" t="s">
        <v>16287</v>
      </c>
      <c r="I7200" s="1" t="s">
        <v>19</v>
      </c>
      <c r="J7200" s="1" t="s">
        <v>6</v>
      </c>
      <c r="K7200" s="1" t="s">
        <v>24</v>
      </c>
      <c r="L7200" s="1">
        <v>5057074</v>
      </c>
      <c r="M7200" s="2">
        <v>42519</v>
      </c>
      <c r="N7200" s="1" t="s">
        <v>8</v>
      </c>
      <c r="O7200" s="2">
        <v>43625</v>
      </c>
    </row>
    <row r="7201" spans="1:15" ht="43.2" x14ac:dyDescent="0.3">
      <c r="A7201" s="1" t="s">
        <v>28381</v>
      </c>
      <c r="B7201" s="1" t="str">
        <f>"Gwyn Jones"</f>
        <v>Gwyn Jones</v>
      </c>
      <c r="C7201" s="1" t="s">
        <v>28382</v>
      </c>
      <c r="F7201" s="1" t="s">
        <v>710</v>
      </c>
      <c r="H7201" s="1" t="s">
        <v>28383</v>
      </c>
      <c r="I7201" s="1" t="s">
        <v>5</v>
      </c>
      <c r="J7201" s="1" t="s">
        <v>67</v>
      </c>
      <c r="K7201" s="1" t="s">
        <v>14</v>
      </c>
      <c r="M7201" s="2">
        <v>42519</v>
      </c>
      <c r="N7201" s="1" t="s">
        <v>8</v>
      </c>
      <c r="O7201" s="1" t="s">
        <v>68</v>
      </c>
    </row>
    <row r="7202" spans="1:15" ht="43.2" x14ac:dyDescent="0.3">
      <c r="A7202" s="1" t="s">
        <v>16282</v>
      </c>
      <c r="B7202" s="1" t="str">
        <f>"H2only Ltd"</f>
        <v>H2only Ltd</v>
      </c>
      <c r="C7202" s="1" t="s">
        <v>16283</v>
      </c>
      <c r="F7202" s="1" t="s">
        <v>374</v>
      </c>
      <c r="H7202" s="1" t="s">
        <v>16284</v>
      </c>
      <c r="I7202" s="1" t="s">
        <v>19</v>
      </c>
      <c r="J7202" s="1" t="s">
        <v>67</v>
      </c>
      <c r="K7202" s="1" t="s">
        <v>14</v>
      </c>
      <c r="M7202" s="2">
        <v>42518</v>
      </c>
      <c r="N7202" s="1" t="s">
        <v>8</v>
      </c>
      <c r="O7202" s="1" t="s">
        <v>68</v>
      </c>
    </row>
    <row r="7203" spans="1:15" ht="28.8" x14ac:dyDescent="0.3">
      <c r="A7203" s="1" t="s">
        <v>1117</v>
      </c>
      <c r="B7203" s="1" t="str">
        <f>"J D Owen Transport Services"</f>
        <v>J D Owen Transport Services</v>
      </c>
      <c r="C7203" s="1" t="s">
        <v>1118</v>
      </c>
      <c r="F7203" s="1" t="s">
        <v>607</v>
      </c>
      <c r="H7203" s="1" t="s">
        <v>1119</v>
      </c>
      <c r="I7203" s="1" t="s">
        <v>125</v>
      </c>
      <c r="J7203" s="1" t="s">
        <v>6</v>
      </c>
      <c r="K7203" s="1" t="s">
        <v>34</v>
      </c>
      <c r="M7203" s="2">
        <v>42517</v>
      </c>
      <c r="N7203" s="1" t="s">
        <v>8</v>
      </c>
      <c r="O7203" s="2">
        <v>44708</v>
      </c>
    </row>
    <row r="7204" spans="1:15" ht="43.2" x14ac:dyDescent="0.3">
      <c r="A7204" s="1" t="s">
        <v>16263</v>
      </c>
      <c r="B7204" s="1" t="str">
        <f>"Greenway Plastic Recycling"</f>
        <v>Greenway Plastic Recycling</v>
      </c>
      <c r="C7204" s="1" t="s">
        <v>14081</v>
      </c>
      <c r="F7204" s="1" t="s">
        <v>65</v>
      </c>
      <c r="H7204" s="1" t="s">
        <v>14082</v>
      </c>
      <c r="I7204" s="1" t="s">
        <v>19</v>
      </c>
      <c r="J7204" s="1" t="s">
        <v>67</v>
      </c>
      <c r="K7204" s="1" t="s">
        <v>34</v>
      </c>
      <c r="M7204" s="2">
        <v>42517</v>
      </c>
      <c r="N7204" s="1" t="s">
        <v>8</v>
      </c>
      <c r="O7204" s="1" t="s">
        <v>68</v>
      </c>
    </row>
    <row r="7205" spans="1:15" ht="28.8" x14ac:dyDescent="0.3">
      <c r="A7205" s="1" t="s">
        <v>16264</v>
      </c>
      <c r="B7205" s="1" t="str">
        <f>"F &amp; T Refrigeration Ltd."</f>
        <v>F &amp; T Refrigeration Ltd.</v>
      </c>
      <c r="C7205" s="1" t="s">
        <v>16265</v>
      </c>
      <c r="F7205" s="1" t="s">
        <v>174</v>
      </c>
      <c r="H7205" s="1" t="s">
        <v>16266</v>
      </c>
      <c r="I7205" s="1" t="s">
        <v>19</v>
      </c>
      <c r="J7205" s="1" t="s">
        <v>6</v>
      </c>
      <c r="K7205" s="1" t="s">
        <v>34</v>
      </c>
      <c r="L7205" s="1">
        <v>1820943</v>
      </c>
      <c r="M7205" s="2">
        <v>42517</v>
      </c>
      <c r="N7205" s="1" t="s">
        <v>8</v>
      </c>
      <c r="O7205" s="2">
        <v>43612</v>
      </c>
    </row>
    <row r="7206" spans="1:15" ht="28.8" x14ac:dyDescent="0.3">
      <c r="A7206" s="1" t="s">
        <v>16267</v>
      </c>
      <c r="B7206" s="1" t="str">
        <f>"Connectus Electrical LTD"</f>
        <v>Connectus Electrical LTD</v>
      </c>
      <c r="C7206" s="1" t="s">
        <v>16268</v>
      </c>
      <c r="D7206" s="1" t="s">
        <v>108</v>
      </c>
      <c r="F7206" s="1" t="s">
        <v>65</v>
      </c>
      <c r="H7206" s="1" t="s">
        <v>16269</v>
      </c>
      <c r="I7206" s="1" t="s">
        <v>19</v>
      </c>
      <c r="J7206" s="1" t="s">
        <v>6</v>
      </c>
      <c r="K7206" s="1" t="s">
        <v>34</v>
      </c>
      <c r="L7206" s="1">
        <v>7585646</v>
      </c>
      <c r="M7206" s="2">
        <v>42517</v>
      </c>
      <c r="N7206" s="1" t="s">
        <v>8</v>
      </c>
      <c r="O7206" s="2">
        <v>43612</v>
      </c>
    </row>
    <row r="7207" spans="1:15" ht="43.2" x14ac:dyDescent="0.3">
      <c r="A7207" s="1" t="s">
        <v>16270</v>
      </c>
      <c r="B7207" s="1" t="str">
        <f>"G4 Environmental Control Ltd"</f>
        <v>G4 Environmental Control Ltd</v>
      </c>
      <c r="C7207" s="1" t="s">
        <v>16271</v>
      </c>
      <c r="D7207" s="1" t="s">
        <v>16272</v>
      </c>
      <c r="F7207" s="1" t="s">
        <v>16273</v>
      </c>
      <c r="H7207" s="1" t="s">
        <v>16274</v>
      </c>
      <c r="I7207" s="1" t="s">
        <v>19</v>
      </c>
      <c r="J7207" s="1" t="s">
        <v>67</v>
      </c>
      <c r="K7207" s="1" t="s">
        <v>14</v>
      </c>
      <c r="M7207" s="2">
        <v>42517</v>
      </c>
      <c r="N7207" s="1" t="s">
        <v>8</v>
      </c>
      <c r="O7207" s="1" t="s">
        <v>68</v>
      </c>
    </row>
    <row r="7208" spans="1:15" ht="28.8" x14ac:dyDescent="0.3">
      <c r="A7208" s="1" t="s">
        <v>16275</v>
      </c>
      <c r="B7208" s="1" t="str">
        <f>"J A  Hughes Building Ltd."</f>
        <v>J A  Hughes Building Ltd.</v>
      </c>
      <c r="C7208" s="1" t="s">
        <v>16276</v>
      </c>
      <c r="F7208" s="1" t="s">
        <v>438</v>
      </c>
      <c r="H7208" s="1" t="s">
        <v>16277</v>
      </c>
      <c r="I7208" s="1" t="s">
        <v>19</v>
      </c>
      <c r="J7208" s="1" t="s">
        <v>6</v>
      </c>
      <c r="K7208" s="1" t="s">
        <v>24</v>
      </c>
      <c r="L7208" s="1">
        <v>4386386</v>
      </c>
      <c r="M7208" s="2">
        <v>42517</v>
      </c>
      <c r="N7208" s="1" t="s">
        <v>8</v>
      </c>
      <c r="O7208" s="2">
        <v>43612</v>
      </c>
    </row>
    <row r="7209" spans="1:15" ht="28.8" x14ac:dyDescent="0.3">
      <c r="A7209" s="1" t="s">
        <v>16278</v>
      </c>
      <c r="B7209" s="1" t="str">
        <f>"M &amp; G Windows Ynys Mon Ltd."</f>
        <v>M &amp; G Windows Ynys Mon Ltd.</v>
      </c>
      <c r="C7209" s="1" t="s">
        <v>3058</v>
      </c>
      <c r="F7209" s="1" t="s">
        <v>119</v>
      </c>
      <c r="H7209" s="1" t="s">
        <v>3059</v>
      </c>
      <c r="I7209" s="1" t="s">
        <v>19</v>
      </c>
      <c r="J7209" s="1" t="s">
        <v>6</v>
      </c>
      <c r="K7209" s="1" t="s">
        <v>34</v>
      </c>
      <c r="L7209" s="1">
        <v>2838609</v>
      </c>
      <c r="M7209" s="2">
        <v>42517</v>
      </c>
      <c r="N7209" s="1" t="s">
        <v>8</v>
      </c>
      <c r="O7209" s="2">
        <v>43612</v>
      </c>
    </row>
    <row r="7210" spans="1:15" ht="43.2" x14ac:dyDescent="0.3">
      <c r="A7210" s="1" t="s">
        <v>16279</v>
      </c>
      <c r="B7210" s="1" t="str">
        <f>"Chemcycle Environmental Management Ltd."</f>
        <v>Chemcycle Environmental Management Ltd.</v>
      </c>
      <c r="C7210" s="1" t="s">
        <v>16280</v>
      </c>
      <c r="F7210" s="1" t="s">
        <v>739</v>
      </c>
      <c r="H7210" s="1" t="s">
        <v>16281</v>
      </c>
      <c r="I7210" s="1" t="s">
        <v>19</v>
      </c>
      <c r="J7210" s="1" t="s">
        <v>6</v>
      </c>
      <c r="K7210" s="1" t="s">
        <v>34</v>
      </c>
      <c r="L7210" s="1">
        <v>3581227</v>
      </c>
      <c r="M7210" s="2">
        <v>42517</v>
      </c>
      <c r="N7210" s="1" t="s">
        <v>8</v>
      </c>
      <c r="O7210" s="2">
        <v>43612</v>
      </c>
    </row>
    <row r="7211" spans="1:15" ht="43.2" x14ac:dyDescent="0.3">
      <c r="A7211" s="1" t="s">
        <v>28363</v>
      </c>
      <c r="B7211" s="1" t="str">
        <f>"Christopher Pearson Pearsons Home Improvements"</f>
        <v>Christopher Pearson Pearsons Home Improvements</v>
      </c>
      <c r="C7211" s="1" t="s">
        <v>28364</v>
      </c>
      <c r="D7211" s="1" t="s">
        <v>6825</v>
      </c>
      <c r="F7211" s="1" t="s">
        <v>65</v>
      </c>
      <c r="H7211" s="1" t="s">
        <v>28365</v>
      </c>
      <c r="I7211" s="1" t="s">
        <v>5</v>
      </c>
      <c r="J7211" s="1" t="s">
        <v>6</v>
      </c>
      <c r="K7211" s="1" t="s">
        <v>24</v>
      </c>
      <c r="M7211" s="2">
        <v>42517</v>
      </c>
      <c r="N7211" s="1" t="s">
        <v>8</v>
      </c>
      <c r="O7211" s="2">
        <v>43612</v>
      </c>
    </row>
    <row r="7212" spans="1:15" ht="28.8" x14ac:dyDescent="0.3">
      <c r="A7212" s="1" t="s">
        <v>28366</v>
      </c>
      <c r="B7212" s="1" t="str">
        <f>"Frank Thomas Jones  Frank Thomas Jones "</f>
        <v xml:space="preserve">Frank Thomas Jones  Frank Thomas Jones </v>
      </c>
      <c r="C7212" s="1" t="s">
        <v>28367</v>
      </c>
      <c r="F7212" s="1" t="s">
        <v>65</v>
      </c>
      <c r="H7212" s="1" t="s">
        <v>28368</v>
      </c>
      <c r="I7212" s="1" t="s">
        <v>5</v>
      </c>
      <c r="J7212" s="1" t="s">
        <v>6</v>
      </c>
      <c r="K7212" s="1" t="s">
        <v>34</v>
      </c>
      <c r="M7212" s="2">
        <v>42517</v>
      </c>
      <c r="N7212" s="1" t="s">
        <v>8</v>
      </c>
      <c r="O7212" s="2">
        <v>43612</v>
      </c>
    </row>
    <row r="7213" spans="1:15" ht="43.2" x14ac:dyDescent="0.3">
      <c r="A7213" s="1" t="s">
        <v>28369</v>
      </c>
      <c r="B7213" s="1" t="str">
        <f>"Andrew Thomas"</f>
        <v>Andrew Thomas</v>
      </c>
      <c r="C7213" s="1" t="s">
        <v>28370</v>
      </c>
      <c r="F7213" s="1" t="s">
        <v>873</v>
      </c>
      <c r="H7213" s="1" t="s">
        <v>28371</v>
      </c>
      <c r="I7213" s="1" t="s">
        <v>5</v>
      </c>
      <c r="J7213" s="1" t="s">
        <v>67</v>
      </c>
      <c r="K7213" s="1" t="s">
        <v>14</v>
      </c>
      <c r="M7213" s="2">
        <v>42517</v>
      </c>
      <c r="N7213" s="1" t="s">
        <v>8</v>
      </c>
      <c r="O7213" s="1" t="s">
        <v>68</v>
      </c>
    </row>
    <row r="7214" spans="1:15" ht="28.8" x14ac:dyDescent="0.3">
      <c r="A7214" s="1" t="s">
        <v>28372</v>
      </c>
      <c r="B7214" s="1" t="str">
        <f>"Mark Thomas Kingfisher Construction"</f>
        <v>Mark Thomas Kingfisher Construction</v>
      </c>
      <c r="C7214" s="1" t="s">
        <v>28373</v>
      </c>
      <c r="F7214" s="1" t="s">
        <v>445</v>
      </c>
      <c r="H7214" s="1" t="s">
        <v>28374</v>
      </c>
      <c r="I7214" s="1" t="s">
        <v>5</v>
      </c>
      <c r="J7214" s="1" t="s">
        <v>6</v>
      </c>
      <c r="K7214" s="1" t="s">
        <v>34</v>
      </c>
      <c r="M7214" s="2">
        <v>42517</v>
      </c>
      <c r="N7214" s="1" t="s">
        <v>8</v>
      </c>
      <c r="O7214" s="2">
        <v>43612</v>
      </c>
    </row>
    <row r="7215" spans="1:15" ht="28.8" x14ac:dyDescent="0.3">
      <c r="A7215" s="1" t="s">
        <v>28375</v>
      </c>
      <c r="B7215" s="1" t="str">
        <f>"Ryan  Jeremiah  LSCC RECYCLING "</f>
        <v xml:space="preserve">Ryan  Jeremiah  LSCC RECYCLING </v>
      </c>
      <c r="C7215" s="1" t="s">
        <v>28376</v>
      </c>
      <c r="F7215" s="1" t="s">
        <v>621</v>
      </c>
      <c r="H7215" s="1" t="s">
        <v>28377</v>
      </c>
      <c r="I7215" s="1" t="s">
        <v>5</v>
      </c>
      <c r="J7215" s="1" t="s">
        <v>6</v>
      </c>
      <c r="K7215" s="1" t="s">
        <v>34</v>
      </c>
      <c r="M7215" s="2">
        <v>42517</v>
      </c>
      <c r="N7215" s="1" t="s">
        <v>8</v>
      </c>
      <c r="O7215" s="2">
        <v>43612</v>
      </c>
    </row>
    <row r="7216" spans="1:15" ht="43.2" x14ac:dyDescent="0.3">
      <c r="A7216" s="1" t="s">
        <v>28378</v>
      </c>
      <c r="B7216" s="1" t="str">
        <f>"Mark Adams"</f>
        <v>Mark Adams</v>
      </c>
      <c r="C7216" s="1" t="s">
        <v>28379</v>
      </c>
      <c r="F7216" s="1" t="s">
        <v>119</v>
      </c>
      <c r="H7216" s="1" t="s">
        <v>28380</v>
      </c>
      <c r="I7216" s="1" t="s">
        <v>5</v>
      </c>
      <c r="J7216" s="1" t="s">
        <v>67</v>
      </c>
      <c r="K7216" s="1" t="s">
        <v>14</v>
      </c>
      <c r="M7216" s="2">
        <v>42517</v>
      </c>
      <c r="N7216" s="1" t="s">
        <v>8</v>
      </c>
      <c r="O7216" s="1" t="s">
        <v>68</v>
      </c>
    </row>
    <row r="7217" spans="1:15" ht="28.8" x14ac:dyDescent="0.3">
      <c r="A7217" s="1" t="s">
        <v>15273</v>
      </c>
      <c r="B7217" s="1" t="str">
        <f>"Naughton Electrical Contracting "</f>
        <v xml:space="preserve">Naughton Electrical Contracting </v>
      </c>
      <c r="C7217" s="1" t="s">
        <v>15274</v>
      </c>
      <c r="F7217" s="1" t="s">
        <v>15275</v>
      </c>
      <c r="H7217" s="1" t="s">
        <v>15276</v>
      </c>
      <c r="I7217" s="1" t="s">
        <v>19</v>
      </c>
      <c r="J7217" s="1" t="s">
        <v>6</v>
      </c>
      <c r="K7217" s="1" t="s">
        <v>24</v>
      </c>
      <c r="L7217" s="1">
        <v>4243446</v>
      </c>
      <c r="M7217" s="2">
        <v>42516</v>
      </c>
      <c r="N7217" s="1" t="s">
        <v>8</v>
      </c>
      <c r="O7217" s="2">
        <v>43611</v>
      </c>
    </row>
    <row r="7218" spans="1:15" ht="28.8" x14ac:dyDescent="0.3">
      <c r="A7218" s="1" t="s">
        <v>15277</v>
      </c>
      <c r="B7218" s="1" t="str">
        <f>"J. P. REDMAN &amp; SON LTD"</f>
        <v>J. P. REDMAN &amp; SON LTD</v>
      </c>
      <c r="C7218" s="1" t="s">
        <v>15278</v>
      </c>
      <c r="F7218" s="1" t="s">
        <v>1400</v>
      </c>
      <c r="H7218" s="1" t="s">
        <v>15279</v>
      </c>
      <c r="I7218" s="1" t="s">
        <v>19</v>
      </c>
      <c r="J7218" s="1" t="s">
        <v>6</v>
      </c>
      <c r="K7218" s="1" t="s">
        <v>24</v>
      </c>
      <c r="L7218" s="1">
        <v>4656891</v>
      </c>
      <c r="M7218" s="2">
        <v>42516</v>
      </c>
      <c r="N7218" s="1" t="s">
        <v>8</v>
      </c>
      <c r="O7218" s="2">
        <v>43611</v>
      </c>
    </row>
    <row r="7219" spans="1:15" ht="43.2" x14ac:dyDescent="0.3">
      <c r="A7219" s="1" t="s">
        <v>15280</v>
      </c>
      <c r="B7219" s="1" t="str">
        <f>"R  Jenkins &amp; Sons Ltd."</f>
        <v>R  Jenkins &amp; Sons Ltd.</v>
      </c>
      <c r="C7219" s="1" t="s">
        <v>15281</v>
      </c>
      <c r="F7219" s="1" t="s">
        <v>3337</v>
      </c>
      <c r="H7219" s="1" t="s">
        <v>15282</v>
      </c>
      <c r="I7219" s="1" t="s">
        <v>19</v>
      </c>
      <c r="J7219" s="1" t="s">
        <v>67</v>
      </c>
      <c r="K7219" s="1" t="s">
        <v>24</v>
      </c>
      <c r="L7219" s="1">
        <v>4380852</v>
      </c>
      <c r="M7219" s="2">
        <v>42516</v>
      </c>
      <c r="N7219" s="1" t="s">
        <v>8</v>
      </c>
      <c r="O7219" s="1" t="s">
        <v>68</v>
      </c>
    </row>
    <row r="7220" spans="1:15" ht="28.8" x14ac:dyDescent="0.3">
      <c r="A7220" s="1" t="s">
        <v>15283</v>
      </c>
      <c r="B7220" s="1" t="str">
        <f>"Regency Sw Ltd."</f>
        <v>Regency Sw Ltd.</v>
      </c>
      <c r="C7220" s="1" t="s">
        <v>15284</v>
      </c>
      <c r="D7220" s="1" t="s">
        <v>4857</v>
      </c>
      <c r="F7220" s="1" t="s">
        <v>103</v>
      </c>
      <c r="H7220" s="1" t="s">
        <v>9314</v>
      </c>
      <c r="I7220" s="1" t="s">
        <v>19</v>
      </c>
      <c r="J7220" s="1" t="s">
        <v>6</v>
      </c>
      <c r="K7220" s="1" t="s">
        <v>24</v>
      </c>
      <c r="L7220" s="1">
        <v>5919316</v>
      </c>
      <c r="M7220" s="2">
        <v>42516</v>
      </c>
      <c r="N7220" s="1" t="s">
        <v>8</v>
      </c>
      <c r="O7220" s="2">
        <v>43611</v>
      </c>
    </row>
    <row r="7221" spans="1:15" ht="28.8" x14ac:dyDescent="0.3">
      <c r="A7221" s="1" t="s">
        <v>16261</v>
      </c>
      <c r="B7221" s="1" t="str">
        <f>"Cloham Ltd."</f>
        <v>Cloham Ltd.</v>
      </c>
      <c r="C7221" s="1" t="s">
        <v>16262</v>
      </c>
      <c r="D7221" s="1" t="s">
        <v>449</v>
      </c>
      <c r="F7221" s="1" t="s">
        <v>42</v>
      </c>
      <c r="H7221" s="1" t="s">
        <v>15220</v>
      </c>
      <c r="I7221" s="1" t="s">
        <v>19</v>
      </c>
      <c r="J7221" s="1" t="s">
        <v>6</v>
      </c>
      <c r="K7221" s="1" t="s">
        <v>24</v>
      </c>
      <c r="L7221" s="1">
        <v>861996</v>
      </c>
      <c r="M7221" s="2">
        <v>42516</v>
      </c>
      <c r="N7221" s="1" t="s">
        <v>8</v>
      </c>
      <c r="O7221" s="2">
        <v>43643</v>
      </c>
    </row>
    <row r="7222" spans="1:15" x14ac:dyDescent="0.3">
      <c r="A7222" s="1" t="s">
        <v>27598</v>
      </c>
      <c r="B7222" s="1" t="str">
        <f>"Glyndwr John Price"</f>
        <v>Glyndwr John Price</v>
      </c>
      <c r="C7222" s="1" t="s">
        <v>27599</v>
      </c>
      <c r="D7222" s="1" t="s">
        <v>8083</v>
      </c>
      <c r="F7222" s="1" t="s">
        <v>3415</v>
      </c>
      <c r="H7222" s="1" t="s">
        <v>27600</v>
      </c>
      <c r="I7222" s="1" t="s">
        <v>5</v>
      </c>
      <c r="J7222" s="1" t="s">
        <v>6</v>
      </c>
      <c r="K7222" s="1" t="s">
        <v>24</v>
      </c>
      <c r="M7222" s="2">
        <v>42516</v>
      </c>
      <c r="N7222" s="1" t="s">
        <v>8</v>
      </c>
      <c r="O7222" s="2">
        <v>43611</v>
      </c>
    </row>
    <row r="7223" spans="1:15" ht="28.8" x14ac:dyDescent="0.3">
      <c r="A7223" s="1" t="s">
        <v>28360</v>
      </c>
      <c r="B7223" s="1" t="str">
        <f>"Elwyn Davies E Davies Plant Hire"</f>
        <v>Elwyn Davies E Davies Plant Hire</v>
      </c>
      <c r="C7223" s="1" t="s">
        <v>28361</v>
      </c>
      <c r="F7223" s="1" t="s">
        <v>42</v>
      </c>
      <c r="H7223" s="1" t="s">
        <v>28362</v>
      </c>
      <c r="I7223" s="1" t="s">
        <v>5</v>
      </c>
      <c r="J7223" s="1" t="s">
        <v>6</v>
      </c>
      <c r="K7223" s="1" t="s">
        <v>24</v>
      </c>
      <c r="M7223" s="2">
        <v>42516</v>
      </c>
      <c r="N7223" s="1" t="s">
        <v>8</v>
      </c>
      <c r="O7223" s="2">
        <v>43611</v>
      </c>
    </row>
    <row r="7224" spans="1:15" ht="43.2" x14ac:dyDescent="0.3">
      <c r="A7224" s="1" t="s">
        <v>15257</v>
      </c>
      <c r="B7224" s="1" t="str">
        <f>"RSPB"</f>
        <v>RSPB</v>
      </c>
      <c r="C7224" s="1" t="s">
        <v>15258</v>
      </c>
      <c r="F7224" s="1" t="s">
        <v>1818</v>
      </c>
      <c r="H7224" s="1" t="s">
        <v>15259</v>
      </c>
      <c r="I7224" s="1" t="s">
        <v>1872</v>
      </c>
      <c r="J7224" s="1" t="s">
        <v>67</v>
      </c>
      <c r="K7224" s="1" t="s">
        <v>14</v>
      </c>
      <c r="M7224" s="2">
        <v>42515</v>
      </c>
      <c r="N7224" s="1" t="s">
        <v>8</v>
      </c>
      <c r="O7224" s="1" t="s">
        <v>68</v>
      </c>
    </row>
    <row r="7225" spans="1:15" x14ac:dyDescent="0.3">
      <c r="A7225" s="1" t="s">
        <v>15260</v>
      </c>
      <c r="B7225" s="1" t="str">
        <f>"bradfords  "</f>
        <v xml:space="preserve">bradfords  </v>
      </c>
      <c r="C7225" s="1" t="s">
        <v>15261</v>
      </c>
      <c r="F7225" s="1" t="s">
        <v>15262</v>
      </c>
      <c r="H7225" s="1" t="s">
        <v>15263</v>
      </c>
      <c r="I7225" s="1" t="s">
        <v>125</v>
      </c>
      <c r="J7225" s="1" t="s">
        <v>6</v>
      </c>
      <c r="K7225" s="1" t="s">
        <v>24</v>
      </c>
      <c r="M7225" s="2">
        <v>42515</v>
      </c>
      <c r="N7225" s="1" t="s">
        <v>8</v>
      </c>
      <c r="O7225" s="2">
        <v>43610</v>
      </c>
    </row>
    <row r="7226" spans="1:15" ht="43.2" x14ac:dyDescent="0.3">
      <c r="A7226" s="1" t="s">
        <v>15264</v>
      </c>
      <c r="B7226" s="1" t="str">
        <f>"Slough Foodbank"</f>
        <v>Slough Foodbank</v>
      </c>
      <c r="C7226" s="1" t="s">
        <v>15265</v>
      </c>
      <c r="F7226" s="1" t="s">
        <v>9159</v>
      </c>
      <c r="H7226" s="1" t="s">
        <v>15266</v>
      </c>
      <c r="I7226" s="1" t="s">
        <v>1872</v>
      </c>
      <c r="J7226" s="1" t="s">
        <v>67</v>
      </c>
      <c r="K7226" s="1" t="s">
        <v>14</v>
      </c>
      <c r="M7226" s="2">
        <v>42515</v>
      </c>
      <c r="N7226" s="1" t="s">
        <v>8</v>
      </c>
      <c r="O7226" s="1" t="s">
        <v>68</v>
      </c>
    </row>
    <row r="7227" spans="1:15" ht="28.8" x14ac:dyDescent="0.3">
      <c r="A7227" s="1" t="s">
        <v>15267</v>
      </c>
      <c r="B7227" s="1" t="str">
        <f>"SARON ENTERPRISES LTD"</f>
        <v>SARON ENTERPRISES LTD</v>
      </c>
      <c r="C7227" s="1" t="s">
        <v>15268</v>
      </c>
      <c r="F7227" s="1" t="s">
        <v>710</v>
      </c>
      <c r="H7227" s="1" t="s">
        <v>15269</v>
      </c>
      <c r="I7227" s="1" t="s">
        <v>19</v>
      </c>
      <c r="J7227" s="1" t="s">
        <v>6</v>
      </c>
      <c r="K7227" s="1" t="s">
        <v>34</v>
      </c>
      <c r="L7227" s="1">
        <v>6557465</v>
      </c>
      <c r="M7227" s="2">
        <v>42515</v>
      </c>
      <c r="N7227" s="1" t="s">
        <v>8</v>
      </c>
      <c r="O7227" s="2">
        <v>43610</v>
      </c>
    </row>
    <row r="7228" spans="1:15" ht="28.8" x14ac:dyDescent="0.3">
      <c r="A7228" s="1" t="s">
        <v>15270</v>
      </c>
      <c r="B7228" s="1" t="str">
        <f>"Harrison Home Rental"</f>
        <v>Harrison Home Rental</v>
      </c>
      <c r="C7228" s="1" t="s">
        <v>15271</v>
      </c>
      <c r="F7228" s="1" t="s">
        <v>14562</v>
      </c>
      <c r="H7228" s="1" t="s">
        <v>15272</v>
      </c>
      <c r="I7228" s="1" t="s">
        <v>125</v>
      </c>
      <c r="J7228" s="1" t="s">
        <v>6</v>
      </c>
      <c r="K7228" s="1" t="s">
        <v>24</v>
      </c>
      <c r="M7228" s="2">
        <v>42515</v>
      </c>
      <c r="N7228" s="1" t="s">
        <v>8</v>
      </c>
      <c r="O7228" s="2">
        <v>43610</v>
      </c>
    </row>
    <row r="7229" spans="1:15" ht="43.2" x14ac:dyDescent="0.3">
      <c r="A7229" s="1" t="s">
        <v>27577</v>
      </c>
      <c r="B7229" s="1" t="str">
        <f>"elliott curtis"</f>
        <v>elliott curtis</v>
      </c>
      <c r="C7229" s="1" t="s">
        <v>27578</v>
      </c>
      <c r="F7229" s="1" t="s">
        <v>27</v>
      </c>
      <c r="H7229" s="1" t="s">
        <v>27579</v>
      </c>
      <c r="I7229" s="1" t="s">
        <v>5</v>
      </c>
      <c r="J7229" s="1" t="s">
        <v>67</v>
      </c>
      <c r="K7229" s="1" t="s">
        <v>14</v>
      </c>
      <c r="M7229" s="2">
        <v>42515</v>
      </c>
      <c r="N7229" s="1" t="s">
        <v>8</v>
      </c>
      <c r="O7229" s="1" t="s">
        <v>68</v>
      </c>
    </row>
    <row r="7230" spans="1:15" ht="28.8" x14ac:dyDescent="0.3">
      <c r="A7230" s="1" t="s">
        <v>27580</v>
      </c>
      <c r="B7230" s="1" t="str">
        <f>"Phillip  Crocker Phillip Crocker "</f>
        <v xml:space="preserve">Phillip  Crocker Phillip Crocker </v>
      </c>
      <c r="C7230" s="1" t="s">
        <v>27581</v>
      </c>
      <c r="F7230" s="1" t="s">
        <v>42</v>
      </c>
      <c r="H7230" s="1" t="s">
        <v>27582</v>
      </c>
      <c r="I7230" s="1" t="s">
        <v>5</v>
      </c>
      <c r="J7230" s="1" t="s">
        <v>6</v>
      </c>
      <c r="K7230" s="1" t="s">
        <v>24</v>
      </c>
      <c r="M7230" s="2">
        <v>42515</v>
      </c>
      <c r="N7230" s="1" t="s">
        <v>8</v>
      </c>
      <c r="O7230" s="2">
        <v>43610</v>
      </c>
    </row>
    <row r="7231" spans="1:15" ht="28.8" x14ac:dyDescent="0.3">
      <c r="A7231" s="1" t="s">
        <v>27583</v>
      </c>
      <c r="B7231" s="1" t="str">
        <f>"William David Roberts"</f>
        <v>William David Roberts</v>
      </c>
      <c r="C7231" s="1" t="s">
        <v>27584</v>
      </c>
      <c r="F7231" s="1" t="s">
        <v>123</v>
      </c>
      <c r="H7231" s="1" t="s">
        <v>9449</v>
      </c>
      <c r="I7231" s="1" t="s">
        <v>5</v>
      </c>
      <c r="J7231" s="1" t="s">
        <v>6</v>
      </c>
      <c r="K7231" s="1" t="s">
        <v>34</v>
      </c>
      <c r="M7231" s="2">
        <v>42515</v>
      </c>
      <c r="N7231" s="1" t="s">
        <v>8</v>
      </c>
      <c r="O7231" s="2">
        <v>43610</v>
      </c>
    </row>
    <row r="7232" spans="1:15" ht="28.8" x14ac:dyDescent="0.3">
      <c r="A7232" s="1" t="s">
        <v>27585</v>
      </c>
      <c r="B7232" s="1" t="str">
        <f>"Maria Stacey  Ford Salvage "</f>
        <v xml:space="preserve">Maria Stacey  Ford Salvage </v>
      </c>
      <c r="C7232" s="1" t="s">
        <v>27586</v>
      </c>
      <c r="D7232" s="1" t="s">
        <v>27587</v>
      </c>
      <c r="F7232" s="1" t="s">
        <v>12237</v>
      </c>
      <c r="H7232" s="1" t="s">
        <v>27588</v>
      </c>
      <c r="I7232" s="1" t="s">
        <v>5</v>
      </c>
      <c r="J7232" s="1" t="s">
        <v>6</v>
      </c>
      <c r="K7232" s="1" t="s">
        <v>34</v>
      </c>
      <c r="M7232" s="2">
        <v>42515</v>
      </c>
      <c r="N7232" s="1" t="s">
        <v>8</v>
      </c>
      <c r="O7232" s="2">
        <v>43610</v>
      </c>
    </row>
    <row r="7233" spans="1:15" ht="28.8" x14ac:dyDescent="0.3">
      <c r="A7233" s="1" t="s">
        <v>27589</v>
      </c>
      <c r="B7233" s="1" t="str">
        <f>"Anthony Ribbon the stylish home"</f>
        <v>Anthony Ribbon the stylish home</v>
      </c>
      <c r="C7233" s="1" t="s">
        <v>27590</v>
      </c>
      <c r="F7233" s="1" t="s">
        <v>1975</v>
      </c>
      <c r="H7233" s="1" t="s">
        <v>27424</v>
      </c>
      <c r="I7233" s="1" t="s">
        <v>5</v>
      </c>
      <c r="J7233" s="1" t="s">
        <v>6</v>
      </c>
      <c r="K7233" s="1" t="s">
        <v>24</v>
      </c>
      <c r="M7233" s="2">
        <v>42515</v>
      </c>
      <c r="N7233" s="1" t="s">
        <v>8</v>
      </c>
      <c r="O7233" s="2">
        <v>43610</v>
      </c>
    </row>
    <row r="7234" spans="1:15" ht="43.2" x14ac:dyDescent="0.3">
      <c r="A7234" s="1" t="s">
        <v>27591</v>
      </c>
      <c r="B7234" s="1" t="str">
        <f>"Philip anthony Edwards"</f>
        <v>Philip anthony Edwards</v>
      </c>
      <c r="C7234" s="1" t="s">
        <v>27592</v>
      </c>
      <c r="F7234" s="1" t="s">
        <v>27593</v>
      </c>
      <c r="H7234" s="1" t="s">
        <v>27594</v>
      </c>
      <c r="I7234" s="1" t="s">
        <v>5</v>
      </c>
      <c r="J7234" s="1" t="s">
        <v>67</v>
      </c>
      <c r="K7234" s="1" t="s">
        <v>14</v>
      </c>
      <c r="M7234" s="2">
        <v>42515</v>
      </c>
      <c r="N7234" s="1" t="s">
        <v>8</v>
      </c>
      <c r="O7234" s="1" t="s">
        <v>68</v>
      </c>
    </row>
    <row r="7235" spans="1:15" ht="28.8" x14ac:dyDescent="0.3">
      <c r="A7235" s="1" t="s">
        <v>27595</v>
      </c>
      <c r="B7235" s="1" t="str">
        <f>"Adrian Fletcher ANF Home Improvements"</f>
        <v>Adrian Fletcher ANF Home Improvements</v>
      </c>
      <c r="C7235" s="1" t="s">
        <v>27596</v>
      </c>
      <c r="F7235" s="1" t="s">
        <v>27</v>
      </c>
      <c r="H7235" s="1" t="s">
        <v>27597</v>
      </c>
      <c r="I7235" s="1" t="s">
        <v>5</v>
      </c>
      <c r="J7235" s="1" t="s">
        <v>6</v>
      </c>
      <c r="K7235" s="1" t="s">
        <v>24</v>
      </c>
      <c r="M7235" s="2">
        <v>42515</v>
      </c>
      <c r="N7235" s="1" t="s">
        <v>8</v>
      </c>
      <c r="O7235" s="2">
        <v>43610</v>
      </c>
    </row>
    <row r="7236" spans="1:15" ht="28.8" x14ac:dyDescent="0.3">
      <c r="A7236" s="1" t="s">
        <v>13462</v>
      </c>
      <c r="B7236" s="1" t="str">
        <f>"Ian Davies Plant Ltd."</f>
        <v>Ian Davies Plant Ltd.</v>
      </c>
      <c r="C7236" s="1" t="s">
        <v>13463</v>
      </c>
      <c r="D7236" s="1" t="s">
        <v>13464</v>
      </c>
      <c r="F7236" s="1" t="s">
        <v>174</v>
      </c>
      <c r="H7236" s="1" t="s">
        <v>13465</v>
      </c>
      <c r="I7236" s="1" t="s">
        <v>19</v>
      </c>
      <c r="J7236" s="1" t="s">
        <v>6</v>
      </c>
      <c r="K7236" s="1" t="s">
        <v>34</v>
      </c>
      <c r="L7236" s="1">
        <v>3286724</v>
      </c>
      <c r="M7236" s="2">
        <v>42514</v>
      </c>
      <c r="N7236" s="1" t="s">
        <v>8</v>
      </c>
      <c r="O7236" s="2">
        <v>43609</v>
      </c>
    </row>
    <row r="7237" spans="1:15" ht="43.2" x14ac:dyDescent="0.3">
      <c r="A7237" s="1" t="s">
        <v>13466</v>
      </c>
      <c r="B7237" s="1" t="str">
        <f>"Linney Cooper Ltd."</f>
        <v>Linney Cooper Ltd.</v>
      </c>
      <c r="C7237" s="1" t="s">
        <v>8258</v>
      </c>
      <c r="F7237" s="1" t="s">
        <v>3242</v>
      </c>
      <c r="H7237" s="1" t="s">
        <v>3243</v>
      </c>
      <c r="I7237" s="1" t="s">
        <v>19</v>
      </c>
      <c r="J7237" s="1" t="s">
        <v>67</v>
      </c>
      <c r="K7237" s="1" t="s">
        <v>24</v>
      </c>
      <c r="L7237" s="1">
        <v>801547</v>
      </c>
      <c r="M7237" s="2">
        <v>42514</v>
      </c>
      <c r="N7237" s="1" t="s">
        <v>8</v>
      </c>
      <c r="O7237" s="1" t="s">
        <v>68</v>
      </c>
    </row>
    <row r="7238" spans="1:15" ht="28.8" x14ac:dyDescent="0.3">
      <c r="A7238" s="1" t="s">
        <v>13467</v>
      </c>
      <c r="B7238" s="1" t="str">
        <f>"Beacons Business Interiors Ltd."</f>
        <v>Beacons Business Interiors Ltd.</v>
      </c>
      <c r="C7238" s="1" t="s">
        <v>13468</v>
      </c>
      <c r="F7238" s="1" t="s">
        <v>3415</v>
      </c>
      <c r="H7238" s="1" t="s">
        <v>3199</v>
      </c>
      <c r="I7238" s="1" t="s">
        <v>19</v>
      </c>
      <c r="J7238" s="1" t="s">
        <v>6</v>
      </c>
      <c r="K7238" s="1" t="s">
        <v>24</v>
      </c>
      <c r="L7238" s="1">
        <v>3054365</v>
      </c>
      <c r="M7238" s="2">
        <v>42514</v>
      </c>
      <c r="N7238" s="1" t="s">
        <v>8</v>
      </c>
      <c r="O7238" s="2">
        <v>43609</v>
      </c>
    </row>
    <row r="7239" spans="1:15" ht="28.8" x14ac:dyDescent="0.3">
      <c r="A7239" s="1" t="s">
        <v>13469</v>
      </c>
      <c r="B7239" s="1" t="str">
        <f>"Duncan Logistics Ltd"</f>
        <v>Duncan Logistics Ltd</v>
      </c>
      <c r="C7239" s="1" t="s">
        <v>13470</v>
      </c>
      <c r="F7239" s="1" t="s">
        <v>22</v>
      </c>
      <c r="H7239" s="1" t="s">
        <v>13471</v>
      </c>
      <c r="I7239" s="1" t="s">
        <v>19</v>
      </c>
      <c r="J7239" s="1" t="s">
        <v>6</v>
      </c>
      <c r="K7239" s="1" t="s">
        <v>34</v>
      </c>
      <c r="L7239" s="1">
        <v>9346406</v>
      </c>
      <c r="M7239" s="2">
        <v>42514</v>
      </c>
      <c r="N7239" s="1" t="s">
        <v>8</v>
      </c>
      <c r="O7239" s="2">
        <v>43609</v>
      </c>
    </row>
    <row r="7240" spans="1:15" ht="43.2" x14ac:dyDescent="0.3">
      <c r="A7240" s="1" t="s">
        <v>13472</v>
      </c>
      <c r="B7240" s="1" t="str">
        <f>"BORDER HARDCORE &amp; ROCKERY STONE CO.LTD"</f>
        <v>BORDER HARDCORE &amp; ROCKERY STONE CO.LTD</v>
      </c>
      <c r="C7240" s="1" t="s">
        <v>13473</v>
      </c>
      <c r="D7240" s="1" t="s">
        <v>13474</v>
      </c>
      <c r="F7240" s="1" t="s">
        <v>416</v>
      </c>
      <c r="H7240" s="1" t="s">
        <v>13475</v>
      </c>
      <c r="I7240" s="1" t="s">
        <v>19</v>
      </c>
      <c r="J7240" s="1" t="s">
        <v>6</v>
      </c>
      <c r="K7240" s="1" t="s">
        <v>34</v>
      </c>
      <c r="L7240" s="1">
        <v>863114</v>
      </c>
      <c r="M7240" s="2">
        <v>42514</v>
      </c>
      <c r="N7240" s="1" t="s">
        <v>8</v>
      </c>
      <c r="O7240" s="2">
        <v>43609</v>
      </c>
    </row>
    <row r="7241" spans="1:15" ht="43.2" x14ac:dyDescent="0.3">
      <c r="A7241" s="1" t="s">
        <v>14327</v>
      </c>
      <c r="B7241" s="1" t="str">
        <f>"Cartrefi Cymunedol Gwynedd CYF"</f>
        <v>Cartrefi Cymunedol Gwynedd CYF</v>
      </c>
      <c r="C7241" s="1" t="s">
        <v>14328</v>
      </c>
      <c r="D7241" s="1" t="s">
        <v>2104</v>
      </c>
      <c r="F7241" s="1" t="s">
        <v>1321</v>
      </c>
      <c r="H7241" s="1" t="s">
        <v>14329</v>
      </c>
      <c r="I7241" s="1" t="s">
        <v>1872</v>
      </c>
      <c r="J7241" s="1" t="s">
        <v>67</v>
      </c>
      <c r="K7241" s="1" t="s">
        <v>34</v>
      </c>
      <c r="M7241" s="2">
        <v>42514</v>
      </c>
      <c r="N7241" s="1" t="s">
        <v>8</v>
      </c>
      <c r="O7241" s="1" t="s">
        <v>68</v>
      </c>
    </row>
    <row r="7242" spans="1:15" ht="28.8" x14ac:dyDescent="0.3">
      <c r="A7242" s="1" t="s">
        <v>14330</v>
      </c>
      <c r="B7242" s="1" t="str">
        <f>"D &amp; K SEABOURNE CONSTRUCTION LTD"</f>
        <v>D &amp; K SEABOURNE CONSTRUCTION LTD</v>
      </c>
      <c r="C7242" s="1" t="s">
        <v>14331</v>
      </c>
      <c r="F7242" s="1" t="s">
        <v>103</v>
      </c>
      <c r="H7242" s="1" t="s">
        <v>14332</v>
      </c>
      <c r="I7242" s="1" t="s">
        <v>19</v>
      </c>
      <c r="J7242" s="1" t="s">
        <v>6</v>
      </c>
      <c r="K7242" s="1" t="s">
        <v>24</v>
      </c>
      <c r="L7242" s="1">
        <v>5151393</v>
      </c>
      <c r="M7242" s="2">
        <v>42514</v>
      </c>
      <c r="N7242" s="1" t="s">
        <v>8</v>
      </c>
      <c r="O7242" s="2">
        <v>43609</v>
      </c>
    </row>
    <row r="7243" spans="1:15" ht="28.8" x14ac:dyDescent="0.3">
      <c r="A7243" s="1" t="s">
        <v>14333</v>
      </c>
      <c r="B7243" s="1" t="str">
        <f>"Trident Commercial Holdings Ltd."</f>
        <v>Trident Commercial Holdings Ltd.</v>
      </c>
      <c r="C7243" s="1" t="s">
        <v>10534</v>
      </c>
      <c r="F7243" s="1" t="s">
        <v>1346</v>
      </c>
      <c r="H7243" s="1" t="s">
        <v>960</v>
      </c>
      <c r="I7243" s="1" t="s">
        <v>19</v>
      </c>
      <c r="J7243" s="1" t="s">
        <v>6</v>
      </c>
      <c r="K7243" s="1" t="s">
        <v>24</v>
      </c>
      <c r="L7243" s="1">
        <v>1388121</v>
      </c>
      <c r="M7243" s="2">
        <v>42514</v>
      </c>
      <c r="N7243" s="1" t="s">
        <v>8</v>
      </c>
      <c r="O7243" s="2">
        <v>43609</v>
      </c>
    </row>
    <row r="7244" spans="1:15" ht="28.8" x14ac:dyDescent="0.3">
      <c r="A7244" s="1" t="s">
        <v>14334</v>
      </c>
      <c r="B7244" s="1" t="str">
        <f>"Aquarius Direct Maintenance"</f>
        <v>Aquarius Direct Maintenance</v>
      </c>
      <c r="C7244" s="1" t="s">
        <v>8532</v>
      </c>
      <c r="F7244" s="1" t="s">
        <v>156</v>
      </c>
      <c r="H7244" s="1" t="s">
        <v>14335</v>
      </c>
      <c r="I7244" s="1" t="s">
        <v>19</v>
      </c>
      <c r="J7244" s="1" t="s">
        <v>6</v>
      </c>
      <c r="K7244" s="1" t="s">
        <v>24</v>
      </c>
      <c r="L7244" s="1">
        <v>7819781</v>
      </c>
      <c r="M7244" s="2">
        <v>42514</v>
      </c>
      <c r="N7244" s="1" t="s">
        <v>8</v>
      </c>
      <c r="O7244" s="2">
        <v>43609</v>
      </c>
    </row>
    <row r="7245" spans="1:15" ht="28.8" x14ac:dyDescent="0.3">
      <c r="A7245" s="1" t="s">
        <v>14336</v>
      </c>
      <c r="B7245" s="1" t="str">
        <f>"DECONS DECONTAMINATION"</f>
        <v>DECONS DECONTAMINATION</v>
      </c>
      <c r="C7245" s="1" t="s">
        <v>14337</v>
      </c>
      <c r="D7245" s="1" t="s">
        <v>13063</v>
      </c>
      <c r="F7245" s="1" t="s">
        <v>607</v>
      </c>
      <c r="H7245" s="1" t="s">
        <v>14338</v>
      </c>
      <c r="I7245" s="1" t="s">
        <v>19</v>
      </c>
      <c r="J7245" s="1" t="s">
        <v>6</v>
      </c>
      <c r="K7245" s="1" t="s">
        <v>24</v>
      </c>
      <c r="L7245" s="1">
        <v>6304623</v>
      </c>
      <c r="M7245" s="2">
        <v>42514</v>
      </c>
      <c r="N7245" s="1" t="s">
        <v>8</v>
      </c>
      <c r="O7245" s="2">
        <v>43609</v>
      </c>
    </row>
    <row r="7246" spans="1:15" ht="43.2" x14ac:dyDescent="0.3">
      <c r="A7246" s="1" t="s">
        <v>14339</v>
      </c>
      <c r="B7246" s="1" t="str">
        <f>"saltern caravan park"</f>
        <v>saltern caravan park</v>
      </c>
      <c r="C7246" s="1" t="s">
        <v>14340</v>
      </c>
      <c r="F7246" s="1" t="s">
        <v>714</v>
      </c>
      <c r="H7246" s="1" t="s">
        <v>715</v>
      </c>
      <c r="I7246" s="1" t="s">
        <v>125</v>
      </c>
      <c r="J7246" s="1" t="s">
        <v>67</v>
      </c>
      <c r="K7246" s="1" t="s">
        <v>14</v>
      </c>
      <c r="M7246" s="2">
        <v>42514</v>
      </c>
      <c r="N7246" s="1" t="s">
        <v>8</v>
      </c>
      <c r="O7246" s="1" t="s">
        <v>68</v>
      </c>
    </row>
    <row r="7247" spans="1:15" ht="43.2" x14ac:dyDescent="0.3">
      <c r="A7247" s="1" t="s">
        <v>25979</v>
      </c>
      <c r="B7247" s="1" t="str">
        <f>"GRAHAM DAVIES"</f>
        <v>GRAHAM DAVIES</v>
      </c>
      <c r="C7247" s="1" t="s">
        <v>25980</v>
      </c>
      <c r="F7247" s="1" t="s">
        <v>27</v>
      </c>
      <c r="H7247" s="1" t="s">
        <v>25981</v>
      </c>
      <c r="I7247" s="1" t="s">
        <v>5</v>
      </c>
      <c r="J7247" s="1" t="s">
        <v>67</v>
      </c>
      <c r="K7247" s="1" t="s">
        <v>14</v>
      </c>
      <c r="M7247" s="2">
        <v>42514</v>
      </c>
      <c r="N7247" s="1" t="s">
        <v>8</v>
      </c>
      <c r="O7247" s="1" t="s">
        <v>68</v>
      </c>
    </row>
    <row r="7248" spans="1:15" ht="28.8" x14ac:dyDescent="0.3">
      <c r="A7248" s="1" t="s">
        <v>25982</v>
      </c>
      <c r="B7248" s="1" t="str">
        <f>"Paul Knight Knight &amp; Sons"</f>
        <v>Paul Knight Knight &amp; Sons</v>
      </c>
      <c r="C7248" s="1" t="s">
        <v>25983</v>
      </c>
      <c r="D7248" s="1" t="s">
        <v>25984</v>
      </c>
      <c r="F7248" s="1" t="s">
        <v>25985</v>
      </c>
      <c r="H7248" s="1" t="s">
        <v>25986</v>
      </c>
      <c r="I7248" s="1" t="s">
        <v>5</v>
      </c>
      <c r="J7248" s="1" t="s">
        <v>6</v>
      </c>
      <c r="K7248" s="1" t="s">
        <v>24</v>
      </c>
      <c r="M7248" s="2">
        <v>42514</v>
      </c>
      <c r="N7248" s="1" t="s">
        <v>8</v>
      </c>
      <c r="O7248" s="2">
        <v>43609</v>
      </c>
    </row>
    <row r="7249" spans="1:15" ht="43.2" x14ac:dyDescent="0.3">
      <c r="A7249" s="1" t="s">
        <v>25987</v>
      </c>
      <c r="B7249" s="1" t="str">
        <f>"Andrew Barnes"</f>
        <v>Andrew Barnes</v>
      </c>
      <c r="C7249" s="1" t="s">
        <v>25988</v>
      </c>
      <c r="F7249" s="1" t="s">
        <v>25989</v>
      </c>
      <c r="H7249" s="1" t="s">
        <v>25990</v>
      </c>
      <c r="I7249" s="1" t="s">
        <v>5</v>
      </c>
      <c r="J7249" s="1" t="s">
        <v>67</v>
      </c>
      <c r="K7249" s="1" t="s">
        <v>14</v>
      </c>
      <c r="M7249" s="2">
        <v>42514</v>
      </c>
      <c r="N7249" s="1" t="s">
        <v>8</v>
      </c>
      <c r="O7249" s="1" t="s">
        <v>68</v>
      </c>
    </row>
    <row r="7250" spans="1:15" ht="28.8" x14ac:dyDescent="0.3">
      <c r="A7250" s="1" t="s">
        <v>26707</v>
      </c>
      <c r="B7250" s="1" t="str">
        <f>"Alun Grifiths"</f>
        <v>Alun Grifiths</v>
      </c>
      <c r="C7250" s="1" t="s">
        <v>26708</v>
      </c>
      <c r="D7250" s="1" t="s">
        <v>102</v>
      </c>
      <c r="F7250" s="1" t="s">
        <v>26709</v>
      </c>
      <c r="H7250" s="1" t="s">
        <v>26710</v>
      </c>
      <c r="I7250" s="1" t="s">
        <v>5</v>
      </c>
      <c r="J7250" s="1" t="s">
        <v>6</v>
      </c>
      <c r="K7250" s="1" t="s">
        <v>34</v>
      </c>
      <c r="M7250" s="2">
        <v>42514</v>
      </c>
      <c r="N7250" s="1" t="s">
        <v>8</v>
      </c>
      <c r="O7250" s="2">
        <v>43609</v>
      </c>
    </row>
    <row r="7251" spans="1:15" ht="28.8" x14ac:dyDescent="0.3">
      <c r="A7251" s="1" t="s">
        <v>26711</v>
      </c>
      <c r="B7251" s="1" t="str">
        <f>"David Halse David Halse"</f>
        <v>David Halse David Halse</v>
      </c>
      <c r="C7251" s="1" t="s">
        <v>26712</v>
      </c>
      <c r="F7251" s="1" t="s">
        <v>865</v>
      </c>
      <c r="H7251" s="1" t="s">
        <v>26713</v>
      </c>
      <c r="I7251" s="1" t="s">
        <v>5</v>
      </c>
      <c r="J7251" s="1" t="s">
        <v>6</v>
      </c>
      <c r="K7251" s="1" t="s">
        <v>24</v>
      </c>
      <c r="M7251" s="2">
        <v>42514</v>
      </c>
      <c r="N7251" s="1" t="s">
        <v>8</v>
      </c>
      <c r="O7251" s="2">
        <v>43609</v>
      </c>
    </row>
    <row r="7252" spans="1:15" ht="28.8" x14ac:dyDescent="0.3">
      <c r="A7252" s="1" t="s">
        <v>26714</v>
      </c>
      <c r="B7252" s="1" t="str">
        <f>"WILLIAM REES WILLIAM REES"</f>
        <v>WILLIAM REES WILLIAM REES</v>
      </c>
      <c r="C7252" s="1" t="s">
        <v>26715</v>
      </c>
      <c r="D7252" s="1" t="s">
        <v>26716</v>
      </c>
      <c r="F7252" s="1" t="s">
        <v>174</v>
      </c>
      <c r="H7252" s="1" t="s">
        <v>26717</v>
      </c>
      <c r="I7252" s="1" t="s">
        <v>5</v>
      </c>
      <c r="J7252" s="1" t="s">
        <v>6</v>
      </c>
      <c r="K7252" s="1" t="s">
        <v>24</v>
      </c>
      <c r="M7252" s="2">
        <v>42514</v>
      </c>
      <c r="N7252" s="1" t="s">
        <v>8</v>
      </c>
      <c r="O7252" s="2">
        <v>43727</v>
      </c>
    </row>
    <row r="7253" spans="1:15" ht="43.2" x14ac:dyDescent="0.3">
      <c r="A7253" s="1" t="s">
        <v>27574</v>
      </c>
      <c r="B7253" s="1" t="str">
        <f>"patrick mcdonagh Pmac All Seasons Roofing"</f>
        <v>patrick mcdonagh Pmac All Seasons Roofing</v>
      </c>
      <c r="C7253" s="1" t="s">
        <v>27575</v>
      </c>
      <c r="F7253" s="1" t="s">
        <v>1346</v>
      </c>
      <c r="H7253" s="1" t="s">
        <v>27576</v>
      </c>
      <c r="I7253" s="1" t="s">
        <v>5</v>
      </c>
      <c r="J7253" s="1" t="s">
        <v>6</v>
      </c>
      <c r="K7253" s="1" t="s">
        <v>34</v>
      </c>
      <c r="M7253" s="2">
        <v>42514</v>
      </c>
      <c r="N7253" s="1" t="s">
        <v>8</v>
      </c>
      <c r="O7253" s="2">
        <v>43609</v>
      </c>
    </row>
    <row r="7254" spans="1:15" ht="43.2" x14ac:dyDescent="0.3">
      <c r="A7254" s="1" t="s">
        <v>12314</v>
      </c>
      <c r="B7254" s="1" t="str">
        <f>"Nant tree services ltd"</f>
        <v>Nant tree services ltd</v>
      </c>
      <c r="C7254" s="1" t="s">
        <v>12315</v>
      </c>
      <c r="D7254" s="1" t="s">
        <v>2473</v>
      </c>
      <c r="F7254" s="1" t="s">
        <v>710</v>
      </c>
      <c r="H7254" s="1" t="s">
        <v>12316</v>
      </c>
      <c r="I7254" s="1" t="s">
        <v>19</v>
      </c>
      <c r="J7254" s="1" t="s">
        <v>67</v>
      </c>
      <c r="K7254" s="1" t="s">
        <v>14</v>
      </c>
      <c r="M7254" s="2">
        <v>42513</v>
      </c>
      <c r="N7254" s="1" t="s">
        <v>8</v>
      </c>
      <c r="O7254" s="1" t="s">
        <v>68</v>
      </c>
    </row>
    <row r="7255" spans="1:15" x14ac:dyDescent="0.3">
      <c r="A7255" s="1" t="s">
        <v>12317</v>
      </c>
      <c r="B7255" s="1" t="str">
        <f>"Davies Crane Hire Ltd"</f>
        <v>Davies Crane Hire Ltd</v>
      </c>
      <c r="C7255" s="1" t="s">
        <v>12318</v>
      </c>
      <c r="F7255" s="1" t="s">
        <v>96</v>
      </c>
      <c r="H7255" s="1" t="s">
        <v>12319</v>
      </c>
      <c r="I7255" s="1" t="s">
        <v>19</v>
      </c>
      <c r="J7255" s="1" t="s">
        <v>6</v>
      </c>
      <c r="K7255" s="1" t="s">
        <v>24</v>
      </c>
      <c r="L7255" s="1">
        <v>2214779</v>
      </c>
      <c r="M7255" s="2">
        <v>42513</v>
      </c>
      <c r="N7255" s="1" t="s">
        <v>8</v>
      </c>
      <c r="O7255" s="2">
        <v>43742</v>
      </c>
    </row>
    <row r="7256" spans="1:15" ht="28.8" x14ac:dyDescent="0.3">
      <c r="A7256" s="1" t="s">
        <v>12320</v>
      </c>
      <c r="B7256" s="1" t="str">
        <f>"Hudson Haulage (DSG) Limited"</f>
        <v>Hudson Haulage (DSG) Limited</v>
      </c>
      <c r="C7256" s="1" t="s">
        <v>12321</v>
      </c>
      <c r="F7256" s="1" t="s">
        <v>277</v>
      </c>
      <c r="H7256" s="1" t="s">
        <v>12322</v>
      </c>
      <c r="I7256" s="1" t="s">
        <v>19</v>
      </c>
      <c r="J7256" s="1" t="s">
        <v>6</v>
      </c>
      <c r="K7256" s="1" t="s">
        <v>24</v>
      </c>
      <c r="L7256" s="1">
        <v>7023910</v>
      </c>
      <c r="M7256" s="2">
        <v>42513</v>
      </c>
      <c r="N7256" s="1" t="s">
        <v>8</v>
      </c>
      <c r="O7256" s="2">
        <v>43608</v>
      </c>
    </row>
    <row r="7257" spans="1:15" ht="43.2" x14ac:dyDescent="0.3">
      <c r="A7257" s="1" t="s">
        <v>12323</v>
      </c>
      <c r="B7257" s="1" t="str">
        <f>"Llanwrtyd &amp; District Herritage"</f>
        <v>Llanwrtyd &amp; District Herritage</v>
      </c>
      <c r="C7257" s="1" t="s">
        <v>12324</v>
      </c>
      <c r="F7257" s="1" t="s">
        <v>12325</v>
      </c>
      <c r="H7257" s="1" t="s">
        <v>12326</v>
      </c>
      <c r="I7257" s="1" t="s">
        <v>125</v>
      </c>
      <c r="J7257" s="1" t="s">
        <v>67</v>
      </c>
      <c r="K7257" s="1" t="s">
        <v>14</v>
      </c>
      <c r="M7257" s="2">
        <v>42513</v>
      </c>
      <c r="N7257" s="1" t="s">
        <v>8</v>
      </c>
      <c r="O7257" s="1" t="s">
        <v>68</v>
      </c>
    </row>
    <row r="7258" spans="1:15" ht="28.8" x14ac:dyDescent="0.3">
      <c r="A7258" s="1" t="s">
        <v>12327</v>
      </c>
      <c r="B7258" s="1" t="str">
        <f>"ERIC CARNABY &amp; SON LIMITED"</f>
        <v>ERIC CARNABY &amp; SON LIMITED</v>
      </c>
      <c r="C7258" s="1" t="s">
        <v>12328</v>
      </c>
      <c r="D7258" s="1" t="s">
        <v>12329</v>
      </c>
      <c r="F7258" s="1" t="s">
        <v>12330</v>
      </c>
      <c r="H7258" s="1" t="s">
        <v>12331</v>
      </c>
      <c r="I7258" s="1" t="s">
        <v>19</v>
      </c>
      <c r="J7258" s="1" t="s">
        <v>6</v>
      </c>
      <c r="K7258" s="1" t="s">
        <v>24</v>
      </c>
      <c r="L7258" s="1">
        <v>8273695</v>
      </c>
      <c r="M7258" s="2">
        <v>42513</v>
      </c>
      <c r="N7258" s="1" t="s">
        <v>8</v>
      </c>
      <c r="O7258" s="2">
        <v>43608</v>
      </c>
    </row>
    <row r="7259" spans="1:15" ht="43.2" x14ac:dyDescent="0.3">
      <c r="A7259" s="1" t="s">
        <v>12332</v>
      </c>
      <c r="B7259" s="1" t="str">
        <f>"Electrical Wholesale Supplies"</f>
        <v>Electrical Wholesale Supplies</v>
      </c>
      <c r="C7259" s="1" t="s">
        <v>12333</v>
      </c>
      <c r="D7259" s="1" t="s">
        <v>4532</v>
      </c>
      <c r="E7259" s="1" t="s">
        <v>2635</v>
      </c>
      <c r="F7259" s="1" t="s">
        <v>65</v>
      </c>
      <c r="H7259" s="1" t="s">
        <v>4533</v>
      </c>
      <c r="I7259" s="1" t="s">
        <v>19</v>
      </c>
      <c r="J7259" s="1" t="s">
        <v>67</v>
      </c>
      <c r="K7259" s="1" t="s">
        <v>14</v>
      </c>
      <c r="M7259" s="2">
        <v>42513</v>
      </c>
      <c r="N7259" s="1" t="s">
        <v>8</v>
      </c>
      <c r="O7259" s="1" t="s">
        <v>68</v>
      </c>
    </row>
    <row r="7260" spans="1:15" ht="43.2" x14ac:dyDescent="0.3">
      <c r="A7260" s="1" t="s">
        <v>12334</v>
      </c>
      <c r="B7260" s="1" t="str">
        <f>"South Wales Industrial Equipment Ltd."</f>
        <v>South Wales Industrial Equipment Ltd.</v>
      </c>
      <c r="C7260" s="1" t="s">
        <v>12335</v>
      </c>
      <c r="D7260" s="1" t="s">
        <v>2627</v>
      </c>
      <c r="E7260" s="1" t="s">
        <v>1350</v>
      </c>
      <c r="F7260" s="1" t="s">
        <v>1351</v>
      </c>
      <c r="H7260" s="1" t="s">
        <v>2628</v>
      </c>
      <c r="I7260" s="1" t="s">
        <v>19</v>
      </c>
      <c r="J7260" s="1" t="s">
        <v>67</v>
      </c>
      <c r="K7260" s="1" t="s">
        <v>24</v>
      </c>
      <c r="L7260" s="1">
        <v>4281914</v>
      </c>
      <c r="M7260" s="2">
        <v>42513</v>
      </c>
      <c r="N7260" s="1" t="s">
        <v>8</v>
      </c>
      <c r="O7260" s="1" t="s">
        <v>68</v>
      </c>
    </row>
    <row r="7261" spans="1:15" ht="43.2" x14ac:dyDescent="0.3">
      <c r="A7261" s="1" t="s">
        <v>12336</v>
      </c>
      <c r="B7261" s="1" t="str">
        <f>"SPARES &amp; REPAIRS"</f>
        <v>SPARES &amp; REPAIRS</v>
      </c>
      <c r="C7261" s="1" t="s">
        <v>12337</v>
      </c>
      <c r="F7261" s="1" t="s">
        <v>1184</v>
      </c>
      <c r="H7261" s="1" t="s">
        <v>12338</v>
      </c>
      <c r="I7261" s="1" t="s">
        <v>125</v>
      </c>
      <c r="J7261" s="1" t="s">
        <v>6</v>
      </c>
      <c r="K7261" s="1" t="s">
        <v>24</v>
      </c>
      <c r="M7261" s="2">
        <v>42513</v>
      </c>
      <c r="N7261" s="1" t="s">
        <v>8</v>
      </c>
      <c r="O7261" s="2">
        <v>43608</v>
      </c>
    </row>
    <row r="7262" spans="1:15" ht="43.2" x14ac:dyDescent="0.3">
      <c r="A7262" s="1" t="s">
        <v>13449</v>
      </c>
      <c r="B7262" s="1" t="str">
        <f>"Cranford Environmental Advisors Ltd"</f>
        <v>Cranford Environmental Advisors Ltd</v>
      </c>
      <c r="C7262" s="1" t="s">
        <v>13450</v>
      </c>
      <c r="F7262" s="1" t="s">
        <v>401</v>
      </c>
      <c r="H7262" s="1" t="s">
        <v>13451</v>
      </c>
      <c r="I7262" s="1" t="s">
        <v>19</v>
      </c>
      <c r="J7262" s="1" t="s">
        <v>6</v>
      </c>
      <c r="K7262" s="1" t="s">
        <v>34</v>
      </c>
      <c r="L7262" s="1">
        <v>4273075</v>
      </c>
      <c r="M7262" s="2">
        <v>42513</v>
      </c>
      <c r="N7262" s="1" t="s">
        <v>8</v>
      </c>
      <c r="O7262" s="2">
        <v>43608</v>
      </c>
    </row>
    <row r="7263" spans="1:15" ht="28.8" x14ac:dyDescent="0.3">
      <c r="A7263" s="1" t="s">
        <v>13452</v>
      </c>
      <c r="B7263" s="1" t="str">
        <f>"emw Developments Ltd"</f>
        <v>emw Developments Ltd</v>
      </c>
      <c r="C7263" s="1" t="s">
        <v>13453</v>
      </c>
      <c r="D7263" s="1" t="s">
        <v>5911</v>
      </c>
      <c r="F7263" s="1" t="s">
        <v>83</v>
      </c>
      <c r="H7263" s="1" t="s">
        <v>13454</v>
      </c>
      <c r="I7263" s="1" t="s">
        <v>19</v>
      </c>
      <c r="J7263" s="1" t="s">
        <v>6</v>
      </c>
      <c r="K7263" s="1" t="s">
        <v>34</v>
      </c>
      <c r="L7263" s="1">
        <v>9044140</v>
      </c>
      <c r="M7263" s="2">
        <v>42513</v>
      </c>
      <c r="N7263" s="1" t="s">
        <v>8</v>
      </c>
      <c r="O7263" s="2">
        <v>43608</v>
      </c>
    </row>
    <row r="7264" spans="1:15" ht="28.8" x14ac:dyDescent="0.3">
      <c r="A7264" s="1" t="s">
        <v>13455</v>
      </c>
      <c r="B7264" s="1" t="str">
        <f>"Ammanford Metal Recycling"</f>
        <v>Ammanford Metal Recycling</v>
      </c>
      <c r="C7264" s="1" t="s">
        <v>13456</v>
      </c>
      <c r="F7264" s="1" t="s">
        <v>13457</v>
      </c>
      <c r="H7264" s="1" t="s">
        <v>13458</v>
      </c>
      <c r="I7264" s="1" t="s">
        <v>19</v>
      </c>
      <c r="J7264" s="1" t="s">
        <v>6</v>
      </c>
      <c r="K7264" s="1" t="s">
        <v>24</v>
      </c>
      <c r="L7264" s="1">
        <v>7540343</v>
      </c>
      <c r="M7264" s="2">
        <v>42513</v>
      </c>
      <c r="N7264" s="1" t="s">
        <v>8</v>
      </c>
      <c r="O7264" s="2">
        <v>43608</v>
      </c>
    </row>
    <row r="7265" spans="1:15" ht="28.8" x14ac:dyDescent="0.3">
      <c r="A7265" s="1" t="s">
        <v>13459</v>
      </c>
      <c r="B7265" s="1" t="str">
        <f>"LLOYD &amp; GRAVELL LTD"</f>
        <v>LLOYD &amp; GRAVELL LTD</v>
      </c>
      <c r="C7265" s="1" t="s">
        <v>13460</v>
      </c>
      <c r="F7265" s="1" t="s">
        <v>42</v>
      </c>
      <c r="H7265" s="1" t="s">
        <v>13461</v>
      </c>
      <c r="I7265" s="1" t="s">
        <v>19</v>
      </c>
      <c r="J7265" s="1" t="s">
        <v>6</v>
      </c>
      <c r="K7265" s="1" t="s">
        <v>24</v>
      </c>
      <c r="L7265" s="1">
        <v>3596642</v>
      </c>
      <c r="M7265" s="2">
        <v>42513</v>
      </c>
      <c r="N7265" s="1" t="s">
        <v>8</v>
      </c>
      <c r="O7265" s="2">
        <v>43608</v>
      </c>
    </row>
    <row r="7266" spans="1:15" ht="28.8" x14ac:dyDescent="0.3">
      <c r="A7266" s="1" t="s">
        <v>24422</v>
      </c>
      <c r="B7266" s="1" t="str">
        <f>"Christopher Ian Taylor"</f>
        <v>Christopher Ian Taylor</v>
      </c>
      <c r="C7266" s="1" t="s">
        <v>24423</v>
      </c>
      <c r="F7266" s="1" t="s">
        <v>65</v>
      </c>
      <c r="H7266" s="1" t="s">
        <v>24424</v>
      </c>
      <c r="I7266" s="1" t="s">
        <v>5</v>
      </c>
      <c r="J7266" s="1" t="s">
        <v>6</v>
      </c>
      <c r="K7266" s="1" t="s">
        <v>24</v>
      </c>
      <c r="M7266" s="2">
        <v>42513</v>
      </c>
      <c r="N7266" s="1" t="s">
        <v>8</v>
      </c>
      <c r="O7266" s="2">
        <v>43608</v>
      </c>
    </row>
    <row r="7267" spans="1:15" ht="43.2" x14ac:dyDescent="0.3">
      <c r="A7267" s="1" t="s">
        <v>25244</v>
      </c>
      <c r="B7267" s="1" t="str">
        <f>"stephen davies Beacons View Reclamation Centre"</f>
        <v>stephen davies Beacons View Reclamation Centre</v>
      </c>
      <c r="C7267" s="1" t="s">
        <v>25245</v>
      </c>
      <c r="F7267" s="1" t="s">
        <v>25246</v>
      </c>
      <c r="H7267" s="1" t="s">
        <v>25247</v>
      </c>
      <c r="I7267" s="1" t="s">
        <v>5</v>
      </c>
      <c r="J7267" s="1" t="s">
        <v>6</v>
      </c>
      <c r="K7267" s="1" t="s">
        <v>24</v>
      </c>
      <c r="M7267" s="2">
        <v>42513</v>
      </c>
      <c r="N7267" s="1" t="s">
        <v>8</v>
      </c>
      <c r="O7267" s="2">
        <v>43608</v>
      </c>
    </row>
    <row r="7268" spans="1:15" ht="28.8" x14ac:dyDescent="0.3">
      <c r="A7268" s="1" t="s">
        <v>25248</v>
      </c>
      <c r="B7268" s="1" t="str">
        <f>"Paul Toft PAUL TOFT TREE SERVICES"</f>
        <v>Paul Toft PAUL TOFT TREE SERVICES</v>
      </c>
      <c r="C7268" s="1" t="s">
        <v>25249</v>
      </c>
      <c r="F7268" s="1" t="s">
        <v>5958</v>
      </c>
      <c r="H7268" s="1" t="s">
        <v>25250</v>
      </c>
      <c r="I7268" s="1" t="s">
        <v>5</v>
      </c>
      <c r="J7268" s="1" t="s">
        <v>6</v>
      </c>
      <c r="K7268" s="1" t="s">
        <v>24</v>
      </c>
      <c r="M7268" s="2">
        <v>42513</v>
      </c>
      <c r="N7268" s="1" t="s">
        <v>8</v>
      </c>
      <c r="O7268" s="2">
        <v>43608</v>
      </c>
    </row>
    <row r="7269" spans="1:15" ht="28.8" x14ac:dyDescent="0.3">
      <c r="A7269" s="1" t="s">
        <v>25967</v>
      </c>
      <c r="B7269" s="1" t="str">
        <f>"Aled Jones Gwres Eryri CYF"</f>
        <v>Aled Jones Gwres Eryri CYF</v>
      </c>
      <c r="C7269" s="1" t="s">
        <v>25968</v>
      </c>
      <c r="F7269" s="1" t="s">
        <v>710</v>
      </c>
      <c r="H7269" s="1" t="s">
        <v>25969</v>
      </c>
      <c r="I7269" s="1" t="s">
        <v>5</v>
      </c>
      <c r="J7269" s="1" t="s">
        <v>6</v>
      </c>
      <c r="K7269" s="1" t="s">
        <v>34</v>
      </c>
      <c r="M7269" s="2">
        <v>42513</v>
      </c>
      <c r="N7269" s="1" t="s">
        <v>8</v>
      </c>
      <c r="O7269" s="2">
        <v>43608</v>
      </c>
    </row>
    <row r="7270" spans="1:15" ht="28.8" x14ac:dyDescent="0.3">
      <c r="A7270" s="1" t="s">
        <v>25970</v>
      </c>
      <c r="B7270" s="1" t="str">
        <f>"Christopher Du Ross"</f>
        <v>Christopher Du Ross</v>
      </c>
      <c r="C7270" s="1" t="s">
        <v>25971</v>
      </c>
      <c r="F7270" s="1" t="s">
        <v>1169</v>
      </c>
      <c r="H7270" s="1" t="s">
        <v>25972</v>
      </c>
      <c r="I7270" s="1" t="s">
        <v>5</v>
      </c>
      <c r="J7270" s="1" t="s">
        <v>6</v>
      </c>
      <c r="K7270" s="1" t="s">
        <v>24</v>
      </c>
      <c r="M7270" s="2">
        <v>42513</v>
      </c>
      <c r="N7270" s="1" t="s">
        <v>8</v>
      </c>
      <c r="O7270" s="2">
        <v>43608</v>
      </c>
    </row>
    <row r="7271" spans="1:15" ht="43.2" x14ac:dyDescent="0.3">
      <c r="A7271" s="1" t="s">
        <v>25973</v>
      </c>
      <c r="B7271" s="1" t="str">
        <f>"Julie Nguyen"</f>
        <v>Julie Nguyen</v>
      </c>
      <c r="C7271" s="1" t="s">
        <v>25974</v>
      </c>
      <c r="F7271" s="1" t="s">
        <v>4614</v>
      </c>
      <c r="H7271" s="1" t="s">
        <v>25975</v>
      </c>
      <c r="I7271" s="1" t="s">
        <v>5</v>
      </c>
      <c r="J7271" s="1" t="s">
        <v>67</v>
      </c>
      <c r="K7271" s="1" t="s">
        <v>14</v>
      </c>
      <c r="M7271" s="2">
        <v>42513</v>
      </c>
      <c r="N7271" s="1" t="s">
        <v>8</v>
      </c>
      <c r="O7271" s="1" t="s">
        <v>68</v>
      </c>
    </row>
    <row r="7272" spans="1:15" ht="28.8" x14ac:dyDescent="0.3">
      <c r="A7272" s="1" t="s">
        <v>25976</v>
      </c>
      <c r="B7272" s="1" t="str">
        <f>"Louis Morgan Morgans moves"</f>
        <v>Louis Morgan Morgans moves</v>
      </c>
      <c r="C7272" s="1" t="s">
        <v>25977</v>
      </c>
      <c r="F7272" s="1" t="s">
        <v>91</v>
      </c>
      <c r="H7272" s="1" t="s">
        <v>25978</v>
      </c>
      <c r="I7272" s="1" t="s">
        <v>5</v>
      </c>
      <c r="J7272" s="1" t="s">
        <v>6</v>
      </c>
      <c r="K7272" s="1" t="s">
        <v>24</v>
      </c>
      <c r="M7272" s="2">
        <v>42513</v>
      </c>
      <c r="N7272" s="1" t="s">
        <v>8</v>
      </c>
      <c r="O7272" s="2">
        <v>43608</v>
      </c>
    </row>
    <row r="7273" spans="1:15" ht="28.8" x14ac:dyDescent="0.3">
      <c r="A7273" s="1" t="s">
        <v>11373</v>
      </c>
      <c r="B7273" s="1" t="str">
        <f>"i h plumbing &amp; heating ltd"</f>
        <v>i h plumbing &amp; heating ltd</v>
      </c>
      <c r="C7273" s="1" t="s">
        <v>11374</v>
      </c>
      <c r="F7273" s="1" t="s">
        <v>11375</v>
      </c>
      <c r="H7273" s="1" t="s">
        <v>11376</v>
      </c>
      <c r="I7273" s="1" t="s">
        <v>19</v>
      </c>
      <c r="J7273" s="1" t="s">
        <v>6</v>
      </c>
      <c r="K7273" s="1" t="s">
        <v>24</v>
      </c>
      <c r="L7273" s="1">
        <v>6145192</v>
      </c>
      <c r="M7273" s="2">
        <v>42512</v>
      </c>
      <c r="N7273" s="1" t="s">
        <v>8</v>
      </c>
      <c r="O7273" s="2">
        <v>43607</v>
      </c>
    </row>
    <row r="7274" spans="1:15" ht="43.2" x14ac:dyDescent="0.3">
      <c r="A7274" s="1" t="s">
        <v>11377</v>
      </c>
      <c r="B7274" s="1" t="str">
        <f>"New Dock Newsagents"</f>
        <v>New Dock Newsagents</v>
      </c>
      <c r="C7274" s="1" t="s">
        <v>11378</v>
      </c>
      <c r="F7274" s="1" t="s">
        <v>42</v>
      </c>
      <c r="H7274" s="1" t="s">
        <v>11379</v>
      </c>
      <c r="I7274" s="1" t="s">
        <v>125</v>
      </c>
      <c r="J7274" s="1" t="s">
        <v>67</v>
      </c>
      <c r="K7274" s="1" t="s">
        <v>14</v>
      </c>
      <c r="M7274" s="2">
        <v>42512</v>
      </c>
      <c r="N7274" s="1" t="s">
        <v>8</v>
      </c>
      <c r="O7274" s="1" t="s">
        <v>68</v>
      </c>
    </row>
    <row r="7275" spans="1:15" x14ac:dyDescent="0.3">
      <c r="A7275" s="1" t="s">
        <v>11380</v>
      </c>
      <c r="B7275" s="1" t="str">
        <f>"A.V. Griffiths &amp; Son"</f>
        <v>A.V. Griffiths &amp; Son</v>
      </c>
      <c r="C7275" s="1" t="s">
        <v>11381</v>
      </c>
      <c r="F7275" s="1" t="s">
        <v>3415</v>
      </c>
      <c r="H7275" s="1" t="s">
        <v>11382</v>
      </c>
      <c r="I7275" s="1" t="s">
        <v>125</v>
      </c>
      <c r="J7275" s="1" t="s">
        <v>6</v>
      </c>
      <c r="K7275" s="1" t="s">
        <v>24</v>
      </c>
      <c r="M7275" s="2">
        <v>42512</v>
      </c>
      <c r="N7275" s="1" t="s">
        <v>8</v>
      </c>
      <c r="O7275" s="2">
        <v>43607</v>
      </c>
    </row>
    <row r="7276" spans="1:15" ht="28.8" x14ac:dyDescent="0.3">
      <c r="A7276" s="1" t="s">
        <v>24416</v>
      </c>
      <c r="B7276" s="1" t="str">
        <f>"Sue Robinson North Wales Antiques"</f>
        <v>Sue Robinson North Wales Antiques</v>
      </c>
      <c r="C7276" s="1" t="s">
        <v>24417</v>
      </c>
      <c r="F7276" s="1" t="s">
        <v>1184</v>
      </c>
      <c r="H7276" s="1" t="s">
        <v>24418</v>
      </c>
      <c r="I7276" s="1" t="s">
        <v>5</v>
      </c>
      <c r="J7276" s="1" t="s">
        <v>6</v>
      </c>
      <c r="K7276" s="1" t="s">
        <v>24</v>
      </c>
      <c r="M7276" s="2">
        <v>42512</v>
      </c>
      <c r="N7276" s="1" t="s">
        <v>8</v>
      </c>
      <c r="O7276" s="2">
        <v>43607</v>
      </c>
    </row>
    <row r="7277" spans="1:15" ht="28.8" x14ac:dyDescent="0.3">
      <c r="A7277" s="1" t="s">
        <v>24419</v>
      </c>
      <c r="B7277" s="1" t="str">
        <f>"Robert Vaughan ROBERT VAUGHAN"</f>
        <v>Robert Vaughan ROBERT VAUGHAN</v>
      </c>
      <c r="C7277" s="1" t="s">
        <v>24420</v>
      </c>
      <c r="F7277" s="1" t="s">
        <v>710</v>
      </c>
      <c r="H7277" s="1" t="s">
        <v>24421</v>
      </c>
      <c r="I7277" s="1" t="s">
        <v>5</v>
      </c>
      <c r="J7277" s="1" t="s">
        <v>6</v>
      </c>
      <c r="K7277" s="1" t="s">
        <v>24</v>
      </c>
      <c r="M7277" s="2">
        <v>42512</v>
      </c>
      <c r="N7277" s="1" t="s">
        <v>8</v>
      </c>
      <c r="O7277" s="2">
        <v>43607</v>
      </c>
    </row>
    <row r="7278" spans="1:15" ht="43.2" x14ac:dyDescent="0.3">
      <c r="A7278" s="1" t="s">
        <v>11370</v>
      </c>
      <c r="B7278" s="1" t="str">
        <f>"AJ Syms Ltd"</f>
        <v>AJ Syms Ltd</v>
      </c>
      <c r="C7278" s="1" t="s">
        <v>11371</v>
      </c>
      <c r="F7278" s="1" t="s">
        <v>2711</v>
      </c>
      <c r="H7278" s="1" t="s">
        <v>11372</v>
      </c>
      <c r="I7278" s="1" t="s">
        <v>19</v>
      </c>
      <c r="J7278" s="1" t="s">
        <v>67</v>
      </c>
      <c r="K7278" s="1" t="s">
        <v>14</v>
      </c>
      <c r="M7278" s="2">
        <v>42511</v>
      </c>
      <c r="N7278" s="1" t="s">
        <v>8</v>
      </c>
      <c r="O7278" s="1" t="s">
        <v>68</v>
      </c>
    </row>
    <row r="7279" spans="1:15" ht="43.2" x14ac:dyDescent="0.3">
      <c r="A7279" s="1" t="s">
        <v>24410</v>
      </c>
      <c r="B7279" s="1" t="str">
        <f>"Stephen Meyrick-Jones S M Haulage South Wales"</f>
        <v>Stephen Meyrick-Jones S M Haulage South Wales</v>
      </c>
      <c r="C7279" s="1" t="s">
        <v>24411</v>
      </c>
      <c r="F7279" s="1" t="s">
        <v>555</v>
      </c>
      <c r="H7279" s="1" t="s">
        <v>24412</v>
      </c>
      <c r="I7279" s="1" t="s">
        <v>5</v>
      </c>
      <c r="J7279" s="1" t="s">
        <v>6</v>
      </c>
      <c r="K7279" s="1" t="s">
        <v>24</v>
      </c>
      <c r="M7279" s="2">
        <v>42511</v>
      </c>
      <c r="N7279" s="1" t="s">
        <v>8</v>
      </c>
      <c r="O7279" s="2">
        <v>43606</v>
      </c>
    </row>
    <row r="7280" spans="1:15" ht="28.8" x14ac:dyDescent="0.3">
      <c r="A7280" s="1" t="s">
        <v>24413</v>
      </c>
      <c r="B7280" s="1" t="str">
        <f>"stephen giffard 4 Brynhyfryd Terrace"</f>
        <v>stephen giffard 4 Brynhyfryd Terrace</v>
      </c>
      <c r="C7280" s="1" t="s">
        <v>24414</v>
      </c>
      <c r="F7280" s="1" t="s">
        <v>508</v>
      </c>
      <c r="H7280" s="1" t="s">
        <v>24415</v>
      </c>
      <c r="I7280" s="1" t="s">
        <v>5</v>
      </c>
      <c r="J7280" s="1" t="s">
        <v>6</v>
      </c>
      <c r="K7280" s="1" t="s">
        <v>24</v>
      </c>
      <c r="M7280" s="2">
        <v>42511</v>
      </c>
      <c r="N7280" s="1" t="s">
        <v>8</v>
      </c>
      <c r="O7280" s="2">
        <v>43606</v>
      </c>
    </row>
    <row r="7281" spans="1:15" ht="28.8" x14ac:dyDescent="0.3">
      <c r="A7281" s="1" t="s">
        <v>11359</v>
      </c>
      <c r="B7281" s="1" t="str">
        <f>"OFFICE IMAGE LTD"</f>
        <v>OFFICE IMAGE LTD</v>
      </c>
      <c r="C7281" s="1" t="s">
        <v>11360</v>
      </c>
      <c r="F7281" s="1" t="s">
        <v>27</v>
      </c>
      <c r="H7281" s="1" t="s">
        <v>11361</v>
      </c>
      <c r="I7281" s="1" t="s">
        <v>19</v>
      </c>
      <c r="J7281" s="1" t="s">
        <v>6</v>
      </c>
      <c r="K7281" s="1" t="s">
        <v>34</v>
      </c>
      <c r="L7281" s="1">
        <v>4442303</v>
      </c>
      <c r="M7281" s="2">
        <v>42510</v>
      </c>
      <c r="N7281" s="1" t="s">
        <v>8</v>
      </c>
      <c r="O7281" s="2">
        <v>43605</v>
      </c>
    </row>
    <row r="7282" spans="1:15" ht="28.8" x14ac:dyDescent="0.3">
      <c r="A7282" s="1" t="s">
        <v>11362</v>
      </c>
      <c r="B7282" s="1" t="str">
        <f>"THOMAS JONES (LLANDUDNO) LTD"</f>
        <v>THOMAS JONES (LLANDUDNO) LTD</v>
      </c>
      <c r="C7282" s="1" t="s">
        <v>11363</v>
      </c>
      <c r="F7282" s="1" t="s">
        <v>3242</v>
      </c>
      <c r="H7282" s="1" t="s">
        <v>11364</v>
      </c>
      <c r="I7282" s="1" t="s">
        <v>19</v>
      </c>
      <c r="J7282" s="1" t="s">
        <v>6</v>
      </c>
      <c r="K7282" s="1" t="s">
        <v>24</v>
      </c>
      <c r="L7282" s="1">
        <v>617258</v>
      </c>
      <c r="M7282" s="2">
        <v>42510</v>
      </c>
      <c r="N7282" s="1" t="s">
        <v>8</v>
      </c>
      <c r="O7282" s="2">
        <v>43605</v>
      </c>
    </row>
    <row r="7283" spans="1:15" ht="43.2" x14ac:dyDescent="0.3">
      <c r="A7283" s="1" t="s">
        <v>11365</v>
      </c>
      <c r="B7283" s="1" t="str">
        <f>"party hippo ltd"</f>
        <v>party hippo ltd</v>
      </c>
      <c r="C7283" s="1" t="s">
        <v>11366</v>
      </c>
      <c r="F7283" s="1" t="s">
        <v>445</v>
      </c>
      <c r="H7283" s="1" t="s">
        <v>7383</v>
      </c>
      <c r="I7283" s="1" t="s">
        <v>19</v>
      </c>
      <c r="J7283" s="1" t="s">
        <v>67</v>
      </c>
      <c r="K7283" s="1" t="s">
        <v>14</v>
      </c>
      <c r="M7283" s="2">
        <v>42510</v>
      </c>
      <c r="N7283" s="1" t="s">
        <v>8</v>
      </c>
      <c r="O7283" s="1" t="s">
        <v>68</v>
      </c>
    </row>
    <row r="7284" spans="1:15" x14ac:dyDescent="0.3">
      <c r="A7284" s="1" t="s">
        <v>11367</v>
      </c>
      <c r="B7284" s="1" t="str">
        <f>"A - COMM LTD"</f>
        <v>A - COMM LTD</v>
      </c>
      <c r="C7284" s="1" t="s">
        <v>11368</v>
      </c>
      <c r="F7284" s="1" t="s">
        <v>151</v>
      </c>
      <c r="H7284" s="1" t="s">
        <v>11369</v>
      </c>
      <c r="I7284" s="1" t="s">
        <v>19</v>
      </c>
      <c r="J7284" s="1" t="s">
        <v>6</v>
      </c>
      <c r="K7284" s="1" t="s">
        <v>24</v>
      </c>
      <c r="L7284" s="1">
        <v>4305648</v>
      </c>
      <c r="M7284" s="2">
        <v>42510</v>
      </c>
      <c r="N7284" s="1" t="s">
        <v>8</v>
      </c>
      <c r="O7284" s="2">
        <v>43605</v>
      </c>
    </row>
    <row r="7285" spans="1:15" ht="43.2" x14ac:dyDescent="0.3">
      <c r="A7285" s="1" t="s">
        <v>24396</v>
      </c>
      <c r="B7285" s="1" t="str">
        <f>"geoffrey russon clearview environmental"</f>
        <v>geoffrey russon clearview environmental</v>
      </c>
      <c r="C7285" s="1" t="s">
        <v>20631</v>
      </c>
      <c r="F7285" s="1" t="s">
        <v>20632</v>
      </c>
      <c r="H7285" s="1" t="s">
        <v>20633</v>
      </c>
      <c r="I7285" s="1" t="s">
        <v>5</v>
      </c>
      <c r="J7285" s="1" t="s">
        <v>6</v>
      </c>
      <c r="K7285" s="1" t="s">
        <v>24</v>
      </c>
      <c r="M7285" s="2">
        <v>42510</v>
      </c>
      <c r="N7285" s="1" t="s">
        <v>8</v>
      </c>
      <c r="O7285" s="2">
        <v>43605</v>
      </c>
    </row>
    <row r="7286" spans="1:15" ht="28.8" x14ac:dyDescent="0.3">
      <c r="A7286" s="1" t="s">
        <v>24397</v>
      </c>
      <c r="B7286" s="1" t="str">
        <f>"Kenneth Povey Ken Povey"</f>
        <v>Kenneth Povey Ken Povey</v>
      </c>
      <c r="C7286" s="1" t="s">
        <v>24398</v>
      </c>
      <c r="F7286" s="1" t="s">
        <v>710</v>
      </c>
      <c r="H7286" s="1" t="s">
        <v>24399</v>
      </c>
      <c r="I7286" s="1" t="s">
        <v>5</v>
      </c>
      <c r="J7286" s="1" t="s">
        <v>6</v>
      </c>
      <c r="K7286" s="1" t="s">
        <v>24</v>
      </c>
      <c r="M7286" s="2">
        <v>42510</v>
      </c>
      <c r="N7286" s="1" t="s">
        <v>8</v>
      </c>
      <c r="O7286" s="2">
        <v>43605</v>
      </c>
    </row>
    <row r="7287" spans="1:15" ht="28.8" x14ac:dyDescent="0.3">
      <c r="A7287" s="1" t="s">
        <v>24400</v>
      </c>
      <c r="B7287" s="1" t="str">
        <f>"Frank Sherratt Flintspeed"</f>
        <v>Frank Sherratt Flintspeed</v>
      </c>
      <c r="C7287" s="1" t="s">
        <v>24401</v>
      </c>
      <c r="D7287" s="1" t="s">
        <v>10090</v>
      </c>
      <c r="F7287" s="1" t="s">
        <v>1278</v>
      </c>
      <c r="H7287" s="1" t="s">
        <v>24402</v>
      </c>
      <c r="I7287" s="1" t="s">
        <v>5</v>
      </c>
      <c r="J7287" s="1" t="s">
        <v>6</v>
      </c>
      <c r="K7287" s="1" t="s">
        <v>24</v>
      </c>
      <c r="M7287" s="2">
        <v>42510</v>
      </c>
      <c r="N7287" s="1" t="s">
        <v>8</v>
      </c>
      <c r="O7287" s="2">
        <v>43605</v>
      </c>
    </row>
    <row r="7288" spans="1:15" ht="28.8" x14ac:dyDescent="0.3">
      <c r="A7288" s="1" t="s">
        <v>24403</v>
      </c>
      <c r="B7288" s="1" t="str">
        <f>"Kevin O'Sullivan K. O. S. Carriers"</f>
        <v>Kevin O'Sullivan K. O. S. Carriers</v>
      </c>
      <c r="C7288" s="1" t="s">
        <v>24404</v>
      </c>
      <c r="F7288" s="1" t="s">
        <v>27</v>
      </c>
      <c r="H7288" s="1" t="s">
        <v>24405</v>
      </c>
      <c r="I7288" s="1" t="s">
        <v>5</v>
      </c>
      <c r="J7288" s="1" t="s">
        <v>6</v>
      </c>
      <c r="K7288" s="1" t="s">
        <v>24</v>
      </c>
      <c r="M7288" s="2">
        <v>42510</v>
      </c>
      <c r="N7288" s="1" t="s">
        <v>8</v>
      </c>
      <c r="O7288" s="2">
        <v>43605</v>
      </c>
    </row>
    <row r="7289" spans="1:15" x14ac:dyDescent="0.3">
      <c r="A7289" s="1" t="s">
        <v>24406</v>
      </c>
      <c r="B7289" s="1" t="str">
        <f>"Evan Evans Evan Evans"</f>
        <v>Evan Evans Evan Evans</v>
      </c>
      <c r="C7289" s="1" t="s">
        <v>24407</v>
      </c>
      <c r="F7289" s="1" t="s">
        <v>24408</v>
      </c>
      <c r="H7289" s="1" t="s">
        <v>24409</v>
      </c>
      <c r="I7289" s="1" t="s">
        <v>5</v>
      </c>
      <c r="J7289" s="1" t="s">
        <v>6</v>
      </c>
      <c r="K7289" s="1" t="s">
        <v>24</v>
      </c>
      <c r="M7289" s="2">
        <v>42510</v>
      </c>
      <c r="N7289" s="1" t="s">
        <v>8</v>
      </c>
      <c r="O7289" s="2">
        <v>43605</v>
      </c>
    </row>
    <row r="7290" spans="1:15" ht="28.8" x14ac:dyDescent="0.3">
      <c r="A7290" s="1" t="s">
        <v>10319</v>
      </c>
      <c r="B7290" s="1" t="str">
        <f>"air conditioning swansea ltd"</f>
        <v>air conditioning swansea ltd</v>
      </c>
      <c r="C7290" s="1" t="s">
        <v>10320</v>
      </c>
      <c r="F7290" s="1" t="s">
        <v>65</v>
      </c>
      <c r="H7290" s="1" t="s">
        <v>10321</v>
      </c>
      <c r="I7290" s="1" t="s">
        <v>19</v>
      </c>
      <c r="J7290" s="1" t="s">
        <v>6</v>
      </c>
      <c r="K7290" s="1" t="s">
        <v>24</v>
      </c>
      <c r="L7290" s="1">
        <v>8745880</v>
      </c>
      <c r="M7290" s="2">
        <v>42509</v>
      </c>
      <c r="N7290" s="1" t="s">
        <v>8</v>
      </c>
      <c r="O7290" s="2">
        <v>43604</v>
      </c>
    </row>
    <row r="7291" spans="1:15" ht="28.8" x14ac:dyDescent="0.3">
      <c r="A7291" s="1" t="s">
        <v>10322</v>
      </c>
      <c r="B7291" s="1" t="str">
        <f>"GAVIN PYE LTD"</f>
        <v>GAVIN PYE LTD</v>
      </c>
      <c r="C7291" s="1" t="s">
        <v>10323</v>
      </c>
      <c r="D7291" s="1" t="s">
        <v>718</v>
      </c>
      <c r="E7291" s="1" t="s">
        <v>10324</v>
      </c>
      <c r="F7291" s="1" t="s">
        <v>198</v>
      </c>
      <c r="H7291" s="1" t="s">
        <v>10325</v>
      </c>
      <c r="I7291" s="1" t="s">
        <v>19</v>
      </c>
      <c r="J7291" s="1" t="s">
        <v>6</v>
      </c>
      <c r="K7291" s="1" t="s">
        <v>24</v>
      </c>
      <c r="L7291" s="1">
        <v>6380008</v>
      </c>
      <c r="M7291" s="2">
        <v>42509</v>
      </c>
      <c r="N7291" s="1" t="s">
        <v>8</v>
      </c>
      <c r="O7291" s="2">
        <v>43604</v>
      </c>
    </row>
    <row r="7292" spans="1:15" ht="28.8" x14ac:dyDescent="0.3">
      <c r="A7292" s="1" t="s">
        <v>10326</v>
      </c>
      <c r="B7292" s="1" t="str">
        <f>"Bright Energy Services Ltd "</f>
        <v xml:space="preserve">Bright Energy Services Ltd </v>
      </c>
      <c r="C7292" s="1" t="s">
        <v>10327</v>
      </c>
      <c r="D7292" s="1" t="s">
        <v>277</v>
      </c>
      <c r="F7292" s="1" t="s">
        <v>10328</v>
      </c>
      <c r="H7292" s="1" t="s">
        <v>963</v>
      </c>
      <c r="I7292" s="1" t="s">
        <v>19</v>
      </c>
      <c r="J7292" s="1" t="s">
        <v>6</v>
      </c>
      <c r="K7292" s="1" t="s">
        <v>34</v>
      </c>
      <c r="L7292" s="1">
        <v>8239584</v>
      </c>
      <c r="M7292" s="2">
        <v>42509</v>
      </c>
      <c r="N7292" s="1" t="s">
        <v>8</v>
      </c>
      <c r="O7292" s="2">
        <v>43604</v>
      </c>
    </row>
    <row r="7293" spans="1:15" ht="28.8" x14ac:dyDescent="0.3">
      <c r="A7293" s="1" t="s">
        <v>10329</v>
      </c>
      <c r="B7293" s="1" t="str">
        <f>"Seren Support Services Ltd"</f>
        <v>Seren Support Services Ltd</v>
      </c>
      <c r="C7293" s="1" t="s">
        <v>10330</v>
      </c>
      <c r="D7293" s="1" t="s">
        <v>10331</v>
      </c>
      <c r="F7293" s="1" t="s">
        <v>32</v>
      </c>
      <c r="H7293" s="1" t="s">
        <v>10332</v>
      </c>
      <c r="I7293" s="1" t="s">
        <v>19</v>
      </c>
      <c r="J7293" s="1" t="s">
        <v>6</v>
      </c>
      <c r="K7293" s="1" t="s">
        <v>24</v>
      </c>
      <c r="L7293" s="1">
        <v>7842022</v>
      </c>
      <c r="M7293" s="2">
        <v>42509</v>
      </c>
      <c r="N7293" s="1" t="s">
        <v>8</v>
      </c>
      <c r="O7293" s="2">
        <v>43604</v>
      </c>
    </row>
    <row r="7294" spans="1:15" ht="43.2" x14ac:dyDescent="0.3">
      <c r="A7294" s="1" t="s">
        <v>10333</v>
      </c>
      <c r="B7294" s="1" t="str">
        <f>"XLPS LTD"</f>
        <v>XLPS LTD</v>
      </c>
      <c r="C7294" s="1" t="s">
        <v>10334</v>
      </c>
      <c r="F7294" s="1" t="s">
        <v>10335</v>
      </c>
      <c r="H7294" s="1" t="s">
        <v>10336</v>
      </c>
      <c r="I7294" s="1" t="s">
        <v>19</v>
      </c>
      <c r="J7294" s="1" t="s">
        <v>6</v>
      </c>
      <c r="K7294" s="1" t="s">
        <v>24</v>
      </c>
      <c r="L7294" s="1">
        <v>4766888</v>
      </c>
      <c r="M7294" s="2">
        <v>42509</v>
      </c>
      <c r="N7294" s="1" t="s">
        <v>8</v>
      </c>
      <c r="O7294" s="2">
        <v>43604</v>
      </c>
    </row>
    <row r="7295" spans="1:15" ht="28.8" x14ac:dyDescent="0.3">
      <c r="A7295" s="1" t="s">
        <v>10337</v>
      </c>
      <c r="B7295" s="1" t="str">
        <f>"TRADE EFFLUENT SERVICES LTD"</f>
        <v>TRADE EFFLUENT SERVICES LTD</v>
      </c>
      <c r="C7295" s="1" t="s">
        <v>10338</v>
      </c>
      <c r="D7295" s="1" t="s">
        <v>10339</v>
      </c>
      <c r="F7295" s="1" t="s">
        <v>198</v>
      </c>
      <c r="H7295" s="1" t="s">
        <v>10340</v>
      </c>
      <c r="I7295" s="1" t="s">
        <v>19</v>
      </c>
      <c r="J7295" s="1" t="s">
        <v>6</v>
      </c>
      <c r="K7295" s="1" t="s">
        <v>34</v>
      </c>
      <c r="L7295" s="1">
        <v>2587315</v>
      </c>
      <c r="M7295" s="2">
        <v>42509</v>
      </c>
      <c r="N7295" s="1" t="s">
        <v>8</v>
      </c>
      <c r="O7295" s="2">
        <v>43604</v>
      </c>
    </row>
    <row r="7296" spans="1:15" ht="28.8" x14ac:dyDescent="0.3">
      <c r="A7296" s="1" t="s">
        <v>10341</v>
      </c>
      <c r="B7296" s="1" t="str">
        <f>"L E  Jones Ltd."</f>
        <v>L E  Jones Ltd.</v>
      </c>
      <c r="C7296" s="1" t="s">
        <v>9439</v>
      </c>
      <c r="F7296" s="1" t="s">
        <v>1700</v>
      </c>
      <c r="H7296" s="1" t="s">
        <v>9440</v>
      </c>
      <c r="I7296" s="1" t="s">
        <v>19</v>
      </c>
      <c r="J7296" s="1" t="s">
        <v>6</v>
      </c>
      <c r="K7296" s="1" t="s">
        <v>24</v>
      </c>
      <c r="L7296" s="1">
        <v>2179772</v>
      </c>
      <c r="M7296" s="2">
        <v>42509</v>
      </c>
      <c r="N7296" s="1" t="s">
        <v>8</v>
      </c>
      <c r="O7296" s="2">
        <v>43604</v>
      </c>
    </row>
    <row r="7297" spans="1:15" ht="43.2" x14ac:dyDescent="0.3">
      <c r="A7297" s="1" t="s">
        <v>10342</v>
      </c>
      <c r="B7297" s="1" t="str">
        <f>"SAAB STYLE VOLVO LTD"</f>
        <v>SAAB STYLE VOLVO LTD</v>
      </c>
      <c r="C7297" s="1" t="s">
        <v>10343</v>
      </c>
      <c r="D7297" s="1" t="s">
        <v>10344</v>
      </c>
      <c r="F7297" s="1" t="s">
        <v>1137</v>
      </c>
      <c r="H7297" s="1" t="s">
        <v>10345</v>
      </c>
      <c r="I7297" s="1" t="s">
        <v>19</v>
      </c>
      <c r="J7297" s="1" t="s">
        <v>67</v>
      </c>
      <c r="K7297" s="1" t="s">
        <v>24</v>
      </c>
      <c r="L7297" s="1">
        <v>3594754</v>
      </c>
      <c r="M7297" s="2">
        <v>42509</v>
      </c>
      <c r="N7297" s="1" t="s">
        <v>8</v>
      </c>
      <c r="O7297" s="1" t="s">
        <v>68</v>
      </c>
    </row>
    <row r="7298" spans="1:15" x14ac:dyDescent="0.3">
      <c r="A7298" s="1" t="s">
        <v>10346</v>
      </c>
      <c r="B7298" s="1" t="str">
        <f>"Rhino Systems Ltd"</f>
        <v>Rhino Systems Ltd</v>
      </c>
      <c r="C7298" s="1" t="s">
        <v>10347</v>
      </c>
      <c r="F7298" s="1" t="s">
        <v>1351</v>
      </c>
      <c r="H7298" s="1" t="s">
        <v>7256</v>
      </c>
      <c r="I7298" s="1" t="s">
        <v>19</v>
      </c>
      <c r="J7298" s="1" t="s">
        <v>6</v>
      </c>
      <c r="K7298" s="1" t="s">
        <v>24</v>
      </c>
      <c r="L7298" s="1">
        <v>9640709</v>
      </c>
      <c r="M7298" s="2">
        <v>42509</v>
      </c>
      <c r="N7298" s="1" t="s">
        <v>8</v>
      </c>
      <c r="O7298" s="2">
        <v>43654</v>
      </c>
    </row>
    <row r="7299" spans="1:15" ht="28.8" x14ac:dyDescent="0.3">
      <c r="A7299" s="1" t="s">
        <v>11356</v>
      </c>
      <c r="B7299" s="1" t="str">
        <f>"P &amp; A TRANSPORT (SWEEPERS) LTD"</f>
        <v>P &amp; A TRANSPORT (SWEEPERS) LTD</v>
      </c>
      <c r="C7299" s="1" t="s">
        <v>11357</v>
      </c>
      <c r="F7299" s="1" t="s">
        <v>364</v>
      </c>
      <c r="H7299" s="1" t="s">
        <v>11358</v>
      </c>
      <c r="I7299" s="1" t="s">
        <v>19</v>
      </c>
      <c r="J7299" s="1" t="s">
        <v>6</v>
      </c>
      <c r="K7299" s="1" t="s">
        <v>24</v>
      </c>
      <c r="L7299" s="1">
        <v>4926982</v>
      </c>
      <c r="M7299" s="2">
        <v>42509</v>
      </c>
      <c r="N7299" s="1" t="s">
        <v>8</v>
      </c>
      <c r="O7299" s="2">
        <v>43604</v>
      </c>
    </row>
    <row r="7300" spans="1:15" ht="43.2" x14ac:dyDescent="0.3">
      <c r="A7300" s="1" t="s">
        <v>22765</v>
      </c>
      <c r="B7300" s="1" t="str">
        <f>"James Shepherd"</f>
        <v>James Shepherd</v>
      </c>
      <c r="C7300" s="1" t="s">
        <v>22766</v>
      </c>
      <c r="F7300" s="1" t="s">
        <v>42</v>
      </c>
      <c r="H7300" s="1" t="s">
        <v>22767</v>
      </c>
      <c r="I7300" s="1" t="s">
        <v>5</v>
      </c>
      <c r="J7300" s="1" t="s">
        <v>67</v>
      </c>
      <c r="K7300" s="1" t="s">
        <v>14</v>
      </c>
      <c r="M7300" s="2">
        <v>42509</v>
      </c>
      <c r="N7300" s="1" t="s">
        <v>8</v>
      </c>
      <c r="O7300" s="1" t="s">
        <v>68</v>
      </c>
    </row>
    <row r="7301" spans="1:15" ht="43.2" x14ac:dyDescent="0.3">
      <c r="A7301" s="1" t="s">
        <v>22768</v>
      </c>
      <c r="B7301" s="1" t="str">
        <f>"Charlotte Shepherd"</f>
        <v>Charlotte Shepherd</v>
      </c>
      <c r="C7301" s="1" t="s">
        <v>22766</v>
      </c>
      <c r="F7301" s="1" t="s">
        <v>42</v>
      </c>
      <c r="H7301" s="1" t="s">
        <v>22767</v>
      </c>
      <c r="I7301" s="1" t="s">
        <v>5</v>
      </c>
      <c r="J7301" s="1" t="s">
        <v>67</v>
      </c>
      <c r="K7301" s="1" t="s">
        <v>14</v>
      </c>
      <c r="M7301" s="2">
        <v>42509</v>
      </c>
      <c r="N7301" s="1" t="s">
        <v>8</v>
      </c>
      <c r="O7301" s="1" t="s">
        <v>68</v>
      </c>
    </row>
    <row r="7302" spans="1:15" ht="43.2" x14ac:dyDescent="0.3">
      <c r="A7302" s="1" t="s">
        <v>24390</v>
      </c>
      <c r="B7302" s="1" t="str">
        <f>"Idris  Hughes I &amp; E.M Hughes Haulage Contractor"</f>
        <v>Idris  Hughes I &amp; E.M Hughes Haulage Contractor</v>
      </c>
      <c r="C7302" s="1" t="s">
        <v>24391</v>
      </c>
      <c r="D7302" s="1" t="s">
        <v>790</v>
      </c>
      <c r="F7302" s="1" t="s">
        <v>790</v>
      </c>
      <c r="H7302" s="1" t="s">
        <v>24392</v>
      </c>
      <c r="I7302" s="1" t="s">
        <v>5</v>
      </c>
      <c r="J7302" s="1" t="s">
        <v>6</v>
      </c>
      <c r="K7302" s="1" t="s">
        <v>34</v>
      </c>
      <c r="M7302" s="2">
        <v>42509</v>
      </c>
      <c r="N7302" s="1" t="s">
        <v>8</v>
      </c>
      <c r="O7302" s="2">
        <v>43604</v>
      </c>
    </row>
    <row r="7303" spans="1:15" ht="43.2" x14ac:dyDescent="0.3">
      <c r="A7303" s="1" t="s">
        <v>24393</v>
      </c>
      <c r="B7303" s="1" t="str">
        <f>"Mark Herrits"</f>
        <v>Mark Herrits</v>
      </c>
      <c r="C7303" s="1" t="s">
        <v>24394</v>
      </c>
      <c r="F7303" s="1" t="s">
        <v>3426</v>
      </c>
      <c r="H7303" s="1" t="s">
        <v>24395</v>
      </c>
      <c r="I7303" s="1" t="s">
        <v>5</v>
      </c>
      <c r="J7303" s="1" t="s">
        <v>67</v>
      </c>
      <c r="K7303" s="1" t="s">
        <v>14</v>
      </c>
      <c r="M7303" s="2">
        <v>42509</v>
      </c>
      <c r="N7303" s="1" t="s">
        <v>8</v>
      </c>
      <c r="O7303" s="1" t="s">
        <v>68</v>
      </c>
    </row>
    <row r="7304" spans="1:15" ht="28.8" x14ac:dyDescent="0.3">
      <c r="A7304" s="1" t="s">
        <v>8018</v>
      </c>
      <c r="B7304" s="1" t="str">
        <f>"THE SOLDER CONNECTION LTD"</f>
        <v>THE SOLDER CONNECTION LTD</v>
      </c>
      <c r="C7304" s="1" t="s">
        <v>8019</v>
      </c>
      <c r="D7304" s="1" t="s">
        <v>8020</v>
      </c>
      <c r="E7304" s="1" t="s">
        <v>8021</v>
      </c>
      <c r="F7304" s="1" t="s">
        <v>2906</v>
      </c>
      <c r="H7304" s="1" t="s">
        <v>8022</v>
      </c>
      <c r="I7304" s="1" t="s">
        <v>19</v>
      </c>
      <c r="J7304" s="1" t="s">
        <v>6</v>
      </c>
      <c r="K7304" s="1" t="s">
        <v>34</v>
      </c>
      <c r="L7304" s="1">
        <v>6736334</v>
      </c>
      <c r="M7304" s="2">
        <v>42508</v>
      </c>
      <c r="N7304" s="1" t="s">
        <v>8</v>
      </c>
      <c r="O7304" s="2">
        <v>43603</v>
      </c>
    </row>
    <row r="7305" spans="1:15" ht="28.8" x14ac:dyDescent="0.3">
      <c r="A7305" s="1" t="s">
        <v>8023</v>
      </c>
      <c r="B7305" s="1" t="str">
        <f>"R &amp; S CONSTRUCTION LTD"</f>
        <v>R &amp; S CONSTRUCTION LTD</v>
      </c>
      <c r="C7305" s="1" t="s">
        <v>8024</v>
      </c>
      <c r="D7305" s="1" t="s">
        <v>8025</v>
      </c>
      <c r="F7305" s="1" t="s">
        <v>198</v>
      </c>
      <c r="H7305" s="1" t="s">
        <v>8026</v>
      </c>
      <c r="I7305" s="1" t="s">
        <v>19</v>
      </c>
      <c r="J7305" s="1" t="s">
        <v>6</v>
      </c>
      <c r="K7305" s="1" t="s">
        <v>34</v>
      </c>
      <c r="L7305" s="1">
        <v>4080477</v>
      </c>
      <c r="M7305" s="2">
        <v>42508</v>
      </c>
      <c r="N7305" s="1" t="s">
        <v>8</v>
      </c>
      <c r="O7305" s="2">
        <v>43603</v>
      </c>
    </row>
    <row r="7306" spans="1:15" ht="43.2" x14ac:dyDescent="0.3">
      <c r="A7306" s="1" t="s">
        <v>8027</v>
      </c>
      <c r="B7306" s="1" t="str">
        <f>"JUST KITCHENS &amp; BEDROOMS ASSOCIATES"</f>
        <v>JUST KITCHENS &amp; BEDROOMS ASSOCIATES</v>
      </c>
      <c r="C7306" s="1" t="s">
        <v>8028</v>
      </c>
      <c r="D7306" s="1" t="s">
        <v>8029</v>
      </c>
      <c r="F7306" s="1" t="s">
        <v>83</v>
      </c>
      <c r="H7306" s="1" t="s">
        <v>8030</v>
      </c>
      <c r="I7306" s="1" t="s">
        <v>19</v>
      </c>
      <c r="J7306" s="1" t="s">
        <v>6</v>
      </c>
      <c r="K7306" s="1" t="s">
        <v>34</v>
      </c>
      <c r="L7306" s="1">
        <v>7997512</v>
      </c>
      <c r="M7306" s="2">
        <v>42508</v>
      </c>
      <c r="N7306" s="1" t="s">
        <v>8</v>
      </c>
      <c r="O7306" s="2">
        <v>43603</v>
      </c>
    </row>
    <row r="7307" spans="1:15" ht="28.8" x14ac:dyDescent="0.3">
      <c r="A7307" s="1" t="s">
        <v>8031</v>
      </c>
      <c r="B7307" s="1" t="str">
        <f>"Tregaron Trading Services Ltd."</f>
        <v>Tregaron Trading Services Ltd.</v>
      </c>
      <c r="C7307" s="1" t="s">
        <v>8032</v>
      </c>
      <c r="F7307" s="1" t="s">
        <v>653</v>
      </c>
      <c r="H7307" s="1" t="s">
        <v>8033</v>
      </c>
      <c r="I7307" s="1" t="s">
        <v>19</v>
      </c>
      <c r="J7307" s="1" t="s">
        <v>6</v>
      </c>
      <c r="K7307" s="1" t="s">
        <v>34</v>
      </c>
      <c r="L7307" s="1">
        <v>3779704</v>
      </c>
      <c r="M7307" s="2">
        <v>42508</v>
      </c>
      <c r="N7307" s="1" t="s">
        <v>8</v>
      </c>
      <c r="O7307" s="2">
        <v>43603</v>
      </c>
    </row>
    <row r="7308" spans="1:15" ht="43.2" x14ac:dyDescent="0.3">
      <c r="A7308" s="1" t="s">
        <v>9215</v>
      </c>
      <c r="B7308" s="1" t="str">
        <f>"Llangattock Litter Pickers"</f>
        <v>Llangattock Litter Pickers</v>
      </c>
      <c r="C7308" s="1" t="s">
        <v>9216</v>
      </c>
      <c r="D7308" s="1" t="s">
        <v>2580</v>
      </c>
      <c r="F7308" s="1" t="s">
        <v>162</v>
      </c>
      <c r="H7308" s="1" t="s">
        <v>9217</v>
      </c>
      <c r="I7308" s="1" t="s">
        <v>1872</v>
      </c>
      <c r="J7308" s="1" t="s">
        <v>67</v>
      </c>
      <c r="K7308" s="1" t="s">
        <v>14</v>
      </c>
      <c r="M7308" s="2">
        <v>42508</v>
      </c>
      <c r="N7308" s="1" t="s">
        <v>8</v>
      </c>
      <c r="O7308" s="1" t="s">
        <v>68</v>
      </c>
    </row>
    <row r="7309" spans="1:15" ht="28.8" x14ac:dyDescent="0.3">
      <c r="A7309" s="1" t="s">
        <v>9218</v>
      </c>
      <c r="B7309" s="1" t="str">
        <f>"Wardle (Painters) Ltd"</f>
        <v>Wardle (Painters) Ltd</v>
      </c>
      <c r="C7309" s="1" t="s">
        <v>9219</v>
      </c>
      <c r="D7309" s="1" t="s">
        <v>9220</v>
      </c>
      <c r="F7309" s="1" t="s">
        <v>298</v>
      </c>
      <c r="H7309" s="1" t="s">
        <v>5419</v>
      </c>
      <c r="I7309" s="1" t="s">
        <v>19</v>
      </c>
      <c r="J7309" s="1" t="s">
        <v>6</v>
      </c>
      <c r="K7309" s="1" t="s">
        <v>24</v>
      </c>
      <c r="L7309" s="1">
        <v>840462</v>
      </c>
      <c r="M7309" s="2">
        <v>42508</v>
      </c>
      <c r="N7309" s="1" t="s">
        <v>8</v>
      </c>
      <c r="O7309" s="2">
        <v>43603</v>
      </c>
    </row>
    <row r="7310" spans="1:15" ht="28.8" x14ac:dyDescent="0.3">
      <c r="A7310" s="1" t="s">
        <v>9221</v>
      </c>
      <c r="B7310" s="1" t="str">
        <f>"cooltechnic (1991) Ltd"</f>
        <v>cooltechnic (1991) Ltd</v>
      </c>
      <c r="C7310" s="1" t="s">
        <v>9222</v>
      </c>
      <c r="D7310" s="1" t="s">
        <v>1834</v>
      </c>
      <c r="F7310" s="1" t="s">
        <v>27</v>
      </c>
      <c r="H7310" s="1" t="s">
        <v>461</v>
      </c>
      <c r="I7310" s="1" t="s">
        <v>19</v>
      </c>
      <c r="J7310" s="1" t="s">
        <v>6</v>
      </c>
      <c r="K7310" s="1" t="s">
        <v>24</v>
      </c>
      <c r="L7310" s="1">
        <v>8397343</v>
      </c>
      <c r="M7310" s="2">
        <v>42508</v>
      </c>
      <c r="N7310" s="1" t="s">
        <v>8</v>
      </c>
      <c r="O7310" s="2">
        <v>43603</v>
      </c>
    </row>
    <row r="7311" spans="1:15" ht="28.8" x14ac:dyDescent="0.3">
      <c r="A7311" s="1" t="s">
        <v>9223</v>
      </c>
      <c r="B7311" s="1" t="str">
        <f>"D.Davies(Holywell) Ltd"</f>
        <v>D.Davies(Holywell) Ltd</v>
      </c>
      <c r="C7311" s="1" t="s">
        <v>9224</v>
      </c>
      <c r="F7311" s="1" t="s">
        <v>1278</v>
      </c>
      <c r="H7311" s="1" t="s">
        <v>7287</v>
      </c>
      <c r="I7311" s="1" t="s">
        <v>19</v>
      </c>
      <c r="J7311" s="1" t="s">
        <v>6</v>
      </c>
      <c r="K7311" s="1" t="s">
        <v>24</v>
      </c>
      <c r="L7311" s="1">
        <v>1402005</v>
      </c>
      <c r="M7311" s="2">
        <v>42508</v>
      </c>
      <c r="N7311" s="1" t="s">
        <v>8</v>
      </c>
      <c r="O7311" s="2">
        <v>43603</v>
      </c>
    </row>
    <row r="7312" spans="1:15" ht="43.2" x14ac:dyDescent="0.3">
      <c r="A7312" s="1" t="s">
        <v>9225</v>
      </c>
      <c r="B7312" s="1" t="str">
        <f>"CSB Carpet &amp; Fabric Care Ltd"</f>
        <v>CSB Carpet &amp; Fabric Care Ltd</v>
      </c>
      <c r="C7312" s="1" t="s">
        <v>9226</v>
      </c>
      <c r="F7312" s="1" t="s">
        <v>865</v>
      </c>
      <c r="H7312" s="1" t="s">
        <v>9227</v>
      </c>
      <c r="I7312" s="1" t="s">
        <v>19</v>
      </c>
      <c r="J7312" s="1" t="s">
        <v>67</v>
      </c>
      <c r="K7312" s="1" t="s">
        <v>14</v>
      </c>
      <c r="M7312" s="2">
        <v>42508</v>
      </c>
      <c r="N7312" s="1" t="s">
        <v>8</v>
      </c>
      <c r="O7312" s="1" t="s">
        <v>68</v>
      </c>
    </row>
    <row r="7313" spans="1:15" ht="43.2" x14ac:dyDescent="0.3">
      <c r="A7313" s="1" t="s">
        <v>9228</v>
      </c>
      <c r="B7313" s="1" t="str">
        <f>"Fleet Properties Limited"</f>
        <v>Fleet Properties Limited</v>
      </c>
      <c r="C7313" s="1" t="s">
        <v>9229</v>
      </c>
      <c r="F7313" s="1" t="s">
        <v>65</v>
      </c>
      <c r="H7313" s="1" t="s">
        <v>9230</v>
      </c>
      <c r="I7313" s="1" t="s">
        <v>19</v>
      </c>
      <c r="J7313" s="1" t="s">
        <v>67</v>
      </c>
      <c r="K7313" s="1" t="s">
        <v>14</v>
      </c>
      <c r="M7313" s="2">
        <v>42508</v>
      </c>
      <c r="N7313" s="1" t="s">
        <v>8</v>
      </c>
      <c r="O7313" s="1" t="s">
        <v>68</v>
      </c>
    </row>
    <row r="7314" spans="1:15" ht="43.2" x14ac:dyDescent="0.3">
      <c r="A7314" s="1" t="s">
        <v>21968</v>
      </c>
      <c r="B7314" s="1" t="str">
        <f>"michael dilley Carmarthenshire Cleaning"</f>
        <v>michael dilley Carmarthenshire Cleaning</v>
      </c>
      <c r="C7314" s="1" t="s">
        <v>21969</v>
      </c>
      <c r="F7314" s="1" t="s">
        <v>42</v>
      </c>
      <c r="H7314" s="1" t="s">
        <v>21970</v>
      </c>
      <c r="I7314" s="1" t="s">
        <v>5</v>
      </c>
      <c r="J7314" s="1" t="s">
        <v>67</v>
      </c>
      <c r="K7314" s="1" t="s">
        <v>24</v>
      </c>
      <c r="M7314" s="2">
        <v>42508</v>
      </c>
      <c r="N7314" s="1" t="s">
        <v>8</v>
      </c>
      <c r="O7314" s="1" t="s">
        <v>68</v>
      </c>
    </row>
    <row r="7315" spans="1:15" ht="28.8" x14ac:dyDescent="0.3">
      <c r="A7315" s="1" t="s">
        <v>22760</v>
      </c>
      <c r="B7315" s="1" t="str">
        <f>"Aled Jones Aled Jones"</f>
        <v>Aled Jones Aled Jones</v>
      </c>
      <c r="C7315" s="1" t="s">
        <v>22761</v>
      </c>
      <c r="D7315" s="1" t="s">
        <v>64</v>
      </c>
      <c r="F7315" s="1" t="s">
        <v>16250</v>
      </c>
      <c r="H7315" s="1" t="s">
        <v>22762</v>
      </c>
      <c r="I7315" s="1" t="s">
        <v>5</v>
      </c>
      <c r="J7315" s="1" t="s">
        <v>6</v>
      </c>
      <c r="K7315" s="1" t="s">
        <v>34</v>
      </c>
      <c r="M7315" s="2">
        <v>42508</v>
      </c>
      <c r="N7315" s="1" t="s">
        <v>8</v>
      </c>
      <c r="O7315" s="2">
        <v>43603</v>
      </c>
    </row>
    <row r="7316" spans="1:15" ht="28.8" x14ac:dyDescent="0.3">
      <c r="A7316" s="1" t="s">
        <v>22763</v>
      </c>
      <c r="B7316" s="1" t="str">
        <f>"mark roberts mark roberts"</f>
        <v>mark roberts mark roberts</v>
      </c>
      <c r="C7316" s="1" t="s">
        <v>22764</v>
      </c>
      <c r="F7316" s="1" t="s">
        <v>1584</v>
      </c>
      <c r="H7316" s="1" t="s">
        <v>16728</v>
      </c>
      <c r="I7316" s="1" t="s">
        <v>5</v>
      </c>
      <c r="J7316" s="1" t="s">
        <v>6</v>
      </c>
      <c r="K7316" s="1" t="s">
        <v>34</v>
      </c>
      <c r="M7316" s="2">
        <v>42508</v>
      </c>
      <c r="N7316" s="1" t="s">
        <v>8</v>
      </c>
      <c r="O7316" s="2">
        <v>43603</v>
      </c>
    </row>
    <row r="7317" spans="1:15" ht="28.8" x14ac:dyDescent="0.3">
      <c r="A7317" s="1" t="s">
        <v>6961</v>
      </c>
      <c r="B7317" s="1" t="str">
        <f>"I Hayward Ltd."</f>
        <v>I Hayward Ltd.</v>
      </c>
      <c r="C7317" s="1" t="s">
        <v>6962</v>
      </c>
      <c r="F7317" s="1" t="s">
        <v>198</v>
      </c>
      <c r="H7317" s="1" t="s">
        <v>6963</v>
      </c>
      <c r="I7317" s="1" t="s">
        <v>19</v>
      </c>
      <c r="J7317" s="1" t="s">
        <v>6</v>
      </c>
      <c r="K7317" s="1" t="s">
        <v>24</v>
      </c>
      <c r="L7317" s="1">
        <v>669258</v>
      </c>
      <c r="M7317" s="2">
        <v>42507</v>
      </c>
      <c r="N7317" s="1" t="s">
        <v>8</v>
      </c>
      <c r="O7317" s="2">
        <v>43602</v>
      </c>
    </row>
    <row r="7318" spans="1:15" x14ac:dyDescent="0.3">
      <c r="A7318" s="1" t="s">
        <v>6964</v>
      </c>
      <c r="B7318" s="1" t="str">
        <f>"Annog Cyf"</f>
        <v>Annog Cyf</v>
      </c>
      <c r="C7318" s="1" t="s">
        <v>6965</v>
      </c>
      <c r="F7318" s="1" t="s">
        <v>678</v>
      </c>
      <c r="H7318" s="1" t="s">
        <v>6966</v>
      </c>
      <c r="I7318" s="1" t="s">
        <v>19</v>
      </c>
      <c r="J7318" s="1" t="s">
        <v>6</v>
      </c>
      <c r="K7318" s="1" t="s">
        <v>24</v>
      </c>
      <c r="L7318" s="1">
        <v>3737368</v>
      </c>
      <c r="M7318" s="2">
        <v>42507</v>
      </c>
      <c r="N7318" s="1" t="s">
        <v>8</v>
      </c>
      <c r="O7318" s="2">
        <v>43602</v>
      </c>
    </row>
    <row r="7319" spans="1:15" ht="28.8" x14ac:dyDescent="0.3">
      <c r="A7319" s="1" t="s">
        <v>6967</v>
      </c>
      <c r="B7319" s="1" t="str">
        <f>"Dyfed Recycling Services"</f>
        <v>Dyfed Recycling Services</v>
      </c>
      <c r="C7319" s="1" t="s">
        <v>2232</v>
      </c>
      <c r="F7319" s="1" t="s">
        <v>42</v>
      </c>
      <c r="H7319" s="1" t="s">
        <v>6968</v>
      </c>
      <c r="I7319" s="1" t="s">
        <v>19</v>
      </c>
      <c r="J7319" s="1" t="s">
        <v>6</v>
      </c>
      <c r="K7319" s="1" t="s">
        <v>34</v>
      </c>
      <c r="L7319" s="1">
        <v>1435479</v>
      </c>
      <c r="M7319" s="2">
        <v>42507</v>
      </c>
      <c r="N7319" s="1" t="s">
        <v>8</v>
      </c>
      <c r="O7319" s="2">
        <v>43602</v>
      </c>
    </row>
    <row r="7320" spans="1:15" ht="28.8" x14ac:dyDescent="0.3">
      <c r="A7320" s="1" t="s">
        <v>6969</v>
      </c>
      <c r="B7320" s="1" t="str">
        <f>"Dowlais Heating Ltd"</f>
        <v>Dowlais Heating Ltd</v>
      </c>
      <c r="C7320" s="1" t="s">
        <v>6970</v>
      </c>
      <c r="F7320" s="1" t="s">
        <v>739</v>
      </c>
      <c r="H7320" s="1" t="s">
        <v>6971</v>
      </c>
      <c r="I7320" s="1" t="s">
        <v>19</v>
      </c>
      <c r="J7320" s="1" t="s">
        <v>6</v>
      </c>
      <c r="K7320" s="1" t="s">
        <v>34</v>
      </c>
      <c r="L7320" s="1">
        <v>4595024</v>
      </c>
      <c r="M7320" s="2">
        <v>42507</v>
      </c>
      <c r="N7320" s="1" t="s">
        <v>8</v>
      </c>
      <c r="O7320" s="2">
        <v>43602</v>
      </c>
    </row>
    <row r="7321" spans="1:15" ht="43.2" x14ac:dyDescent="0.3">
      <c r="A7321" s="1" t="s">
        <v>8011</v>
      </c>
      <c r="B7321" s="1" t="str">
        <f>"Taffs Well Medical Centre"</f>
        <v>Taffs Well Medical Centre</v>
      </c>
      <c r="C7321" s="1" t="s">
        <v>8012</v>
      </c>
      <c r="F7321" s="1" t="s">
        <v>123</v>
      </c>
      <c r="H7321" s="1" t="s">
        <v>8013</v>
      </c>
      <c r="I7321" s="1" t="s">
        <v>125</v>
      </c>
      <c r="J7321" s="1" t="s">
        <v>67</v>
      </c>
      <c r="K7321" s="1" t="s">
        <v>14</v>
      </c>
      <c r="M7321" s="2">
        <v>42507</v>
      </c>
      <c r="N7321" s="1" t="s">
        <v>8</v>
      </c>
      <c r="O7321" s="1" t="s">
        <v>68</v>
      </c>
    </row>
    <row r="7322" spans="1:15" ht="43.2" x14ac:dyDescent="0.3">
      <c r="A7322" s="1" t="s">
        <v>8014</v>
      </c>
      <c r="B7322" s="1" t="str">
        <f>"J Hodgkinson &amp; Son"</f>
        <v>J Hodgkinson &amp; Son</v>
      </c>
      <c r="C7322" s="1" t="s">
        <v>8015</v>
      </c>
      <c r="D7322" s="1" t="s">
        <v>8016</v>
      </c>
      <c r="F7322" s="1" t="s">
        <v>607</v>
      </c>
      <c r="H7322" s="1" t="s">
        <v>8017</v>
      </c>
      <c r="I7322" s="1" t="s">
        <v>125</v>
      </c>
      <c r="J7322" s="1" t="s">
        <v>67</v>
      </c>
      <c r="K7322" s="1" t="s">
        <v>24</v>
      </c>
      <c r="M7322" s="2">
        <v>42507</v>
      </c>
      <c r="N7322" s="1" t="s">
        <v>8</v>
      </c>
      <c r="O7322" s="1" t="s">
        <v>68</v>
      </c>
    </row>
    <row r="7323" spans="1:15" x14ac:dyDescent="0.3">
      <c r="A7323" s="1" t="s">
        <v>21207</v>
      </c>
      <c r="B7323" s="1" t="str">
        <f>"Jeff Searle Jeff Searle"</f>
        <v>Jeff Searle Jeff Searle</v>
      </c>
      <c r="C7323" s="1" t="s">
        <v>21208</v>
      </c>
      <c r="F7323" s="1" t="s">
        <v>1115</v>
      </c>
      <c r="H7323" s="1" t="s">
        <v>21209</v>
      </c>
      <c r="I7323" s="1" t="s">
        <v>5</v>
      </c>
      <c r="J7323" s="1" t="s">
        <v>6</v>
      </c>
      <c r="K7323" s="1" t="s">
        <v>24</v>
      </c>
      <c r="M7323" s="2">
        <v>42507</v>
      </c>
      <c r="N7323" s="1" t="s">
        <v>8</v>
      </c>
      <c r="O7323" s="2">
        <v>43602</v>
      </c>
    </row>
    <row r="7324" spans="1:15" ht="43.2" x14ac:dyDescent="0.3">
      <c r="A7324" s="1" t="s">
        <v>21959</v>
      </c>
      <c r="B7324" s="1" t="str">
        <f>"Wayne  Samuel"</f>
        <v>Wayne  Samuel</v>
      </c>
      <c r="C7324" s="1" t="s">
        <v>21960</v>
      </c>
      <c r="F7324" s="1" t="s">
        <v>1137</v>
      </c>
      <c r="H7324" s="1" t="s">
        <v>21961</v>
      </c>
      <c r="I7324" s="1" t="s">
        <v>5</v>
      </c>
      <c r="J7324" s="1" t="s">
        <v>67</v>
      </c>
      <c r="K7324" s="1" t="s">
        <v>24</v>
      </c>
      <c r="M7324" s="2">
        <v>42507</v>
      </c>
      <c r="N7324" s="1" t="s">
        <v>8</v>
      </c>
      <c r="O7324" s="1" t="s">
        <v>68</v>
      </c>
    </row>
    <row r="7325" spans="1:15" ht="28.8" x14ac:dyDescent="0.3">
      <c r="A7325" s="1" t="s">
        <v>21962</v>
      </c>
      <c r="B7325" s="1" t="str">
        <f>"Shaun Davis House2Clear"</f>
        <v>Shaun Davis House2Clear</v>
      </c>
      <c r="C7325" s="1" t="s">
        <v>21963</v>
      </c>
      <c r="F7325" s="1" t="s">
        <v>42</v>
      </c>
      <c r="H7325" s="1" t="s">
        <v>21964</v>
      </c>
      <c r="I7325" s="1" t="s">
        <v>5</v>
      </c>
      <c r="J7325" s="1" t="s">
        <v>6</v>
      </c>
      <c r="K7325" s="1" t="s">
        <v>24</v>
      </c>
      <c r="M7325" s="2">
        <v>42507</v>
      </c>
      <c r="N7325" s="1" t="s">
        <v>8</v>
      </c>
      <c r="O7325" s="2">
        <v>43602</v>
      </c>
    </row>
    <row r="7326" spans="1:15" ht="28.8" x14ac:dyDescent="0.3">
      <c r="A7326" s="1" t="s">
        <v>21965</v>
      </c>
      <c r="B7326" s="1" t="str">
        <f>"Timothy Evans E A Evans and Son Builders"</f>
        <v>Timothy Evans E A Evans and Son Builders</v>
      </c>
      <c r="C7326" s="1" t="s">
        <v>21966</v>
      </c>
      <c r="D7326" s="1" t="s">
        <v>596</v>
      </c>
      <c r="F7326" s="1" t="s">
        <v>65</v>
      </c>
      <c r="H7326" s="1" t="s">
        <v>21967</v>
      </c>
      <c r="I7326" s="1" t="s">
        <v>5</v>
      </c>
      <c r="J7326" s="1" t="s">
        <v>6</v>
      </c>
      <c r="K7326" s="1" t="s">
        <v>34</v>
      </c>
      <c r="M7326" s="2">
        <v>42507</v>
      </c>
      <c r="N7326" s="1" t="s">
        <v>8</v>
      </c>
      <c r="O7326" s="2">
        <v>43623</v>
      </c>
    </row>
    <row r="7327" spans="1:15" ht="43.2" x14ac:dyDescent="0.3">
      <c r="A7327" s="1" t="s">
        <v>5776</v>
      </c>
      <c r="B7327" s="1" t="str">
        <f>"PENCNWC HOLIDAY PARK"</f>
        <v>PENCNWC HOLIDAY PARK</v>
      </c>
      <c r="C7327" s="1" t="s">
        <v>4774</v>
      </c>
      <c r="F7327" s="1" t="s">
        <v>2961</v>
      </c>
      <c r="H7327" s="1" t="s">
        <v>5777</v>
      </c>
      <c r="I7327" s="1" t="s">
        <v>125</v>
      </c>
      <c r="J7327" s="1" t="s">
        <v>67</v>
      </c>
      <c r="K7327" s="1" t="s">
        <v>34</v>
      </c>
      <c r="M7327" s="2">
        <v>42506</v>
      </c>
      <c r="N7327" s="1" t="s">
        <v>8</v>
      </c>
      <c r="O7327" s="1" t="s">
        <v>68</v>
      </c>
    </row>
    <row r="7328" spans="1:15" ht="28.8" x14ac:dyDescent="0.3">
      <c r="A7328" s="1" t="s">
        <v>5778</v>
      </c>
      <c r="B7328" s="1" t="str">
        <f>"F J R  Lloyd &amp; Son Ltd."</f>
        <v>F J R  Lloyd &amp; Son Ltd.</v>
      </c>
      <c r="C7328" s="1" t="s">
        <v>5779</v>
      </c>
      <c r="F7328" s="1" t="s">
        <v>438</v>
      </c>
      <c r="H7328" s="1" t="s">
        <v>5780</v>
      </c>
      <c r="I7328" s="1" t="s">
        <v>19</v>
      </c>
      <c r="J7328" s="1" t="s">
        <v>6</v>
      </c>
      <c r="K7328" s="1" t="s">
        <v>34</v>
      </c>
      <c r="L7328" s="1">
        <v>4268448</v>
      </c>
      <c r="M7328" s="2">
        <v>42506</v>
      </c>
      <c r="N7328" s="1" t="s">
        <v>8</v>
      </c>
      <c r="O7328" s="2">
        <v>43601</v>
      </c>
    </row>
    <row r="7329" spans="1:15" x14ac:dyDescent="0.3">
      <c r="A7329" s="1" t="s">
        <v>5781</v>
      </c>
      <c r="B7329" s="1" t="str">
        <f>"AD&amp;H Transport LTD"</f>
        <v>AD&amp;H Transport LTD</v>
      </c>
      <c r="C7329" s="1" t="s">
        <v>5782</v>
      </c>
      <c r="F7329" s="1" t="s">
        <v>3864</v>
      </c>
      <c r="H7329" s="1" t="s">
        <v>5783</v>
      </c>
      <c r="I7329" s="1" t="s">
        <v>19</v>
      </c>
      <c r="J7329" s="1" t="s">
        <v>6</v>
      </c>
      <c r="K7329" s="1" t="s">
        <v>24</v>
      </c>
      <c r="L7329" s="1">
        <v>9947838</v>
      </c>
      <c r="M7329" s="2">
        <v>42506</v>
      </c>
      <c r="N7329" s="1" t="s">
        <v>8</v>
      </c>
      <c r="O7329" s="2">
        <v>43601</v>
      </c>
    </row>
    <row r="7330" spans="1:15" ht="28.8" x14ac:dyDescent="0.3">
      <c r="A7330" s="1" t="s">
        <v>5784</v>
      </c>
      <c r="B7330" s="1" t="str">
        <f>"Prime Fuelling Systems Ltd"</f>
        <v>Prime Fuelling Systems Ltd</v>
      </c>
      <c r="C7330" s="1" t="s">
        <v>5785</v>
      </c>
      <c r="D7330" s="1" t="s">
        <v>5786</v>
      </c>
      <c r="F7330" s="1" t="s">
        <v>1051</v>
      </c>
      <c r="H7330" s="1" t="s">
        <v>5787</v>
      </c>
      <c r="I7330" s="1" t="s">
        <v>19</v>
      </c>
      <c r="J7330" s="1" t="s">
        <v>6</v>
      </c>
      <c r="K7330" s="1" t="s">
        <v>24</v>
      </c>
      <c r="L7330" s="1">
        <v>3690374</v>
      </c>
      <c r="M7330" s="2">
        <v>42506</v>
      </c>
      <c r="N7330" s="1" t="s">
        <v>8</v>
      </c>
      <c r="O7330" s="2">
        <v>43601</v>
      </c>
    </row>
    <row r="7331" spans="1:15" ht="28.8" x14ac:dyDescent="0.3">
      <c r="A7331" s="1" t="s">
        <v>5788</v>
      </c>
      <c r="B7331" s="1" t="str">
        <f>"Brodawel Camping Park"</f>
        <v>Brodawel Camping Park</v>
      </c>
      <c r="C7331" s="1" t="s">
        <v>5789</v>
      </c>
      <c r="D7331" s="1" t="s">
        <v>5790</v>
      </c>
      <c r="F7331" s="1" t="s">
        <v>1556</v>
      </c>
      <c r="H7331" s="1" t="s">
        <v>5791</v>
      </c>
      <c r="I7331" s="1" t="s">
        <v>125</v>
      </c>
      <c r="J7331" s="1" t="s">
        <v>6</v>
      </c>
      <c r="K7331" s="1" t="s">
        <v>24</v>
      </c>
      <c r="M7331" s="2">
        <v>42506</v>
      </c>
      <c r="N7331" s="1" t="s">
        <v>8</v>
      </c>
      <c r="O7331" s="2">
        <v>43601</v>
      </c>
    </row>
    <row r="7332" spans="1:15" ht="43.2" x14ac:dyDescent="0.3">
      <c r="A7332" s="1" t="s">
        <v>6946</v>
      </c>
      <c r="B7332" s="1" t="str">
        <f>"Unit 2"</f>
        <v>Unit 2</v>
      </c>
      <c r="C7332" s="1" t="s">
        <v>6947</v>
      </c>
      <c r="D7332" s="1" t="s">
        <v>878</v>
      </c>
      <c r="F7332" s="1" t="s">
        <v>37</v>
      </c>
      <c r="H7332" s="1" t="s">
        <v>879</v>
      </c>
      <c r="I7332" s="1" t="s">
        <v>19</v>
      </c>
      <c r="J7332" s="1" t="s">
        <v>67</v>
      </c>
      <c r="K7332" s="1" t="s">
        <v>14</v>
      </c>
      <c r="M7332" s="2">
        <v>42506</v>
      </c>
      <c r="N7332" s="1" t="s">
        <v>8</v>
      </c>
      <c r="O7332" s="1" t="s">
        <v>68</v>
      </c>
    </row>
    <row r="7333" spans="1:15" ht="43.2" x14ac:dyDescent="0.3">
      <c r="A7333" s="1" t="s">
        <v>6948</v>
      </c>
      <c r="B7333" s="1" t="str">
        <f>"JOHNSEY ESTATES UK LTD"</f>
        <v>JOHNSEY ESTATES UK LTD</v>
      </c>
      <c r="C7333" s="1" t="s">
        <v>6949</v>
      </c>
      <c r="F7333" s="1" t="s">
        <v>6950</v>
      </c>
      <c r="H7333" s="1" t="s">
        <v>6951</v>
      </c>
      <c r="I7333" s="1" t="s">
        <v>19</v>
      </c>
      <c r="J7333" s="1" t="s">
        <v>6</v>
      </c>
      <c r="K7333" s="1" t="s">
        <v>24</v>
      </c>
      <c r="L7333" s="1">
        <v>2553413</v>
      </c>
      <c r="M7333" s="2">
        <v>42506</v>
      </c>
      <c r="N7333" s="1" t="s">
        <v>8</v>
      </c>
      <c r="O7333" s="2">
        <v>43601</v>
      </c>
    </row>
    <row r="7334" spans="1:15" ht="28.8" x14ac:dyDescent="0.3">
      <c r="A7334" s="1" t="s">
        <v>6952</v>
      </c>
      <c r="B7334" s="1" t="str">
        <f>"Aberystwyth University"</f>
        <v>Aberystwyth University</v>
      </c>
      <c r="C7334" s="1" t="s">
        <v>6953</v>
      </c>
      <c r="F7334" s="1" t="s">
        <v>37</v>
      </c>
      <c r="H7334" s="1" t="s">
        <v>6954</v>
      </c>
      <c r="I7334" s="1" t="s">
        <v>188</v>
      </c>
      <c r="J7334" s="1" t="s">
        <v>6</v>
      </c>
      <c r="K7334" s="1" t="s">
        <v>34</v>
      </c>
      <c r="M7334" s="2">
        <v>42506</v>
      </c>
      <c r="N7334" s="1" t="s">
        <v>8</v>
      </c>
      <c r="O7334" s="2">
        <v>43601</v>
      </c>
    </row>
    <row r="7335" spans="1:15" ht="28.8" x14ac:dyDescent="0.3">
      <c r="A7335" s="1" t="s">
        <v>6955</v>
      </c>
      <c r="B7335" s="1" t="str">
        <f>"ABBA SCRAP METALS LTD"</f>
        <v>ABBA SCRAP METALS LTD</v>
      </c>
      <c r="C7335" s="1" t="s">
        <v>6956</v>
      </c>
      <c r="F7335" s="1" t="s">
        <v>739</v>
      </c>
      <c r="H7335" s="1" t="s">
        <v>6957</v>
      </c>
      <c r="I7335" s="1" t="s">
        <v>19</v>
      </c>
      <c r="J7335" s="1" t="s">
        <v>6</v>
      </c>
      <c r="K7335" s="1" t="s">
        <v>24</v>
      </c>
      <c r="L7335" s="1">
        <v>6030263</v>
      </c>
      <c r="M7335" s="2">
        <v>42506</v>
      </c>
      <c r="N7335" s="1" t="s">
        <v>8</v>
      </c>
      <c r="O7335" s="2">
        <v>43601</v>
      </c>
    </row>
    <row r="7336" spans="1:15" ht="43.2" x14ac:dyDescent="0.3">
      <c r="A7336" s="1" t="s">
        <v>6958</v>
      </c>
      <c r="B7336" s="1" t="str">
        <f>"The Cliff Hotel &amp; Spa"</f>
        <v>The Cliff Hotel &amp; Spa</v>
      </c>
      <c r="C7336" s="1" t="s">
        <v>6959</v>
      </c>
      <c r="F7336" s="1" t="s">
        <v>1511</v>
      </c>
      <c r="H7336" s="1" t="s">
        <v>6960</v>
      </c>
      <c r="I7336" s="1" t="s">
        <v>19</v>
      </c>
      <c r="J7336" s="1" t="s">
        <v>67</v>
      </c>
      <c r="K7336" s="1" t="s">
        <v>14</v>
      </c>
      <c r="M7336" s="2">
        <v>42506</v>
      </c>
      <c r="N7336" s="1" t="s">
        <v>8</v>
      </c>
      <c r="O7336" s="1" t="s">
        <v>68</v>
      </c>
    </row>
    <row r="7337" spans="1:15" ht="28.8" x14ac:dyDescent="0.3">
      <c r="A7337" s="1" t="s">
        <v>20422</v>
      </c>
      <c r="B7337" s="1" t="str">
        <f>"Glyn Edwards GLYN EDWARDS"</f>
        <v>Glyn Edwards GLYN EDWARDS</v>
      </c>
      <c r="C7337" s="1" t="s">
        <v>20423</v>
      </c>
      <c r="F7337" s="1" t="s">
        <v>1700</v>
      </c>
      <c r="H7337" s="1" t="s">
        <v>20424</v>
      </c>
      <c r="I7337" s="1" t="s">
        <v>5</v>
      </c>
      <c r="J7337" s="1" t="s">
        <v>6</v>
      </c>
      <c r="K7337" s="1" t="s">
        <v>24</v>
      </c>
      <c r="M7337" s="2">
        <v>42506</v>
      </c>
      <c r="N7337" s="1" t="s">
        <v>8</v>
      </c>
      <c r="O7337" s="2">
        <v>43601</v>
      </c>
    </row>
    <row r="7338" spans="1:15" ht="28.8" x14ac:dyDescent="0.3">
      <c r="A7338" s="1" t="s">
        <v>20425</v>
      </c>
      <c r="B7338" s="1" t="str">
        <f>"Michael  Watson  Michael Watson "</f>
        <v xml:space="preserve">Michael  Watson  Michael Watson </v>
      </c>
      <c r="C7338" s="1" t="s">
        <v>20426</v>
      </c>
      <c r="F7338" s="1" t="s">
        <v>20427</v>
      </c>
      <c r="H7338" s="1" t="s">
        <v>20428</v>
      </c>
      <c r="I7338" s="1" t="s">
        <v>5</v>
      </c>
      <c r="J7338" s="1" t="s">
        <v>6</v>
      </c>
      <c r="K7338" s="1" t="s">
        <v>34</v>
      </c>
      <c r="M7338" s="2">
        <v>42506</v>
      </c>
      <c r="N7338" s="1" t="s">
        <v>8</v>
      </c>
      <c r="O7338" s="2">
        <v>43601</v>
      </c>
    </row>
    <row r="7339" spans="1:15" ht="28.8" x14ac:dyDescent="0.3">
      <c r="A7339" s="1" t="s">
        <v>20429</v>
      </c>
      <c r="B7339" s="1" t="str">
        <f>"Jeffrey ROUSE J.C. Rouse Plant Hire"</f>
        <v>Jeffrey ROUSE J.C. Rouse Plant Hire</v>
      </c>
      <c r="C7339" s="1" t="s">
        <v>20430</v>
      </c>
      <c r="D7339" s="1" t="s">
        <v>20431</v>
      </c>
      <c r="F7339" s="1" t="s">
        <v>174</v>
      </c>
      <c r="H7339" s="1" t="s">
        <v>20432</v>
      </c>
      <c r="I7339" s="1" t="s">
        <v>5</v>
      </c>
      <c r="J7339" s="1" t="s">
        <v>6</v>
      </c>
      <c r="K7339" s="1" t="s">
        <v>24</v>
      </c>
      <c r="M7339" s="2">
        <v>42506</v>
      </c>
      <c r="N7339" s="1" t="s">
        <v>8</v>
      </c>
      <c r="O7339" s="2">
        <v>43601</v>
      </c>
    </row>
    <row r="7340" spans="1:15" ht="28.8" x14ac:dyDescent="0.3">
      <c r="A7340" s="1" t="s">
        <v>21200</v>
      </c>
      <c r="B7340" s="1" t="str">
        <f>"RONALD BATES R &amp; J C BATES"</f>
        <v>RONALD BATES R &amp; J C BATES</v>
      </c>
      <c r="C7340" s="1" t="s">
        <v>21201</v>
      </c>
      <c r="F7340" s="1" t="s">
        <v>621</v>
      </c>
      <c r="H7340" s="1" t="s">
        <v>21202</v>
      </c>
      <c r="I7340" s="1" t="s">
        <v>5</v>
      </c>
      <c r="J7340" s="1" t="s">
        <v>6</v>
      </c>
      <c r="K7340" s="1" t="s">
        <v>34</v>
      </c>
      <c r="M7340" s="2">
        <v>42506</v>
      </c>
      <c r="N7340" s="1" t="s">
        <v>8</v>
      </c>
      <c r="O7340" s="2">
        <v>43601</v>
      </c>
    </row>
    <row r="7341" spans="1:15" ht="43.2" x14ac:dyDescent="0.3">
      <c r="A7341" s="1" t="s">
        <v>21203</v>
      </c>
      <c r="B7341" s="1" t="str">
        <f>"Philip Roberts"</f>
        <v>Philip Roberts</v>
      </c>
      <c r="C7341" s="1" t="s">
        <v>21204</v>
      </c>
      <c r="D7341" s="1" t="s">
        <v>21205</v>
      </c>
      <c r="F7341" s="1" t="s">
        <v>532</v>
      </c>
      <c r="H7341" s="1" t="s">
        <v>21206</v>
      </c>
      <c r="I7341" s="1" t="s">
        <v>5</v>
      </c>
      <c r="J7341" s="1" t="s">
        <v>67</v>
      </c>
      <c r="K7341" s="1" t="s">
        <v>14</v>
      </c>
      <c r="M7341" s="2">
        <v>42506</v>
      </c>
      <c r="N7341" s="1" t="s">
        <v>8</v>
      </c>
      <c r="O7341" s="1" t="s">
        <v>68</v>
      </c>
    </row>
    <row r="7342" spans="1:15" x14ac:dyDescent="0.3">
      <c r="A7342" s="1" t="s">
        <v>4628</v>
      </c>
      <c r="B7342" s="1" t="str">
        <f>"MJW services ltd"</f>
        <v>MJW services ltd</v>
      </c>
      <c r="C7342" s="1" t="s">
        <v>4629</v>
      </c>
      <c r="F7342" s="1" t="s">
        <v>4630</v>
      </c>
      <c r="H7342" s="1" t="s">
        <v>4631</v>
      </c>
      <c r="I7342" s="1" t="s">
        <v>19</v>
      </c>
      <c r="J7342" s="1" t="s">
        <v>6</v>
      </c>
      <c r="K7342" s="1" t="s">
        <v>24</v>
      </c>
      <c r="L7342" s="1">
        <v>10090273</v>
      </c>
      <c r="M7342" s="2">
        <v>42505</v>
      </c>
      <c r="N7342" s="1" t="s">
        <v>8</v>
      </c>
      <c r="O7342" s="2">
        <v>43600</v>
      </c>
    </row>
    <row r="7343" spans="1:15" ht="43.2" x14ac:dyDescent="0.3">
      <c r="A7343" s="1" t="s">
        <v>5773</v>
      </c>
      <c r="B7343" s="1" t="str">
        <f>"Xenon Electrical Services (UK) Ltd"</f>
        <v>Xenon Electrical Services (UK) Ltd</v>
      </c>
      <c r="C7343" s="1" t="s">
        <v>5774</v>
      </c>
      <c r="F7343" s="1" t="s">
        <v>12</v>
      </c>
      <c r="H7343" s="1" t="s">
        <v>5775</v>
      </c>
      <c r="I7343" s="1" t="s">
        <v>19</v>
      </c>
      <c r="J7343" s="1" t="s">
        <v>67</v>
      </c>
      <c r="K7343" s="1" t="s">
        <v>14</v>
      </c>
      <c r="M7343" s="2">
        <v>42505</v>
      </c>
      <c r="N7343" s="1" t="s">
        <v>8</v>
      </c>
      <c r="O7343" s="1" t="s">
        <v>68</v>
      </c>
    </row>
    <row r="7344" spans="1:15" ht="28.8" x14ac:dyDescent="0.3">
      <c r="A7344" s="1" t="s">
        <v>20414</v>
      </c>
      <c r="B7344" s="1" t="str">
        <f>"Gareth Leek Malpas landscapes "</f>
        <v xml:space="preserve">Gareth Leek Malpas landscapes </v>
      </c>
      <c r="C7344" s="1" t="s">
        <v>20415</v>
      </c>
      <c r="F7344" s="1" t="s">
        <v>91</v>
      </c>
      <c r="H7344" s="1" t="s">
        <v>20416</v>
      </c>
      <c r="I7344" s="1" t="s">
        <v>5</v>
      </c>
      <c r="J7344" s="1" t="s">
        <v>6</v>
      </c>
      <c r="K7344" s="1" t="s">
        <v>34</v>
      </c>
      <c r="M7344" s="2">
        <v>42505</v>
      </c>
      <c r="N7344" s="1" t="s">
        <v>8</v>
      </c>
      <c r="O7344" s="2">
        <v>43600</v>
      </c>
    </row>
    <row r="7345" spans="1:15" ht="43.2" x14ac:dyDescent="0.3">
      <c r="A7345" s="1" t="s">
        <v>20417</v>
      </c>
      <c r="B7345" s="1" t="str">
        <f>"Martin Thomas DEkIT Home and Garden Services"</f>
        <v>Martin Thomas DEkIT Home and Garden Services</v>
      </c>
      <c r="C7345" s="1" t="s">
        <v>20418</v>
      </c>
      <c r="D7345" s="1" t="s">
        <v>596</v>
      </c>
      <c r="F7345" s="1" t="s">
        <v>65</v>
      </c>
      <c r="H7345" s="1" t="s">
        <v>597</v>
      </c>
      <c r="I7345" s="1" t="s">
        <v>5</v>
      </c>
      <c r="J7345" s="1" t="s">
        <v>6</v>
      </c>
      <c r="K7345" s="1" t="s">
        <v>24</v>
      </c>
      <c r="M7345" s="2">
        <v>42505</v>
      </c>
      <c r="N7345" s="1" t="s">
        <v>8</v>
      </c>
      <c r="O7345" s="2">
        <v>43600</v>
      </c>
    </row>
    <row r="7346" spans="1:15" ht="28.8" x14ac:dyDescent="0.3">
      <c r="A7346" s="1" t="s">
        <v>20419</v>
      </c>
      <c r="B7346" s="1" t="str">
        <f>"MARK DAVID CLEVELAND DESIGN"</f>
        <v>MARK DAVID CLEVELAND DESIGN</v>
      </c>
      <c r="C7346" s="1" t="s">
        <v>20420</v>
      </c>
      <c r="F7346" s="1" t="s">
        <v>1351</v>
      </c>
      <c r="H7346" s="1" t="s">
        <v>20421</v>
      </c>
      <c r="I7346" s="1" t="s">
        <v>5</v>
      </c>
      <c r="J7346" s="1" t="s">
        <v>6</v>
      </c>
      <c r="K7346" s="1" t="s">
        <v>24</v>
      </c>
      <c r="M7346" s="2">
        <v>42505</v>
      </c>
      <c r="N7346" s="1" t="s">
        <v>8</v>
      </c>
      <c r="O7346" s="2">
        <v>43633</v>
      </c>
    </row>
    <row r="7347" spans="1:15" x14ac:dyDescent="0.3">
      <c r="A7347" s="1" t="s">
        <v>19641</v>
      </c>
      <c r="B7347" s="1" t="str">
        <f>"Michael Walsh roof rite"</f>
        <v>Michael Walsh roof rite</v>
      </c>
      <c r="C7347" s="1" t="s">
        <v>19642</v>
      </c>
      <c r="D7347" s="1" t="s">
        <v>19643</v>
      </c>
      <c r="F7347" s="1" t="s">
        <v>123</v>
      </c>
      <c r="G7347" s="1" t="s">
        <v>27</v>
      </c>
      <c r="H7347" s="1" t="s">
        <v>19644</v>
      </c>
      <c r="I7347" s="1" t="s">
        <v>5</v>
      </c>
      <c r="J7347" s="1" t="s">
        <v>6</v>
      </c>
      <c r="K7347" s="1" t="s">
        <v>24</v>
      </c>
      <c r="M7347" s="2">
        <v>42504</v>
      </c>
      <c r="N7347" s="1" t="s">
        <v>8</v>
      </c>
      <c r="O7347" s="2">
        <v>43598</v>
      </c>
    </row>
    <row r="7348" spans="1:15" ht="28.8" x14ac:dyDescent="0.3">
      <c r="A7348" s="1" t="s">
        <v>4611</v>
      </c>
      <c r="B7348" s="1" t="str">
        <f>"HNC transport limited"</f>
        <v>HNC transport limited</v>
      </c>
      <c r="C7348" s="1" t="s">
        <v>4612</v>
      </c>
      <c r="D7348" s="1" t="s">
        <v>4613</v>
      </c>
      <c r="F7348" s="1" t="s">
        <v>4614</v>
      </c>
      <c r="H7348" s="1" t="s">
        <v>4615</v>
      </c>
      <c r="I7348" s="1" t="s">
        <v>19</v>
      </c>
      <c r="J7348" s="1" t="s">
        <v>6</v>
      </c>
      <c r="K7348" s="1" t="s">
        <v>24</v>
      </c>
      <c r="L7348" s="1">
        <v>9800082</v>
      </c>
      <c r="M7348" s="2">
        <v>42503</v>
      </c>
      <c r="N7348" s="1" t="s">
        <v>8</v>
      </c>
      <c r="O7348" s="2">
        <v>43598</v>
      </c>
    </row>
    <row r="7349" spans="1:15" ht="28.8" x14ac:dyDescent="0.3">
      <c r="A7349" s="1" t="s">
        <v>4616</v>
      </c>
      <c r="B7349" s="1" t="str">
        <f>"S.V.OWEN &amp; SON LTD"</f>
        <v>S.V.OWEN &amp; SON LTD</v>
      </c>
      <c r="C7349" s="1" t="s">
        <v>4617</v>
      </c>
      <c r="F7349" s="1" t="s">
        <v>328</v>
      </c>
      <c r="H7349" s="1" t="s">
        <v>4618</v>
      </c>
      <c r="I7349" s="1" t="s">
        <v>19</v>
      </c>
      <c r="J7349" s="1" t="s">
        <v>6</v>
      </c>
      <c r="K7349" s="1" t="s">
        <v>24</v>
      </c>
      <c r="L7349" s="1">
        <v>2210003</v>
      </c>
      <c r="M7349" s="2">
        <v>42503</v>
      </c>
      <c r="N7349" s="1" t="s">
        <v>8</v>
      </c>
      <c r="O7349" s="2">
        <v>43598</v>
      </c>
    </row>
    <row r="7350" spans="1:15" ht="28.8" x14ac:dyDescent="0.3">
      <c r="A7350" s="1" t="s">
        <v>4619</v>
      </c>
      <c r="B7350" s="1" t="str">
        <f>"West Wales Flat Roofing Specialists"</f>
        <v>West Wales Flat Roofing Specialists</v>
      </c>
      <c r="C7350" s="1" t="s">
        <v>4620</v>
      </c>
      <c r="F7350" s="1" t="s">
        <v>1998</v>
      </c>
      <c r="H7350" s="1" t="s">
        <v>4621</v>
      </c>
      <c r="I7350" s="1" t="s">
        <v>19</v>
      </c>
      <c r="J7350" s="1" t="s">
        <v>6</v>
      </c>
      <c r="K7350" s="1" t="s">
        <v>24</v>
      </c>
      <c r="L7350" s="1">
        <v>10024308</v>
      </c>
      <c r="M7350" s="2">
        <v>42503</v>
      </c>
      <c r="N7350" s="1" t="s">
        <v>8</v>
      </c>
      <c r="O7350" s="2">
        <v>43598</v>
      </c>
    </row>
    <row r="7351" spans="1:15" ht="28.8" x14ac:dyDescent="0.3">
      <c r="A7351" s="1" t="s">
        <v>4622</v>
      </c>
      <c r="B7351" s="1" t="str">
        <f>"Daniel Doran"</f>
        <v>Daniel Doran</v>
      </c>
      <c r="C7351" s="1" t="s">
        <v>4623</v>
      </c>
      <c r="F7351" s="1" t="s">
        <v>532</v>
      </c>
      <c r="G7351" s="1" t="s">
        <v>198</v>
      </c>
      <c r="H7351" s="1" t="s">
        <v>4624</v>
      </c>
      <c r="I7351" s="1" t="s">
        <v>125</v>
      </c>
      <c r="J7351" s="1" t="s">
        <v>6</v>
      </c>
      <c r="K7351" s="1" t="s">
        <v>34</v>
      </c>
      <c r="M7351" s="2">
        <v>42503</v>
      </c>
      <c r="N7351" s="1" t="s">
        <v>8</v>
      </c>
      <c r="O7351" s="2">
        <v>43597</v>
      </c>
    </row>
    <row r="7352" spans="1:15" ht="43.2" x14ac:dyDescent="0.3">
      <c r="A7352" s="1" t="s">
        <v>4625</v>
      </c>
      <c r="B7352" s="1" t="str">
        <f>"CONTROL GEAR (GROUP) LIMITED"</f>
        <v>CONTROL GEAR (GROUP) LIMITED</v>
      </c>
      <c r="C7352" s="1" t="s">
        <v>4626</v>
      </c>
      <c r="F7352" s="1" t="s">
        <v>277</v>
      </c>
      <c r="H7352" s="1" t="s">
        <v>4627</v>
      </c>
      <c r="I7352" s="1" t="s">
        <v>19</v>
      </c>
      <c r="J7352" s="1" t="s">
        <v>6</v>
      </c>
      <c r="K7352" s="1" t="s">
        <v>24</v>
      </c>
      <c r="L7352" s="1">
        <v>2678870</v>
      </c>
      <c r="M7352" s="2">
        <v>42503</v>
      </c>
      <c r="N7352" s="1" t="s">
        <v>8</v>
      </c>
      <c r="O7352" s="2">
        <v>43598</v>
      </c>
    </row>
    <row r="7353" spans="1:15" ht="43.2" x14ac:dyDescent="0.3">
      <c r="A7353" s="1" t="s">
        <v>18831</v>
      </c>
      <c r="B7353" s="1" t="str">
        <f>"Raymond Williams Photoglazing &amp; Wrought Ironwork"</f>
        <v>Raymond Williams Photoglazing &amp; Wrought Ironwork</v>
      </c>
      <c r="C7353" s="1" t="s">
        <v>18832</v>
      </c>
      <c r="D7353" s="1" t="s">
        <v>95</v>
      </c>
      <c r="F7353" s="1" t="s">
        <v>198</v>
      </c>
      <c r="H7353" s="1" t="s">
        <v>18833</v>
      </c>
      <c r="I7353" s="1" t="s">
        <v>5</v>
      </c>
      <c r="J7353" s="1" t="s">
        <v>6</v>
      </c>
      <c r="K7353" s="1" t="s">
        <v>24</v>
      </c>
      <c r="M7353" s="2">
        <v>42503</v>
      </c>
      <c r="N7353" s="1" t="s">
        <v>8</v>
      </c>
      <c r="O7353" s="2">
        <v>43598</v>
      </c>
    </row>
    <row r="7354" spans="1:15" ht="43.2" x14ac:dyDescent="0.3">
      <c r="A7354" s="1" t="s">
        <v>19634</v>
      </c>
      <c r="B7354" s="1" t="str">
        <f>"Vicki Ward"</f>
        <v>Vicki Ward</v>
      </c>
      <c r="C7354" s="1" t="s">
        <v>19635</v>
      </c>
      <c r="F7354" s="1" t="s">
        <v>19636</v>
      </c>
      <c r="H7354" s="1" t="s">
        <v>19637</v>
      </c>
      <c r="I7354" s="1" t="s">
        <v>5</v>
      </c>
      <c r="J7354" s="1" t="s">
        <v>67</v>
      </c>
      <c r="K7354" s="1" t="s">
        <v>14</v>
      </c>
      <c r="M7354" s="2">
        <v>42503</v>
      </c>
      <c r="N7354" s="1" t="s">
        <v>8</v>
      </c>
      <c r="O7354" s="1" t="s">
        <v>68</v>
      </c>
    </row>
    <row r="7355" spans="1:15" ht="28.8" x14ac:dyDescent="0.3">
      <c r="A7355" s="1" t="s">
        <v>19638</v>
      </c>
      <c r="B7355" s="1" t="str">
        <f>"Malcolm Williams Malcolm Williams"</f>
        <v>Malcolm Williams Malcolm Williams</v>
      </c>
      <c r="C7355" s="1" t="s">
        <v>19639</v>
      </c>
      <c r="F7355" s="1" t="s">
        <v>3888</v>
      </c>
      <c r="H7355" s="1" t="s">
        <v>19640</v>
      </c>
      <c r="I7355" s="1" t="s">
        <v>5</v>
      </c>
      <c r="J7355" s="1" t="s">
        <v>6</v>
      </c>
      <c r="K7355" s="1" t="s">
        <v>34</v>
      </c>
      <c r="M7355" s="2">
        <v>42503</v>
      </c>
      <c r="N7355" s="1" t="s">
        <v>8</v>
      </c>
      <c r="O7355" s="2">
        <v>43598</v>
      </c>
    </row>
    <row r="7356" spans="1:15" x14ac:dyDescent="0.3">
      <c r="A7356" s="1" t="s">
        <v>3511</v>
      </c>
      <c r="B7356" s="1" t="str">
        <f>"Mirmidon Ltd"</f>
        <v>Mirmidon Ltd</v>
      </c>
      <c r="C7356" s="1" t="s">
        <v>3512</v>
      </c>
      <c r="F7356" s="1" t="s">
        <v>1115</v>
      </c>
      <c r="H7356" s="1" t="s">
        <v>3513</v>
      </c>
      <c r="I7356" s="1" t="s">
        <v>19</v>
      </c>
      <c r="J7356" s="1" t="s">
        <v>6</v>
      </c>
      <c r="K7356" s="1" t="s">
        <v>24</v>
      </c>
      <c r="L7356" s="1">
        <v>8399105</v>
      </c>
      <c r="M7356" s="2">
        <v>42502</v>
      </c>
      <c r="N7356" s="1" t="s">
        <v>8</v>
      </c>
      <c r="O7356" s="2">
        <v>43597</v>
      </c>
    </row>
    <row r="7357" spans="1:15" ht="28.8" x14ac:dyDescent="0.3">
      <c r="A7357" s="1" t="s">
        <v>3514</v>
      </c>
      <c r="B7357" s="1" t="str">
        <f>"REES METALS LTD"</f>
        <v>REES METALS LTD</v>
      </c>
      <c r="C7357" s="1" t="s">
        <v>3515</v>
      </c>
      <c r="F7357" s="1" t="s">
        <v>42</v>
      </c>
      <c r="H7357" s="1" t="s">
        <v>3516</v>
      </c>
      <c r="I7357" s="1" t="s">
        <v>19</v>
      </c>
      <c r="J7357" s="1" t="s">
        <v>6</v>
      </c>
      <c r="K7357" s="1" t="s">
        <v>24</v>
      </c>
      <c r="L7357" s="1">
        <v>1776396</v>
      </c>
      <c r="M7357" s="2">
        <v>42502</v>
      </c>
      <c r="N7357" s="1" t="s">
        <v>8</v>
      </c>
      <c r="O7357" s="2">
        <v>43597</v>
      </c>
    </row>
    <row r="7358" spans="1:15" ht="43.2" x14ac:dyDescent="0.3">
      <c r="A7358" s="1" t="s">
        <v>3517</v>
      </c>
      <c r="B7358" s="1" t="str">
        <f>"Stena Line Ltd"</f>
        <v>Stena Line Ltd</v>
      </c>
      <c r="C7358" s="1" t="s">
        <v>3518</v>
      </c>
      <c r="F7358" s="1" t="s">
        <v>3519</v>
      </c>
      <c r="H7358" s="1" t="s">
        <v>3520</v>
      </c>
      <c r="I7358" s="1" t="s">
        <v>19</v>
      </c>
      <c r="J7358" s="1" t="s">
        <v>67</v>
      </c>
      <c r="K7358" s="1" t="s">
        <v>14</v>
      </c>
      <c r="M7358" s="2">
        <v>42502</v>
      </c>
      <c r="N7358" s="1" t="s">
        <v>8</v>
      </c>
      <c r="O7358" s="1" t="s">
        <v>68</v>
      </c>
    </row>
    <row r="7359" spans="1:15" ht="28.8" x14ac:dyDescent="0.3">
      <c r="A7359" s="1" t="s">
        <v>3521</v>
      </c>
      <c r="B7359" s="1" t="str">
        <f>"Rls Construction Services Ltd."</f>
        <v>Rls Construction Services Ltd.</v>
      </c>
      <c r="C7359" s="1" t="s">
        <v>3522</v>
      </c>
      <c r="D7359" s="1" t="s">
        <v>3523</v>
      </c>
      <c r="F7359" s="1" t="s">
        <v>641</v>
      </c>
      <c r="H7359" s="1" t="s">
        <v>3524</v>
      </c>
      <c r="I7359" s="1" t="s">
        <v>19</v>
      </c>
      <c r="J7359" s="1" t="s">
        <v>6</v>
      </c>
      <c r="K7359" s="1" t="s">
        <v>24</v>
      </c>
      <c r="L7359" s="1">
        <v>4833190</v>
      </c>
      <c r="M7359" s="2">
        <v>42502</v>
      </c>
      <c r="N7359" s="1" t="s">
        <v>8</v>
      </c>
      <c r="O7359" s="2">
        <v>43597</v>
      </c>
    </row>
    <row r="7360" spans="1:15" x14ac:dyDescent="0.3">
      <c r="A7360" s="1" t="s">
        <v>3525</v>
      </c>
      <c r="B7360" s="1" t="str">
        <f>"S.S Bayliss"</f>
        <v>S.S Bayliss</v>
      </c>
      <c r="C7360" s="1" t="s">
        <v>3526</v>
      </c>
      <c r="D7360" s="1" t="s">
        <v>3527</v>
      </c>
      <c r="F7360" s="1" t="s">
        <v>532</v>
      </c>
      <c r="H7360" s="1" t="s">
        <v>3528</v>
      </c>
      <c r="I7360" s="1" t="s">
        <v>125</v>
      </c>
      <c r="J7360" s="1" t="s">
        <v>6</v>
      </c>
      <c r="K7360" s="1" t="s">
        <v>24</v>
      </c>
      <c r="M7360" s="2">
        <v>42502</v>
      </c>
      <c r="N7360" s="1" t="s">
        <v>8</v>
      </c>
      <c r="O7360" s="2">
        <v>43597</v>
      </c>
    </row>
    <row r="7361" spans="1:15" ht="43.2" x14ac:dyDescent="0.3">
      <c r="A7361" s="1" t="s">
        <v>3529</v>
      </c>
      <c r="B7361" s="1" t="str">
        <f>"WILLIAM HUGHES (CIVIL ENGINEERING) LTD"</f>
        <v>WILLIAM HUGHES (CIVIL ENGINEERING) LTD</v>
      </c>
      <c r="C7361" s="1" t="s">
        <v>3530</v>
      </c>
      <c r="F7361" s="1" t="s">
        <v>678</v>
      </c>
      <c r="H7361" s="1" t="s">
        <v>3531</v>
      </c>
      <c r="I7361" s="1" t="s">
        <v>19</v>
      </c>
      <c r="J7361" s="1" t="s">
        <v>6</v>
      </c>
      <c r="K7361" s="1" t="s">
        <v>34</v>
      </c>
      <c r="L7361" s="1">
        <v>1112626</v>
      </c>
      <c r="M7361" s="2">
        <v>42502</v>
      </c>
      <c r="N7361" s="1" t="s">
        <v>8</v>
      </c>
      <c r="O7361" s="2">
        <v>43597</v>
      </c>
    </row>
    <row r="7362" spans="1:15" x14ac:dyDescent="0.3">
      <c r="A7362" s="1" t="s">
        <v>3532</v>
      </c>
      <c r="B7362" s="1" t="str">
        <f>"RG Salisbury &amp; Sons"</f>
        <v>RG Salisbury &amp; Sons</v>
      </c>
      <c r="C7362" s="1" t="s">
        <v>3533</v>
      </c>
      <c r="F7362" s="1" t="s">
        <v>198</v>
      </c>
      <c r="H7362" s="1" t="s">
        <v>3534</v>
      </c>
      <c r="I7362" s="1" t="s">
        <v>125</v>
      </c>
      <c r="J7362" s="1" t="s">
        <v>6</v>
      </c>
      <c r="K7362" s="1" t="s">
        <v>24</v>
      </c>
      <c r="M7362" s="2">
        <v>42502</v>
      </c>
      <c r="N7362" s="1" t="s">
        <v>8</v>
      </c>
      <c r="O7362" s="2">
        <v>43597</v>
      </c>
    </row>
    <row r="7363" spans="1:15" ht="28.8" x14ac:dyDescent="0.3">
      <c r="A7363" s="1" t="s">
        <v>18281</v>
      </c>
      <c r="B7363" s="1" t="str">
        <f>"mds waste management ltd"</f>
        <v>mds waste management ltd</v>
      </c>
      <c r="C7363" s="1" t="s">
        <v>18282</v>
      </c>
      <c r="F7363" s="1" t="s">
        <v>65</v>
      </c>
      <c r="H7363" s="1" t="s">
        <v>18283</v>
      </c>
      <c r="I7363" s="1" t="s">
        <v>125</v>
      </c>
      <c r="J7363" s="1" t="s">
        <v>6</v>
      </c>
      <c r="K7363" s="1" t="s">
        <v>24</v>
      </c>
      <c r="L7363" s="1">
        <v>9932826</v>
      </c>
      <c r="M7363" s="2">
        <v>42502</v>
      </c>
      <c r="N7363" s="1" t="s">
        <v>8</v>
      </c>
      <c r="O7363" s="2">
        <v>43597</v>
      </c>
    </row>
    <row r="7364" spans="1:15" ht="28.8" x14ac:dyDescent="0.3">
      <c r="A7364" s="1" t="s">
        <v>18284</v>
      </c>
      <c r="B7364" s="1" t="str">
        <f>"Penspen Ltd"</f>
        <v>Penspen Ltd</v>
      </c>
      <c r="C7364" s="1" t="s">
        <v>18285</v>
      </c>
      <c r="D7364" s="1" t="s">
        <v>18286</v>
      </c>
      <c r="F7364" s="1" t="s">
        <v>174</v>
      </c>
      <c r="H7364" s="1" t="s">
        <v>18287</v>
      </c>
      <c r="I7364" s="1" t="s">
        <v>19</v>
      </c>
      <c r="J7364" s="1" t="s">
        <v>6</v>
      </c>
      <c r="K7364" s="1" t="s">
        <v>34</v>
      </c>
      <c r="L7364" s="1">
        <v>584446</v>
      </c>
      <c r="M7364" s="2">
        <v>42502</v>
      </c>
      <c r="N7364" s="1" t="s">
        <v>8</v>
      </c>
      <c r="O7364" s="2">
        <v>43597</v>
      </c>
    </row>
    <row r="7365" spans="1:15" ht="28.8" x14ac:dyDescent="0.3">
      <c r="A7365" s="1" t="s">
        <v>18812</v>
      </c>
      <c r="B7365" s="1" t="str">
        <f>"Tony Lovell Treetops"</f>
        <v>Tony Lovell Treetops</v>
      </c>
      <c r="C7365" s="1" t="s">
        <v>18813</v>
      </c>
      <c r="F7365" s="1" t="s">
        <v>438</v>
      </c>
      <c r="H7365" s="1" t="s">
        <v>18814</v>
      </c>
      <c r="I7365" s="1" t="s">
        <v>5</v>
      </c>
      <c r="J7365" s="1" t="s">
        <v>6</v>
      </c>
      <c r="K7365" s="1" t="s">
        <v>24</v>
      </c>
      <c r="M7365" s="2">
        <v>42502</v>
      </c>
      <c r="N7365" s="1" t="s">
        <v>8</v>
      </c>
      <c r="O7365" s="2">
        <v>43597</v>
      </c>
    </row>
    <row r="7366" spans="1:15" ht="28.8" x14ac:dyDescent="0.3">
      <c r="A7366" s="1" t="s">
        <v>18815</v>
      </c>
      <c r="B7366" s="1" t="str">
        <f>"Phillip Clarke Phillip Clarke"</f>
        <v>Phillip Clarke Phillip Clarke</v>
      </c>
      <c r="C7366" s="1" t="s">
        <v>18816</v>
      </c>
      <c r="F7366" s="1" t="s">
        <v>65</v>
      </c>
      <c r="H7366" s="1" t="s">
        <v>18817</v>
      </c>
      <c r="I7366" s="1" t="s">
        <v>5</v>
      </c>
      <c r="J7366" s="1" t="s">
        <v>6</v>
      </c>
      <c r="K7366" s="1" t="s">
        <v>34</v>
      </c>
      <c r="M7366" s="2">
        <v>42502</v>
      </c>
      <c r="N7366" s="1" t="s">
        <v>8</v>
      </c>
      <c r="O7366" s="2">
        <v>43597</v>
      </c>
    </row>
    <row r="7367" spans="1:15" ht="28.8" x14ac:dyDescent="0.3">
      <c r="A7367" s="1" t="s">
        <v>18818</v>
      </c>
      <c r="B7367" s="1" t="str">
        <f>"Albert Evans Albert Evans"</f>
        <v>Albert Evans Albert Evans</v>
      </c>
      <c r="C7367" s="1" t="s">
        <v>18819</v>
      </c>
      <c r="D7367" s="1" t="s">
        <v>10290</v>
      </c>
      <c r="F7367" s="1" t="s">
        <v>532</v>
      </c>
      <c r="H7367" s="1" t="s">
        <v>18820</v>
      </c>
      <c r="I7367" s="1" t="s">
        <v>5</v>
      </c>
      <c r="J7367" s="1" t="s">
        <v>6</v>
      </c>
      <c r="K7367" s="1" t="s">
        <v>24</v>
      </c>
      <c r="M7367" s="2">
        <v>42502</v>
      </c>
      <c r="N7367" s="1" t="s">
        <v>8</v>
      </c>
      <c r="O7367" s="2">
        <v>43597</v>
      </c>
    </row>
    <row r="7368" spans="1:15" ht="28.8" x14ac:dyDescent="0.3">
      <c r="A7368" s="1" t="s">
        <v>18821</v>
      </c>
      <c r="B7368" s="1" t="str">
        <f>"Thomas Evans Thomas Evans"</f>
        <v>Thomas Evans Thomas Evans</v>
      </c>
      <c r="C7368" s="1" t="s">
        <v>18822</v>
      </c>
      <c r="F7368" s="1" t="s">
        <v>198</v>
      </c>
      <c r="H7368" s="1" t="s">
        <v>18820</v>
      </c>
      <c r="I7368" s="1" t="s">
        <v>5</v>
      </c>
      <c r="J7368" s="1" t="s">
        <v>6</v>
      </c>
      <c r="K7368" s="1" t="s">
        <v>24</v>
      </c>
      <c r="M7368" s="2">
        <v>42502</v>
      </c>
      <c r="N7368" s="1" t="s">
        <v>8</v>
      </c>
      <c r="O7368" s="2">
        <v>43597</v>
      </c>
    </row>
    <row r="7369" spans="1:15" ht="28.8" x14ac:dyDescent="0.3">
      <c r="A7369" s="1" t="s">
        <v>18823</v>
      </c>
      <c r="B7369" s="1" t="str">
        <f>"William Prodger WILLIAM PRODGER"</f>
        <v>William Prodger WILLIAM PRODGER</v>
      </c>
      <c r="C7369" s="1" t="s">
        <v>18824</v>
      </c>
      <c r="F7369" s="1" t="s">
        <v>198</v>
      </c>
      <c r="H7369" s="1" t="s">
        <v>18825</v>
      </c>
      <c r="I7369" s="1" t="s">
        <v>5</v>
      </c>
      <c r="J7369" s="1" t="s">
        <v>6</v>
      </c>
      <c r="K7369" s="1" t="s">
        <v>24</v>
      </c>
      <c r="M7369" s="2">
        <v>42502</v>
      </c>
      <c r="N7369" s="1" t="s">
        <v>8</v>
      </c>
      <c r="O7369" s="2">
        <v>43597</v>
      </c>
    </row>
    <row r="7370" spans="1:15" ht="28.8" x14ac:dyDescent="0.3">
      <c r="A7370" s="1" t="s">
        <v>18826</v>
      </c>
      <c r="B7370" s="1" t="str">
        <f>"James Hawkins Jacks clearances"</f>
        <v>James Hawkins Jacks clearances</v>
      </c>
      <c r="C7370" s="1" t="s">
        <v>18143</v>
      </c>
      <c r="F7370" s="1" t="s">
        <v>65</v>
      </c>
      <c r="H7370" s="1" t="s">
        <v>14436</v>
      </c>
      <c r="I7370" s="1" t="s">
        <v>5</v>
      </c>
      <c r="J7370" s="1" t="s">
        <v>6</v>
      </c>
      <c r="K7370" s="1" t="s">
        <v>24</v>
      </c>
      <c r="M7370" s="2">
        <v>42502</v>
      </c>
      <c r="N7370" s="1" t="s">
        <v>8</v>
      </c>
      <c r="O7370" s="2">
        <v>43597</v>
      </c>
    </row>
    <row r="7371" spans="1:15" ht="28.8" x14ac:dyDescent="0.3">
      <c r="A7371" s="1" t="s">
        <v>18827</v>
      </c>
      <c r="B7371" s="1" t="str">
        <f>"Wayne Farrell HANDYMAN SERVICE"</f>
        <v>Wayne Farrell HANDYMAN SERVICE</v>
      </c>
      <c r="C7371" s="1" t="s">
        <v>18828</v>
      </c>
      <c r="D7371" s="1" t="s">
        <v>18829</v>
      </c>
      <c r="F7371" s="1" t="s">
        <v>2504</v>
      </c>
      <c r="H7371" s="1" t="s">
        <v>18830</v>
      </c>
      <c r="I7371" s="1" t="s">
        <v>5</v>
      </c>
      <c r="J7371" s="1" t="s">
        <v>6</v>
      </c>
      <c r="K7371" s="1" t="s">
        <v>34</v>
      </c>
      <c r="M7371" s="2">
        <v>42502</v>
      </c>
      <c r="N7371" s="1" t="s">
        <v>8</v>
      </c>
      <c r="O7371" s="2">
        <v>43597</v>
      </c>
    </row>
    <row r="7372" spans="1:15" ht="43.2" x14ac:dyDescent="0.3">
      <c r="A7372" s="1" t="s">
        <v>29905</v>
      </c>
      <c r="B7372" s="1" t="str">
        <f>"Eifion Williams EJ Williams Building Contractor"</f>
        <v>Eifion Williams EJ Williams Building Contractor</v>
      </c>
      <c r="C7372" s="1" t="s">
        <v>29906</v>
      </c>
      <c r="F7372" s="1" t="s">
        <v>1786</v>
      </c>
      <c r="H7372" s="1" t="s">
        <v>24149</v>
      </c>
      <c r="I7372" s="1" t="s">
        <v>5</v>
      </c>
      <c r="J7372" s="1" t="s">
        <v>6</v>
      </c>
      <c r="K7372" s="1" t="s">
        <v>24</v>
      </c>
      <c r="M7372" s="2">
        <v>42502</v>
      </c>
      <c r="N7372" s="1" t="s">
        <v>8</v>
      </c>
      <c r="O7372" s="2">
        <v>43597</v>
      </c>
    </row>
    <row r="7373" spans="1:15" ht="28.8" x14ac:dyDescent="0.3">
      <c r="A7373" s="1" t="s">
        <v>17287</v>
      </c>
      <c r="B7373" s="1" t="str">
        <f>"W E Blackwell Ltd."</f>
        <v>W E Blackwell Ltd.</v>
      </c>
      <c r="C7373" s="1" t="s">
        <v>16645</v>
      </c>
      <c r="D7373" s="1" t="s">
        <v>13063</v>
      </c>
      <c r="F7373" s="1" t="s">
        <v>607</v>
      </c>
      <c r="H7373" s="1" t="s">
        <v>13064</v>
      </c>
      <c r="I7373" s="1" t="s">
        <v>19</v>
      </c>
      <c r="J7373" s="1" t="s">
        <v>6</v>
      </c>
      <c r="K7373" s="1" t="s">
        <v>34</v>
      </c>
      <c r="L7373" s="1">
        <v>3974566</v>
      </c>
      <c r="M7373" s="2">
        <v>42501</v>
      </c>
      <c r="N7373" s="1" t="s">
        <v>8</v>
      </c>
      <c r="O7373" s="2">
        <v>43596</v>
      </c>
    </row>
    <row r="7374" spans="1:15" ht="28.8" x14ac:dyDescent="0.3">
      <c r="A7374" s="1" t="s">
        <v>17288</v>
      </c>
      <c r="B7374" s="1" t="str">
        <f>"Wrecsam Wrecycled ltd"</f>
        <v>Wrecsam Wrecycled ltd</v>
      </c>
      <c r="C7374" s="1" t="s">
        <v>17289</v>
      </c>
      <c r="D7374" s="1" t="s">
        <v>285</v>
      </c>
      <c r="F7374" s="1" t="s">
        <v>198</v>
      </c>
      <c r="H7374" s="1" t="s">
        <v>17290</v>
      </c>
      <c r="I7374" s="1" t="s">
        <v>19</v>
      </c>
      <c r="J7374" s="1" t="s">
        <v>6</v>
      </c>
      <c r="K7374" s="1" t="s">
        <v>24</v>
      </c>
      <c r="L7374" s="1">
        <v>6568927</v>
      </c>
      <c r="M7374" s="2">
        <v>42501</v>
      </c>
      <c r="N7374" s="1" t="s">
        <v>8</v>
      </c>
      <c r="O7374" s="2">
        <v>43596</v>
      </c>
    </row>
    <row r="7375" spans="1:15" ht="28.8" x14ac:dyDescent="0.3">
      <c r="A7375" s="1" t="s">
        <v>17291</v>
      </c>
      <c r="B7375" s="1" t="str">
        <f>"Unity Heat Ltd."</f>
        <v>Unity Heat Ltd.</v>
      </c>
      <c r="C7375" s="1" t="s">
        <v>17292</v>
      </c>
      <c r="F7375" s="1" t="s">
        <v>555</v>
      </c>
      <c r="H7375" s="1" t="s">
        <v>17293</v>
      </c>
      <c r="I7375" s="1" t="s">
        <v>19</v>
      </c>
      <c r="J7375" s="1" t="s">
        <v>6</v>
      </c>
      <c r="K7375" s="1" t="s">
        <v>34</v>
      </c>
      <c r="L7375" s="1">
        <v>10052413</v>
      </c>
      <c r="M7375" s="2">
        <v>42501</v>
      </c>
      <c r="N7375" s="1" t="s">
        <v>8</v>
      </c>
      <c r="O7375" s="2">
        <v>43596</v>
      </c>
    </row>
    <row r="7376" spans="1:15" ht="28.8" x14ac:dyDescent="0.3">
      <c r="A7376" s="1" t="s">
        <v>18262</v>
      </c>
      <c r="B7376" s="1" t="str">
        <f>"AQA Ltd"</f>
        <v>AQA Ltd</v>
      </c>
      <c r="C7376" s="1" t="s">
        <v>18263</v>
      </c>
      <c r="D7376" s="1" t="s">
        <v>465</v>
      </c>
      <c r="F7376" s="1" t="s">
        <v>27</v>
      </c>
      <c r="H7376" s="1" t="s">
        <v>466</v>
      </c>
      <c r="I7376" s="1" t="s">
        <v>19</v>
      </c>
      <c r="J7376" s="1" t="s">
        <v>6</v>
      </c>
      <c r="K7376" s="1" t="s">
        <v>24</v>
      </c>
      <c r="L7376" s="1">
        <v>8095644</v>
      </c>
      <c r="M7376" s="2">
        <v>42501</v>
      </c>
      <c r="N7376" s="1" t="s">
        <v>8</v>
      </c>
      <c r="O7376" s="2">
        <v>43596</v>
      </c>
    </row>
    <row r="7377" spans="1:15" ht="43.2" x14ac:dyDescent="0.3">
      <c r="A7377" s="1" t="s">
        <v>18264</v>
      </c>
      <c r="B7377" s="1" t="str">
        <f>"ALL ABOARD SHOPS LIMITED"</f>
        <v>ALL ABOARD SHOPS LIMITED</v>
      </c>
      <c r="C7377" s="1" t="s">
        <v>18265</v>
      </c>
      <c r="D7377" s="1" t="s">
        <v>18266</v>
      </c>
      <c r="F7377" s="1" t="s">
        <v>7434</v>
      </c>
      <c r="H7377" s="1" t="s">
        <v>18267</v>
      </c>
      <c r="I7377" s="1" t="s">
        <v>1872</v>
      </c>
      <c r="J7377" s="1" t="s">
        <v>67</v>
      </c>
      <c r="K7377" s="1" t="s">
        <v>14</v>
      </c>
      <c r="M7377" s="2">
        <v>42501</v>
      </c>
      <c r="N7377" s="1" t="s">
        <v>8</v>
      </c>
      <c r="O7377" s="1" t="s">
        <v>68</v>
      </c>
    </row>
    <row r="7378" spans="1:15" ht="43.2" x14ac:dyDescent="0.3">
      <c r="A7378" s="1" t="s">
        <v>18268</v>
      </c>
      <c r="B7378" s="1" t="str">
        <f>"J J WILLIAMS (PAINTING SERVICES) LTD"</f>
        <v>J J WILLIAMS (PAINTING SERVICES) LTD</v>
      </c>
      <c r="C7378" s="1" t="s">
        <v>18269</v>
      </c>
      <c r="D7378" s="1" t="s">
        <v>1389</v>
      </c>
      <c r="F7378" s="1" t="s">
        <v>865</v>
      </c>
      <c r="H7378" s="1" t="s">
        <v>7478</v>
      </c>
      <c r="I7378" s="1" t="s">
        <v>19</v>
      </c>
      <c r="J7378" s="1" t="s">
        <v>67</v>
      </c>
      <c r="K7378" s="1" t="s">
        <v>24</v>
      </c>
      <c r="L7378" s="1">
        <v>1806789</v>
      </c>
      <c r="M7378" s="2">
        <v>42501</v>
      </c>
      <c r="N7378" s="1" t="s">
        <v>8</v>
      </c>
      <c r="O7378" s="1" t="s">
        <v>68</v>
      </c>
    </row>
    <row r="7379" spans="1:15" ht="28.8" x14ac:dyDescent="0.3">
      <c r="A7379" s="1" t="s">
        <v>18270</v>
      </c>
      <c r="B7379" s="1" t="str">
        <f>"Mike Hogan Skip Hire"</f>
        <v>Mike Hogan Skip Hire</v>
      </c>
      <c r="C7379" s="1" t="s">
        <v>18271</v>
      </c>
      <c r="F7379" s="1" t="s">
        <v>1184</v>
      </c>
      <c r="H7379" s="1" t="s">
        <v>7721</v>
      </c>
      <c r="I7379" s="1" t="s">
        <v>125</v>
      </c>
      <c r="J7379" s="1" t="s">
        <v>6</v>
      </c>
      <c r="K7379" s="1" t="s">
        <v>34</v>
      </c>
      <c r="M7379" s="2">
        <v>42501</v>
      </c>
      <c r="N7379" s="1" t="s">
        <v>8</v>
      </c>
      <c r="O7379" s="2">
        <v>43596</v>
      </c>
    </row>
    <row r="7380" spans="1:15" ht="43.2" x14ac:dyDescent="0.3">
      <c r="A7380" s="1" t="s">
        <v>18272</v>
      </c>
      <c r="B7380" s="1" t="str">
        <f>"J.W.CHILCOTT  BUILDING CONTRACTOR"</f>
        <v>J.W.CHILCOTT  BUILDING CONTRACTOR</v>
      </c>
      <c r="C7380" s="1" t="s">
        <v>18273</v>
      </c>
      <c r="F7380" s="1" t="s">
        <v>65</v>
      </c>
      <c r="H7380" s="1" t="s">
        <v>18274</v>
      </c>
      <c r="I7380" s="1" t="s">
        <v>125</v>
      </c>
      <c r="J7380" s="1" t="s">
        <v>6</v>
      </c>
      <c r="K7380" s="1" t="s">
        <v>34</v>
      </c>
      <c r="M7380" s="2">
        <v>42501</v>
      </c>
      <c r="N7380" s="1" t="s">
        <v>8</v>
      </c>
      <c r="O7380" s="2">
        <v>43596</v>
      </c>
    </row>
    <row r="7381" spans="1:15" x14ac:dyDescent="0.3">
      <c r="A7381" s="1" t="s">
        <v>18275</v>
      </c>
      <c r="B7381" s="1" t="str">
        <f>"kjcooper limited"</f>
        <v>kjcooper limited</v>
      </c>
      <c r="C7381" s="1" t="s">
        <v>18276</v>
      </c>
      <c r="F7381" s="1" t="s">
        <v>4046</v>
      </c>
      <c r="H7381" s="1" t="s">
        <v>18277</v>
      </c>
      <c r="I7381" s="1" t="s">
        <v>19</v>
      </c>
      <c r="J7381" s="1" t="s">
        <v>6</v>
      </c>
      <c r="K7381" s="1" t="s">
        <v>24</v>
      </c>
      <c r="L7381" s="1">
        <v>9445072</v>
      </c>
      <c r="M7381" s="2">
        <v>42501</v>
      </c>
      <c r="N7381" s="1" t="s">
        <v>8</v>
      </c>
      <c r="O7381" s="2">
        <v>43596</v>
      </c>
    </row>
    <row r="7382" spans="1:15" ht="43.2" x14ac:dyDescent="0.3">
      <c r="A7382" s="1" t="s">
        <v>18278</v>
      </c>
      <c r="B7382" s="1" t="str">
        <f>"RIGHTCHOICE PROPERTY MAINTENANC LTD"</f>
        <v>RIGHTCHOICE PROPERTY MAINTENANC LTD</v>
      </c>
      <c r="C7382" s="1" t="s">
        <v>18279</v>
      </c>
      <c r="F7382" s="1" t="s">
        <v>4614</v>
      </c>
      <c r="H7382" s="1" t="s">
        <v>18280</v>
      </c>
      <c r="I7382" s="1" t="s">
        <v>19</v>
      </c>
      <c r="J7382" s="1" t="s">
        <v>6</v>
      </c>
      <c r="K7382" s="1" t="s">
        <v>34</v>
      </c>
      <c r="L7382" s="1">
        <v>8430137</v>
      </c>
      <c r="M7382" s="2">
        <v>42501</v>
      </c>
      <c r="N7382" s="1" t="s">
        <v>8</v>
      </c>
      <c r="O7382" s="2">
        <v>43596</v>
      </c>
    </row>
    <row r="7383" spans="1:15" ht="43.2" x14ac:dyDescent="0.3">
      <c r="A7383" s="1" t="s">
        <v>29138</v>
      </c>
      <c r="B7383" s="1" t="str">
        <f>"Edwin Fray Fray Countryside Contractors"</f>
        <v>Edwin Fray Fray Countryside Contractors</v>
      </c>
      <c r="C7383" s="1" t="s">
        <v>29139</v>
      </c>
      <c r="F7383" s="1" t="s">
        <v>2504</v>
      </c>
      <c r="H7383" s="1" t="s">
        <v>29140</v>
      </c>
      <c r="I7383" s="1" t="s">
        <v>5</v>
      </c>
      <c r="J7383" s="1" t="s">
        <v>6</v>
      </c>
      <c r="K7383" s="1" t="s">
        <v>24</v>
      </c>
      <c r="M7383" s="2">
        <v>42501</v>
      </c>
      <c r="N7383" s="1" t="s">
        <v>8</v>
      </c>
      <c r="O7383" s="2">
        <v>43596</v>
      </c>
    </row>
    <row r="7384" spans="1:15" ht="28.8" x14ac:dyDescent="0.3">
      <c r="A7384" s="1" t="s">
        <v>29141</v>
      </c>
      <c r="B7384" s="1" t="str">
        <f>"Janet Halliday J.S SWEEPERS"</f>
        <v>Janet Halliday J.S SWEEPERS</v>
      </c>
      <c r="C7384" s="1" t="s">
        <v>29142</v>
      </c>
      <c r="F7384" s="1" t="s">
        <v>374</v>
      </c>
      <c r="H7384" s="1" t="s">
        <v>29143</v>
      </c>
      <c r="I7384" s="1" t="s">
        <v>5</v>
      </c>
      <c r="J7384" s="1" t="s">
        <v>6</v>
      </c>
      <c r="K7384" s="1" t="s">
        <v>24</v>
      </c>
      <c r="M7384" s="2">
        <v>42501</v>
      </c>
      <c r="N7384" s="1" t="s">
        <v>8</v>
      </c>
      <c r="O7384" s="2">
        <v>43596</v>
      </c>
    </row>
    <row r="7385" spans="1:15" ht="28.8" x14ac:dyDescent="0.3">
      <c r="A7385" s="1" t="s">
        <v>29887</v>
      </c>
      <c r="B7385" s="1" t="str">
        <f>"David Ware D Ware Transport"</f>
        <v>David Ware D Ware Transport</v>
      </c>
      <c r="C7385" s="1" t="s">
        <v>28260</v>
      </c>
      <c r="F7385" s="1" t="s">
        <v>621</v>
      </c>
      <c r="H7385" s="1" t="s">
        <v>28261</v>
      </c>
      <c r="I7385" s="1" t="s">
        <v>5</v>
      </c>
      <c r="J7385" s="1" t="s">
        <v>6</v>
      </c>
      <c r="K7385" s="1" t="s">
        <v>24</v>
      </c>
      <c r="M7385" s="2">
        <v>42501</v>
      </c>
      <c r="N7385" s="1" t="s">
        <v>8</v>
      </c>
      <c r="O7385" s="2">
        <v>43596</v>
      </c>
    </row>
    <row r="7386" spans="1:15" ht="28.8" x14ac:dyDescent="0.3">
      <c r="A7386" s="1" t="s">
        <v>29888</v>
      </c>
      <c r="B7386" s="1" t="str">
        <f>"John Watts JDW Landscapers"</f>
        <v>John Watts JDW Landscapers</v>
      </c>
      <c r="C7386" s="1" t="s">
        <v>29889</v>
      </c>
      <c r="F7386" s="1" t="s">
        <v>2152</v>
      </c>
      <c r="H7386" s="1" t="s">
        <v>27660</v>
      </c>
      <c r="I7386" s="1" t="s">
        <v>5</v>
      </c>
      <c r="J7386" s="1" t="s">
        <v>6</v>
      </c>
      <c r="K7386" s="1" t="s">
        <v>24</v>
      </c>
      <c r="M7386" s="2">
        <v>42501</v>
      </c>
      <c r="N7386" s="1" t="s">
        <v>8</v>
      </c>
      <c r="O7386" s="2">
        <v>43596</v>
      </c>
    </row>
    <row r="7387" spans="1:15" ht="43.2" x14ac:dyDescent="0.3">
      <c r="A7387" s="1" t="s">
        <v>29890</v>
      </c>
      <c r="B7387" s="1" t="str">
        <f>"Stephen Borders Stephen Borders Carpentry &amp; Joinery"</f>
        <v>Stephen Borders Stephen Borders Carpentry &amp; Joinery</v>
      </c>
      <c r="C7387" s="1" t="s">
        <v>29891</v>
      </c>
      <c r="F7387" s="1" t="s">
        <v>214</v>
      </c>
      <c r="H7387" s="1" t="s">
        <v>29892</v>
      </c>
      <c r="I7387" s="1" t="s">
        <v>5</v>
      </c>
      <c r="J7387" s="1" t="s">
        <v>6</v>
      </c>
      <c r="K7387" s="1" t="s">
        <v>24</v>
      </c>
      <c r="M7387" s="2">
        <v>42501</v>
      </c>
      <c r="N7387" s="1" t="s">
        <v>8</v>
      </c>
      <c r="O7387" s="2">
        <v>43596</v>
      </c>
    </row>
    <row r="7388" spans="1:15" ht="28.8" x14ac:dyDescent="0.3">
      <c r="A7388" s="1" t="s">
        <v>29893</v>
      </c>
      <c r="B7388" s="1" t="str">
        <f>"Steven Grabham I.D.Grabham &amp; Sons"</f>
        <v>Steven Grabham I.D.Grabham &amp; Sons</v>
      </c>
      <c r="C7388" s="1" t="s">
        <v>29894</v>
      </c>
      <c r="F7388" s="1" t="s">
        <v>865</v>
      </c>
      <c r="H7388" s="1" t="s">
        <v>29895</v>
      </c>
      <c r="I7388" s="1" t="s">
        <v>5</v>
      </c>
      <c r="J7388" s="1" t="s">
        <v>6</v>
      </c>
      <c r="K7388" s="1" t="s">
        <v>24</v>
      </c>
      <c r="M7388" s="2">
        <v>42501</v>
      </c>
      <c r="N7388" s="1" t="s">
        <v>8</v>
      </c>
      <c r="O7388" s="2">
        <v>43596</v>
      </c>
    </row>
    <row r="7389" spans="1:15" ht="28.8" x14ac:dyDescent="0.3">
      <c r="A7389" s="1" t="s">
        <v>29896</v>
      </c>
      <c r="B7389" s="1" t="str">
        <f>"Marc Harris Conwy Clearing Co"</f>
        <v>Marc Harris Conwy Clearing Co</v>
      </c>
      <c r="C7389" s="1" t="s">
        <v>29897</v>
      </c>
      <c r="F7389" s="1" t="s">
        <v>1260</v>
      </c>
      <c r="H7389" s="1" t="s">
        <v>29898</v>
      </c>
      <c r="I7389" s="1" t="s">
        <v>5</v>
      </c>
      <c r="J7389" s="1" t="s">
        <v>6</v>
      </c>
      <c r="K7389" s="1" t="s">
        <v>24</v>
      </c>
      <c r="M7389" s="2">
        <v>42501</v>
      </c>
      <c r="N7389" s="1" t="s">
        <v>8</v>
      </c>
      <c r="O7389" s="2">
        <v>43596</v>
      </c>
    </row>
    <row r="7390" spans="1:15" x14ac:dyDescent="0.3">
      <c r="A7390" s="1" t="s">
        <v>29899</v>
      </c>
      <c r="B7390" s="1" t="str">
        <f>"David Albert Rees"</f>
        <v>David Albert Rees</v>
      </c>
      <c r="C7390" s="1" t="s">
        <v>29900</v>
      </c>
      <c r="F7390" s="1" t="s">
        <v>8142</v>
      </c>
      <c r="H7390" s="1" t="s">
        <v>29901</v>
      </c>
      <c r="I7390" s="1" t="s">
        <v>5</v>
      </c>
      <c r="J7390" s="1" t="s">
        <v>6</v>
      </c>
      <c r="K7390" s="1" t="s">
        <v>24</v>
      </c>
      <c r="M7390" s="2">
        <v>42501</v>
      </c>
      <c r="N7390" s="1" t="s">
        <v>8</v>
      </c>
      <c r="O7390" s="2">
        <v>43596</v>
      </c>
    </row>
    <row r="7391" spans="1:15" ht="28.8" x14ac:dyDescent="0.3">
      <c r="A7391" s="1" t="s">
        <v>29902</v>
      </c>
      <c r="B7391" s="1" t="str">
        <f>"Jake  Hacker  Bristol mobile metals "</f>
        <v xml:space="preserve">Jake  Hacker  Bristol mobile metals </v>
      </c>
      <c r="C7391" s="1" t="s">
        <v>29903</v>
      </c>
      <c r="F7391" s="1" t="s">
        <v>5459</v>
      </c>
      <c r="H7391" s="1" t="s">
        <v>29904</v>
      </c>
      <c r="I7391" s="1" t="s">
        <v>5</v>
      </c>
      <c r="J7391" s="1" t="s">
        <v>6</v>
      </c>
      <c r="K7391" s="1" t="s">
        <v>24</v>
      </c>
      <c r="M7391" s="2">
        <v>42501</v>
      </c>
      <c r="N7391" s="1" t="s">
        <v>8</v>
      </c>
      <c r="O7391" s="2">
        <v>43596</v>
      </c>
    </row>
    <row r="7392" spans="1:15" ht="28.8" x14ac:dyDescent="0.3">
      <c r="A7392" s="1" t="s">
        <v>16305</v>
      </c>
      <c r="B7392" s="1" t="str">
        <f>"SJ Flower The Building Co Ltd "</f>
        <v xml:space="preserve">SJ Flower The Building Co Ltd </v>
      </c>
      <c r="C7392" s="1" t="s">
        <v>16306</v>
      </c>
      <c r="D7392" s="1" t="s">
        <v>16307</v>
      </c>
      <c r="F7392" s="1" t="s">
        <v>873</v>
      </c>
      <c r="H7392" s="1" t="s">
        <v>16308</v>
      </c>
      <c r="I7392" s="1" t="s">
        <v>19</v>
      </c>
      <c r="J7392" s="1" t="s">
        <v>6</v>
      </c>
      <c r="K7392" s="1" t="s">
        <v>34</v>
      </c>
      <c r="L7392" s="1">
        <v>7692644</v>
      </c>
      <c r="M7392" s="2">
        <v>42500</v>
      </c>
      <c r="N7392" s="1" t="s">
        <v>8</v>
      </c>
      <c r="O7392" s="2">
        <v>43595</v>
      </c>
    </row>
    <row r="7393" spans="1:15" ht="43.2" x14ac:dyDescent="0.3">
      <c r="A7393" s="1" t="s">
        <v>16309</v>
      </c>
      <c r="B7393" s="1" t="str">
        <f>"John Jones Civil Engineering &amp; Groundworks Ltd."</f>
        <v>John Jones Civil Engineering &amp; Groundworks Ltd.</v>
      </c>
      <c r="C7393" s="1" t="s">
        <v>16310</v>
      </c>
      <c r="F7393" s="1" t="s">
        <v>4536</v>
      </c>
      <c r="H7393" s="1" t="s">
        <v>16311</v>
      </c>
      <c r="I7393" s="1" t="s">
        <v>19</v>
      </c>
      <c r="J7393" s="1" t="s">
        <v>6</v>
      </c>
      <c r="K7393" s="1" t="s">
        <v>34</v>
      </c>
      <c r="L7393" s="1">
        <v>5380704</v>
      </c>
      <c r="M7393" s="2">
        <v>42500</v>
      </c>
      <c r="N7393" s="1" t="s">
        <v>8</v>
      </c>
      <c r="O7393" s="2">
        <v>43595</v>
      </c>
    </row>
    <row r="7394" spans="1:15" x14ac:dyDescent="0.3">
      <c r="A7394" s="1" t="s">
        <v>16312</v>
      </c>
      <c r="B7394" s="1" t="str">
        <f>"Huws Eugrad Cyf"</f>
        <v>Huws Eugrad Cyf</v>
      </c>
      <c r="C7394" s="1" t="s">
        <v>16313</v>
      </c>
      <c r="F7394" s="1" t="s">
        <v>1408</v>
      </c>
      <c r="H7394" s="1" t="s">
        <v>16314</v>
      </c>
      <c r="I7394" s="1" t="s">
        <v>19</v>
      </c>
      <c r="J7394" s="1" t="s">
        <v>6</v>
      </c>
      <c r="K7394" s="1" t="s">
        <v>24</v>
      </c>
      <c r="L7394" s="1">
        <v>3187463</v>
      </c>
      <c r="M7394" s="2">
        <v>42500</v>
      </c>
      <c r="N7394" s="1" t="s">
        <v>8</v>
      </c>
      <c r="O7394" s="2">
        <v>43595</v>
      </c>
    </row>
    <row r="7395" spans="1:15" ht="28.8" x14ac:dyDescent="0.3">
      <c r="A7395" s="1" t="s">
        <v>16315</v>
      </c>
      <c r="B7395" s="1" t="str">
        <f>"I.T.EDWARDS PARTNERSHIP"</f>
        <v>I.T.EDWARDS PARTNERSHIP</v>
      </c>
      <c r="C7395" s="1" t="s">
        <v>16316</v>
      </c>
      <c r="F7395" s="1" t="s">
        <v>457</v>
      </c>
      <c r="H7395" s="1" t="s">
        <v>16317</v>
      </c>
      <c r="I7395" s="1" t="s">
        <v>125</v>
      </c>
      <c r="J7395" s="1" t="s">
        <v>6</v>
      </c>
      <c r="K7395" s="1" t="s">
        <v>24</v>
      </c>
      <c r="M7395" s="2">
        <v>42500</v>
      </c>
      <c r="N7395" s="1" t="s">
        <v>8</v>
      </c>
      <c r="O7395" s="2">
        <v>43595</v>
      </c>
    </row>
    <row r="7396" spans="1:15" ht="28.8" x14ac:dyDescent="0.3">
      <c r="A7396" s="1" t="s">
        <v>17252</v>
      </c>
      <c r="B7396" s="1" t="str">
        <f>"Diving &amp; Marine (Engineering) Ltd."</f>
        <v>Diving &amp; Marine (Engineering) Ltd.</v>
      </c>
      <c r="C7396" s="1" t="s">
        <v>17253</v>
      </c>
      <c r="D7396" s="1" t="s">
        <v>17254</v>
      </c>
      <c r="E7396" s="1" t="s">
        <v>929</v>
      </c>
      <c r="F7396" s="1" t="s">
        <v>930</v>
      </c>
      <c r="H7396" s="1" t="s">
        <v>17255</v>
      </c>
      <c r="I7396" s="1" t="s">
        <v>19</v>
      </c>
      <c r="J7396" s="1" t="s">
        <v>6</v>
      </c>
      <c r="K7396" s="1" t="s">
        <v>34</v>
      </c>
      <c r="L7396" s="1">
        <v>2734215</v>
      </c>
      <c r="M7396" s="2">
        <v>42500</v>
      </c>
      <c r="N7396" s="1" t="s">
        <v>8</v>
      </c>
      <c r="O7396" s="2">
        <v>43623</v>
      </c>
    </row>
    <row r="7397" spans="1:15" ht="28.8" x14ac:dyDescent="0.3">
      <c r="A7397" s="1" t="s">
        <v>17256</v>
      </c>
      <c r="B7397" s="1" t="str">
        <f>"A D Howells"</f>
        <v>A D Howells</v>
      </c>
      <c r="C7397" s="1" t="s">
        <v>17257</v>
      </c>
      <c r="F7397" s="1" t="s">
        <v>438</v>
      </c>
      <c r="H7397" s="1" t="s">
        <v>17258</v>
      </c>
      <c r="I7397" s="1" t="s">
        <v>19</v>
      </c>
      <c r="J7397" s="1" t="s">
        <v>6</v>
      </c>
      <c r="K7397" s="1" t="s">
        <v>34</v>
      </c>
      <c r="L7397" s="1">
        <v>7556453</v>
      </c>
      <c r="M7397" s="2">
        <v>42500</v>
      </c>
      <c r="N7397" s="1" t="s">
        <v>8</v>
      </c>
      <c r="O7397" s="2">
        <v>43595</v>
      </c>
    </row>
    <row r="7398" spans="1:15" ht="43.2" x14ac:dyDescent="0.3">
      <c r="A7398" s="1" t="s">
        <v>17259</v>
      </c>
      <c r="B7398" s="1" t="str">
        <f>"RON JAMES (WELDING SERVICES) LTD"</f>
        <v>RON JAMES (WELDING SERVICES) LTD</v>
      </c>
      <c r="C7398" s="1" t="s">
        <v>17260</v>
      </c>
      <c r="F7398" s="1" t="s">
        <v>65</v>
      </c>
      <c r="H7398" s="1" t="s">
        <v>17261</v>
      </c>
      <c r="I7398" s="1" t="s">
        <v>19</v>
      </c>
      <c r="J7398" s="1" t="s">
        <v>67</v>
      </c>
      <c r="K7398" s="1" t="s">
        <v>24</v>
      </c>
      <c r="L7398" s="1">
        <v>4570241</v>
      </c>
      <c r="M7398" s="2">
        <v>42500</v>
      </c>
      <c r="N7398" s="1" t="s">
        <v>8</v>
      </c>
      <c r="O7398" s="1" t="s">
        <v>68</v>
      </c>
    </row>
    <row r="7399" spans="1:15" ht="28.8" x14ac:dyDescent="0.3">
      <c r="A7399" s="1" t="s">
        <v>17262</v>
      </c>
      <c r="B7399" s="1" t="str">
        <f>"NetworkRail"</f>
        <v>NetworkRail</v>
      </c>
      <c r="C7399" s="1" t="s">
        <v>17263</v>
      </c>
      <c r="F7399" s="1" t="s">
        <v>91</v>
      </c>
      <c r="H7399" s="1" t="s">
        <v>17264</v>
      </c>
      <c r="I7399" s="1" t="s">
        <v>188</v>
      </c>
      <c r="J7399" s="1" t="s">
        <v>6</v>
      </c>
      <c r="K7399" s="1" t="s">
        <v>34</v>
      </c>
      <c r="M7399" s="2">
        <v>42500</v>
      </c>
      <c r="N7399" s="1" t="s">
        <v>8</v>
      </c>
      <c r="O7399" s="2">
        <v>43595</v>
      </c>
    </row>
    <row r="7400" spans="1:15" ht="28.8" x14ac:dyDescent="0.3">
      <c r="A7400" s="1" t="s">
        <v>17265</v>
      </c>
      <c r="B7400" s="1" t="str">
        <f>"L &amp; D Light Deliveries"</f>
        <v>L &amp; D Light Deliveries</v>
      </c>
      <c r="C7400" s="1" t="s">
        <v>17266</v>
      </c>
      <c r="F7400" s="1" t="s">
        <v>198</v>
      </c>
      <c r="H7400" s="1" t="s">
        <v>17267</v>
      </c>
      <c r="I7400" s="1" t="s">
        <v>125</v>
      </c>
      <c r="J7400" s="1" t="s">
        <v>6</v>
      </c>
      <c r="K7400" s="1" t="s">
        <v>24</v>
      </c>
      <c r="M7400" s="2">
        <v>42500</v>
      </c>
      <c r="N7400" s="1" t="s">
        <v>8</v>
      </c>
      <c r="O7400" s="2">
        <v>43595</v>
      </c>
    </row>
    <row r="7401" spans="1:15" ht="28.8" x14ac:dyDescent="0.3">
      <c r="A7401" s="1" t="s">
        <v>17268</v>
      </c>
      <c r="B7401" s="1" t="str">
        <f>"Wm Garden Services Ltd."</f>
        <v>Wm Garden Services Ltd.</v>
      </c>
      <c r="C7401" s="1" t="s">
        <v>17269</v>
      </c>
      <c r="F7401" s="1" t="s">
        <v>401</v>
      </c>
      <c r="H7401" s="1" t="s">
        <v>17270</v>
      </c>
      <c r="I7401" s="1" t="s">
        <v>19</v>
      </c>
      <c r="J7401" s="1" t="s">
        <v>6</v>
      </c>
      <c r="K7401" s="1" t="s">
        <v>34</v>
      </c>
      <c r="L7401" s="1">
        <v>4651772</v>
      </c>
      <c r="M7401" s="2">
        <v>42500</v>
      </c>
      <c r="N7401" s="1" t="s">
        <v>8</v>
      </c>
      <c r="O7401" s="2">
        <v>43595</v>
      </c>
    </row>
    <row r="7402" spans="1:15" ht="28.8" x14ac:dyDescent="0.3">
      <c r="A7402" s="1" t="s">
        <v>17271</v>
      </c>
      <c r="B7402" s="1" t="str">
        <f>"Cliftons of Wrexham Ltd."</f>
        <v>Cliftons of Wrexham Ltd.</v>
      </c>
      <c r="C7402" s="1" t="s">
        <v>17272</v>
      </c>
      <c r="F7402" s="1" t="s">
        <v>198</v>
      </c>
      <c r="H7402" s="1" t="s">
        <v>17273</v>
      </c>
      <c r="I7402" s="1" t="s">
        <v>19</v>
      </c>
      <c r="J7402" s="1" t="s">
        <v>6</v>
      </c>
      <c r="K7402" s="1" t="s">
        <v>24</v>
      </c>
      <c r="L7402" s="1">
        <v>4671099</v>
      </c>
      <c r="M7402" s="2">
        <v>42500</v>
      </c>
      <c r="N7402" s="1" t="s">
        <v>8</v>
      </c>
      <c r="O7402" s="2">
        <v>43595</v>
      </c>
    </row>
    <row r="7403" spans="1:15" ht="28.8" x14ac:dyDescent="0.3">
      <c r="A7403" s="1" t="s">
        <v>17274</v>
      </c>
      <c r="B7403" s="1" t="str">
        <f>"EDWARDS COACHES LTD"</f>
        <v>EDWARDS COACHES LTD</v>
      </c>
      <c r="C7403" s="1" t="s">
        <v>17275</v>
      </c>
      <c r="D7403" s="1" t="s">
        <v>17276</v>
      </c>
      <c r="F7403" s="1" t="s">
        <v>277</v>
      </c>
      <c r="H7403" s="1" t="s">
        <v>4592</v>
      </c>
      <c r="I7403" s="1" t="s">
        <v>19</v>
      </c>
      <c r="J7403" s="1" t="s">
        <v>6</v>
      </c>
      <c r="K7403" s="1" t="s">
        <v>24</v>
      </c>
      <c r="L7403" s="1">
        <v>4045308</v>
      </c>
      <c r="M7403" s="2">
        <v>42500</v>
      </c>
      <c r="N7403" s="1" t="s">
        <v>8</v>
      </c>
      <c r="O7403" s="2">
        <v>43595</v>
      </c>
    </row>
    <row r="7404" spans="1:15" ht="43.2" x14ac:dyDescent="0.3">
      <c r="A7404" s="1" t="s">
        <v>17277</v>
      </c>
      <c r="B7404" s="1" t="str">
        <f>"TeamFurmanite ltd"</f>
        <v>TeamFurmanite ltd</v>
      </c>
      <c r="C7404" s="1" t="s">
        <v>17278</v>
      </c>
      <c r="F7404" s="1" t="s">
        <v>7402</v>
      </c>
      <c r="H7404" s="1" t="s">
        <v>17279</v>
      </c>
      <c r="I7404" s="1" t="s">
        <v>19</v>
      </c>
      <c r="J7404" s="1" t="s">
        <v>67</v>
      </c>
      <c r="K7404" s="1" t="s">
        <v>14</v>
      </c>
      <c r="M7404" s="2">
        <v>42500</v>
      </c>
      <c r="N7404" s="1" t="s">
        <v>8</v>
      </c>
      <c r="O7404" s="1" t="s">
        <v>68</v>
      </c>
    </row>
    <row r="7405" spans="1:15" ht="28.8" x14ac:dyDescent="0.3">
      <c r="A7405" s="1" t="s">
        <v>17280</v>
      </c>
      <c r="B7405" s="1" t="str">
        <f>"Eagergala Ltd."</f>
        <v>Eagergala Ltd.</v>
      </c>
      <c r="C7405" s="1" t="s">
        <v>17281</v>
      </c>
      <c r="D7405" s="1" t="s">
        <v>17282</v>
      </c>
      <c r="F7405" s="1" t="s">
        <v>3247</v>
      </c>
      <c r="H7405" s="1" t="s">
        <v>17283</v>
      </c>
      <c r="I7405" s="1" t="s">
        <v>19</v>
      </c>
      <c r="J7405" s="1" t="s">
        <v>6</v>
      </c>
      <c r="K7405" s="1" t="s">
        <v>24</v>
      </c>
      <c r="L7405" s="1">
        <v>2001210</v>
      </c>
      <c r="M7405" s="2">
        <v>42500</v>
      </c>
      <c r="N7405" s="1" t="s">
        <v>8</v>
      </c>
      <c r="O7405" s="2">
        <v>43772</v>
      </c>
    </row>
    <row r="7406" spans="1:15" x14ac:dyDescent="0.3">
      <c r="A7406" s="1" t="s">
        <v>17284</v>
      </c>
      <c r="B7406" s="1" t="str">
        <f>"J  E  Thomas &amp; Son Ltd."</f>
        <v>J  E  Thomas &amp; Son Ltd.</v>
      </c>
      <c r="C7406" s="1" t="s">
        <v>17285</v>
      </c>
      <c r="F7406" s="1" t="s">
        <v>65</v>
      </c>
      <c r="H7406" s="1" t="s">
        <v>17286</v>
      </c>
      <c r="I7406" s="1" t="s">
        <v>19</v>
      </c>
      <c r="J7406" s="1" t="s">
        <v>6</v>
      </c>
      <c r="K7406" s="1" t="s">
        <v>24</v>
      </c>
      <c r="L7406" s="1">
        <v>4486588</v>
      </c>
      <c r="M7406" s="2">
        <v>42500</v>
      </c>
      <c r="N7406" s="1" t="s">
        <v>8</v>
      </c>
      <c r="O7406" s="2">
        <v>43595</v>
      </c>
    </row>
    <row r="7407" spans="1:15" ht="28.8" x14ac:dyDescent="0.3">
      <c r="A7407" s="1" t="s">
        <v>28396</v>
      </c>
      <c r="B7407" s="1" t="str">
        <f>"Jonathan Hardy Jonathan Hardy"</f>
        <v>Jonathan Hardy Jonathan Hardy</v>
      </c>
      <c r="C7407" s="1" t="s">
        <v>28397</v>
      </c>
      <c r="F7407" s="1" t="s">
        <v>65</v>
      </c>
      <c r="H7407" s="1" t="s">
        <v>28398</v>
      </c>
      <c r="I7407" s="1" t="s">
        <v>5</v>
      </c>
      <c r="J7407" s="1" t="s">
        <v>6</v>
      </c>
      <c r="K7407" s="1" t="s">
        <v>24</v>
      </c>
      <c r="M7407" s="2">
        <v>42500</v>
      </c>
      <c r="N7407" s="1" t="s">
        <v>8</v>
      </c>
      <c r="O7407" s="2">
        <v>43595</v>
      </c>
    </row>
    <row r="7408" spans="1:15" ht="28.8" x14ac:dyDescent="0.3">
      <c r="A7408" s="1" t="s">
        <v>28399</v>
      </c>
      <c r="B7408" s="1" t="str">
        <f>"Allan  Thomas  Safety First Wales Group "</f>
        <v xml:space="preserve">Allan  Thomas  Safety First Wales Group </v>
      </c>
      <c r="C7408" s="1" t="s">
        <v>28400</v>
      </c>
      <c r="F7408" s="1" t="s">
        <v>621</v>
      </c>
      <c r="H7408" s="1" t="s">
        <v>28401</v>
      </c>
      <c r="I7408" s="1" t="s">
        <v>5</v>
      </c>
      <c r="J7408" s="1" t="s">
        <v>6</v>
      </c>
      <c r="K7408" s="1" t="s">
        <v>34</v>
      </c>
      <c r="M7408" s="2">
        <v>42500</v>
      </c>
      <c r="N7408" s="1" t="s">
        <v>8</v>
      </c>
      <c r="O7408" s="2">
        <v>43595</v>
      </c>
    </row>
    <row r="7409" spans="1:15" ht="43.2" x14ac:dyDescent="0.3">
      <c r="A7409" s="1" t="s">
        <v>28402</v>
      </c>
      <c r="B7409" s="1" t="str">
        <f>"Philip Davies Knotweed Support - Invasive Weed "</f>
        <v xml:space="preserve">Philip Davies Knotweed Support - Invasive Weed </v>
      </c>
      <c r="C7409" s="1" t="s">
        <v>28403</v>
      </c>
      <c r="F7409" s="1" t="s">
        <v>42</v>
      </c>
      <c r="H7409" s="1" t="s">
        <v>28404</v>
      </c>
      <c r="I7409" s="1" t="s">
        <v>5</v>
      </c>
      <c r="J7409" s="1" t="s">
        <v>67</v>
      </c>
      <c r="K7409" s="1" t="s">
        <v>24</v>
      </c>
      <c r="M7409" s="2">
        <v>42500</v>
      </c>
      <c r="N7409" s="1" t="s">
        <v>8</v>
      </c>
      <c r="O7409" s="1" t="s">
        <v>68</v>
      </c>
    </row>
    <row r="7410" spans="1:15" ht="43.2" x14ac:dyDescent="0.3">
      <c r="A7410" s="1" t="s">
        <v>29123</v>
      </c>
      <c r="B7410" s="1" t="str">
        <f>"craig amblin"</f>
        <v>craig amblin</v>
      </c>
      <c r="C7410" s="1" t="s">
        <v>29124</v>
      </c>
      <c r="F7410" s="1" t="s">
        <v>27</v>
      </c>
      <c r="H7410" s="1" t="s">
        <v>29125</v>
      </c>
      <c r="I7410" s="1" t="s">
        <v>5</v>
      </c>
      <c r="J7410" s="1" t="s">
        <v>67</v>
      </c>
      <c r="K7410" s="1" t="s">
        <v>14</v>
      </c>
      <c r="M7410" s="2">
        <v>42500</v>
      </c>
      <c r="N7410" s="1" t="s">
        <v>8</v>
      </c>
      <c r="O7410" s="1" t="s">
        <v>68</v>
      </c>
    </row>
    <row r="7411" spans="1:15" x14ac:dyDescent="0.3">
      <c r="A7411" s="1" t="s">
        <v>29126</v>
      </c>
      <c r="B7411" s="1" t="str">
        <f>"Hue Morgan"</f>
        <v>Hue Morgan</v>
      </c>
      <c r="C7411" s="1" t="s">
        <v>29127</v>
      </c>
      <c r="F7411" s="1" t="s">
        <v>50</v>
      </c>
      <c r="H7411" s="1" t="s">
        <v>29128</v>
      </c>
      <c r="I7411" s="1" t="s">
        <v>5</v>
      </c>
      <c r="J7411" s="1" t="s">
        <v>6</v>
      </c>
      <c r="K7411" s="1" t="s">
        <v>24</v>
      </c>
      <c r="M7411" s="2">
        <v>42500</v>
      </c>
      <c r="N7411" s="1" t="s">
        <v>8</v>
      </c>
      <c r="O7411" s="2">
        <v>43595</v>
      </c>
    </row>
    <row r="7412" spans="1:15" ht="28.8" x14ac:dyDescent="0.3">
      <c r="A7412" s="1" t="s">
        <v>29129</v>
      </c>
      <c r="B7412" s="1" t="str">
        <f>"Jordan Lee  Florence  Jordan Florence "</f>
        <v xml:space="preserve">Jordan Lee  Florence  Jordan Florence </v>
      </c>
      <c r="C7412" s="1" t="s">
        <v>29130</v>
      </c>
      <c r="F7412" s="1" t="s">
        <v>3726</v>
      </c>
      <c r="H7412" s="1" t="s">
        <v>29131</v>
      </c>
      <c r="I7412" s="1" t="s">
        <v>5</v>
      </c>
      <c r="J7412" s="1" t="s">
        <v>6</v>
      </c>
      <c r="K7412" s="1" t="s">
        <v>24</v>
      </c>
      <c r="M7412" s="2">
        <v>42500</v>
      </c>
      <c r="N7412" s="1" t="s">
        <v>8</v>
      </c>
      <c r="O7412" s="2">
        <v>43595</v>
      </c>
    </row>
    <row r="7413" spans="1:15" ht="28.8" x14ac:dyDescent="0.3">
      <c r="A7413" s="1" t="s">
        <v>29132</v>
      </c>
      <c r="B7413" s="1" t="str">
        <f>"william price 10 maendy wood rise"</f>
        <v>william price 10 maendy wood rise</v>
      </c>
      <c r="C7413" s="1" t="s">
        <v>29133</v>
      </c>
      <c r="F7413" s="1" t="s">
        <v>380</v>
      </c>
      <c r="H7413" s="1" t="s">
        <v>29134</v>
      </c>
      <c r="I7413" s="1" t="s">
        <v>5</v>
      </c>
      <c r="J7413" s="1" t="s">
        <v>6</v>
      </c>
      <c r="K7413" s="1" t="s">
        <v>34</v>
      </c>
      <c r="M7413" s="2">
        <v>42500</v>
      </c>
      <c r="N7413" s="1" t="s">
        <v>8</v>
      </c>
      <c r="O7413" s="2">
        <v>43595</v>
      </c>
    </row>
    <row r="7414" spans="1:15" ht="28.8" x14ac:dyDescent="0.3">
      <c r="A7414" s="1" t="s">
        <v>29135</v>
      </c>
      <c r="B7414" s="1" t="str">
        <f>"Geraint Woolcock GW LOGS"</f>
        <v>Geraint Woolcock GW LOGS</v>
      </c>
      <c r="C7414" s="1" t="s">
        <v>29136</v>
      </c>
      <c r="F7414" s="1" t="s">
        <v>12</v>
      </c>
      <c r="H7414" s="1" t="s">
        <v>29137</v>
      </c>
      <c r="I7414" s="1" t="s">
        <v>5</v>
      </c>
      <c r="J7414" s="1" t="s">
        <v>6</v>
      </c>
      <c r="K7414" s="1" t="s">
        <v>24</v>
      </c>
      <c r="M7414" s="2">
        <v>42500</v>
      </c>
      <c r="N7414" s="1" t="s">
        <v>8</v>
      </c>
      <c r="O7414" s="2">
        <v>43595</v>
      </c>
    </row>
    <row r="7415" spans="1:15" ht="28.8" x14ac:dyDescent="0.3">
      <c r="A7415" s="1" t="s">
        <v>15295</v>
      </c>
      <c r="B7415" s="1" t="str">
        <f>"Allied Mechanical Engineering Ltd"</f>
        <v>Allied Mechanical Engineering Ltd</v>
      </c>
      <c r="C7415" s="1" t="s">
        <v>15296</v>
      </c>
      <c r="D7415" s="1" t="s">
        <v>3853</v>
      </c>
      <c r="F7415" s="1" t="s">
        <v>27</v>
      </c>
      <c r="H7415" s="1" t="s">
        <v>15297</v>
      </c>
      <c r="I7415" s="1" t="s">
        <v>19</v>
      </c>
      <c r="J7415" s="1" t="s">
        <v>6</v>
      </c>
      <c r="K7415" s="1" t="s">
        <v>34</v>
      </c>
      <c r="L7415" s="1">
        <v>4406444</v>
      </c>
      <c r="M7415" s="2">
        <v>42499</v>
      </c>
      <c r="N7415" s="1" t="s">
        <v>8</v>
      </c>
      <c r="O7415" s="2">
        <v>43594</v>
      </c>
    </row>
    <row r="7416" spans="1:15" ht="28.8" x14ac:dyDescent="0.3">
      <c r="A7416" s="1" t="s">
        <v>16288</v>
      </c>
      <c r="B7416" s="1" t="str">
        <f>"EWENNY GARDEN CENTRE LTD"</f>
        <v>EWENNY GARDEN CENTRE LTD</v>
      </c>
      <c r="C7416" s="1" t="s">
        <v>16289</v>
      </c>
      <c r="F7416" s="1" t="s">
        <v>865</v>
      </c>
      <c r="H7416" s="1" t="s">
        <v>9183</v>
      </c>
      <c r="I7416" s="1" t="s">
        <v>19</v>
      </c>
      <c r="J7416" s="1" t="s">
        <v>6</v>
      </c>
      <c r="K7416" s="1" t="s">
        <v>34</v>
      </c>
      <c r="L7416" s="1">
        <v>7264183</v>
      </c>
      <c r="M7416" s="2">
        <v>42499</v>
      </c>
      <c r="N7416" s="1" t="s">
        <v>8</v>
      </c>
      <c r="O7416" s="2">
        <v>43594</v>
      </c>
    </row>
    <row r="7417" spans="1:15" ht="43.2" x14ac:dyDescent="0.3">
      <c r="A7417" s="1" t="s">
        <v>16290</v>
      </c>
      <c r="B7417" s="1" t="str">
        <f>"Llanfair Surgery"</f>
        <v>Llanfair Surgery</v>
      </c>
      <c r="C7417" s="1" t="s">
        <v>16291</v>
      </c>
      <c r="F7417" s="1" t="s">
        <v>9261</v>
      </c>
      <c r="H7417" s="1" t="s">
        <v>16292</v>
      </c>
      <c r="I7417" s="1" t="s">
        <v>125</v>
      </c>
      <c r="J7417" s="1" t="s">
        <v>67</v>
      </c>
      <c r="K7417" s="1" t="s">
        <v>14</v>
      </c>
      <c r="M7417" s="2">
        <v>42499</v>
      </c>
      <c r="N7417" s="1" t="s">
        <v>8</v>
      </c>
      <c r="O7417" s="1" t="s">
        <v>68</v>
      </c>
    </row>
    <row r="7418" spans="1:15" ht="43.2" x14ac:dyDescent="0.3">
      <c r="A7418" s="1" t="s">
        <v>16293</v>
      </c>
      <c r="B7418" s="1" t="str">
        <f>"ASHFORD REFRIGERATION SERVICES LTD"</f>
        <v>ASHFORD REFRIGERATION SERVICES LTD</v>
      </c>
      <c r="C7418" s="1" t="s">
        <v>16294</v>
      </c>
      <c r="F7418" s="1" t="s">
        <v>16295</v>
      </c>
      <c r="H7418" s="1" t="s">
        <v>16296</v>
      </c>
      <c r="I7418" s="1" t="s">
        <v>19</v>
      </c>
      <c r="J7418" s="1" t="s">
        <v>6</v>
      </c>
      <c r="K7418" s="1" t="s">
        <v>24</v>
      </c>
      <c r="L7418" s="1">
        <v>4046768</v>
      </c>
      <c r="M7418" s="2">
        <v>42499</v>
      </c>
      <c r="N7418" s="1" t="s">
        <v>8</v>
      </c>
      <c r="O7418" s="2">
        <v>43594</v>
      </c>
    </row>
    <row r="7419" spans="1:15" ht="28.8" x14ac:dyDescent="0.3">
      <c r="A7419" s="1" t="s">
        <v>16297</v>
      </c>
      <c r="B7419" s="1" t="str">
        <f>"PHILLIPS SERVICES (WALES) LTD"</f>
        <v>PHILLIPS SERVICES (WALES) LTD</v>
      </c>
      <c r="C7419" s="1" t="s">
        <v>10174</v>
      </c>
      <c r="D7419" s="1" t="s">
        <v>3868</v>
      </c>
      <c r="F7419" s="1" t="s">
        <v>65</v>
      </c>
      <c r="H7419" s="1" t="s">
        <v>10175</v>
      </c>
      <c r="I7419" s="1" t="s">
        <v>19</v>
      </c>
      <c r="J7419" s="1" t="s">
        <v>6</v>
      </c>
      <c r="K7419" s="1" t="s">
        <v>24</v>
      </c>
      <c r="L7419" s="1">
        <v>952016</v>
      </c>
      <c r="M7419" s="2">
        <v>42499</v>
      </c>
      <c r="N7419" s="1" t="s">
        <v>8</v>
      </c>
      <c r="O7419" s="2">
        <v>43594</v>
      </c>
    </row>
    <row r="7420" spans="1:15" x14ac:dyDescent="0.3">
      <c r="A7420" s="1" t="s">
        <v>16298</v>
      </c>
      <c r="B7420" s="1" t="str">
        <f>"T G JONES &amp; A G JONES"</f>
        <v>T G JONES &amp; A G JONES</v>
      </c>
      <c r="C7420" s="1" t="s">
        <v>16299</v>
      </c>
      <c r="F7420" s="1" t="s">
        <v>2281</v>
      </c>
      <c r="H7420" s="1" t="s">
        <v>16300</v>
      </c>
      <c r="I7420" s="1" t="s">
        <v>125</v>
      </c>
      <c r="J7420" s="1" t="s">
        <v>6</v>
      </c>
      <c r="K7420" s="1" t="s">
        <v>24</v>
      </c>
      <c r="M7420" s="2">
        <v>42499</v>
      </c>
      <c r="N7420" s="1" t="s">
        <v>8</v>
      </c>
      <c r="O7420" s="2">
        <v>43594</v>
      </c>
    </row>
    <row r="7421" spans="1:15" ht="28.8" x14ac:dyDescent="0.3">
      <c r="A7421" s="1" t="s">
        <v>16301</v>
      </c>
      <c r="B7421" s="1" t="str">
        <f>"Cymru Lan Cyfyngedig"</f>
        <v>Cymru Lan Cyfyngedig</v>
      </c>
      <c r="C7421" s="1" t="s">
        <v>3058</v>
      </c>
      <c r="F7421" s="1" t="s">
        <v>119</v>
      </c>
      <c r="H7421" s="1" t="s">
        <v>3059</v>
      </c>
      <c r="I7421" s="1" t="s">
        <v>19</v>
      </c>
      <c r="J7421" s="1" t="s">
        <v>6</v>
      </c>
      <c r="K7421" s="1" t="s">
        <v>24</v>
      </c>
      <c r="L7421" s="1">
        <v>4351281</v>
      </c>
      <c r="M7421" s="2">
        <v>42499</v>
      </c>
      <c r="N7421" s="1" t="s">
        <v>8</v>
      </c>
      <c r="O7421" s="2">
        <v>43611</v>
      </c>
    </row>
    <row r="7422" spans="1:15" x14ac:dyDescent="0.3">
      <c r="A7422" s="1" t="s">
        <v>16302</v>
      </c>
      <c r="B7422" s="1" t="str">
        <f>"Pritchard Brothers"</f>
        <v>Pritchard Brothers</v>
      </c>
      <c r="C7422" s="1" t="s">
        <v>16303</v>
      </c>
      <c r="F7422" s="1" t="s">
        <v>2757</v>
      </c>
      <c r="H7422" s="1" t="s">
        <v>16304</v>
      </c>
      <c r="I7422" s="1" t="s">
        <v>125</v>
      </c>
      <c r="J7422" s="1" t="s">
        <v>6</v>
      </c>
      <c r="K7422" s="1" t="s">
        <v>24</v>
      </c>
      <c r="M7422" s="2">
        <v>42499</v>
      </c>
      <c r="N7422" s="1" t="s">
        <v>8</v>
      </c>
      <c r="O7422" s="2">
        <v>43594</v>
      </c>
    </row>
    <row r="7423" spans="1:15" ht="28.8" x14ac:dyDescent="0.3">
      <c r="A7423" s="1" t="s">
        <v>28384</v>
      </c>
      <c r="B7423" s="1" t="str">
        <f>"Marc  Roberts Roberts Radio"</f>
        <v>Marc  Roberts Roberts Radio</v>
      </c>
      <c r="C7423" s="1" t="s">
        <v>28385</v>
      </c>
      <c r="F7423" s="1" t="s">
        <v>678</v>
      </c>
      <c r="H7423" s="1" t="s">
        <v>27021</v>
      </c>
      <c r="I7423" s="1" t="s">
        <v>5</v>
      </c>
      <c r="J7423" s="1" t="s">
        <v>6</v>
      </c>
      <c r="K7423" s="1" t="s">
        <v>24</v>
      </c>
      <c r="M7423" s="2">
        <v>42499</v>
      </c>
      <c r="N7423" s="1" t="s">
        <v>8</v>
      </c>
      <c r="O7423" s="2">
        <v>43594</v>
      </c>
    </row>
    <row r="7424" spans="1:15" ht="28.8" x14ac:dyDescent="0.3">
      <c r="A7424" s="1" t="s">
        <v>28386</v>
      </c>
      <c r="B7424" s="1" t="str">
        <f>"Robert Hughes Robert David Hughes"</f>
        <v>Robert Hughes Robert David Hughes</v>
      </c>
      <c r="C7424" s="1" t="s">
        <v>28387</v>
      </c>
      <c r="F7424" s="1" t="s">
        <v>1610</v>
      </c>
      <c r="H7424" s="1" t="s">
        <v>28388</v>
      </c>
      <c r="I7424" s="1" t="s">
        <v>5</v>
      </c>
      <c r="J7424" s="1" t="s">
        <v>6</v>
      </c>
      <c r="K7424" s="1" t="s">
        <v>34</v>
      </c>
      <c r="M7424" s="2">
        <v>42499</v>
      </c>
      <c r="N7424" s="1" t="s">
        <v>8</v>
      </c>
      <c r="O7424" s="2">
        <v>43594</v>
      </c>
    </row>
    <row r="7425" spans="1:15" ht="43.2" x14ac:dyDescent="0.3">
      <c r="A7425" s="1" t="s">
        <v>28389</v>
      </c>
      <c r="B7425" s="1" t="str">
        <f>"Shaun Purdie"</f>
        <v>Shaun Purdie</v>
      </c>
      <c r="C7425" s="1" t="s">
        <v>28390</v>
      </c>
      <c r="D7425" s="1" t="s">
        <v>28391</v>
      </c>
      <c r="F7425" s="1" t="s">
        <v>198</v>
      </c>
      <c r="H7425" s="1" t="s">
        <v>28392</v>
      </c>
      <c r="I7425" s="1" t="s">
        <v>5</v>
      </c>
      <c r="J7425" s="1" t="s">
        <v>67</v>
      </c>
      <c r="K7425" s="1" t="s">
        <v>24</v>
      </c>
      <c r="M7425" s="2">
        <v>42499</v>
      </c>
      <c r="N7425" s="1" t="s">
        <v>8</v>
      </c>
      <c r="O7425" s="1" t="s">
        <v>68</v>
      </c>
    </row>
    <row r="7426" spans="1:15" ht="28.8" x14ac:dyDescent="0.3">
      <c r="A7426" s="1" t="s">
        <v>28393</v>
      </c>
      <c r="B7426" s="1" t="str">
        <f>"Alan Hood Alan Hood Maintenance"</f>
        <v>Alan Hood Alan Hood Maintenance</v>
      </c>
      <c r="C7426" s="1" t="s">
        <v>28394</v>
      </c>
      <c r="F7426" s="1" t="s">
        <v>3415</v>
      </c>
      <c r="H7426" s="1" t="s">
        <v>28395</v>
      </c>
      <c r="I7426" s="1" t="s">
        <v>5</v>
      </c>
      <c r="J7426" s="1" t="s">
        <v>6</v>
      </c>
      <c r="K7426" s="1" t="s">
        <v>34</v>
      </c>
      <c r="M7426" s="2">
        <v>42499</v>
      </c>
      <c r="N7426" s="1" t="s">
        <v>8</v>
      </c>
      <c r="O7426" s="2">
        <v>43594</v>
      </c>
    </row>
    <row r="7427" spans="1:15" ht="28.8" x14ac:dyDescent="0.3">
      <c r="A7427" s="1" t="s">
        <v>15289</v>
      </c>
      <c r="B7427" s="1" t="str">
        <f>"Thompson Brothers (Anglesey) Ltd."</f>
        <v>Thompson Brothers (Anglesey) Ltd.</v>
      </c>
      <c r="C7427" s="1" t="s">
        <v>15290</v>
      </c>
      <c r="F7427" s="1" t="s">
        <v>328</v>
      </c>
      <c r="H7427" s="1" t="s">
        <v>15291</v>
      </c>
      <c r="I7427" s="1" t="s">
        <v>19</v>
      </c>
      <c r="J7427" s="1" t="s">
        <v>6</v>
      </c>
      <c r="K7427" s="1" t="s">
        <v>24</v>
      </c>
      <c r="L7427" s="1">
        <v>4695885</v>
      </c>
      <c r="M7427" s="2">
        <v>42498</v>
      </c>
      <c r="N7427" s="1" t="s">
        <v>8</v>
      </c>
      <c r="O7427" s="2">
        <v>43593</v>
      </c>
    </row>
    <row r="7428" spans="1:15" ht="28.8" x14ac:dyDescent="0.3">
      <c r="A7428" s="1" t="s">
        <v>15292</v>
      </c>
      <c r="B7428" s="1" t="str">
        <f>"Lyndon Dyke Stephen Dyke"</f>
        <v>Lyndon Dyke Stephen Dyke</v>
      </c>
      <c r="C7428" s="1" t="s">
        <v>15293</v>
      </c>
      <c r="F7428" s="1" t="s">
        <v>91</v>
      </c>
      <c r="H7428" s="1" t="s">
        <v>15294</v>
      </c>
      <c r="I7428" s="1" t="s">
        <v>125</v>
      </c>
      <c r="J7428" s="1" t="s">
        <v>6</v>
      </c>
      <c r="K7428" s="1" t="s">
        <v>24</v>
      </c>
      <c r="M7428" s="2">
        <v>42498</v>
      </c>
      <c r="N7428" s="1" t="s">
        <v>8</v>
      </c>
      <c r="O7428" s="2">
        <v>43593</v>
      </c>
    </row>
    <row r="7429" spans="1:15" ht="43.2" x14ac:dyDescent="0.3">
      <c r="A7429" s="1" t="s">
        <v>27613</v>
      </c>
      <c r="B7429" s="1" t="str">
        <f>"Anthony Jones The creative paving company"</f>
        <v>Anthony Jones The creative paving company</v>
      </c>
      <c r="C7429" s="1" t="s">
        <v>27614</v>
      </c>
      <c r="F7429" s="1" t="s">
        <v>65</v>
      </c>
      <c r="H7429" s="1" t="s">
        <v>27615</v>
      </c>
      <c r="I7429" s="1" t="s">
        <v>5</v>
      </c>
      <c r="J7429" s="1" t="s">
        <v>6</v>
      </c>
      <c r="K7429" s="1" t="s">
        <v>34</v>
      </c>
      <c r="M7429" s="2">
        <v>42498</v>
      </c>
      <c r="N7429" s="1" t="s">
        <v>8</v>
      </c>
      <c r="O7429" s="2">
        <v>43593</v>
      </c>
    </row>
    <row r="7430" spans="1:15" ht="43.2" x14ac:dyDescent="0.3">
      <c r="A7430" s="1" t="s">
        <v>27616</v>
      </c>
      <c r="B7430" s="1" t="str">
        <f>"stephen Webb Rhondda Property Clearance Cleaning"</f>
        <v>stephen Webb Rhondda Property Clearance Cleaning</v>
      </c>
      <c r="C7430" s="1" t="s">
        <v>27617</v>
      </c>
      <c r="F7430" s="1" t="s">
        <v>1115</v>
      </c>
      <c r="H7430" s="1" t="s">
        <v>27618</v>
      </c>
      <c r="I7430" s="1" t="s">
        <v>5</v>
      </c>
      <c r="J7430" s="1" t="s">
        <v>6</v>
      </c>
      <c r="K7430" s="1" t="s">
        <v>24</v>
      </c>
      <c r="M7430" s="2">
        <v>42498</v>
      </c>
      <c r="N7430" s="1" t="s">
        <v>8</v>
      </c>
      <c r="O7430" s="2">
        <v>43593</v>
      </c>
    </row>
    <row r="7431" spans="1:15" ht="43.2" x14ac:dyDescent="0.3">
      <c r="A7431" s="1" t="s">
        <v>14341</v>
      </c>
      <c r="B7431" s="1" t="str">
        <f>"Clear It Ltd"</f>
        <v>Clear It Ltd</v>
      </c>
      <c r="C7431" s="1" t="s">
        <v>14342</v>
      </c>
      <c r="F7431" s="1" t="s">
        <v>1321</v>
      </c>
      <c r="H7431" s="1" t="s">
        <v>14343</v>
      </c>
      <c r="I7431" s="1" t="s">
        <v>19</v>
      </c>
      <c r="J7431" s="1" t="s">
        <v>67</v>
      </c>
      <c r="K7431" s="1" t="s">
        <v>14</v>
      </c>
      <c r="M7431" s="2">
        <v>42496</v>
      </c>
      <c r="N7431" s="1" t="s">
        <v>8</v>
      </c>
      <c r="O7431" s="1" t="s">
        <v>68</v>
      </c>
    </row>
    <row r="7432" spans="1:15" ht="43.2" x14ac:dyDescent="0.3">
      <c r="A7432" s="1" t="s">
        <v>14344</v>
      </c>
      <c r="B7432" s="1" t="str">
        <f>"ADVANCED POWER SOLUTIONS LTD"</f>
        <v>ADVANCED POWER SOLUTIONS LTD</v>
      </c>
      <c r="C7432" s="1" t="s">
        <v>14345</v>
      </c>
      <c r="F7432" s="1" t="s">
        <v>91</v>
      </c>
      <c r="H7432" s="1" t="s">
        <v>14346</v>
      </c>
      <c r="I7432" s="1" t="s">
        <v>19</v>
      </c>
      <c r="J7432" s="1" t="s">
        <v>67</v>
      </c>
      <c r="K7432" s="1" t="s">
        <v>24</v>
      </c>
      <c r="L7432" s="1">
        <v>5500165</v>
      </c>
      <c r="M7432" s="2">
        <v>42496</v>
      </c>
      <c r="N7432" s="1" t="s">
        <v>8</v>
      </c>
      <c r="O7432" s="1" t="s">
        <v>68</v>
      </c>
    </row>
    <row r="7433" spans="1:15" ht="28.8" x14ac:dyDescent="0.3">
      <c r="A7433" s="1" t="s">
        <v>14347</v>
      </c>
      <c r="B7433" s="1" t="str">
        <f>"Airvent Systems Services Ltd"</f>
        <v>Airvent Systems Services Ltd</v>
      </c>
      <c r="C7433" s="1" t="s">
        <v>14348</v>
      </c>
      <c r="D7433" s="1" t="s">
        <v>14349</v>
      </c>
      <c r="E7433" s="1" t="s">
        <v>8138</v>
      </c>
      <c r="F7433" s="1" t="s">
        <v>27</v>
      </c>
      <c r="H7433" s="1" t="s">
        <v>3553</v>
      </c>
      <c r="I7433" s="1" t="s">
        <v>19</v>
      </c>
      <c r="J7433" s="1" t="s">
        <v>6</v>
      </c>
      <c r="K7433" s="1" t="s">
        <v>24</v>
      </c>
      <c r="L7433" s="1">
        <v>2940609</v>
      </c>
      <c r="M7433" s="2">
        <v>42496</v>
      </c>
      <c r="N7433" s="1" t="s">
        <v>8</v>
      </c>
      <c r="O7433" s="2">
        <v>43591</v>
      </c>
    </row>
    <row r="7434" spans="1:15" ht="43.2" x14ac:dyDescent="0.3">
      <c r="A7434" s="1" t="s">
        <v>14350</v>
      </c>
      <c r="B7434" s="1" t="str">
        <f>"Eirwyn Bowden &amp; Partners"</f>
        <v>Eirwyn Bowden &amp; Partners</v>
      </c>
      <c r="C7434" s="1" t="s">
        <v>14351</v>
      </c>
      <c r="F7434" s="1" t="s">
        <v>174</v>
      </c>
      <c r="H7434" s="1" t="s">
        <v>14352</v>
      </c>
      <c r="I7434" s="1" t="s">
        <v>125</v>
      </c>
      <c r="J7434" s="1" t="s">
        <v>67</v>
      </c>
      <c r="K7434" s="1" t="s">
        <v>24</v>
      </c>
      <c r="M7434" s="2">
        <v>42496</v>
      </c>
      <c r="N7434" s="1" t="s">
        <v>8</v>
      </c>
      <c r="O7434" s="1" t="s">
        <v>68</v>
      </c>
    </row>
    <row r="7435" spans="1:15" ht="28.8" x14ac:dyDescent="0.3">
      <c r="A7435" s="1" t="s">
        <v>15285</v>
      </c>
      <c r="B7435" s="1" t="str">
        <f>"GRIFFITHS WASTE MANAGEMENT LTD"</f>
        <v>GRIFFITHS WASTE MANAGEMENT LTD</v>
      </c>
      <c r="C7435" s="1" t="s">
        <v>8815</v>
      </c>
      <c r="D7435" s="1" t="s">
        <v>4747</v>
      </c>
      <c r="F7435" s="1" t="s">
        <v>65</v>
      </c>
      <c r="H7435" s="1" t="s">
        <v>8816</v>
      </c>
      <c r="I7435" s="1" t="s">
        <v>19</v>
      </c>
      <c r="J7435" s="1" t="s">
        <v>6</v>
      </c>
      <c r="K7435" s="1" t="s">
        <v>34</v>
      </c>
      <c r="L7435" s="1">
        <v>7194017</v>
      </c>
      <c r="M7435" s="2">
        <v>42496</v>
      </c>
      <c r="N7435" s="1" t="s">
        <v>8</v>
      </c>
      <c r="O7435" s="2">
        <v>43591</v>
      </c>
    </row>
    <row r="7436" spans="1:15" ht="28.8" x14ac:dyDescent="0.3">
      <c r="A7436" s="1" t="s">
        <v>15286</v>
      </c>
      <c r="B7436" s="1" t="str">
        <f>"Mansel Davies &amp; Son Ltd."</f>
        <v>Mansel Davies &amp; Son Ltd.</v>
      </c>
      <c r="C7436" s="1" t="s">
        <v>15287</v>
      </c>
      <c r="F7436" s="1" t="s">
        <v>3691</v>
      </c>
      <c r="H7436" s="1" t="s">
        <v>15288</v>
      </c>
      <c r="I7436" s="1" t="s">
        <v>19</v>
      </c>
      <c r="J7436" s="1" t="s">
        <v>6</v>
      </c>
      <c r="K7436" s="1" t="s">
        <v>24</v>
      </c>
      <c r="L7436" s="1">
        <v>812036</v>
      </c>
      <c r="M7436" s="2">
        <v>42496</v>
      </c>
      <c r="N7436" s="1" t="s">
        <v>8</v>
      </c>
      <c r="O7436" s="2">
        <v>43591</v>
      </c>
    </row>
    <row r="7437" spans="1:15" ht="43.2" x14ac:dyDescent="0.3">
      <c r="A7437" s="1" t="s">
        <v>26730</v>
      </c>
      <c r="B7437" s="1" t="str">
        <f>"Paula Humphreys"</f>
        <v>Paula Humphreys</v>
      </c>
      <c r="C7437" s="1" t="s">
        <v>26731</v>
      </c>
      <c r="F7437" s="1" t="s">
        <v>714</v>
      </c>
      <c r="H7437" s="1" t="s">
        <v>26732</v>
      </c>
      <c r="I7437" s="1" t="s">
        <v>5</v>
      </c>
      <c r="J7437" s="1" t="s">
        <v>67</v>
      </c>
      <c r="K7437" s="1" t="s">
        <v>14</v>
      </c>
      <c r="M7437" s="2">
        <v>42496</v>
      </c>
      <c r="N7437" s="1" t="s">
        <v>8</v>
      </c>
      <c r="O7437" s="1" t="s">
        <v>68</v>
      </c>
    </row>
    <row r="7438" spans="1:15" ht="43.2" x14ac:dyDescent="0.3">
      <c r="A7438" s="1" t="s">
        <v>26733</v>
      </c>
      <c r="B7438" s="1" t="str">
        <f>"Simon Towler Derwen Electrical"</f>
        <v>Simon Towler Derwen Electrical</v>
      </c>
      <c r="C7438" s="1" t="s">
        <v>26734</v>
      </c>
      <c r="F7438" s="1" t="s">
        <v>1184</v>
      </c>
      <c r="H7438" s="1" t="s">
        <v>26735</v>
      </c>
      <c r="I7438" s="1" t="s">
        <v>5</v>
      </c>
      <c r="J7438" s="1" t="s">
        <v>67</v>
      </c>
      <c r="K7438" s="1" t="s">
        <v>24</v>
      </c>
      <c r="M7438" s="2">
        <v>42496</v>
      </c>
      <c r="N7438" s="1" t="s">
        <v>8</v>
      </c>
      <c r="O7438" s="1" t="s">
        <v>68</v>
      </c>
    </row>
    <row r="7439" spans="1:15" x14ac:dyDescent="0.3">
      <c r="A7439" s="1" t="s">
        <v>26736</v>
      </c>
      <c r="B7439" s="1" t="str">
        <f>"Paul  Nicholas "</f>
        <v xml:space="preserve">Paul  Nicholas </v>
      </c>
      <c r="C7439" s="1" t="s">
        <v>26737</v>
      </c>
      <c r="F7439" s="1" t="s">
        <v>385</v>
      </c>
      <c r="H7439" s="1" t="s">
        <v>26738</v>
      </c>
      <c r="I7439" s="1" t="s">
        <v>5</v>
      </c>
      <c r="J7439" s="1" t="s">
        <v>6</v>
      </c>
      <c r="K7439" s="1" t="s">
        <v>24</v>
      </c>
      <c r="M7439" s="2">
        <v>42496</v>
      </c>
      <c r="N7439" s="1" t="s">
        <v>8</v>
      </c>
      <c r="O7439" s="2">
        <v>43591</v>
      </c>
    </row>
    <row r="7440" spans="1:15" ht="28.8" x14ac:dyDescent="0.3">
      <c r="A7440" s="1" t="s">
        <v>26739</v>
      </c>
      <c r="B7440" s="1" t="str">
        <f>"Richard Burrows Richard Burrows"</f>
        <v>Richard Burrows Richard Burrows</v>
      </c>
      <c r="C7440" s="1" t="s">
        <v>26740</v>
      </c>
      <c r="F7440" s="1" t="s">
        <v>15303</v>
      </c>
      <c r="H7440" s="1" t="s">
        <v>26741</v>
      </c>
      <c r="I7440" s="1" t="s">
        <v>5</v>
      </c>
      <c r="J7440" s="1" t="s">
        <v>6</v>
      </c>
      <c r="K7440" s="1" t="s">
        <v>24</v>
      </c>
      <c r="M7440" s="2">
        <v>42496</v>
      </c>
      <c r="N7440" s="1" t="s">
        <v>8</v>
      </c>
      <c r="O7440" s="2">
        <v>43591</v>
      </c>
    </row>
    <row r="7441" spans="1:15" ht="28.8" x14ac:dyDescent="0.3">
      <c r="A7441" s="1" t="s">
        <v>27601</v>
      </c>
      <c r="B7441" s="1" t="str">
        <f>"Paul Clift Paul Clift"</f>
        <v>Paul Clift Paul Clift</v>
      </c>
      <c r="C7441" s="1" t="s">
        <v>27602</v>
      </c>
      <c r="F7441" s="1" t="s">
        <v>96</v>
      </c>
      <c r="H7441" s="1" t="s">
        <v>27603</v>
      </c>
      <c r="I7441" s="1" t="s">
        <v>5</v>
      </c>
      <c r="J7441" s="1" t="s">
        <v>6</v>
      </c>
      <c r="K7441" s="1" t="s">
        <v>24</v>
      </c>
      <c r="M7441" s="2">
        <v>42496</v>
      </c>
      <c r="N7441" s="1" t="s">
        <v>8</v>
      </c>
      <c r="O7441" s="2">
        <v>43591</v>
      </c>
    </row>
    <row r="7442" spans="1:15" ht="28.8" x14ac:dyDescent="0.3">
      <c r="A7442" s="1" t="s">
        <v>27604</v>
      </c>
      <c r="B7442" s="1" t="str">
        <f>"Robert Sibley Robert Sibley"</f>
        <v>Robert Sibley Robert Sibley</v>
      </c>
      <c r="C7442" s="1" t="s">
        <v>27605</v>
      </c>
      <c r="F7442" s="1" t="s">
        <v>4252</v>
      </c>
      <c r="H7442" s="1" t="s">
        <v>27606</v>
      </c>
      <c r="I7442" s="1" t="s">
        <v>5</v>
      </c>
      <c r="J7442" s="1" t="s">
        <v>6</v>
      </c>
      <c r="K7442" s="1" t="s">
        <v>24</v>
      </c>
      <c r="M7442" s="2">
        <v>42496</v>
      </c>
      <c r="N7442" s="1" t="s">
        <v>8</v>
      </c>
      <c r="O7442" s="2">
        <v>43591</v>
      </c>
    </row>
    <row r="7443" spans="1:15" ht="28.8" x14ac:dyDescent="0.3">
      <c r="A7443" s="1" t="s">
        <v>27607</v>
      </c>
      <c r="B7443" s="1" t="str">
        <f>"David Isaac Arnold"</f>
        <v>David Isaac Arnold</v>
      </c>
      <c r="C7443" s="1" t="s">
        <v>27608</v>
      </c>
      <c r="F7443" s="1" t="s">
        <v>438</v>
      </c>
      <c r="H7443" s="1" t="s">
        <v>27609</v>
      </c>
      <c r="I7443" s="1" t="s">
        <v>5</v>
      </c>
      <c r="J7443" s="1" t="s">
        <v>6</v>
      </c>
      <c r="K7443" s="1" t="s">
        <v>24</v>
      </c>
      <c r="M7443" s="2">
        <v>42496</v>
      </c>
      <c r="N7443" s="1" t="s">
        <v>8</v>
      </c>
      <c r="O7443" s="2">
        <v>43591</v>
      </c>
    </row>
    <row r="7444" spans="1:15" ht="28.8" x14ac:dyDescent="0.3">
      <c r="A7444" s="1" t="s">
        <v>27610</v>
      </c>
      <c r="B7444" s="1" t="str">
        <f>"Rory Price Price Plastering"</f>
        <v>Rory Price Price Plastering</v>
      </c>
      <c r="C7444" s="1" t="s">
        <v>27611</v>
      </c>
      <c r="F7444" s="1" t="s">
        <v>11444</v>
      </c>
      <c r="H7444" s="1" t="s">
        <v>27612</v>
      </c>
      <c r="I7444" s="1" t="s">
        <v>5</v>
      </c>
      <c r="J7444" s="1" t="s">
        <v>6</v>
      </c>
      <c r="K7444" s="1" t="s">
        <v>24</v>
      </c>
      <c r="M7444" s="2">
        <v>42496</v>
      </c>
      <c r="N7444" s="1" t="s">
        <v>8</v>
      </c>
      <c r="O7444" s="2">
        <v>43591</v>
      </c>
    </row>
    <row r="7445" spans="1:15" ht="43.2" x14ac:dyDescent="0.3">
      <c r="A7445" s="1" t="s">
        <v>13476</v>
      </c>
      <c r="B7445" s="1" t="str">
        <f>"Riverside Industrial Equipment Ltd."</f>
        <v>Riverside Industrial Equipment Ltd.</v>
      </c>
      <c r="C7445" s="1" t="s">
        <v>13477</v>
      </c>
      <c r="D7445" s="1" t="s">
        <v>13478</v>
      </c>
      <c r="F7445" s="1" t="s">
        <v>179</v>
      </c>
      <c r="H7445" s="1" t="s">
        <v>13479</v>
      </c>
      <c r="I7445" s="1" t="s">
        <v>19</v>
      </c>
      <c r="J7445" s="1" t="s">
        <v>67</v>
      </c>
      <c r="K7445" s="1" t="s">
        <v>24</v>
      </c>
      <c r="L7445" s="1">
        <v>1711968</v>
      </c>
      <c r="M7445" s="2">
        <v>42495</v>
      </c>
      <c r="N7445" s="1" t="s">
        <v>8</v>
      </c>
      <c r="O7445" s="1" t="s">
        <v>68</v>
      </c>
    </row>
    <row r="7446" spans="1:15" ht="43.2" x14ac:dyDescent="0.3">
      <c r="A7446" s="1" t="s">
        <v>13480</v>
      </c>
      <c r="B7446" s="1" t="str">
        <f>"Special Branch Utilities LTD"</f>
        <v>Special Branch Utilities LTD</v>
      </c>
      <c r="C7446" s="1" t="s">
        <v>13481</v>
      </c>
      <c r="F7446" s="1" t="s">
        <v>445</v>
      </c>
      <c r="H7446" s="1" t="s">
        <v>13482</v>
      </c>
      <c r="I7446" s="1" t="s">
        <v>19</v>
      </c>
      <c r="J7446" s="1" t="s">
        <v>67</v>
      </c>
      <c r="K7446" s="1" t="s">
        <v>24</v>
      </c>
      <c r="L7446" s="1">
        <v>5463813</v>
      </c>
      <c r="M7446" s="2">
        <v>42495</v>
      </c>
      <c r="N7446" s="1" t="s">
        <v>8</v>
      </c>
      <c r="O7446" s="1" t="s">
        <v>68</v>
      </c>
    </row>
    <row r="7447" spans="1:15" ht="43.2" x14ac:dyDescent="0.3">
      <c r="A7447" s="1" t="s">
        <v>13483</v>
      </c>
      <c r="B7447" s="1" t="str">
        <f>"Goodwin Devlopment Trust "</f>
        <v xml:space="preserve">Goodwin Devlopment Trust </v>
      </c>
      <c r="C7447" s="1" t="s">
        <v>13484</v>
      </c>
      <c r="F7447" s="1" t="s">
        <v>7559</v>
      </c>
      <c r="H7447" s="1" t="s">
        <v>13485</v>
      </c>
      <c r="I7447" s="1" t="s">
        <v>1872</v>
      </c>
      <c r="J7447" s="1" t="s">
        <v>67</v>
      </c>
      <c r="K7447" s="1" t="s">
        <v>14</v>
      </c>
      <c r="M7447" s="2">
        <v>42495</v>
      </c>
      <c r="N7447" s="1" t="s">
        <v>8</v>
      </c>
      <c r="O7447" s="1" t="s">
        <v>68</v>
      </c>
    </row>
    <row r="7448" spans="1:15" x14ac:dyDescent="0.3">
      <c r="A7448" s="1" t="s">
        <v>25260</v>
      </c>
      <c r="B7448" s="1" t="str">
        <f>"Tony Michael Rees"</f>
        <v>Tony Michael Rees</v>
      </c>
      <c r="C7448" s="1" t="s">
        <v>25261</v>
      </c>
      <c r="F7448" s="1" t="s">
        <v>1556</v>
      </c>
      <c r="H7448" s="1" t="s">
        <v>25262</v>
      </c>
      <c r="I7448" s="1" t="s">
        <v>5</v>
      </c>
      <c r="J7448" s="1" t="s">
        <v>6</v>
      </c>
      <c r="K7448" s="1" t="s">
        <v>24</v>
      </c>
      <c r="M7448" s="2">
        <v>42495</v>
      </c>
      <c r="N7448" s="1" t="s">
        <v>8</v>
      </c>
      <c r="O7448" s="2">
        <v>43605</v>
      </c>
    </row>
    <row r="7449" spans="1:15" ht="28.8" x14ac:dyDescent="0.3">
      <c r="A7449" s="1" t="s">
        <v>25991</v>
      </c>
      <c r="B7449" s="1" t="str">
        <f>"Louise Fielding"</f>
        <v>Louise Fielding</v>
      </c>
      <c r="C7449" s="1" t="s">
        <v>25992</v>
      </c>
      <c r="D7449" s="1" t="s">
        <v>25993</v>
      </c>
      <c r="F7449" s="1" t="s">
        <v>767</v>
      </c>
      <c r="H7449" s="1" t="s">
        <v>25994</v>
      </c>
      <c r="I7449" s="1" t="s">
        <v>5</v>
      </c>
      <c r="J7449" s="1" t="s">
        <v>6</v>
      </c>
      <c r="K7449" s="1" t="s">
        <v>34</v>
      </c>
      <c r="M7449" s="2">
        <v>42495</v>
      </c>
      <c r="N7449" s="1" t="s">
        <v>8</v>
      </c>
      <c r="O7449" s="2">
        <v>43591</v>
      </c>
    </row>
    <row r="7450" spans="1:15" ht="28.8" x14ac:dyDescent="0.3">
      <c r="A7450" s="1" t="s">
        <v>25995</v>
      </c>
      <c r="B7450" s="1" t="str">
        <f>"Michael Maimwaring"</f>
        <v>Michael Maimwaring</v>
      </c>
      <c r="C7450" s="1" t="s">
        <v>25996</v>
      </c>
      <c r="F7450" s="1" t="s">
        <v>174</v>
      </c>
      <c r="H7450" s="1" t="s">
        <v>25997</v>
      </c>
      <c r="I7450" s="1" t="s">
        <v>5</v>
      </c>
      <c r="J7450" s="1" t="s">
        <v>6</v>
      </c>
      <c r="K7450" s="1" t="s">
        <v>34</v>
      </c>
      <c r="M7450" s="2">
        <v>42495</v>
      </c>
      <c r="N7450" s="1" t="s">
        <v>8</v>
      </c>
      <c r="O7450" s="2">
        <v>43590</v>
      </c>
    </row>
    <row r="7451" spans="1:15" ht="28.8" x14ac:dyDescent="0.3">
      <c r="A7451" s="1" t="s">
        <v>25998</v>
      </c>
      <c r="B7451" s="1" t="str">
        <f>"Kevin Evans KN Evans"</f>
        <v>Kevin Evans KN Evans</v>
      </c>
      <c r="C7451" s="1" t="s">
        <v>25999</v>
      </c>
      <c r="F7451" s="1" t="s">
        <v>96</v>
      </c>
      <c r="H7451" s="1" t="s">
        <v>26000</v>
      </c>
      <c r="I7451" s="1" t="s">
        <v>5</v>
      </c>
      <c r="J7451" s="1" t="s">
        <v>6</v>
      </c>
      <c r="K7451" s="1" t="s">
        <v>24</v>
      </c>
      <c r="M7451" s="2">
        <v>42495</v>
      </c>
      <c r="N7451" s="1" t="s">
        <v>8</v>
      </c>
      <c r="O7451" s="2">
        <v>43590</v>
      </c>
    </row>
    <row r="7452" spans="1:15" ht="43.2" x14ac:dyDescent="0.3">
      <c r="A7452" s="1" t="s">
        <v>26001</v>
      </c>
      <c r="B7452" s="1" t="str">
        <f>"David  Buckley"</f>
        <v>David  Buckley</v>
      </c>
      <c r="C7452" s="1" t="s">
        <v>26002</v>
      </c>
      <c r="F7452" s="1" t="s">
        <v>9541</v>
      </c>
      <c r="H7452" s="1" t="s">
        <v>26003</v>
      </c>
      <c r="I7452" s="1" t="s">
        <v>5</v>
      </c>
      <c r="J7452" s="1" t="s">
        <v>67</v>
      </c>
      <c r="K7452" s="1" t="s">
        <v>14</v>
      </c>
      <c r="M7452" s="2">
        <v>42495</v>
      </c>
      <c r="N7452" s="1" t="s">
        <v>8</v>
      </c>
      <c r="O7452" s="1" t="s">
        <v>68</v>
      </c>
    </row>
    <row r="7453" spans="1:15" ht="28.8" x14ac:dyDescent="0.3">
      <c r="A7453" s="1" t="s">
        <v>26004</v>
      </c>
      <c r="B7453" s="1" t="str">
        <f>"Andrew Riseborough Andrew Riseborough"</f>
        <v>Andrew Riseborough Andrew Riseborough</v>
      </c>
      <c r="C7453" s="1" t="s">
        <v>26005</v>
      </c>
      <c r="D7453" s="1" t="s">
        <v>500</v>
      </c>
      <c r="F7453" s="1" t="s">
        <v>27</v>
      </c>
      <c r="H7453" s="1" t="s">
        <v>8135</v>
      </c>
      <c r="I7453" s="1" t="s">
        <v>5</v>
      </c>
      <c r="J7453" s="1" t="s">
        <v>6</v>
      </c>
      <c r="K7453" s="1" t="s">
        <v>34</v>
      </c>
      <c r="M7453" s="2">
        <v>42495</v>
      </c>
      <c r="N7453" s="1" t="s">
        <v>8</v>
      </c>
      <c r="O7453" s="2">
        <v>43590</v>
      </c>
    </row>
    <row r="7454" spans="1:15" ht="28.8" x14ac:dyDescent="0.3">
      <c r="A7454" s="1" t="s">
        <v>26006</v>
      </c>
      <c r="B7454" s="1" t="str">
        <f>"Stuart Hackett Ace Cleaning Services"</f>
        <v>Stuart Hackett Ace Cleaning Services</v>
      </c>
      <c r="C7454" s="1" t="s">
        <v>26007</v>
      </c>
      <c r="F7454" s="1" t="s">
        <v>65</v>
      </c>
      <c r="H7454" s="1" t="s">
        <v>26008</v>
      </c>
      <c r="I7454" s="1" t="s">
        <v>5</v>
      </c>
      <c r="J7454" s="1" t="s">
        <v>6</v>
      </c>
      <c r="K7454" s="1" t="s">
        <v>24</v>
      </c>
      <c r="M7454" s="2">
        <v>42495</v>
      </c>
      <c r="N7454" s="1" t="s">
        <v>8</v>
      </c>
      <c r="O7454" s="2">
        <v>43590</v>
      </c>
    </row>
    <row r="7455" spans="1:15" ht="43.2" x14ac:dyDescent="0.3">
      <c r="A7455" s="1" t="s">
        <v>26009</v>
      </c>
      <c r="B7455" s="1" t="str">
        <f>"James Davies"</f>
        <v>James Davies</v>
      </c>
      <c r="C7455" s="1" t="s">
        <v>26010</v>
      </c>
      <c r="F7455" s="1" t="s">
        <v>714</v>
      </c>
      <c r="H7455" s="1" t="s">
        <v>26011</v>
      </c>
      <c r="I7455" s="1" t="s">
        <v>5</v>
      </c>
      <c r="J7455" s="1" t="s">
        <v>67</v>
      </c>
      <c r="K7455" s="1" t="s">
        <v>14</v>
      </c>
      <c r="M7455" s="2">
        <v>42495</v>
      </c>
      <c r="N7455" s="1" t="s">
        <v>8</v>
      </c>
      <c r="O7455" s="1" t="s">
        <v>68</v>
      </c>
    </row>
    <row r="7456" spans="1:15" ht="28.8" x14ac:dyDescent="0.3">
      <c r="A7456" s="1" t="s">
        <v>26718</v>
      </c>
      <c r="B7456" s="1" t="str">
        <f>"Dean Jordan pines fencing"</f>
        <v>Dean Jordan pines fencing</v>
      </c>
      <c r="C7456" s="1" t="s">
        <v>26719</v>
      </c>
      <c r="F7456" s="1" t="s">
        <v>174</v>
      </c>
      <c r="H7456" s="1" t="s">
        <v>26720</v>
      </c>
      <c r="I7456" s="1" t="s">
        <v>5</v>
      </c>
      <c r="J7456" s="1" t="s">
        <v>6</v>
      </c>
      <c r="K7456" s="1" t="s">
        <v>34</v>
      </c>
      <c r="M7456" s="2">
        <v>42495</v>
      </c>
      <c r="N7456" s="1" t="s">
        <v>8</v>
      </c>
      <c r="O7456" s="2">
        <v>43623</v>
      </c>
    </row>
    <row r="7457" spans="1:15" ht="28.8" x14ac:dyDescent="0.3">
      <c r="A7457" s="1" t="s">
        <v>26721</v>
      </c>
      <c r="B7457" s="1" t="str">
        <f>"Paul Wilson Therma Point "</f>
        <v xml:space="preserve">Paul Wilson Therma Point </v>
      </c>
      <c r="C7457" s="1" t="s">
        <v>26722</v>
      </c>
      <c r="F7457" s="1" t="s">
        <v>25614</v>
      </c>
      <c r="H7457" s="1" t="s">
        <v>26723</v>
      </c>
      <c r="I7457" s="1" t="s">
        <v>5</v>
      </c>
      <c r="J7457" s="1" t="s">
        <v>6</v>
      </c>
      <c r="K7457" s="1" t="s">
        <v>24</v>
      </c>
      <c r="M7457" s="2">
        <v>42495</v>
      </c>
      <c r="N7457" s="1" t="s">
        <v>8</v>
      </c>
      <c r="O7457" s="2">
        <v>43590</v>
      </c>
    </row>
    <row r="7458" spans="1:15" ht="43.2" x14ac:dyDescent="0.3">
      <c r="A7458" s="1" t="s">
        <v>26724</v>
      </c>
      <c r="B7458" s="1" t="str">
        <f>"Ross Moulton"</f>
        <v>Ross Moulton</v>
      </c>
      <c r="C7458" s="1" t="s">
        <v>26725</v>
      </c>
      <c r="F7458" s="1" t="s">
        <v>64</v>
      </c>
      <c r="H7458" s="1" t="s">
        <v>26726</v>
      </c>
      <c r="I7458" s="1" t="s">
        <v>5</v>
      </c>
      <c r="J7458" s="1" t="s">
        <v>67</v>
      </c>
      <c r="K7458" s="1" t="s">
        <v>14</v>
      </c>
      <c r="M7458" s="2">
        <v>42495</v>
      </c>
      <c r="N7458" s="1" t="s">
        <v>8</v>
      </c>
      <c r="O7458" s="1" t="s">
        <v>68</v>
      </c>
    </row>
    <row r="7459" spans="1:15" ht="43.2" x14ac:dyDescent="0.3">
      <c r="A7459" s="1" t="s">
        <v>26727</v>
      </c>
      <c r="B7459" s="1" t="str">
        <f>"Paul Pinder"</f>
        <v>Paul Pinder</v>
      </c>
      <c r="C7459" s="1" t="s">
        <v>26728</v>
      </c>
      <c r="F7459" s="1" t="s">
        <v>4689</v>
      </c>
      <c r="H7459" s="1" t="s">
        <v>26729</v>
      </c>
      <c r="I7459" s="1" t="s">
        <v>5</v>
      </c>
      <c r="J7459" s="1" t="s">
        <v>67</v>
      </c>
      <c r="K7459" s="1" t="s">
        <v>14</v>
      </c>
      <c r="M7459" s="2">
        <v>42495</v>
      </c>
      <c r="N7459" s="1" t="s">
        <v>8</v>
      </c>
      <c r="O7459" s="1" t="s">
        <v>68</v>
      </c>
    </row>
    <row r="7460" spans="1:15" ht="28.8" x14ac:dyDescent="0.3">
      <c r="A7460" s="1" t="s">
        <v>12339</v>
      </c>
      <c r="B7460" s="1" t="str">
        <f>"WD Stant LTD"</f>
        <v>WD Stant LTD</v>
      </c>
      <c r="C7460" s="1" t="s">
        <v>12340</v>
      </c>
      <c r="F7460" s="1" t="s">
        <v>198</v>
      </c>
      <c r="H7460" s="1" t="s">
        <v>12341</v>
      </c>
      <c r="I7460" s="1" t="s">
        <v>19</v>
      </c>
      <c r="J7460" s="1" t="s">
        <v>6</v>
      </c>
      <c r="K7460" s="1" t="s">
        <v>34</v>
      </c>
      <c r="L7460" s="1">
        <v>730001</v>
      </c>
      <c r="M7460" s="2">
        <v>42494</v>
      </c>
      <c r="N7460" s="1" t="s">
        <v>8</v>
      </c>
      <c r="O7460" s="2">
        <v>43650</v>
      </c>
    </row>
    <row r="7461" spans="1:15" ht="28.8" x14ac:dyDescent="0.3">
      <c r="A7461" s="1" t="s">
        <v>12342</v>
      </c>
      <c r="B7461" s="1" t="str">
        <f>"Dragon Air Conditioning Ltd."</f>
        <v>Dragon Air Conditioning Ltd.</v>
      </c>
      <c r="C7461" s="1" t="s">
        <v>12343</v>
      </c>
      <c r="F7461" s="1" t="s">
        <v>1093</v>
      </c>
      <c r="H7461" s="1" t="s">
        <v>12344</v>
      </c>
      <c r="I7461" s="1" t="s">
        <v>19</v>
      </c>
      <c r="J7461" s="1" t="s">
        <v>6</v>
      </c>
      <c r="K7461" s="1" t="s">
        <v>24</v>
      </c>
      <c r="L7461" s="1">
        <v>4669423</v>
      </c>
      <c r="M7461" s="2">
        <v>42494</v>
      </c>
      <c r="N7461" s="1" t="s">
        <v>8</v>
      </c>
      <c r="O7461" s="2">
        <v>43623</v>
      </c>
    </row>
    <row r="7462" spans="1:15" ht="43.2" x14ac:dyDescent="0.3">
      <c r="A7462" s="1" t="s">
        <v>12345</v>
      </c>
      <c r="B7462" s="1" t="str">
        <f>"J  JJ  E &amp; EJ Evans"</f>
        <v>J  JJ  E &amp; EJ Evans</v>
      </c>
      <c r="C7462" s="1" t="s">
        <v>12346</v>
      </c>
      <c r="F7462" s="1" t="s">
        <v>27</v>
      </c>
      <c r="H7462" s="1" t="s">
        <v>2924</v>
      </c>
      <c r="I7462" s="1" t="s">
        <v>125</v>
      </c>
      <c r="J7462" s="1" t="s">
        <v>6</v>
      </c>
      <c r="K7462" s="1" t="s">
        <v>24</v>
      </c>
      <c r="M7462" s="2">
        <v>42494</v>
      </c>
      <c r="N7462" s="1" t="s">
        <v>8</v>
      </c>
      <c r="O7462" s="2">
        <v>43589</v>
      </c>
    </row>
    <row r="7463" spans="1:15" ht="43.2" x14ac:dyDescent="0.3">
      <c r="A7463" s="1" t="s">
        <v>12347</v>
      </c>
      <c r="B7463" s="1" t="str">
        <f>"Wastesavers Charitable Trust Limite"</f>
        <v>Wastesavers Charitable Trust Limite</v>
      </c>
      <c r="C7463" s="1" t="s">
        <v>12348</v>
      </c>
      <c r="D7463" s="1" t="s">
        <v>2227</v>
      </c>
      <c r="F7463" s="1" t="s">
        <v>91</v>
      </c>
      <c r="H7463" s="1" t="s">
        <v>2228</v>
      </c>
      <c r="I7463" s="1" t="s">
        <v>1872</v>
      </c>
      <c r="J7463" s="1" t="s">
        <v>67</v>
      </c>
      <c r="K7463" s="1" t="s">
        <v>14</v>
      </c>
      <c r="M7463" s="2">
        <v>42494</v>
      </c>
      <c r="N7463" s="1" t="s">
        <v>8</v>
      </c>
      <c r="O7463" s="1" t="s">
        <v>68</v>
      </c>
    </row>
    <row r="7464" spans="1:15" ht="28.8" x14ac:dyDescent="0.3">
      <c r="A7464" s="1" t="s">
        <v>12349</v>
      </c>
      <c r="B7464" s="1" t="str">
        <f>"ajm shopfitting ltd"</f>
        <v>ajm shopfitting ltd</v>
      </c>
      <c r="C7464" s="1" t="s">
        <v>12350</v>
      </c>
      <c r="F7464" s="1" t="s">
        <v>380</v>
      </c>
      <c r="H7464" s="1" t="s">
        <v>12351</v>
      </c>
      <c r="I7464" s="1" t="s">
        <v>19</v>
      </c>
      <c r="J7464" s="1" t="s">
        <v>6</v>
      </c>
      <c r="K7464" s="1" t="s">
        <v>24</v>
      </c>
      <c r="L7464" s="1">
        <v>8807489</v>
      </c>
      <c r="M7464" s="2">
        <v>42494</v>
      </c>
      <c r="N7464" s="1" t="s">
        <v>8</v>
      </c>
      <c r="O7464" s="2">
        <v>43589</v>
      </c>
    </row>
    <row r="7465" spans="1:15" ht="28.8" x14ac:dyDescent="0.3">
      <c r="A7465" s="1" t="s">
        <v>25251</v>
      </c>
      <c r="B7465" s="1" t="str">
        <f>"Christopher Dorkins"</f>
        <v>Christopher Dorkins</v>
      </c>
      <c r="C7465" s="1" t="s">
        <v>25252</v>
      </c>
      <c r="F7465" s="1" t="s">
        <v>298</v>
      </c>
      <c r="H7465" s="1" t="s">
        <v>25253</v>
      </c>
      <c r="I7465" s="1" t="s">
        <v>5</v>
      </c>
      <c r="J7465" s="1" t="s">
        <v>6</v>
      </c>
      <c r="K7465" s="1" t="s">
        <v>24</v>
      </c>
      <c r="M7465" s="2">
        <v>42494</v>
      </c>
      <c r="N7465" s="1" t="s">
        <v>8</v>
      </c>
      <c r="O7465" s="2">
        <v>43589</v>
      </c>
    </row>
    <row r="7466" spans="1:15" ht="43.2" x14ac:dyDescent="0.3">
      <c r="A7466" s="1" t="s">
        <v>25254</v>
      </c>
      <c r="B7466" s="1" t="str">
        <f>"David Davies"</f>
        <v>David Davies</v>
      </c>
      <c r="C7466" s="1" t="s">
        <v>25255</v>
      </c>
      <c r="F7466" s="1" t="s">
        <v>42</v>
      </c>
      <c r="H7466" s="1" t="s">
        <v>25256</v>
      </c>
      <c r="I7466" s="1" t="s">
        <v>5</v>
      </c>
      <c r="J7466" s="1" t="s">
        <v>67</v>
      </c>
      <c r="K7466" s="1" t="s">
        <v>14</v>
      </c>
      <c r="M7466" s="2">
        <v>42494</v>
      </c>
      <c r="N7466" s="1" t="s">
        <v>8</v>
      </c>
      <c r="O7466" s="1" t="s">
        <v>68</v>
      </c>
    </row>
    <row r="7467" spans="1:15" ht="43.2" x14ac:dyDescent="0.3">
      <c r="A7467" s="1" t="s">
        <v>25257</v>
      </c>
      <c r="B7467" s="1" t="str">
        <f>"PETER THOMAS"</f>
        <v>PETER THOMAS</v>
      </c>
      <c r="C7467" s="1" t="s">
        <v>25258</v>
      </c>
      <c r="F7467" s="1" t="s">
        <v>42</v>
      </c>
      <c r="H7467" s="1" t="s">
        <v>25259</v>
      </c>
      <c r="I7467" s="1" t="s">
        <v>5</v>
      </c>
      <c r="J7467" s="1" t="s">
        <v>67</v>
      </c>
      <c r="K7467" s="1" t="s">
        <v>14</v>
      </c>
      <c r="M7467" s="2">
        <v>42494</v>
      </c>
      <c r="N7467" s="1" t="s">
        <v>8</v>
      </c>
      <c r="O7467" s="1" t="s">
        <v>68</v>
      </c>
    </row>
    <row r="7468" spans="1:15" ht="28.8" x14ac:dyDescent="0.3">
      <c r="A7468" s="1" t="s">
        <v>11383</v>
      </c>
      <c r="B7468" s="1" t="str">
        <f>"M Jones Road Haulage Ltd."</f>
        <v>M Jones Road Haulage Ltd.</v>
      </c>
      <c r="C7468" s="1" t="s">
        <v>11384</v>
      </c>
      <c r="D7468" s="1" t="s">
        <v>4273</v>
      </c>
      <c r="E7468" s="1" t="s">
        <v>3176</v>
      </c>
      <c r="F7468" s="1" t="s">
        <v>103</v>
      </c>
      <c r="H7468" s="1" t="s">
        <v>4274</v>
      </c>
      <c r="I7468" s="1" t="s">
        <v>19</v>
      </c>
      <c r="J7468" s="1" t="s">
        <v>6</v>
      </c>
      <c r="K7468" s="1" t="s">
        <v>34</v>
      </c>
      <c r="L7468" s="1">
        <v>5918669</v>
      </c>
      <c r="M7468" s="2">
        <v>42493</v>
      </c>
      <c r="N7468" s="1" t="s">
        <v>8</v>
      </c>
      <c r="O7468" s="2">
        <v>43588</v>
      </c>
    </row>
    <row r="7469" spans="1:15" ht="28.8" x14ac:dyDescent="0.3">
      <c r="A7469" s="1" t="s">
        <v>11385</v>
      </c>
      <c r="B7469" s="1" t="str">
        <f>"Thomas Brothers Group Ltd"</f>
        <v>Thomas Brothers Group Ltd</v>
      </c>
      <c r="C7469" s="1" t="s">
        <v>11386</v>
      </c>
      <c r="F7469" s="1" t="s">
        <v>91</v>
      </c>
      <c r="H7469" s="1" t="s">
        <v>11387</v>
      </c>
      <c r="I7469" s="1" t="s">
        <v>19</v>
      </c>
      <c r="J7469" s="1" t="s">
        <v>6</v>
      </c>
      <c r="K7469" s="1" t="s">
        <v>24</v>
      </c>
      <c r="L7469" s="1">
        <v>9951553</v>
      </c>
      <c r="M7469" s="2">
        <v>42493</v>
      </c>
      <c r="N7469" s="1" t="s">
        <v>8</v>
      </c>
      <c r="O7469" s="2">
        <v>43588</v>
      </c>
    </row>
    <row r="7470" spans="1:15" ht="28.8" x14ac:dyDescent="0.3">
      <c r="A7470" s="1" t="s">
        <v>11388</v>
      </c>
      <c r="B7470" s="1" t="str">
        <f>"Lighthouse Electrical (Wales) Ltd "</f>
        <v xml:space="preserve">Lighthouse Electrical (Wales) Ltd </v>
      </c>
      <c r="C7470" s="1" t="s">
        <v>11389</v>
      </c>
      <c r="F7470" s="1" t="s">
        <v>621</v>
      </c>
      <c r="H7470" s="1" t="s">
        <v>11390</v>
      </c>
      <c r="I7470" s="1" t="s">
        <v>19</v>
      </c>
      <c r="J7470" s="1" t="s">
        <v>6</v>
      </c>
      <c r="K7470" s="1" t="s">
        <v>34</v>
      </c>
      <c r="L7470" s="1">
        <v>8846913</v>
      </c>
      <c r="M7470" s="2">
        <v>42493</v>
      </c>
      <c r="N7470" s="1" t="s">
        <v>8</v>
      </c>
      <c r="O7470" s="2">
        <v>43588</v>
      </c>
    </row>
    <row r="7471" spans="1:15" ht="43.2" x14ac:dyDescent="0.3">
      <c r="A7471" s="1" t="s">
        <v>11391</v>
      </c>
      <c r="B7471" s="1" t="str">
        <f>"GERRY JONES TRANSPORT SERVICES LTD"</f>
        <v>GERRY JONES TRANSPORT SERVICES LTD</v>
      </c>
      <c r="C7471" s="1" t="s">
        <v>11392</v>
      </c>
      <c r="D7471" s="1" t="s">
        <v>8856</v>
      </c>
      <c r="E7471" s="1" t="s">
        <v>546</v>
      </c>
      <c r="F7471" s="1" t="s">
        <v>91</v>
      </c>
      <c r="H7471" s="1" t="s">
        <v>8857</v>
      </c>
      <c r="I7471" s="1" t="s">
        <v>19</v>
      </c>
      <c r="J7471" s="1" t="s">
        <v>6</v>
      </c>
      <c r="K7471" s="1" t="s">
        <v>24</v>
      </c>
      <c r="L7471" s="1">
        <v>1624405</v>
      </c>
      <c r="M7471" s="2">
        <v>42493</v>
      </c>
      <c r="N7471" s="1" t="s">
        <v>8</v>
      </c>
      <c r="O7471" s="2">
        <v>43588</v>
      </c>
    </row>
    <row r="7472" spans="1:15" ht="28.8" x14ac:dyDescent="0.3">
      <c r="A7472" s="1" t="s">
        <v>11393</v>
      </c>
      <c r="B7472" s="1" t="str">
        <f>"R G  Pughe &amp; Sons (Civil Engineering) Ltd."</f>
        <v>R G  Pughe &amp; Sons (Civil Engineering) Ltd.</v>
      </c>
      <c r="C7472" s="1" t="s">
        <v>11394</v>
      </c>
      <c r="D7472" s="1" t="s">
        <v>11395</v>
      </c>
      <c r="F7472" s="1" t="s">
        <v>607</v>
      </c>
      <c r="H7472" s="1" t="s">
        <v>11396</v>
      </c>
      <c r="I7472" s="1" t="s">
        <v>19</v>
      </c>
      <c r="J7472" s="1" t="s">
        <v>6</v>
      </c>
      <c r="K7472" s="1" t="s">
        <v>34</v>
      </c>
      <c r="L7472" s="1">
        <v>1196867</v>
      </c>
      <c r="M7472" s="2">
        <v>42493</v>
      </c>
      <c r="N7472" s="1" t="s">
        <v>8</v>
      </c>
      <c r="O7472" s="2">
        <v>43717</v>
      </c>
    </row>
    <row r="7473" spans="1:15" ht="43.2" x14ac:dyDescent="0.3">
      <c r="A7473" s="1" t="s">
        <v>11397</v>
      </c>
      <c r="B7473" s="1" t="str">
        <f>"Brian Dennis &amp; Son"</f>
        <v>Brian Dennis &amp; Son</v>
      </c>
      <c r="C7473" s="1" t="s">
        <v>11398</v>
      </c>
      <c r="F7473" s="1" t="s">
        <v>3337</v>
      </c>
      <c r="H7473" s="1" t="s">
        <v>11399</v>
      </c>
      <c r="I7473" s="1" t="s">
        <v>125</v>
      </c>
      <c r="J7473" s="1" t="s">
        <v>67</v>
      </c>
      <c r="K7473" s="1" t="s">
        <v>24</v>
      </c>
      <c r="M7473" s="2">
        <v>42493</v>
      </c>
      <c r="N7473" s="1" t="s">
        <v>8</v>
      </c>
      <c r="O7473" s="1" t="s">
        <v>68</v>
      </c>
    </row>
    <row r="7474" spans="1:15" ht="43.2" x14ac:dyDescent="0.3">
      <c r="A7474" s="1" t="s">
        <v>11400</v>
      </c>
      <c r="B7474" s="1" t="str">
        <f>"Merthyr Tydfil  Council "</f>
        <v xml:space="preserve">Merthyr Tydfil  Council </v>
      </c>
      <c r="C7474" s="1" t="s">
        <v>11401</v>
      </c>
      <c r="F7474" s="1" t="s">
        <v>556</v>
      </c>
      <c r="H7474" s="1" t="s">
        <v>11402</v>
      </c>
      <c r="I7474" s="1" t="s">
        <v>188</v>
      </c>
      <c r="J7474" s="1" t="s">
        <v>67</v>
      </c>
      <c r="K7474" s="1" t="s">
        <v>14</v>
      </c>
      <c r="M7474" s="2">
        <v>42493</v>
      </c>
      <c r="N7474" s="1" t="s">
        <v>8</v>
      </c>
      <c r="O7474" s="1" t="s">
        <v>68</v>
      </c>
    </row>
    <row r="7475" spans="1:15" ht="43.2" x14ac:dyDescent="0.3">
      <c r="A7475" s="1" t="s">
        <v>11403</v>
      </c>
      <c r="B7475" s="1" t="str">
        <f>"Jones &amp; Murphy Ltd"</f>
        <v>Jones &amp; Murphy Ltd</v>
      </c>
      <c r="C7475" s="1" t="s">
        <v>11404</v>
      </c>
      <c r="F7475" s="1" t="s">
        <v>96</v>
      </c>
      <c r="H7475" s="1" t="s">
        <v>11405</v>
      </c>
      <c r="I7475" s="1" t="s">
        <v>19</v>
      </c>
      <c r="J7475" s="1" t="s">
        <v>67</v>
      </c>
      <c r="K7475" s="1" t="s">
        <v>14</v>
      </c>
      <c r="M7475" s="2">
        <v>42493</v>
      </c>
      <c r="N7475" s="1" t="s">
        <v>8</v>
      </c>
      <c r="O7475" s="1" t="s">
        <v>68</v>
      </c>
    </row>
    <row r="7476" spans="1:15" ht="28.8" x14ac:dyDescent="0.3">
      <c r="A7476" s="1" t="s">
        <v>11406</v>
      </c>
      <c r="B7476" s="1" t="str">
        <f>"A  E  Rowlands Plant Hire Ltd."</f>
        <v>A  E  Rowlands Plant Hire Ltd.</v>
      </c>
      <c r="C7476" s="1" t="s">
        <v>11407</v>
      </c>
      <c r="F7476" s="1" t="s">
        <v>720</v>
      </c>
      <c r="H7476" s="1" t="s">
        <v>6068</v>
      </c>
      <c r="I7476" s="1" t="s">
        <v>19</v>
      </c>
      <c r="J7476" s="1" t="s">
        <v>6</v>
      </c>
      <c r="K7476" s="1" t="s">
        <v>24</v>
      </c>
      <c r="L7476" s="1">
        <v>5718368</v>
      </c>
      <c r="M7476" s="2">
        <v>42493</v>
      </c>
      <c r="N7476" s="1" t="s">
        <v>8</v>
      </c>
      <c r="O7476" s="2">
        <v>43588</v>
      </c>
    </row>
    <row r="7477" spans="1:15" ht="28.8" x14ac:dyDescent="0.3">
      <c r="A7477" s="1" t="s">
        <v>11408</v>
      </c>
      <c r="B7477" s="1" t="str">
        <f>"john healey &amp; jason humphries"</f>
        <v>john healey &amp; jason humphries</v>
      </c>
      <c r="C7477" s="1" t="s">
        <v>11409</v>
      </c>
      <c r="D7477" s="1" t="s">
        <v>11410</v>
      </c>
      <c r="F7477" s="1" t="s">
        <v>1525</v>
      </c>
      <c r="H7477" s="1" t="s">
        <v>11411</v>
      </c>
      <c r="I7477" s="1" t="s">
        <v>125</v>
      </c>
      <c r="J7477" s="1" t="s">
        <v>6</v>
      </c>
      <c r="K7477" s="1" t="s">
        <v>24</v>
      </c>
      <c r="M7477" s="2">
        <v>42493</v>
      </c>
      <c r="N7477" s="1" t="s">
        <v>8</v>
      </c>
      <c r="O7477" s="2">
        <v>43588</v>
      </c>
    </row>
    <row r="7478" spans="1:15" ht="28.8" x14ac:dyDescent="0.3">
      <c r="A7478" s="1" t="s">
        <v>11412</v>
      </c>
      <c r="B7478" s="1" t="str">
        <f>"D Hugh Jones &amp; Sons"</f>
        <v>D Hugh Jones &amp; Sons</v>
      </c>
      <c r="C7478" s="1" t="s">
        <v>11413</v>
      </c>
      <c r="F7478" s="1" t="s">
        <v>9261</v>
      </c>
      <c r="H7478" s="1" t="s">
        <v>11414</v>
      </c>
      <c r="I7478" s="1" t="s">
        <v>125</v>
      </c>
      <c r="J7478" s="1" t="s">
        <v>6</v>
      </c>
      <c r="K7478" s="1" t="s">
        <v>34</v>
      </c>
      <c r="M7478" s="2">
        <v>42493</v>
      </c>
      <c r="N7478" s="1" t="s">
        <v>8</v>
      </c>
      <c r="O7478" s="2">
        <v>43588</v>
      </c>
    </row>
    <row r="7479" spans="1:15" ht="43.2" x14ac:dyDescent="0.3">
      <c r="A7479" s="1" t="s">
        <v>24433</v>
      </c>
      <c r="B7479" s="1" t="str">
        <f>"michael king"</f>
        <v>michael king</v>
      </c>
      <c r="C7479" s="1" t="s">
        <v>24434</v>
      </c>
      <c r="F7479" s="1" t="s">
        <v>1051</v>
      </c>
      <c r="H7479" s="1" t="s">
        <v>24435</v>
      </c>
      <c r="I7479" s="1" t="s">
        <v>5</v>
      </c>
      <c r="J7479" s="1" t="s">
        <v>67</v>
      </c>
      <c r="K7479" s="1" t="s">
        <v>24</v>
      </c>
      <c r="M7479" s="2">
        <v>42493</v>
      </c>
      <c r="N7479" s="1" t="s">
        <v>8</v>
      </c>
      <c r="O7479" s="1" t="s">
        <v>68</v>
      </c>
    </row>
    <row r="7480" spans="1:15" ht="28.8" x14ac:dyDescent="0.3">
      <c r="A7480" s="1" t="s">
        <v>24426</v>
      </c>
      <c r="B7480" s="1" t="str">
        <f>"Michael Burrows Mike Burrows tyres"</f>
        <v>Michael Burrows Mike Burrows tyres</v>
      </c>
      <c r="C7480" s="1" t="s">
        <v>24427</v>
      </c>
      <c r="F7480" s="1" t="s">
        <v>277</v>
      </c>
      <c r="H7480" s="1" t="s">
        <v>24428</v>
      </c>
      <c r="I7480" s="1" t="s">
        <v>5</v>
      </c>
      <c r="J7480" s="1" t="s">
        <v>6</v>
      </c>
      <c r="K7480" s="1" t="s">
        <v>24</v>
      </c>
      <c r="M7480" s="2">
        <v>42492</v>
      </c>
      <c r="N7480" s="1" t="s">
        <v>8</v>
      </c>
      <c r="O7480" s="2">
        <v>43587</v>
      </c>
    </row>
    <row r="7481" spans="1:15" ht="43.2" x14ac:dyDescent="0.3">
      <c r="A7481" s="1" t="s">
        <v>24429</v>
      </c>
      <c r="B7481" s="1" t="str">
        <f>"Nigel Holmewood "</f>
        <v xml:space="preserve">Nigel Holmewood </v>
      </c>
      <c r="C7481" s="1" t="s">
        <v>24430</v>
      </c>
      <c r="F7481" s="1" t="s">
        <v>24431</v>
      </c>
      <c r="H7481" s="1" t="s">
        <v>24432</v>
      </c>
      <c r="I7481" s="1" t="s">
        <v>5</v>
      </c>
      <c r="J7481" s="1" t="s">
        <v>67</v>
      </c>
      <c r="K7481" s="1" t="s">
        <v>14</v>
      </c>
      <c r="M7481" s="2">
        <v>42492</v>
      </c>
      <c r="N7481" s="1" t="s">
        <v>8</v>
      </c>
      <c r="O7481" s="1" t="s">
        <v>68</v>
      </c>
    </row>
    <row r="7482" spans="1:15" ht="43.2" x14ac:dyDescent="0.3">
      <c r="A7482" s="1" t="s">
        <v>23569</v>
      </c>
      <c r="B7482" s="1" t="str">
        <f>"gerald hopkins g h building maintenance &amp; repairs "</f>
        <v xml:space="preserve">gerald hopkins g h building maintenance &amp; repairs </v>
      </c>
      <c r="C7482" s="1" t="s">
        <v>23570</v>
      </c>
      <c r="F7482" s="1" t="s">
        <v>930</v>
      </c>
      <c r="H7482" s="1" t="s">
        <v>23571</v>
      </c>
      <c r="I7482" s="1" t="s">
        <v>5</v>
      </c>
      <c r="J7482" s="1" t="s">
        <v>6</v>
      </c>
      <c r="K7482" s="1" t="s">
        <v>24</v>
      </c>
      <c r="M7482" s="2">
        <v>42491</v>
      </c>
      <c r="N7482" s="1" t="s">
        <v>8</v>
      </c>
      <c r="O7482" s="2">
        <v>43586</v>
      </c>
    </row>
    <row r="7483" spans="1:15" ht="28.8" x14ac:dyDescent="0.3">
      <c r="A7483" s="1" t="s">
        <v>23572</v>
      </c>
      <c r="B7483" s="1" t="str">
        <f>"Steven Thomas Brynbach Services"</f>
        <v>Steven Thomas Brynbach Services</v>
      </c>
      <c r="C7483" s="1" t="s">
        <v>23573</v>
      </c>
      <c r="D7483" s="1" t="s">
        <v>8812</v>
      </c>
      <c r="F7483" s="1" t="s">
        <v>65</v>
      </c>
      <c r="H7483" s="1" t="s">
        <v>23574</v>
      </c>
      <c r="I7483" s="1" t="s">
        <v>5</v>
      </c>
      <c r="J7483" s="1" t="s">
        <v>6</v>
      </c>
      <c r="K7483" s="1" t="s">
        <v>24</v>
      </c>
      <c r="M7483" s="2">
        <v>42491</v>
      </c>
      <c r="N7483" s="1" t="s">
        <v>8</v>
      </c>
      <c r="O7483" s="2">
        <v>43586</v>
      </c>
    </row>
    <row r="7484" spans="1:15" ht="43.2" x14ac:dyDescent="0.3">
      <c r="A7484" s="1" t="s">
        <v>23575</v>
      </c>
      <c r="B7484" s="1" t="str">
        <f>"Steven Thomas Brynbach Services"</f>
        <v>Steven Thomas Brynbach Services</v>
      </c>
      <c r="C7484" s="1" t="s">
        <v>23573</v>
      </c>
      <c r="D7484" s="1" t="s">
        <v>8812</v>
      </c>
      <c r="F7484" s="1" t="s">
        <v>65</v>
      </c>
      <c r="H7484" s="1" t="s">
        <v>23574</v>
      </c>
      <c r="I7484" s="1" t="s">
        <v>5</v>
      </c>
      <c r="J7484" s="1" t="s">
        <v>67</v>
      </c>
      <c r="K7484" s="1" t="s">
        <v>24</v>
      </c>
      <c r="M7484" s="2">
        <v>42491</v>
      </c>
      <c r="N7484" s="1" t="s">
        <v>8</v>
      </c>
      <c r="O7484" s="1" t="s">
        <v>68</v>
      </c>
    </row>
    <row r="7485" spans="1:15" ht="43.2" x14ac:dyDescent="0.3">
      <c r="A7485" s="1" t="s">
        <v>24425</v>
      </c>
      <c r="B7485" s="1" t="str">
        <f>"Steven Thomas"</f>
        <v>Steven Thomas</v>
      </c>
      <c r="C7485" s="1" t="s">
        <v>23573</v>
      </c>
      <c r="D7485" s="1" t="s">
        <v>8812</v>
      </c>
      <c r="F7485" s="1" t="s">
        <v>65</v>
      </c>
      <c r="H7485" s="1" t="s">
        <v>23574</v>
      </c>
      <c r="I7485" s="1" t="s">
        <v>5</v>
      </c>
      <c r="J7485" s="1" t="s">
        <v>67</v>
      </c>
      <c r="K7485" s="1" t="s">
        <v>14</v>
      </c>
      <c r="M7485" s="2">
        <v>42491</v>
      </c>
      <c r="N7485" s="1" t="s">
        <v>8</v>
      </c>
      <c r="O7485" s="1" t="s">
        <v>68</v>
      </c>
    </row>
    <row r="7486" spans="1:15" ht="43.2" x14ac:dyDescent="0.3">
      <c r="A7486" s="1" t="s">
        <v>10366</v>
      </c>
      <c r="B7486" s="1" t="str">
        <f>"F COLWILL &amp; SON"</f>
        <v>F COLWILL &amp; SON</v>
      </c>
      <c r="C7486" s="1" t="s">
        <v>10367</v>
      </c>
      <c r="F7486" s="1" t="s">
        <v>10368</v>
      </c>
      <c r="H7486" s="1" t="s">
        <v>10369</v>
      </c>
      <c r="I7486" s="1" t="s">
        <v>125</v>
      </c>
      <c r="J7486" s="1" t="s">
        <v>67</v>
      </c>
      <c r="K7486" s="1" t="s">
        <v>14</v>
      </c>
      <c r="M7486" s="2">
        <v>42490</v>
      </c>
      <c r="N7486" s="1" t="s">
        <v>8</v>
      </c>
      <c r="O7486" s="1" t="s">
        <v>68</v>
      </c>
    </row>
    <row r="7487" spans="1:15" ht="43.2" x14ac:dyDescent="0.3">
      <c r="A7487" s="1" t="s">
        <v>23562</v>
      </c>
      <c r="B7487" s="1" t="str">
        <f>"Frank Routen  Routen "</f>
        <v xml:space="preserve">Frank Routen  Routen </v>
      </c>
      <c r="C7487" s="1" t="s">
        <v>23563</v>
      </c>
      <c r="D7487" s="1" t="s">
        <v>23564</v>
      </c>
      <c r="F7487" s="1" t="s">
        <v>5958</v>
      </c>
      <c r="H7487" s="1" t="s">
        <v>23565</v>
      </c>
      <c r="I7487" s="1" t="s">
        <v>5</v>
      </c>
      <c r="J7487" s="1" t="s">
        <v>67</v>
      </c>
      <c r="K7487" s="1" t="s">
        <v>14</v>
      </c>
      <c r="M7487" s="2">
        <v>42490</v>
      </c>
      <c r="N7487" s="1" t="s">
        <v>8</v>
      </c>
      <c r="O7487" s="1" t="s">
        <v>68</v>
      </c>
    </row>
    <row r="7488" spans="1:15" ht="28.8" x14ac:dyDescent="0.3">
      <c r="A7488" s="1" t="s">
        <v>23566</v>
      </c>
      <c r="B7488" s="1" t="str">
        <f>"Lee Cowmeadow  Jet wash company"</f>
        <v>Lee Cowmeadow  Jet wash company</v>
      </c>
      <c r="C7488" s="1" t="s">
        <v>23567</v>
      </c>
      <c r="F7488" s="1" t="s">
        <v>27</v>
      </c>
      <c r="H7488" s="1" t="s">
        <v>23568</v>
      </c>
      <c r="I7488" s="1" t="s">
        <v>5</v>
      </c>
      <c r="J7488" s="1" t="s">
        <v>6</v>
      </c>
      <c r="K7488" s="1" t="s">
        <v>34</v>
      </c>
      <c r="M7488" s="2">
        <v>42490</v>
      </c>
      <c r="N7488" s="1" t="s">
        <v>8</v>
      </c>
      <c r="O7488" s="2">
        <v>43585</v>
      </c>
    </row>
    <row r="7489" spans="1:15" ht="28.8" x14ac:dyDescent="0.3">
      <c r="A7489" s="1" t="s">
        <v>9253</v>
      </c>
      <c r="B7489" s="1" t="str">
        <f>"Phil Morgan Contracting"</f>
        <v>Phil Morgan Contracting</v>
      </c>
      <c r="C7489" s="1" t="s">
        <v>9254</v>
      </c>
      <c r="D7489" s="1" t="s">
        <v>3655</v>
      </c>
      <c r="F7489" s="1" t="s">
        <v>162</v>
      </c>
      <c r="H7489" s="1" t="s">
        <v>9255</v>
      </c>
      <c r="I7489" s="1" t="s">
        <v>125</v>
      </c>
      <c r="J7489" s="1" t="s">
        <v>6</v>
      </c>
      <c r="K7489" s="1" t="s">
        <v>24</v>
      </c>
      <c r="M7489" s="2">
        <v>42489</v>
      </c>
      <c r="N7489" s="1" t="s">
        <v>8</v>
      </c>
      <c r="O7489" s="2">
        <v>43584</v>
      </c>
    </row>
    <row r="7490" spans="1:15" ht="28.8" x14ac:dyDescent="0.3">
      <c r="A7490" s="1" t="s">
        <v>9256</v>
      </c>
      <c r="B7490" s="1" t="str">
        <f>"D J Roberts"</f>
        <v>D J Roberts</v>
      </c>
      <c r="C7490" s="1" t="s">
        <v>9257</v>
      </c>
      <c r="F7490" s="1" t="s">
        <v>198</v>
      </c>
      <c r="H7490" s="1" t="s">
        <v>9258</v>
      </c>
      <c r="I7490" s="1" t="s">
        <v>125</v>
      </c>
      <c r="J7490" s="1" t="s">
        <v>6</v>
      </c>
      <c r="K7490" s="1" t="s">
        <v>24</v>
      </c>
      <c r="M7490" s="2">
        <v>42489</v>
      </c>
      <c r="N7490" s="1" t="s">
        <v>8</v>
      </c>
      <c r="O7490" s="2">
        <v>43584</v>
      </c>
    </row>
    <row r="7491" spans="1:15" x14ac:dyDescent="0.3">
      <c r="A7491" s="1" t="s">
        <v>10348</v>
      </c>
      <c r="B7491" s="1" t="str">
        <f>"A D Williams &amp; Sons Ltd"</f>
        <v>A D Williams &amp; Sons Ltd</v>
      </c>
      <c r="C7491" s="1" t="s">
        <v>10349</v>
      </c>
      <c r="D7491" s="1" t="s">
        <v>720</v>
      </c>
      <c r="F7491" s="1" t="s">
        <v>324</v>
      </c>
      <c r="H7491" s="1" t="s">
        <v>10350</v>
      </c>
      <c r="I7491" s="1" t="s">
        <v>19</v>
      </c>
      <c r="J7491" s="1" t="s">
        <v>6</v>
      </c>
      <c r="K7491" s="1" t="s">
        <v>24</v>
      </c>
      <c r="L7491" s="1">
        <v>9407352</v>
      </c>
      <c r="M7491" s="2">
        <v>42489</v>
      </c>
      <c r="N7491" s="1" t="s">
        <v>8</v>
      </c>
      <c r="O7491" s="2">
        <v>43584</v>
      </c>
    </row>
    <row r="7492" spans="1:15" ht="28.8" x14ac:dyDescent="0.3">
      <c r="A7492" s="1" t="s">
        <v>10351</v>
      </c>
      <c r="B7492" s="1" t="str">
        <f>"Mph Construction Ltd."</f>
        <v>Mph Construction Ltd.</v>
      </c>
      <c r="C7492" s="1" t="s">
        <v>10352</v>
      </c>
      <c r="D7492" s="1" t="s">
        <v>5827</v>
      </c>
      <c r="F7492" s="1" t="s">
        <v>607</v>
      </c>
      <c r="H7492" s="1" t="s">
        <v>10353</v>
      </c>
      <c r="I7492" s="1" t="s">
        <v>19</v>
      </c>
      <c r="J7492" s="1" t="s">
        <v>6</v>
      </c>
      <c r="K7492" s="1" t="s">
        <v>24</v>
      </c>
      <c r="L7492" s="1">
        <v>1141925</v>
      </c>
      <c r="M7492" s="2">
        <v>42489</v>
      </c>
      <c r="N7492" s="1" t="s">
        <v>8</v>
      </c>
      <c r="O7492" s="2">
        <v>43584</v>
      </c>
    </row>
    <row r="7493" spans="1:15" ht="28.8" x14ac:dyDescent="0.3">
      <c r="A7493" s="1" t="s">
        <v>10354</v>
      </c>
      <c r="B7493" s="1" t="str">
        <f>"Cavan Property Maintenance"</f>
        <v>Cavan Property Maintenance</v>
      </c>
      <c r="C7493" s="1" t="s">
        <v>10355</v>
      </c>
      <c r="F7493" s="1" t="s">
        <v>438</v>
      </c>
      <c r="H7493" s="1" t="s">
        <v>10356</v>
      </c>
      <c r="I7493" s="1" t="s">
        <v>19</v>
      </c>
      <c r="J7493" s="1" t="s">
        <v>6</v>
      </c>
      <c r="K7493" s="1" t="s">
        <v>24</v>
      </c>
      <c r="L7493" s="1">
        <v>8981089</v>
      </c>
      <c r="M7493" s="2">
        <v>42489</v>
      </c>
      <c r="N7493" s="1" t="s">
        <v>8</v>
      </c>
      <c r="O7493" s="2">
        <v>43584</v>
      </c>
    </row>
    <row r="7494" spans="1:15" ht="43.2" x14ac:dyDescent="0.3">
      <c r="A7494" s="1" t="s">
        <v>10357</v>
      </c>
      <c r="B7494" s="1" t="str">
        <f>"Biotec Services International Ltd."</f>
        <v>Biotec Services International Ltd.</v>
      </c>
      <c r="C7494" s="1" t="s">
        <v>10358</v>
      </c>
      <c r="D7494" s="1" t="s">
        <v>4511</v>
      </c>
      <c r="F7494" s="1" t="s">
        <v>865</v>
      </c>
      <c r="H7494" s="1" t="s">
        <v>4442</v>
      </c>
      <c r="I7494" s="1" t="s">
        <v>19</v>
      </c>
      <c r="J7494" s="1" t="s">
        <v>67</v>
      </c>
      <c r="K7494" s="1" t="s">
        <v>34</v>
      </c>
      <c r="L7494" s="1">
        <v>3483808</v>
      </c>
      <c r="M7494" s="2">
        <v>42489</v>
      </c>
      <c r="N7494" s="1" t="s">
        <v>8</v>
      </c>
      <c r="O7494" s="1" t="s">
        <v>68</v>
      </c>
    </row>
    <row r="7495" spans="1:15" ht="28.8" x14ac:dyDescent="0.3">
      <c r="A7495" s="1" t="s">
        <v>10359</v>
      </c>
      <c r="B7495" s="1" t="str">
        <f>"John Gethyn Powell"</f>
        <v>John Gethyn Powell</v>
      </c>
      <c r="C7495" s="1" t="s">
        <v>10360</v>
      </c>
      <c r="F7495" s="1" t="s">
        <v>3415</v>
      </c>
      <c r="H7495" s="1" t="s">
        <v>10361</v>
      </c>
      <c r="I7495" s="1" t="s">
        <v>125</v>
      </c>
      <c r="J7495" s="1" t="s">
        <v>6</v>
      </c>
      <c r="K7495" s="1" t="s">
        <v>34</v>
      </c>
      <c r="M7495" s="2">
        <v>42489</v>
      </c>
      <c r="N7495" s="1" t="s">
        <v>8</v>
      </c>
      <c r="O7495" s="2">
        <v>43584</v>
      </c>
    </row>
    <row r="7496" spans="1:15" ht="28.8" x14ac:dyDescent="0.3">
      <c r="A7496" s="1" t="s">
        <v>10362</v>
      </c>
      <c r="B7496" s="1" t="str">
        <f>"LSA DISTRIBUTION LTD"</f>
        <v>LSA DISTRIBUTION LTD</v>
      </c>
      <c r="C7496" s="1" t="s">
        <v>10363</v>
      </c>
      <c r="F7496" s="1" t="s">
        <v>10364</v>
      </c>
      <c r="H7496" s="1" t="s">
        <v>10365</v>
      </c>
      <c r="I7496" s="1" t="s">
        <v>19</v>
      </c>
      <c r="J7496" s="1" t="s">
        <v>6</v>
      </c>
      <c r="K7496" s="1" t="s">
        <v>34</v>
      </c>
      <c r="L7496" s="1">
        <v>9737544</v>
      </c>
      <c r="M7496" s="2">
        <v>42489</v>
      </c>
      <c r="N7496" s="1" t="s">
        <v>8</v>
      </c>
      <c r="O7496" s="2">
        <v>43584</v>
      </c>
    </row>
    <row r="7497" spans="1:15" ht="28.8" x14ac:dyDescent="0.3">
      <c r="A7497" s="1" t="s">
        <v>23540</v>
      </c>
      <c r="B7497" s="1" t="str">
        <f>"ANTHONY DAVID MORGAN"</f>
        <v>ANTHONY DAVID MORGAN</v>
      </c>
      <c r="C7497" s="1" t="s">
        <v>23541</v>
      </c>
      <c r="F7497" s="1" t="s">
        <v>438</v>
      </c>
      <c r="H7497" s="1" t="s">
        <v>23542</v>
      </c>
      <c r="I7497" s="1" t="s">
        <v>5</v>
      </c>
      <c r="J7497" s="1" t="s">
        <v>6</v>
      </c>
      <c r="K7497" s="1" t="s">
        <v>24</v>
      </c>
      <c r="M7497" s="2">
        <v>42489</v>
      </c>
      <c r="N7497" s="1" t="s">
        <v>8</v>
      </c>
      <c r="O7497" s="2">
        <v>43584</v>
      </c>
    </row>
    <row r="7498" spans="1:15" ht="28.8" x14ac:dyDescent="0.3">
      <c r="A7498" s="1" t="s">
        <v>23543</v>
      </c>
      <c r="B7498" s="1" t="str">
        <f>"Ronald Parry Ronald Thomas Parry"</f>
        <v>Ronald Parry Ronald Thomas Parry</v>
      </c>
      <c r="C7498" s="1" t="s">
        <v>23544</v>
      </c>
      <c r="D7498" s="1" t="s">
        <v>449</v>
      </c>
      <c r="F7498" s="1" t="s">
        <v>42</v>
      </c>
      <c r="H7498" s="1" t="s">
        <v>23545</v>
      </c>
      <c r="I7498" s="1" t="s">
        <v>5</v>
      </c>
      <c r="J7498" s="1" t="s">
        <v>6</v>
      </c>
      <c r="K7498" s="1" t="s">
        <v>24</v>
      </c>
      <c r="M7498" s="2">
        <v>42489</v>
      </c>
      <c r="N7498" s="1" t="s">
        <v>8</v>
      </c>
      <c r="O7498" s="2">
        <v>43584</v>
      </c>
    </row>
    <row r="7499" spans="1:15" ht="43.2" x14ac:dyDescent="0.3">
      <c r="A7499" s="1" t="s">
        <v>23546</v>
      </c>
      <c r="B7499" s="1" t="str">
        <f>"Andrew John  Sullivan "</f>
        <v xml:space="preserve">Andrew John  Sullivan </v>
      </c>
      <c r="C7499" s="1" t="s">
        <v>23547</v>
      </c>
      <c r="F7499" s="1" t="s">
        <v>23548</v>
      </c>
      <c r="H7499" s="1" t="s">
        <v>23549</v>
      </c>
      <c r="I7499" s="1" t="s">
        <v>5</v>
      </c>
      <c r="J7499" s="1" t="s">
        <v>67</v>
      </c>
      <c r="K7499" s="1" t="s">
        <v>14</v>
      </c>
      <c r="M7499" s="2">
        <v>42489</v>
      </c>
      <c r="N7499" s="1" t="s">
        <v>8</v>
      </c>
      <c r="O7499" s="1" t="s">
        <v>68</v>
      </c>
    </row>
    <row r="7500" spans="1:15" ht="28.8" x14ac:dyDescent="0.3">
      <c r="A7500" s="1" t="s">
        <v>23550</v>
      </c>
      <c r="B7500" s="1" t="str">
        <f>"Nigel Groom N Groom Haulage"</f>
        <v>Nigel Groom N Groom Haulage</v>
      </c>
      <c r="C7500" s="1" t="s">
        <v>23551</v>
      </c>
      <c r="F7500" s="1" t="s">
        <v>865</v>
      </c>
      <c r="H7500" s="1" t="s">
        <v>23552</v>
      </c>
      <c r="I7500" s="1" t="s">
        <v>5</v>
      </c>
      <c r="J7500" s="1" t="s">
        <v>6</v>
      </c>
      <c r="K7500" s="1" t="s">
        <v>24</v>
      </c>
      <c r="M7500" s="2">
        <v>42489</v>
      </c>
      <c r="N7500" s="1" t="s">
        <v>8</v>
      </c>
      <c r="O7500" s="2">
        <v>43584</v>
      </c>
    </row>
    <row r="7501" spans="1:15" ht="43.2" x14ac:dyDescent="0.3">
      <c r="A7501" s="1" t="s">
        <v>23553</v>
      </c>
      <c r="B7501" s="1" t="str">
        <f>"Veronica Williams"</f>
        <v>Veronica Williams</v>
      </c>
      <c r="C7501" s="1" t="s">
        <v>23554</v>
      </c>
      <c r="D7501" s="1" t="s">
        <v>14237</v>
      </c>
      <c r="F7501" s="1" t="s">
        <v>65</v>
      </c>
      <c r="H7501" s="1" t="s">
        <v>23555</v>
      </c>
      <c r="I7501" s="1" t="s">
        <v>5</v>
      </c>
      <c r="J7501" s="1" t="s">
        <v>67</v>
      </c>
      <c r="K7501" s="1" t="s">
        <v>14</v>
      </c>
      <c r="M7501" s="2">
        <v>42489</v>
      </c>
      <c r="N7501" s="1" t="s">
        <v>8</v>
      </c>
      <c r="O7501" s="1" t="s">
        <v>68</v>
      </c>
    </row>
    <row r="7502" spans="1:15" ht="43.2" x14ac:dyDescent="0.3">
      <c r="A7502" s="1" t="s">
        <v>23556</v>
      </c>
      <c r="B7502" s="1" t="str">
        <f>"Kevin O'Brien"</f>
        <v>Kevin O'Brien</v>
      </c>
      <c r="C7502" s="1" t="s">
        <v>23557</v>
      </c>
      <c r="F7502" s="1" t="s">
        <v>5301</v>
      </c>
      <c r="H7502" s="1" t="s">
        <v>23558</v>
      </c>
      <c r="I7502" s="1" t="s">
        <v>5</v>
      </c>
      <c r="J7502" s="1" t="s">
        <v>67</v>
      </c>
      <c r="K7502" s="1" t="s">
        <v>14</v>
      </c>
      <c r="M7502" s="2">
        <v>42489</v>
      </c>
      <c r="N7502" s="1" t="s">
        <v>8</v>
      </c>
      <c r="O7502" s="1" t="s">
        <v>68</v>
      </c>
    </row>
    <row r="7503" spans="1:15" ht="28.8" x14ac:dyDescent="0.3">
      <c r="A7503" s="1" t="s">
        <v>23559</v>
      </c>
      <c r="B7503" s="1" t="str">
        <f>"Nicholas Evans"</f>
        <v>Nicholas Evans</v>
      </c>
      <c r="C7503" s="1" t="s">
        <v>23560</v>
      </c>
      <c r="F7503" s="1" t="s">
        <v>873</v>
      </c>
      <c r="H7503" s="1" t="s">
        <v>23561</v>
      </c>
      <c r="I7503" s="1" t="s">
        <v>5</v>
      </c>
      <c r="J7503" s="1" t="s">
        <v>6</v>
      </c>
      <c r="K7503" s="1" t="s">
        <v>24</v>
      </c>
      <c r="M7503" s="2">
        <v>42489</v>
      </c>
      <c r="N7503" s="1" t="s">
        <v>8</v>
      </c>
      <c r="O7503" s="2">
        <v>43584</v>
      </c>
    </row>
    <row r="7504" spans="1:15" ht="28.8" x14ac:dyDescent="0.3">
      <c r="A7504" s="1" t="s">
        <v>260</v>
      </c>
      <c r="B7504" s="1" t="str">
        <f>"Trevor Roberts Atlantic Mini Skips"</f>
        <v>Trevor Roberts Atlantic Mini Skips</v>
      </c>
      <c r="C7504" s="1" t="s">
        <v>261</v>
      </c>
      <c r="F7504" s="1" t="s">
        <v>27</v>
      </c>
      <c r="H7504" s="1" t="s">
        <v>262</v>
      </c>
      <c r="I7504" s="1" t="s">
        <v>5</v>
      </c>
      <c r="J7504" s="1" t="s">
        <v>6</v>
      </c>
      <c r="K7504" s="1" t="s">
        <v>24</v>
      </c>
      <c r="M7504" s="2">
        <v>42488</v>
      </c>
      <c r="N7504" s="1" t="s">
        <v>8</v>
      </c>
      <c r="O7504" s="2">
        <v>44679</v>
      </c>
    </row>
    <row r="7505" spans="1:15" ht="43.2" x14ac:dyDescent="0.3">
      <c r="A7505" s="1" t="s">
        <v>326</v>
      </c>
      <c r="B7505" s="1" t="str">
        <f>"Greenough &amp; Sons Roofing Contractors Ltd."</f>
        <v>Greenough &amp; Sons Roofing Contractors Ltd.</v>
      </c>
      <c r="C7505" s="1" t="s">
        <v>327</v>
      </c>
      <c r="F7505" s="1" t="s">
        <v>328</v>
      </c>
      <c r="H7505" s="1" t="s">
        <v>329</v>
      </c>
      <c r="I7505" s="1" t="s">
        <v>19</v>
      </c>
      <c r="J7505" s="1" t="s">
        <v>6</v>
      </c>
      <c r="K7505" s="1" t="s">
        <v>34</v>
      </c>
      <c r="L7505" s="1">
        <v>2446610</v>
      </c>
      <c r="M7505" s="2">
        <v>42488</v>
      </c>
      <c r="N7505" s="1" t="s">
        <v>8</v>
      </c>
      <c r="O7505" s="2">
        <v>44679</v>
      </c>
    </row>
    <row r="7506" spans="1:15" ht="43.2" x14ac:dyDescent="0.3">
      <c r="A7506" s="1" t="s">
        <v>9235</v>
      </c>
      <c r="B7506" s="1" t="str">
        <f>"Caring Practice  Wales Ltd"</f>
        <v>Caring Practice  Wales Ltd</v>
      </c>
      <c r="C7506" s="1" t="s">
        <v>9236</v>
      </c>
      <c r="D7506" s="1" t="s">
        <v>9237</v>
      </c>
      <c r="F7506" s="1" t="s">
        <v>641</v>
      </c>
      <c r="H7506" s="1" t="s">
        <v>7016</v>
      </c>
      <c r="I7506" s="1" t="s">
        <v>19</v>
      </c>
      <c r="J7506" s="1" t="s">
        <v>67</v>
      </c>
      <c r="K7506" s="1" t="s">
        <v>14</v>
      </c>
      <c r="M7506" s="2">
        <v>42488</v>
      </c>
      <c r="N7506" s="1" t="s">
        <v>8</v>
      </c>
      <c r="O7506" s="1" t="s">
        <v>68</v>
      </c>
    </row>
    <row r="7507" spans="1:15" ht="43.2" x14ac:dyDescent="0.3">
      <c r="A7507" s="1" t="s">
        <v>9238</v>
      </c>
      <c r="B7507" s="1" t="str">
        <f>"ARTISAN FLOORING LTD"</f>
        <v>ARTISAN FLOORING LTD</v>
      </c>
      <c r="C7507" s="1" t="s">
        <v>9239</v>
      </c>
      <c r="D7507" s="1" t="s">
        <v>9240</v>
      </c>
      <c r="E7507" s="1" t="s">
        <v>2623</v>
      </c>
      <c r="F7507" s="1" t="s">
        <v>65</v>
      </c>
      <c r="H7507" s="1" t="s">
        <v>9241</v>
      </c>
      <c r="I7507" s="1" t="s">
        <v>19</v>
      </c>
      <c r="J7507" s="1" t="s">
        <v>67</v>
      </c>
      <c r="K7507" s="1" t="s">
        <v>24</v>
      </c>
      <c r="L7507" s="1">
        <v>5382403</v>
      </c>
      <c r="M7507" s="2">
        <v>42488</v>
      </c>
      <c r="N7507" s="1" t="s">
        <v>8</v>
      </c>
      <c r="O7507" s="1" t="s">
        <v>68</v>
      </c>
    </row>
    <row r="7508" spans="1:15" ht="43.2" x14ac:dyDescent="0.3">
      <c r="A7508" s="1" t="s">
        <v>9242</v>
      </c>
      <c r="B7508" s="1" t="str">
        <f>"INFERNO FIRE SAFETY &amp; SECURITY SOLUTIONS LTD"</f>
        <v>INFERNO FIRE SAFETY &amp; SECURITY SOLUTIONS LTD</v>
      </c>
      <c r="C7508" s="1" t="s">
        <v>9243</v>
      </c>
      <c r="D7508" s="1" t="s">
        <v>294</v>
      </c>
      <c r="F7508" s="1" t="s">
        <v>364</v>
      </c>
      <c r="H7508" s="1" t="s">
        <v>295</v>
      </c>
      <c r="I7508" s="1" t="s">
        <v>19</v>
      </c>
      <c r="J7508" s="1" t="s">
        <v>6</v>
      </c>
      <c r="K7508" s="1" t="s">
        <v>24</v>
      </c>
      <c r="L7508" s="1">
        <v>6855512</v>
      </c>
      <c r="M7508" s="2">
        <v>42488</v>
      </c>
      <c r="N7508" s="1" t="s">
        <v>8</v>
      </c>
      <c r="O7508" s="2">
        <v>43583</v>
      </c>
    </row>
    <row r="7509" spans="1:15" ht="43.2" x14ac:dyDescent="0.3">
      <c r="A7509" s="1" t="s">
        <v>9244</v>
      </c>
      <c r="B7509" s="1" t="str">
        <f>"Tankspeed Logistics Ltd"</f>
        <v>Tankspeed Logistics Ltd</v>
      </c>
      <c r="C7509" s="1" t="s">
        <v>9245</v>
      </c>
      <c r="D7509" s="1" t="s">
        <v>9246</v>
      </c>
      <c r="F7509" s="1" t="s">
        <v>3247</v>
      </c>
      <c r="H7509" s="1" t="s">
        <v>4606</v>
      </c>
      <c r="I7509" s="1" t="s">
        <v>19</v>
      </c>
      <c r="J7509" s="1" t="s">
        <v>6</v>
      </c>
      <c r="K7509" s="1" t="s">
        <v>24</v>
      </c>
      <c r="L7509" s="1">
        <v>5576572</v>
      </c>
      <c r="M7509" s="2">
        <v>42488</v>
      </c>
      <c r="N7509" s="1" t="s">
        <v>8</v>
      </c>
      <c r="O7509" s="2">
        <v>43583</v>
      </c>
    </row>
    <row r="7510" spans="1:15" ht="28.8" x14ac:dyDescent="0.3">
      <c r="A7510" s="1" t="s">
        <v>9247</v>
      </c>
      <c r="B7510" s="1" t="str">
        <f>"YOUNG BROS LTD"</f>
        <v>YOUNG BROS LTD</v>
      </c>
      <c r="C7510" s="1" t="s">
        <v>9248</v>
      </c>
      <c r="F7510" s="1" t="s">
        <v>3389</v>
      </c>
      <c r="H7510" s="1" t="s">
        <v>9249</v>
      </c>
      <c r="I7510" s="1" t="s">
        <v>19</v>
      </c>
      <c r="J7510" s="1" t="s">
        <v>6</v>
      </c>
      <c r="K7510" s="1" t="s">
        <v>34</v>
      </c>
      <c r="L7510" s="1">
        <v>468300</v>
      </c>
      <c r="M7510" s="2">
        <v>42488</v>
      </c>
      <c r="N7510" s="1" t="s">
        <v>8</v>
      </c>
      <c r="O7510" s="2">
        <v>43583</v>
      </c>
    </row>
    <row r="7511" spans="1:15" ht="28.8" x14ac:dyDescent="0.3">
      <c r="A7511" s="1" t="s">
        <v>9250</v>
      </c>
      <c r="B7511" s="1" t="str">
        <f>"Smart Gardens"</f>
        <v>Smart Gardens</v>
      </c>
      <c r="C7511" s="1" t="s">
        <v>9251</v>
      </c>
      <c r="F7511" s="1" t="s">
        <v>714</v>
      </c>
      <c r="H7511" s="1" t="s">
        <v>9252</v>
      </c>
      <c r="I7511" s="1" t="s">
        <v>125</v>
      </c>
      <c r="J7511" s="1" t="s">
        <v>6</v>
      </c>
      <c r="K7511" s="1" t="s">
        <v>24</v>
      </c>
      <c r="M7511" s="2">
        <v>42488</v>
      </c>
      <c r="N7511" s="1" t="s">
        <v>8</v>
      </c>
      <c r="O7511" s="2">
        <v>43583</v>
      </c>
    </row>
    <row r="7512" spans="1:15" ht="28.8" x14ac:dyDescent="0.3">
      <c r="A7512" s="1" t="s">
        <v>22780</v>
      </c>
      <c r="B7512" s="1" t="str">
        <f>"Derek  Jones  D Jones Haulage Contractor"</f>
        <v>Derek  Jones  D Jones Haulage Contractor</v>
      </c>
      <c r="C7512" s="1" t="s">
        <v>22781</v>
      </c>
      <c r="D7512" s="1" t="s">
        <v>15451</v>
      </c>
      <c r="F7512" s="1" t="s">
        <v>710</v>
      </c>
      <c r="H7512" s="1" t="s">
        <v>22782</v>
      </c>
      <c r="I7512" s="1" t="s">
        <v>5</v>
      </c>
      <c r="J7512" s="1" t="s">
        <v>6</v>
      </c>
      <c r="K7512" s="1" t="s">
        <v>34</v>
      </c>
      <c r="M7512" s="2">
        <v>42488</v>
      </c>
      <c r="N7512" s="1" t="s">
        <v>8</v>
      </c>
      <c r="O7512" s="2">
        <v>43583</v>
      </c>
    </row>
    <row r="7513" spans="1:15" ht="28.8" x14ac:dyDescent="0.3">
      <c r="A7513" s="1" t="s">
        <v>22783</v>
      </c>
      <c r="B7513" s="1" t="str">
        <f>"Gareth Wyn Davies"</f>
        <v>Gareth Wyn Davies</v>
      </c>
      <c r="C7513" s="1" t="s">
        <v>22784</v>
      </c>
      <c r="F7513" s="1" t="s">
        <v>1169</v>
      </c>
      <c r="H7513" s="1" t="s">
        <v>22785</v>
      </c>
      <c r="I7513" s="1" t="s">
        <v>5</v>
      </c>
      <c r="J7513" s="1" t="s">
        <v>6</v>
      </c>
      <c r="K7513" s="1" t="s">
        <v>24</v>
      </c>
      <c r="M7513" s="2">
        <v>42488</v>
      </c>
      <c r="N7513" s="1" t="s">
        <v>8</v>
      </c>
      <c r="O7513" s="2">
        <v>43583</v>
      </c>
    </row>
    <row r="7514" spans="1:15" ht="28.8" x14ac:dyDescent="0.3">
      <c r="A7514" s="1" t="s">
        <v>1554</v>
      </c>
      <c r="B7514" s="1" t="str">
        <f>"Mark Parry N A C Property Clearance"</f>
        <v>Mark Parry N A C Property Clearance</v>
      </c>
      <c r="C7514" s="1" t="s">
        <v>1555</v>
      </c>
      <c r="F7514" s="1" t="s">
        <v>1556</v>
      </c>
      <c r="H7514" s="1" t="s">
        <v>1557</v>
      </c>
      <c r="I7514" s="1" t="s">
        <v>5</v>
      </c>
      <c r="J7514" s="1" t="s">
        <v>6</v>
      </c>
      <c r="K7514" s="1" t="s">
        <v>34</v>
      </c>
      <c r="M7514" s="2">
        <v>42487</v>
      </c>
      <c r="N7514" s="1" t="s">
        <v>8</v>
      </c>
      <c r="O7514" s="2">
        <v>44678</v>
      </c>
    </row>
    <row r="7515" spans="1:15" ht="43.2" x14ac:dyDescent="0.3">
      <c r="A7515" s="1" t="s">
        <v>8047</v>
      </c>
      <c r="B7515" s="1" t="str">
        <f>"RNLI"</f>
        <v>RNLI</v>
      </c>
      <c r="C7515" s="1" t="s">
        <v>8048</v>
      </c>
      <c r="D7515" s="1" t="s">
        <v>896</v>
      </c>
      <c r="F7515" s="1" t="s">
        <v>4731</v>
      </c>
      <c r="H7515" s="1" t="s">
        <v>8049</v>
      </c>
      <c r="I7515" s="1" t="s">
        <v>1872</v>
      </c>
      <c r="J7515" s="1" t="s">
        <v>67</v>
      </c>
      <c r="K7515" s="1" t="s">
        <v>14</v>
      </c>
      <c r="M7515" s="2">
        <v>42487</v>
      </c>
      <c r="N7515" s="1" t="s">
        <v>8</v>
      </c>
      <c r="O7515" s="1" t="s">
        <v>68</v>
      </c>
    </row>
    <row r="7516" spans="1:15" ht="43.2" x14ac:dyDescent="0.3">
      <c r="A7516" s="1" t="s">
        <v>8050</v>
      </c>
      <c r="B7516" s="1" t="str">
        <f>"Interlec Systems (Newport) Limited"</f>
        <v>Interlec Systems (Newport) Limited</v>
      </c>
      <c r="C7516" s="1" t="s">
        <v>8051</v>
      </c>
      <c r="F7516" s="1" t="s">
        <v>156</v>
      </c>
      <c r="H7516" s="1" t="s">
        <v>892</v>
      </c>
      <c r="I7516" s="1" t="s">
        <v>125</v>
      </c>
      <c r="J7516" s="1" t="s">
        <v>67</v>
      </c>
      <c r="K7516" s="1" t="s">
        <v>14</v>
      </c>
      <c r="M7516" s="2">
        <v>42487</v>
      </c>
      <c r="N7516" s="1" t="s">
        <v>8</v>
      </c>
      <c r="O7516" s="1" t="s">
        <v>68</v>
      </c>
    </row>
    <row r="7517" spans="1:15" ht="28.8" x14ac:dyDescent="0.3">
      <c r="A7517" s="1" t="s">
        <v>8052</v>
      </c>
      <c r="B7517" s="1" t="str">
        <f>"SANDBACH TYRE SERVICE LTD"</f>
        <v>SANDBACH TYRE SERVICE LTD</v>
      </c>
      <c r="C7517" s="1" t="s">
        <v>8053</v>
      </c>
      <c r="F7517" s="1" t="s">
        <v>8054</v>
      </c>
      <c r="H7517" s="1" t="s">
        <v>8055</v>
      </c>
      <c r="I7517" s="1" t="s">
        <v>19</v>
      </c>
      <c r="J7517" s="1" t="s">
        <v>6</v>
      </c>
      <c r="K7517" s="1" t="s">
        <v>24</v>
      </c>
      <c r="L7517" s="1">
        <v>7573667</v>
      </c>
      <c r="M7517" s="2">
        <v>42487</v>
      </c>
      <c r="N7517" s="1" t="s">
        <v>8</v>
      </c>
      <c r="O7517" s="2">
        <v>43582</v>
      </c>
    </row>
    <row r="7518" spans="1:15" ht="28.8" x14ac:dyDescent="0.3">
      <c r="A7518" s="1" t="s">
        <v>8056</v>
      </c>
      <c r="B7518" s="1" t="str">
        <f>"Litespeed Interiors Limited"</f>
        <v>Litespeed Interiors Limited</v>
      </c>
      <c r="C7518" s="1" t="s">
        <v>8057</v>
      </c>
      <c r="D7518" s="1" t="s">
        <v>8058</v>
      </c>
      <c r="F7518" s="1" t="s">
        <v>123</v>
      </c>
      <c r="H7518" s="1" t="s">
        <v>8059</v>
      </c>
      <c r="I7518" s="1" t="s">
        <v>19</v>
      </c>
      <c r="J7518" s="1" t="s">
        <v>6</v>
      </c>
      <c r="K7518" s="1" t="s">
        <v>34</v>
      </c>
      <c r="L7518" s="1">
        <v>8473426</v>
      </c>
      <c r="M7518" s="2">
        <v>42487</v>
      </c>
      <c r="N7518" s="1" t="s">
        <v>8</v>
      </c>
      <c r="O7518" s="2">
        <v>43582</v>
      </c>
    </row>
    <row r="7519" spans="1:15" ht="28.8" x14ac:dyDescent="0.3">
      <c r="A7519" s="1" t="s">
        <v>8060</v>
      </c>
      <c r="B7519" s="1" t="str">
        <f>"GEvans CJames Landscapes Building "</f>
        <v xml:space="preserve">GEvans CJames Landscapes Building </v>
      </c>
      <c r="C7519" s="1" t="s">
        <v>8061</v>
      </c>
      <c r="D7519" s="1" t="s">
        <v>8062</v>
      </c>
      <c r="F7519" s="1" t="s">
        <v>8063</v>
      </c>
      <c r="H7519" s="1" t="s">
        <v>8064</v>
      </c>
      <c r="I7519" s="1" t="s">
        <v>19</v>
      </c>
      <c r="J7519" s="1" t="s">
        <v>6</v>
      </c>
      <c r="K7519" s="1" t="s">
        <v>34</v>
      </c>
      <c r="L7519" s="1">
        <v>9075796</v>
      </c>
      <c r="M7519" s="2">
        <v>42487</v>
      </c>
      <c r="N7519" s="1" t="s">
        <v>8</v>
      </c>
      <c r="O7519" s="2">
        <v>43582</v>
      </c>
    </row>
    <row r="7520" spans="1:15" ht="28.8" x14ac:dyDescent="0.3">
      <c r="A7520" s="1" t="s">
        <v>9231</v>
      </c>
      <c r="B7520" s="1" t="str">
        <f>"TM Design &amp; Build"</f>
        <v>TM Design &amp; Build</v>
      </c>
      <c r="C7520" s="1" t="s">
        <v>9232</v>
      </c>
      <c r="D7520" s="1" t="s">
        <v>9233</v>
      </c>
      <c r="F7520" s="1" t="s">
        <v>170</v>
      </c>
      <c r="H7520" s="1" t="s">
        <v>9234</v>
      </c>
      <c r="I7520" s="1" t="s">
        <v>19</v>
      </c>
      <c r="J7520" s="1" t="s">
        <v>6</v>
      </c>
      <c r="K7520" s="1" t="s">
        <v>34</v>
      </c>
      <c r="L7520" s="1">
        <v>7426379</v>
      </c>
      <c r="M7520" s="2">
        <v>42487</v>
      </c>
      <c r="N7520" s="1" t="s">
        <v>8</v>
      </c>
      <c r="O7520" s="2">
        <v>43582</v>
      </c>
    </row>
    <row r="7521" spans="1:15" ht="28.8" x14ac:dyDescent="0.3">
      <c r="A7521" s="1" t="s">
        <v>21990</v>
      </c>
      <c r="B7521" s="1" t="str">
        <f>"David Stirrup David stirrup"</f>
        <v>David Stirrup David stirrup</v>
      </c>
      <c r="C7521" s="1" t="s">
        <v>21991</v>
      </c>
      <c r="D7521" s="1" t="s">
        <v>802</v>
      </c>
      <c r="F7521" s="1" t="s">
        <v>198</v>
      </c>
      <c r="H7521" s="1" t="s">
        <v>21992</v>
      </c>
      <c r="I7521" s="1" t="s">
        <v>5</v>
      </c>
      <c r="J7521" s="1" t="s">
        <v>6</v>
      </c>
      <c r="K7521" s="1" t="s">
        <v>24</v>
      </c>
      <c r="M7521" s="2">
        <v>42487</v>
      </c>
      <c r="N7521" s="1" t="s">
        <v>8</v>
      </c>
      <c r="O7521" s="2">
        <v>43582</v>
      </c>
    </row>
    <row r="7522" spans="1:15" ht="28.8" x14ac:dyDescent="0.3">
      <c r="A7522" s="1" t="s">
        <v>21993</v>
      </c>
      <c r="B7522" s="1" t="str">
        <f>"Ben  Spendlove BLS Handy Services"</f>
        <v>Ben  Spendlove BLS Handy Services</v>
      </c>
      <c r="C7522" s="1" t="s">
        <v>21994</v>
      </c>
      <c r="F7522" s="1" t="s">
        <v>6304</v>
      </c>
      <c r="H7522" s="1" t="s">
        <v>21995</v>
      </c>
      <c r="I7522" s="1" t="s">
        <v>5</v>
      </c>
      <c r="J7522" s="1" t="s">
        <v>6</v>
      </c>
      <c r="K7522" s="1" t="s">
        <v>24</v>
      </c>
      <c r="M7522" s="2">
        <v>42487</v>
      </c>
      <c r="N7522" s="1" t="s">
        <v>8</v>
      </c>
      <c r="O7522" s="2">
        <v>43582</v>
      </c>
    </row>
    <row r="7523" spans="1:15" ht="43.2" x14ac:dyDescent="0.3">
      <c r="A7523" s="1" t="s">
        <v>21996</v>
      </c>
      <c r="B7523" s="1" t="str">
        <f>"Edmund Evans"</f>
        <v>Edmund Evans</v>
      </c>
      <c r="C7523" s="1" t="s">
        <v>21997</v>
      </c>
      <c r="F7523" s="1" t="s">
        <v>370</v>
      </c>
      <c r="H7523" s="1" t="s">
        <v>21998</v>
      </c>
      <c r="I7523" s="1" t="s">
        <v>5</v>
      </c>
      <c r="J7523" s="1" t="s">
        <v>67</v>
      </c>
      <c r="K7523" s="1" t="s">
        <v>24</v>
      </c>
      <c r="M7523" s="2">
        <v>42487</v>
      </c>
      <c r="N7523" s="1" t="s">
        <v>8</v>
      </c>
      <c r="O7523" s="1" t="s">
        <v>68</v>
      </c>
    </row>
    <row r="7524" spans="1:15" ht="28.8" x14ac:dyDescent="0.3">
      <c r="A7524" s="1" t="s">
        <v>21999</v>
      </c>
      <c r="B7524" s="1" t="str">
        <f>"Tony Baker"</f>
        <v>Tony Baker</v>
      </c>
      <c r="C7524" s="1" t="s">
        <v>22000</v>
      </c>
      <c r="F7524" s="1" t="s">
        <v>22001</v>
      </c>
      <c r="H7524" s="1" t="s">
        <v>22002</v>
      </c>
      <c r="I7524" s="1" t="s">
        <v>5</v>
      </c>
      <c r="J7524" s="1" t="s">
        <v>6</v>
      </c>
      <c r="K7524" s="1" t="s">
        <v>34</v>
      </c>
      <c r="M7524" s="2">
        <v>42487</v>
      </c>
      <c r="N7524" s="1" t="s">
        <v>8</v>
      </c>
      <c r="O7524" s="2">
        <v>43582</v>
      </c>
    </row>
    <row r="7525" spans="1:15" ht="28.8" x14ac:dyDescent="0.3">
      <c r="A7525" s="1" t="s">
        <v>22769</v>
      </c>
      <c r="B7525" s="1" t="str">
        <f>"Paul Harris Paul Harris"</f>
        <v>Paul Harris Paul Harris</v>
      </c>
      <c r="C7525" s="1" t="s">
        <v>22770</v>
      </c>
      <c r="F7525" s="1" t="s">
        <v>865</v>
      </c>
      <c r="H7525" s="1" t="s">
        <v>22771</v>
      </c>
      <c r="I7525" s="1" t="s">
        <v>5</v>
      </c>
      <c r="J7525" s="1" t="s">
        <v>6</v>
      </c>
      <c r="K7525" s="1" t="s">
        <v>34</v>
      </c>
      <c r="M7525" s="2">
        <v>42487</v>
      </c>
      <c r="N7525" s="1" t="s">
        <v>8</v>
      </c>
      <c r="O7525" s="2">
        <v>43582</v>
      </c>
    </row>
    <row r="7526" spans="1:15" ht="28.8" x14ac:dyDescent="0.3">
      <c r="A7526" s="1" t="s">
        <v>22772</v>
      </c>
      <c r="B7526" s="1" t="str">
        <f>"dennis hogan gwespyr heating co"</f>
        <v>dennis hogan gwespyr heating co</v>
      </c>
      <c r="C7526" s="1" t="s">
        <v>22773</v>
      </c>
      <c r="F7526" s="1" t="s">
        <v>1278</v>
      </c>
      <c r="H7526" s="1" t="s">
        <v>22774</v>
      </c>
      <c r="I7526" s="1" t="s">
        <v>5</v>
      </c>
      <c r="J7526" s="1" t="s">
        <v>6</v>
      </c>
      <c r="K7526" s="1" t="s">
        <v>24</v>
      </c>
      <c r="M7526" s="2">
        <v>42487</v>
      </c>
      <c r="N7526" s="1" t="s">
        <v>8</v>
      </c>
      <c r="O7526" s="2">
        <v>43582</v>
      </c>
    </row>
    <row r="7527" spans="1:15" ht="43.2" x14ac:dyDescent="0.3">
      <c r="A7527" s="1" t="s">
        <v>22775</v>
      </c>
      <c r="B7527" s="1" t="str">
        <f>"samantha harris"</f>
        <v>samantha harris</v>
      </c>
      <c r="C7527" s="1" t="s">
        <v>22770</v>
      </c>
      <c r="F7527" s="1" t="s">
        <v>865</v>
      </c>
      <c r="H7527" s="1" t="s">
        <v>22771</v>
      </c>
      <c r="I7527" s="1" t="s">
        <v>5</v>
      </c>
      <c r="J7527" s="1" t="s">
        <v>67</v>
      </c>
      <c r="K7527" s="1" t="s">
        <v>14</v>
      </c>
      <c r="M7527" s="2">
        <v>42487</v>
      </c>
      <c r="N7527" s="1" t="s">
        <v>8</v>
      </c>
      <c r="O7527" s="1" t="s">
        <v>68</v>
      </c>
    </row>
    <row r="7528" spans="1:15" ht="28.8" x14ac:dyDescent="0.3">
      <c r="A7528" s="1" t="s">
        <v>22776</v>
      </c>
      <c r="B7528" s="1" t="str">
        <f>"Stephen Jasper North Cornwall Transport"</f>
        <v>Stephen Jasper North Cornwall Transport</v>
      </c>
      <c r="C7528" s="1" t="s">
        <v>22777</v>
      </c>
      <c r="F7528" s="1" t="s">
        <v>22778</v>
      </c>
      <c r="H7528" s="1" t="s">
        <v>22779</v>
      </c>
      <c r="I7528" s="1" t="s">
        <v>5</v>
      </c>
      <c r="J7528" s="1" t="s">
        <v>6</v>
      </c>
      <c r="K7528" s="1" t="s">
        <v>24</v>
      </c>
      <c r="M7528" s="2">
        <v>42487</v>
      </c>
      <c r="N7528" s="1" t="s">
        <v>8</v>
      </c>
      <c r="O7528" s="2">
        <v>43582</v>
      </c>
    </row>
    <row r="7529" spans="1:15" ht="43.2" x14ac:dyDescent="0.3">
      <c r="A7529" s="1" t="s">
        <v>6988</v>
      </c>
      <c r="B7529" s="1" t="str">
        <f>"South Wales Fire and Rescue Service"</f>
        <v>South Wales Fire and Rescue Service</v>
      </c>
      <c r="C7529" s="1" t="s">
        <v>6989</v>
      </c>
      <c r="D7529" s="1" t="s">
        <v>733</v>
      </c>
      <c r="F7529" s="1" t="s">
        <v>873</v>
      </c>
      <c r="H7529" s="1" t="s">
        <v>6990</v>
      </c>
      <c r="I7529" s="1" t="s">
        <v>188</v>
      </c>
      <c r="J7529" s="1" t="s">
        <v>67</v>
      </c>
      <c r="K7529" s="1" t="s">
        <v>24</v>
      </c>
      <c r="M7529" s="2">
        <v>42486</v>
      </c>
      <c r="N7529" s="1" t="s">
        <v>8</v>
      </c>
      <c r="O7529" s="1" t="s">
        <v>68</v>
      </c>
    </row>
    <row r="7530" spans="1:15" ht="28.8" x14ac:dyDescent="0.3">
      <c r="A7530" s="1" t="s">
        <v>6991</v>
      </c>
      <c r="B7530" s="1" t="str">
        <f>"Brooke Estate Management LTD"</f>
        <v>Brooke Estate Management LTD</v>
      </c>
      <c r="C7530" s="1" t="s">
        <v>6992</v>
      </c>
      <c r="F7530" s="1" t="s">
        <v>2711</v>
      </c>
      <c r="H7530" s="1" t="s">
        <v>6993</v>
      </c>
      <c r="I7530" s="1" t="s">
        <v>19</v>
      </c>
      <c r="J7530" s="1" t="s">
        <v>6</v>
      </c>
      <c r="K7530" s="1" t="s">
        <v>34</v>
      </c>
      <c r="L7530" s="1">
        <v>8046873</v>
      </c>
      <c r="M7530" s="2">
        <v>42486</v>
      </c>
      <c r="N7530" s="1" t="s">
        <v>8</v>
      </c>
      <c r="O7530" s="2">
        <v>43581</v>
      </c>
    </row>
    <row r="7531" spans="1:15" ht="28.8" x14ac:dyDescent="0.3">
      <c r="A7531" s="1" t="s">
        <v>6994</v>
      </c>
      <c r="B7531" s="1" t="str">
        <f>"Canter Davies Construction"</f>
        <v>Canter Davies Construction</v>
      </c>
      <c r="C7531" s="1" t="s">
        <v>6995</v>
      </c>
      <c r="F7531" s="1" t="s">
        <v>27</v>
      </c>
      <c r="H7531" s="1" t="s">
        <v>6996</v>
      </c>
      <c r="I7531" s="1" t="s">
        <v>125</v>
      </c>
      <c r="J7531" s="1" t="s">
        <v>6</v>
      </c>
      <c r="K7531" s="1" t="s">
        <v>34</v>
      </c>
      <c r="M7531" s="2">
        <v>42486</v>
      </c>
      <c r="N7531" s="1" t="s">
        <v>8</v>
      </c>
      <c r="O7531" s="2">
        <v>43581</v>
      </c>
    </row>
    <row r="7532" spans="1:15" x14ac:dyDescent="0.3">
      <c r="A7532" s="1" t="s">
        <v>6997</v>
      </c>
      <c r="B7532" s="1" t="str">
        <f>"T &amp; J Contractors Ltd."</f>
        <v>T &amp; J Contractors Ltd.</v>
      </c>
      <c r="C7532" s="1" t="s">
        <v>6998</v>
      </c>
      <c r="F7532" s="1" t="s">
        <v>1351</v>
      </c>
      <c r="H7532" s="1" t="s">
        <v>6999</v>
      </c>
      <c r="I7532" s="1" t="s">
        <v>19</v>
      </c>
      <c r="J7532" s="1" t="s">
        <v>6</v>
      </c>
      <c r="K7532" s="1" t="s">
        <v>24</v>
      </c>
      <c r="L7532" s="1">
        <v>3545753</v>
      </c>
      <c r="M7532" s="2">
        <v>42486</v>
      </c>
      <c r="N7532" s="1" t="s">
        <v>8</v>
      </c>
      <c r="O7532" s="2">
        <v>43657</v>
      </c>
    </row>
    <row r="7533" spans="1:15" ht="28.8" x14ac:dyDescent="0.3">
      <c r="A7533" s="1" t="s">
        <v>7000</v>
      </c>
      <c r="B7533" s="1" t="str">
        <f>"Alfred Bagnall &amp; Sons (South Wales)"</f>
        <v>Alfred Bagnall &amp; Sons (South Wales)</v>
      </c>
      <c r="C7533" s="1" t="s">
        <v>7001</v>
      </c>
      <c r="F7533" s="1" t="s">
        <v>27</v>
      </c>
      <c r="H7533" s="1" t="s">
        <v>7002</v>
      </c>
      <c r="I7533" s="1" t="s">
        <v>19</v>
      </c>
      <c r="J7533" s="1" t="s">
        <v>6</v>
      </c>
      <c r="K7533" s="1" t="s">
        <v>24</v>
      </c>
      <c r="L7533" s="1">
        <v>1246346</v>
      </c>
      <c r="M7533" s="2">
        <v>42486</v>
      </c>
      <c r="N7533" s="1" t="s">
        <v>8</v>
      </c>
      <c r="O7533" s="2">
        <v>43581</v>
      </c>
    </row>
    <row r="7534" spans="1:15" ht="28.8" x14ac:dyDescent="0.3">
      <c r="A7534" s="1" t="s">
        <v>7003</v>
      </c>
      <c r="B7534" s="1" t="str">
        <f>"E W &amp; W Roberts Ltd."</f>
        <v>E W &amp; W Roberts Ltd.</v>
      </c>
      <c r="C7534" s="1" t="s">
        <v>7004</v>
      </c>
      <c r="F7534" s="1" t="s">
        <v>1880</v>
      </c>
      <c r="H7534" s="1" t="s">
        <v>7005</v>
      </c>
      <c r="I7534" s="1" t="s">
        <v>19</v>
      </c>
      <c r="J7534" s="1" t="s">
        <v>6</v>
      </c>
      <c r="K7534" s="1" t="s">
        <v>24</v>
      </c>
      <c r="L7534" s="1">
        <v>6388849</v>
      </c>
      <c r="M7534" s="2">
        <v>42486</v>
      </c>
      <c r="N7534" s="1" t="s">
        <v>8</v>
      </c>
      <c r="O7534" s="2">
        <v>43581</v>
      </c>
    </row>
    <row r="7535" spans="1:15" ht="43.2" x14ac:dyDescent="0.3">
      <c r="A7535" s="1" t="s">
        <v>7006</v>
      </c>
      <c r="B7535" s="1" t="str">
        <f>"E C Plant Hire"</f>
        <v>E C Plant Hire</v>
      </c>
      <c r="C7535" s="1" t="s">
        <v>5894</v>
      </c>
      <c r="F7535" s="1" t="s">
        <v>1175</v>
      </c>
      <c r="H7535" s="1" t="s">
        <v>2995</v>
      </c>
      <c r="I7535" s="1" t="s">
        <v>125</v>
      </c>
      <c r="J7535" s="1" t="s">
        <v>6</v>
      </c>
      <c r="K7535" s="1" t="s">
        <v>34</v>
      </c>
      <c r="M7535" s="2">
        <v>42486</v>
      </c>
      <c r="N7535" s="1" t="s">
        <v>8</v>
      </c>
      <c r="O7535" s="2">
        <v>43581</v>
      </c>
    </row>
    <row r="7536" spans="1:15" x14ac:dyDescent="0.3">
      <c r="A7536" s="1" t="s">
        <v>8034</v>
      </c>
      <c r="B7536" s="1" t="str">
        <f>"Carpets 'N' Carpets Ltd."</f>
        <v>Carpets 'N' Carpets Ltd.</v>
      </c>
      <c r="C7536" s="1" t="s">
        <v>1922</v>
      </c>
      <c r="F7536" s="1" t="s">
        <v>1115</v>
      </c>
      <c r="H7536" s="1" t="s">
        <v>1923</v>
      </c>
      <c r="I7536" s="1" t="s">
        <v>19</v>
      </c>
      <c r="J7536" s="1" t="s">
        <v>6</v>
      </c>
      <c r="K7536" s="1" t="s">
        <v>24</v>
      </c>
      <c r="L7536" s="1">
        <v>4304010</v>
      </c>
      <c r="M7536" s="2">
        <v>42486</v>
      </c>
      <c r="N7536" s="1" t="s">
        <v>8</v>
      </c>
      <c r="O7536" s="2">
        <v>43581</v>
      </c>
    </row>
    <row r="7537" spans="1:15" ht="28.8" x14ac:dyDescent="0.3">
      <c r="A7537" s="1" t="s">
        <v>8035</v>
      </c>
      <c r="B7537" s="1" t="str">
        <f>"Digital Wales Tec"</f>
        <v>Digital Wales Tec</v>
      </c>
      <c r="C7537" s="1" t="s">
        <v>8036</v>
      </c>
      <c r="F7537" s="1" t="s">
        <v>364</v>
      </c>
      <c r="H7537" s="1" t="s">
        <v>8037</v>
      </c>
      <c r="I7537" s="1" t="s">
        <v>19</v>
      </c>
      <c r="J7537" s="1" t="s">
        <v>6</v>
      </c>
      <c r="K7537" s="1" t="s">
        <v>34</v>
      </c>
      <c r="L7537" s="1">
        <v>9524722</v>
      </c>
      <c r="M7537" s="2">
        <v>42486</v>
      </c>
      <c r="N7537" s="1" t="s">
        <v>8</v>
      </c>
      <c r="O7537" s="2">
        <v>43581</v>
      </c>
    </row>
    <row r="7538" spans="1:15" ht="43.2" x14ac:dyDescent="0.3">
      <c r="A7538" s="1" t="s">
        <v>8038</v>
      </c>
      <c r="B7538" s="1" t="str">
        <f>"Austwel Ltd."</f>
        <v>Austwel Ltd.</v>
      </c>
      <c r="C7538" s="1" t="s">
        <v>8039</v>
      </c>
      <c r="F7538" s="1" t="s">
        <v>134</v>
      </c>
      <c r="H7538" s="1" t="s">
        <v>8040</v>
      </c>
      <c r="I7538" s="1" t="s">
        <v>19</v>
      </c>
      <c r="J7538" s="1" t="s">
        <v>6</v>
      </c>
      <c r="K7538" s="1" t="s">
        <v>34</v>
      </c>
      <c r="L7538" s="1">
        <v>1708208</v>
      </c>
      <c r="M7538" s="2">
        <v>42486</v>
      </c>
      <c r="N7538" s="1" t="s">
        <v>8</v>
      </c>
      <c r="O7538" s="2">
        <v>43581</v>
      </c>
    </row>
    <row r="7539" spans="1:15" ht="43.2" x14ac:dyDescent="0.3">
      <c r="A7539" s="1" t="s">
        <v>8041</v>
      </c>
      <c r="B7539" s="1" t="str">
        <f>"Christopher Davies Building Contractor Ltd."</f>
        <v>Christopher Davies Building Contractor Ltd.</v>
      </c>
      <c r="C7539" s="1" t="s">
        <v>8042</v>
      </c>
      <c r="F7539" s="1" t="s">
        <v>1351</v>
      </c>
      <c r="H7539" s="1" t="s">
        <v>8043</v>
      </c>
      <c r="I7539" s="1" t="s">
        <v>19</v>
      </c>
      <c r="J7539" s="1" t="s">
        <v>6</v>
      </c>
      <c r="K7539" s="1" t="s">
        <v>34</v>
      </c>
      <c r="L7539" s="1">
        <v>5471613</v>
      </c>
      <c r="M7539" s="2">
        <v>42486</v>
      </c>
      <c r="N7539" s="1" t="s">
        <v>8</v>
      </c>
      <c r="O7539" s="2">
        <v>43581</v>
      </c>
    </row>
    <row r="7540" spans="1:15" ht="28.8" x14ac:dyDescent="0.3">
      <c r="A7540" s="1" t="s">
        <v>8044</v>
      </c>
      <c r="B7540" s="1" t="str">
        <f>"P J  Jones (Plumbing &amp; Heating) Ltd."</f>
        <v>P J  Jones (Plumbing &amp; Heating) Ltd.</v>
      </c>
      <c r="C7540" s="1" t="s">
        <v>8045</v>
      </c>
      <c r="D7540" s="1" t="s">
        <v>596</v>
      </c>
      <c r="F7540" s="1" t="s">
        <v>64</v>
      </c>
      <c r="H7540" s="1" t="s">
        <v>8046</v>
      </c>
      <c r="I7540" s="1" t="s">
        <v>19</v>
      </c>
      <c r="J7540" s="1" t="s">
        <v>6</v>
      </c>
      <c r="K7540" s="1" t="s">
        <v>24</v>
      </c>
      <c r="L7540" s="1">
        <v>3387373</v>
      </c>
      <c r="M7540" s="2">
        <v>42486</v>
      </c>
      <c r="N7540" s="1" t="s">
        <v>8</v>
      </c>
      <c r="O7540" s="2">
        <v>43581</v>
      </c>
    </row>
    <row r="7541" spans="1:15" ht="28.8" x14ac:dyDescent="0.3">
      <c r="A7541" s="1" t="s">
        <v>21221</v>
      </c>
      <c r="B7541" s="1" t="str">
        <f>"Robert Jones R S Jones Contractors"</f>
        <v>Robert Jones R S Jones Contractors</v>
      </c>
      <c r="C7541" s="1" t="s">
        <v>21222</v>
      </c>
      <c r="F7541" s="1" t="s">
        <v>370</v>
      </c>
      <c r="H7541" s="1" t="s">
        <v>21223</v>
      </c>
      <c r="I7541" s="1" t="s">
        <v>5</v>
      </c>
      <c r="J7541" s="1" t="s">
        <v>6</v>
      </c>
      <c r="K7541" s="1" t="s">
        <v>24</v>
      </c>
      <c r="M7541" s="2">
        <v>42486</v>
      </c>
      <c r="N7541" s="1" t="s">
        <v>8</v>
      </c>
      <c r="O7541" s="2">
        <v>43581</v>
      </c>
    </row>
    <row r="7542" spans="1:15" ht="43.2" x14ac:dyDescent="0.3">
      <c r="A7542" s="1" t="s">
        <v>21971</v>
      </c>
      <c r="B7542" s="1" t="str">
        <f>"Stephen Corby Steve Corby Property Maintenance"</f>
        <v>Stephen Corby Steve Corby Property Maintenance</v>
      </c>
      <c r="C7542" s="1" t="s">
        <v>21972</v>
      </c>
      <c r="D7542" s="1" t="s">
        <v>21973</v>
      </c>
      <c r="F7542" s="1" t="s">
        <v>7988</v>
      </c>
      <c r="H7542" s="1" t="s">
        <v>21974</v>
      </c>
      <c r="I7542" s="1" t="s">
        <v>5</v>
      </c>
      <c r="J7542" s="1" t="s">
        <v>6</v>
      </c>
      <c r="K7542" s="1" t="s">
        <v>24</v>
      </c>
      <c r="M7542" s="2">
        <v>42486</v>
      </c>
      <c r="N7542" s="1" t="s">
        <v>8</v>
      </c>
      <c r="O7542" s="2">
        <v>43581</v>
      </c>
    </row>
    <row r="7543" spans="1:15" ht="28.8" x14ac:dyDescent="0.3">
      <c r="A7543" s="1" t="s">
        <v>21975</v>
      </c>
      <c r="B7543" s="1" t="str">
        <f>"Philip Eric Copp"</f>
        <v>Philip Eric Copp</v>
      </c>
      <c r="C7543" s="1" t="s">
        <v>21976</v>
      </c>
      <c r="F7543" s="1" t="s">
        <v>65</v>
      </c>
      <c r="H7543" s="1" t="s">
        <v>21977</v>
      </c>
      <c r="I7543" s="1" t="s">
        <v>5</v>
      </c>
      <c r="J7543" s="1" t="s">
        <v>6</v>
      </c>
      <c r="K7543" s="1" t="s">
        <v>34</v>
      </c>
      <c r="M7543" s="2">
        <v>42486</v>
      </c>
      <c r="N7543" s="1" t="s">
        <v>8</v>
      </c>
      <c r="O7543" s="2">
        <v>43581</v>
      </c>
    </row>
    <row r="7544" spans="1:15" ht="28.8" x14ac:dyDescent="0.3">
      <c r="A7544" s="1" t="s">
        <v>21978</v>
      </c>
      <c r="B7544" s="1" t="str">
        <f>"chris newton RWRC"</f>
        <v>chris newton RWRC</v>
      </c>
      <c r="C7544" s="1" t="s">
        <v>21979</v>
      </c>
      <c r="F7544" s="1" t="s">
        <v>146</v>
      </c>
      <c r="H7544" s="1" t="s">
        <v>21980</v>
      </c>
      <c r="I7544" s="1" t="s">
        <v>5</v>
      </c>
      <c r="J7544" s="1" t="s">
        <v>6</v>
      </c>
      <c r="K7544" s="1" t="s">
        <v>34</v>
      </c>
      <c r="M7544" s="2">
        <v>42486</v>
      </c>
      <c r="N7544" s="1" t="s">
        <v>8</v>
      </c>
      <c r="O7544" s="2">
        <v>43581</v>
      </c>
    </row>
    <row r="7545" spans="1:15" x14ac:dyDescent="0.3">
      <c r="A7545" s="1" t="s">
        <v>21981</v>
      </c>
      <c r="B7545" s="1" t="str">
        <f>"eward harris E J Harris"</f>
        <v>eward harris E J Harris</v>
      </c>
      <c r="C7545" s="1" t="s">
        <v>21982</v>
      </c>
      <c r="F7545" s="1" t="s">
        <v>1511</v>
      </c>
      <c r="H7545" s="1" t="s">
        <v>21983</v>
      </c>
      <c r="I7545" s="1" t="s">
        <v>5</v>
      </c>
      <c r="J7545" s="1" t="s">
        <v>6</v>
      </c>
      <c r="K7545" s="1" t="s">
        <v>24</v>
      </c>
      <c r="M7545" s="2">
        <v>42486</v>
      </c>
      <c r="N7545" s="1" t="s">
        <v>8</v>
      </c>
      <c r="O7545" s="2">
        <v>43581</v>
      </c>
    </row>
    <row r="7546" spans="1:15" ht="43.2" x14ac:dyDescent="0.3">
      <c r="A7546" s="1" t="s">
        <v>21984</v>
      </c>
      <c r="B7546" s="1" t="str">
        <f>"john richard PHILLIPS MR TIDYS BETTER GARDENS"</f>
        <v>john richard PHILLIPS MR TIDYS BETTER GARDENS</v>
      </c>
      <c r="C7546" s="1" t="s">
        <v>21985</v>
      </c>
      <c r="F7546" s="1" t="s">
        <v>16099</v>
      </c>
      <c r="H7546" s="1" t="s">
        <v>21986</v>
      </c>
      <c r="I7546" s="1" t="s">
        <v>5</v>
      </c>
      <c r="J7546" s="1" t="s">
        <v>6</v>
      </c>
      <c r="K7546" s="1" t="s">
        <v>24</v>
      </c>
      <c r="M7546" s="2">
        <v>42486</v>
      </c>
      <c r="N7546" s="1" t="s">
        <v>8</v>
      </c>
      <c r="O7546" s="2">
        <v>43581</v>
      </c>
    </row>
    <row r="7547" spans="1:15" ht="28.8" x14ac:dyDescent="0.3">
      <c r="A7547" s="1" t="s">
        <v>21987</v>
      </c>
      <c r="B7547" s="1" t="str">
        <f>"jeffrey chapman clearahome-wales"</f>
        <v>jeffrey chapman clearahome-wales</v>
      </c>
      <c r="C7547" s="1" t="s">
        <v>21988</v>
      </c>
      <c r="D7547" s="1" t="s">
        <v>21989</v>
      </c>
      <c r="E7547" s="1" t="s">
        <v>6825</v>
      </c>
      <c r="F7547" s="1" t="s">
        <v>65</v>
      </c>
      <c r="H7547" s="1" t="s">
        <v>7793</v>
      </c>
      <c r="I7547" s="1" t="s">
        <v>5</v>
      </c>
      <c r="J7547" s="1" t="s">
        <v>6</v>
      </c>
      <c r="K7547" s="1" t="s">
        <v>24</v>
      </c>
      <c r="M7547" s="2">
        <v>42486</v>
      </c>
      <c r="N7547" s="1" t="s">
        <v>8</v>
      </c>
      <c r="O7547" s="2">
        <v>43581</v>
      </c>
    </row>
    <row r="7548" spans="1:15" ht="28.8" x14ac:dyDescent="0.3">
      <c r="A7548" s="1" t="s">
        <v>5795</v>
      </c>
      <c r="B7548" s="1" t="str">
        <f>"David J Williams"</f>
        <v>David J Williams</v>
      </c>
      <c r="C7548" s="1" t="s">
        <v>5796</v>
      </c>
      <c r="F7548" s="1" t="s">
        <v>374</v>
      </c>
      <c r="H7548" s="1" t="s">
        <v>5797</v>
      </c>
      <c r="I7548" s="1" t="s">
        <v>125</v>
      </c>
      <c r="J7548" s="1" t="s">
        <v>6</v>
      </c>
      <c r="K7548" s="1" t="s">
        <v>24</v>
      </c>
      <c r="M7548" s="2">
        <v>42485</v>
      </c>
      <c r="N7548" s="1" t="s">
        <v>8</v>
      </c>
      <c r="O7548" s="2">
        <v>43616</v>
      </c>
    </row>
    <row r="7549" spans="1:15" ht="28.8" x14ac:dyDescent="0.3">
      <c r="A7549" s="1" t="s">
        <v>5798</v>
      </c>
      <c r="B7549" s="1" t="str">
        <f>"Dave Smith (Newtown) Ltd."</f>
        <v>Dave Smith (Newtown) Ltd.</v>
      </c>
      <c r="C7549" s="1" t="s">
        <v>5799</v>
      </c>
      <c r="D7549" s="1" t="s">
        <v>5800</v>
      </c>
      <c r="F7549" s="1" t="s">
        <v>445</v>
      </c>
      <c r="H7549" s="1" t="s">
        <v>5801</v>
      </c>
      <c r="I7549" s="1" t="s">
        <v>19</v>
      </c>
      <c r="J7549" s="1" t="s">
        <v>6</v>
      </c>
      <c r="K7549" s="1" t="s">
        <v>34</v>
      </c>
      <c r="L7549" s="1">
        <v>1960691</v>
      </c>
      <c r="M7549" s="2">
        <v>42485</v>
      </c>
      <c r="N7549" s="1" t="s">
        <v>8</v>
      </c>
      <c r="O7549" s="2">
        <v>43580</v>
      </c>
    </row>
    <row r="7550" spans="1:15" ht="43.2" x14ac:dyDescent="0.3">
      <c r="A7550" s="1" t="s">
        <v>5802</v>
      </c>
      <c r="B7550" s="1" t="str">
        <f>"Little Dragon Brewery"</f>
        <v>Little Dragon Brewery</v>
      </c>
      <c r="C7550" s="1" t="s">
        <v>5803</v>
      </c>
      <c r="D7550" s="1" t="s">
        <v>5804</v>
      </c>
      <c r="F7550" s="1" t="s">
        <v>513</v>
      </c>
      <c r="H7550" s="1" t="s">
        <v>5805</v>
      </c>
      <c r="I7550" s="1" t="s">
        <v>19</v>
      </c>
      <c r="J7550" s="1" t="s">
        <v>67</v>
      </c>
      <c r="K7550" s="1" t="s">
        <v>14</v>
      </c>
      <c r="M7550" s="2">
        <v>42485</v>
      </c>
      <c r="N7550" s="1" t="s">
        <v>8</v>
      </c>
      <c r="O7550" s="1" t="s">
        <v>68</v>
      </c>
    </row>
    <row r="7551" spans="1:15" ht="28.8" x14ac:dyDescent="0.3">
      <c r="A7551" s="1" t="s">
        <v>5806</v>
      </c>
      <c r="B7551" s="1" t="str">
        <f>"South West Decorating Services Ltd"</f>
        <v>South West Decorating Services Ltd</v>
      </c>
      <c r="C7551" s="1" t="s">
        <v>5807</v>
      </c>
      <c r="D7551" s="1" t="s">
        <v>2509</v>
      </c>
      <c r="F7551" s="1" t="s">
        <v>5459</v>
      </c>
      <c r="H7551" s="1" t="s">
        <v>5808</v>
      </c>
      <c r="I7551" s="1" t="s">
        <v>19</v>
      </c>
      <c r="J7551" s="1" t="s">
        <v>6</v>
      </c>
      <c r="K7551" s="1" t="s">
        <v>34</v>
      </c>
      <c r="L7551" s="1">
        <v>1263478</v>
      </c>
      <c r="M7551" s="2">
        <v>42485</v>
      </c>
      <c r="N7551" s="1" t="s">
        <v>8</v>
      </c>
      <c r="O7551" s="2">
        <v>43580</v>
      </c>
    </row>
    <row r="7552" spans="1:15" ht="28.8" x14ac:dyDescent="0.3">
      <c r="A7552" s="1" t="s">
        <v>5809</v>
      </c>
      <c r="B7552" s="1" t="str">
        <f>"Mr A. Cruse &amp; Mrs H. G. Cruse"</f>
        <v>Mr A. Cruse &amp; Mrs H. G. Cruse</v>
      </c>
      <c r="C7552" s="1" t="s">
        <v>5810</v>
      </c>
      <c r="D7552" s="1" t="s">
        <v>5811</v>
      </c>
      <c r="F7552" s="1" t="s">
        <v>323</v>
      </c>
      <c r="H7552" s="1" t="s">
        <v>5812</v>
      </c>
      <c r="I7552" s="1" t="s">
        <v>125</v>
      </c>
      <c r="J7552" s="1" t="s">
        <v>6</v>
      </c>
      <c r="K7552" s="1" t="s">
        <v>34</v>
      </c>
      <c r="M7552" s="2">
        <v>42485</v>
      </c>
      <c r="N7552" s="1" t="s">
        <v>8</v>
      </c>
      <c r="O7552" s="2">
        <v>43580</v>
      </c>
    </row>
    <row r="7553" spans="1:15" ht="28.8" x14ac:dyDescent="0.3">
      <c r="A7553" s="1" t="s">
        <v>5813</v>
      </c>
      <c r="B7553" s="1" t="str">
        <f>"A C Electrical (North Wales)"</f>
        <v>A C Electrical (North Wales)</v>
      </c>
      <c r="C7553" s="1" t="s">
        <v>5814</v>
      </c>
      <c r="F7553" s="1" t="s">
        <v>3242</v>
      </c>
      <c r="H7553" s="1" t="s">
        <v>5815</v>
      </c>
      <c r="I7553" s="1" t="s">
        <v>19</v>
      </c>
      <c r="J7553" s="1" t="s">
        <v>6</v>
      </c>
      <c r="K7553" s="1" t="s">
        <v>34</v>
      </c>
      <c r="L7553" s="1">
        <v>10125400</v>
      </c>
      <c r="M7553" s="2">
        <v>42485</v>
      </c>
      <c r="N7553" s="1" t="s">
        <v>8</v>
      </c>
      <c r="O7553" s="2">
        <v>43580</v>
      </c>
    </row>
    <row r="7554" spans="1:15" ht="28.8" x14ac:dyDescent="0.3">
      <c r="A7554" s="1" t="s">
        <v>5816</v>
      </c>
      <c r="B7554" s="1" t="str">
        <f>"Pontypridd Auctions Limited"</f>
        <v>Pontypridd Auctions Limited</v>
      </c>
      <c r="C7554" s="1" t="s">
        <v>5817</v>
      </c>
      <c r="F7554" s="1" t="s">
        <v>277</v>
      </c>
      <c r="H7554" s="1" t="s">
        <v>5818</v>
      </c>
      <c r="I7554" s="1" t="s">
        <v>19</v>
      </c>
      <c r="J7554" s="1" t="s">
        <v>6</v>
      </c>
      <c r="K7554" s="1" t="s">
        <v>24</v>
      </c>
      <c r="L7554" s="1">
        <v>4407537</v>
      </c>
      <c r="M7554" s="2">
        <v>42485</v>
      </c>
      <c r="N7554" s="1" t="s">
        <v>8</v>
      </c>
      <c r="O7554" s="2">
        <v>43580</v>
      </c>
    </row>
    <row r="7555" spans="1:15" ht="28.8" x14ac:dyDescent="0.3">
      <c r="A7555" s="1" t="s">
        <v>5819</v>
      </c>
      <c r="B7555" s="1" t="str">
        <f>"W F Clayton &amp; Co. Ltd."</f>
        <v>W F Clayton &amp; Co. Ltd.</v>
      </c>
      <c r="C7555" s="1" t="s">
        <v>5820</v>
      </c>
      <c r="F7555" s="1" t="s">
        <v>1321</v>
      </c>
      <c r="H7555" s="1" t="s">
        <v>5821</v>
      </c>
      <c r="I7555" s="1" t="s">
        <v>19</v>
      </c>
      <c r="J7555" s="1" t="s">
        <v>6</v>
      </c>
      <c r="K7555" s="1" t="s">
        <v>34</v>
      </c>
      <c r="L7555" s="1">
        <v>5852787</v>
      </c>
      <c r="M7555" s="2">
        <v>42485</v>
      </c>
      <c r="N7555" s="1" t="s">
        <v>8</v>
      </c>
      <c r="O7555" s="2">
        <v>43580</v>
      </c>
    </row>
    <row r="7556" spans="1:15" ht="43.2" x14ac:dyDescent="0.3">
      <c r="A7556" s="1" t="s">
        <v>5822</v>
      </c>
      <c r="B7556" s="1" t="str">
        <f>"TERRY REFFELL PENCOED LTD"</f>
        <v>TERRY REFFELL PENCOED LTD</v>
      </c>
      <c r="C7556" s="1" t="s">
        <v>5823</v>
      </c>
      <c r="F7556" s="1" t="s">
        <v>865</v>
      </c>
      <c r="H7556" s="1" t="s">
        <v>5824</v>
      </c>
      <c r="I7556" s="1" t="s">
        <v>19</v>
      </c>
      <c r="J7556" s="1" t="s">
        <v>67</v>
      </c>
      <c r="K7556" s="1" t="s">
        <v>14</v>
      </c>
      <c r="M7556" s="2">
        <v>42485</v>
      </c>
      <c r="N7556" s="1" t="s">
        <v>8</v>
      </c>
      <c r="O7556" s="1" t="s">
        <v>68</v>
      </c>
    </row>
    <row r="7557" spans="1:15" ht="28.8" x14ac:dyDescent="0.3">
      <c r="A7557" s="1" t="s">
        <v>6972</v>
      </c>
      <c r="B7557" s="1" t="str">
        <f>"ATLANTIC RECYCLING LTD"</f>
        <v>ATLANTIC RECYCLING LTD</v>
      </c>
      <c r="C7557" s="1" t="s">
        <v>6973</v>
      </c>
      <c r="D7557" s="1" t="s">
        <v>6974</v>
      </c>
      <c r="F7557" s="1" t="s">
        <v>1137</v>
      </c>
      <c r="H7557" s="1" t="s">
        <v>501</v>
      </c>
      <c r="I7557" s="1" t="s">
        <v>19</v>
      </c>
      <c r="J7557" s="1" t="s">
        <v>6</v>
      </c>
      <c r="K7557" s="1" t="s">
        <v>34</v>
      </c>
      <c r="L7557" s="1">
        <v>5834347</v>
      </c>
      <c r="M7557" s="2">
        <v>42485</v>
      </c>
      <c r="N7557" s="1" t="s">
        <v>8</v>
      </c>
      <c r="O7557" s="2">
        <v>43580</v>
      </c>
    </row>
    <row r="7558" spans="1:15" ht="28.8" x14ac:dyDescent="0.3">
      <c r="A7558" s="1" t="s">
        <v>6975</v>
      </c>
      <c r="B7558" s="1" t="str">
        <f>"Premier Builders (Port Talbot) Ltd."</f>
        <v>Premier Builders (Port Talbot) Ltd.</v>
      </c>
      <c r="C7558" s="1" t="s">
        <v>6976</v>
      </c>
      <c r="F7558" s="1" t="s">
        <v>1351</v>
      </c>
      <c r="H7558" s="1" t="s">
        <v>6977</v>
      </c>
      <c r="I7558" s="1" t="s">
        <v>19</v>
      </c>
      <c r="J7558" s="1" t="s">
        <v>6</v>
      </c>
      <c r="K7558" s="1" t="s">
        <v>24</v>
      </c>
      <c r="L7558" s="1">
        <v>3148150</v>
      </c>
      <c r="M7558" s="2">
        <v>42485</v>
      </c>
      <c r="N7558" s="1" t="s">
        <v>8</v>
      </c>
      <c r="O7558" s="2">
        <v>43580</v>
      </c>
    </row>
    <row r="7559" spans="1:15" ht="43.2" x14ac:dyDescent="0.3">
      <c r="A7559" s="1" t="s">
        <v>6978</v>
      </c>
      <c r="B7559" s="1" t="str">
        <f>"Roathwell Sugery"</f>
        <v>Roathwell Sugery</v>
      </c>
      <c r="C7559" s="1" t="s">
        <v>6979</v>
      </c>
      <c r="F7559" s="1" t="s">
        <v>27</v>
      </c>
      <c r="H7559" s="1" t="s">
        <v>6980</v>
      </c>
      <c r="I7559" s="1" t="s">
        <v>125</v>
      </c>
      <c r="J7559" s="1" t="s">
        <v>67</v>
      </c>
      <c r="K7559" s="1" t="s">
        <v>14</v>
      </c>
      <c r="M7559" s="2">
        <v>42485</v>
      </c>
      <c r="N7559" s="1" t="s">
        <v>8</v>
      </c>
      <c r="O7559" s="1" t="s">
        <v>68</v>
      </c>
    </row>
    <row r="7560" spans="1:15" ht="28.8" x14ac:dyDescent="0.3">
      <c r="A7560" s="1" t="s">
        <v>6981</v>
      </c>
      <c r="B7560" s="1" t="str">
        <f>"Egan Waste Services Ltd."</f>
        <v>Egan Waste Services Ltd.</v>
      </c>
      <c r="C7560" s="1" t="s">
        <v>6982</v>
      </c>
      <c r="F7560" s="1" t="s">
        <v>277</v>
      </c>
      <c r="H7560" s="1" t="s">
        <v>6983</v>
      </c>
      <c r="I7560" s="1" t="s">
        <v>19</v>
      </c>
      <c r="J7560" s="1" t="s">
        <v>6</v>
      </c>
      <c r="K7560" s="1" t="s">
        <v>34</v>
      </c>
      <c r="L7560" s="1">
        <v>4920542</v>
      </c>
      <c r="M7560" s="2">
        <v>42485</v>
      </c>
      <c r="N7560" s="1" t="s">
        <v>8</v>
      </c>
      <c r="O7560" s="2">
        <v>43580</v>
      </c>
    </row>
    <row r="7561" spans="1:15" ht="43.2" x14ac:dyDescent="0.3">
      <c r="A7561" s="1" t="s">
        <v>6984</v>
      </c>
      <c r="B7561" s="1" t="str">
        <f>"DIRECT GRAVEL SUPPLIES LTD"</f>
        <v>DIRECT GRAVEL SUPPLIES LTD</v>
      </c>
      <c r="C7561" s="1" t="s">
        <v>6985</v>
      </c>
      <c r="F7561" s="1" t="s">
        <v>6986</v>
      </c>
      <c r="H7561" s="1" t="s">
        <v>6987</v>
      </c>
      <c r="I7561" s="1" t="s">
        <v>19</v>
      </c>
      <c r="J7561" s="1" t="s">
        <v>67</v>
      </c>
      <c r="K7561" s="1" t="s">
        <v>14</v>
      </c>
      <c r="M7561" s="2">
        <v>42485</v>
      </c>
      <c r="N7561" s="1" t="s">
        <v>8</v>
      </c>
      <c r="O7561" s="1" t="s">
        <v>68</v>
      </c>
    </row>
    <row r="7562" spans="1:15" ht="28.8" x14ac:dyDescent="0.3">
      <c r="A7562" s="1" t="s">
        <v>20436</v>
      </c>
      <c r="B7562" s="1" t="str">
        <f>"Ruby  Price  Ruby Price "</f>
        <v xml:space="preserve">Ruby  Price  Ruby Price </v>
      </c>
      <c r="C7562" s="1" t="s">
        <v>20437</v>
      </c>
      <c r="F7562" s="1" t="s">
        <v>290</v>
      </c>
      <c r="H7562" s="1" t="s">
        <v>19790</v>
      </c>
      <c r="I7562" s="1" t="s">
        <v>5</v>
      </c>
      <c r="J7562" s="1" t="s">
        <v>6</v>
      </c>
      <c r="K7562" s="1" t="s">
        <v>34</v>
      </c>
      <c r="M7562" s="2">
        <v>42485</v>
      </c>
      <c r="N7562" s="1" t="s">
        <v>8</v>
      </c>
      <c r="O7562" s="2">
        <v>43580</v>
      </c>
    </row>
    <row r="7563" spans="1:15" ht="28.8" x14ac:dyDescent="0.3">
      <c r="A7563" s="1" t="s">
        <v>21210</v>
      </c>
      <c r="B7563" s="1" t="str">
        <f>"Gordon Hoskins GEE C Hoskins"</f>
        <v>Gordon Hoskins GEE C Hoskins</v>
      </c>
      <c r="C7563" s="1" t="s">
        <v>21211</v>
      </c>
      <c r="D7563" s="1" t="s">
        <v>1867</v>
      </c>
      <c r="F7563" s="1" t="s">
        <v>4656</v>
      </c>
      <c r="H7563" s="1" t="s">
        <v>1868</v>
      </c>
      <c r="I7563" s="1" t="s">
        <v>5</v>
      </c>
      <c r="J7563" s="1" t="s">
        <v>6</v>
      </c>
      <c r="K7563" s="1" t="s">
        <v>24</v>
      </c>
      <c r="M7563" s="2">
        <v>42485</v>
      </c>
      <c r="N7563" s="1" t="s">
        <v>8</v>
      </c>
      <c r="O7563" s="2">
        <v>43580</v>
      </c>
    </row>
    <row r="7564" spans="1:15" ht="28.8" x14ac:dyDescent="0.3">
      <c r="A7564" s="1" t="s">
        <v>21212</v>
      </c>
      <c r="B7564" s="1" t="str">
        <f>"Philip Huish Philip huish "</f>
        <v xml:space="preserve">Philip Huish Philip huish </v>
      </c>
      <c r="C7564" s="1" t="s">
        <v>21213</v>
      </c>
      <c r="D7564" s="1" t="s">
        <v>16307</v>
      </c>
      <c r="F7564" s="1" t="s">
        <v>873</v>
      </c>
      <c r="H7564" s="1" t="s">
        <v>21214</v>
      </c>
      <c r="I7564" s="1" t="s">
        <v>5</v>
      </c>
      <c r="J7564" s="1" t="s">
        <v>6</v>
      </c>
      <c r="K7564" s="1" t="s">
        <v>34</v>
      </c>
      <c r="M7564" s="2">
        <v>42485</v>
      </c>
      <c r="N7564" s="1" t="s">
        <v>8</v>
      </c>
      <c r="O7564" s="2">
        <v>43580</v>
      </c>
    </row>
    <row r="7565" spans="1:15" ht="28.8" x14ac:dyDescent="0.3">
      <c r="A7565" s="1" t="s">
        <v>21215</v>
      </c>
      <c r="B7565" s="1" t="str">
        <f>"Nigel Butfield Access All Areas Cleaning"</f>
        <v>Nigel Butfield Access All Areas Cleaning</v>
      </c>
      <c r="C7565" s="1" t="s">
        <v>21216</v>
      </c>
      <c r="F7565" s="1" t="s">
        <v>65</v>
      </c>
      <c r="H7565" s="1" t="s">
        <v>21217</v>
      </c>
      <c r="I7565" s="1" t="s">
        <v>5</v>
      </c>
      <c r="J7565" s="1" t="s">
        <v>6</v>
      </c>
      <c r="K7565" s="1" t="s">
        <v>34</v>
      </c>
      <c r="M7565" s="2">
        <v>42485</v>
      </c>
      <c r="N7565" s="1" t="s">
        <v>8</v>
      </c>
      <c r="O7565" s="2">
        <v>43580</v>
      </c>
    </row>
    <row r="7566" spans="1:15" x14ac:dyDescent="0.3">
      <c r="A7566" s="1" t="s">
        <v>21218</v>
      </c>
      <c r="B7566" s="1" t="str">
        <f>"jason kidley jk recycling"</f>
        <v>jason kidley jk recycling</v>
      </c>
      <c r="C7566" s="1" t="s">
        <v>21219</v>
      </c>
      <c r="F7566" s="1" t="s">
        <v>103</v>
      </c>
      <c r="H7566" s="1" t="s">
        <v>21220</v>
      </c>
      <c r="I7566" s="1" t="s">
        <v>5</v>
      </c>
      <c r="J7566" s="1" t="s">
        <v>6</v>
      </c>
      <c r="K7566" s="1" t="s">
        <v>24</v>
      </c>
      <c r="M7566" s="2">
        <v>42485</v>
      </c>
      <c r="N7566" s="1" t="s">
        <v>8</v>
      </c>
      <c r="O7566" s="2">
        <v>43580</v>
      </c>
    </row>
    <row r="7567" spans="1:15" ht="28.8" x14ac:dyDescent="0.3">
      <c r="A7567" s="1" t="s">
        <v>5792</v>
      </c>
      <c r="B7567" s="1" t="str">
        <f>"owen humphreys adeiladwyr"</f>
        <v>owen humphreys adeiladwyr</v>
      </c>
      <c r="C7567" s="1" t="s">
        <v>5793</v>
      </c>
      <c r="F7567" s="1" t="s">
        <v>2281</v>
      </c>
      <c r="H7567" s="1" t="s">
        <v>5794</v>
      </c>
      <c r="I7567" s="1" t="s">
        <v>19</v>
      </c>
      <c r="J7567" s="1" t="s">
        <v>6</v>
      </c>
      <c r="K7567" s="1" t="s">
        <v>34</v>
      </c>
      <c r="L7567" s="1">
        <v>8932746</v>
      </c>
      <c r="M7567" s="2">
        <v>42484</v>
      </c>
      <c r="N7567" s="1" t="s">
        <v>8</v>
      </c>
      <c r="O7567" s="2">
        <v>43579</v>
      </c>
    </row>
    <row r="7568" spans="1:15" ht="28.8" x14ac:dyDescent="0.3">
      <c r="A7568" s="1" t="s">
        <v>20433</v>
      </c>
      <c r="B7568" s="1" t="str">
        <f>"Alan Ayris Nova"</f>
        <v>Alan Ayris Nova</v>
      </c>
      <c r="C7568" s="1" t="s">
        <v>20434</v>
      </c>
      <c r="F7568" s="1" t="s">
        <v>27</v>
      </c>
      <c r="H7568" s="1" t="s">
        <v>20435</v>
      </c>
      <c r="I7568" s="1" t="s">
        <v>5</v>
      </c>
      <c r="J7568" s="1" t="s">
        <v>6</v>
      </c>
      <c r="K7568" s="1" t="s">
        <v>24</v>
      </c>
      <c r="M7568" s="2">
        <v>42484</v>
      </c>
      <c r="N7568" s="1" t="s">
        <v>8</v>
      </c>
      <c r="O7568" s="2">
        <v>43579</v>
      </c>
    </row>
    <row r="7569" spans="1:15" ht="28.8" x14ac:dyDescent="0.3">
      <c r="A7569" s="1" t="s">
        <v>3507</v>
      </c>
      <c r="B7569" s="1" t="str">
        <f>"Tuf Treads (Dyfed) Ltd."</f>
        <v>Tuf Treads (Dyfed) Ltd.</v>
      </c>
      <c r="C7569" s="1" t="s">
        <v>3508</v>
      </c>
      <c r="D7569" s="1" t="s">
        <v>3509</v>
      </c>
      <c r="F7569" s="1" t="s">
        <v>42</v>
      </c>
      <c r="H7569" s="1" t="s">
        <v>3510</v>
      </c>
      <c r="I7569" s="1" t="s">
        <v>19</v>
      </c>
      <c r="J7569" s="1" t="s">
        <v>6</v>
      </c>
      <c r="K7569" s="1" t="s">
        <v>24</v>
      </c>
      <c r="L7569" s="1">
        <v>1424620</v>
      </c>
      <c r="M7569" s="2">
        <v>42483</v>
      </c>
      <c r="N7569" s="1" t="s">
        <v>8</v>
      </c>
      <c r="O7569" s="2">
        <v>43578</v>
      </c>
    </row>
    <row r="7570" spans="1:15" ht="28.8" x14ac:dyDescent="0.3">
      <c r="A7570" s="1" t="s">
        <v>126</v>
      </c>
      <c r="B7570" s="1" t="str">
        <f>"Mark Miller mark miller"</f>
        <v>Mark Miller mark miller</v>
      </c>
      <c r="C7570" s="1" t="s">
        <v>127</v>
      </c>
      <c r="F7570" s="1" t="s">
        <v>42</v>
      </c>
      <c r="H7570" s="1" t="s">
        <v>128</v>
      </c>
      <c r="I7570" s="1" t="s">
        <v>5</v>
      </c>
      <c r="J7570" s="1" t="s">
        <v>6</v>
      </c>
      <c r="K7570" s="1" t="s">
        <v>34</v>
      </c>
      <c r="M7570" s="2">
        <v>42482</v>
      </c>
      <c r="N7570" s="1" t="s">
        <v>8</v>
      </c>
      <c r="O7570" s="2">
        <v>44672</v>
      </c>
    </row>
    <row r="7571" spans="1:15" ht="43.2" x14ac:dyDescent="0.3">
      <c r="A7571" s="1" t="s">
        <v>3492</v>
      </c>
      <c r="B7571" s="1" t="str">
        <f>"Pebble Engineering Ltd"</f>
        <v>Pebble Engineering Ltd</v>
      </c>
      <c r="C7571" s="1" t="s">
        <v>3493</v>
      </c>
      <c r="D7571" s="1" t="s">
        <v>3494</v>
      </c>
      <c r="F7571" s="1" t="s">
        <v>1351</v>
      </c>
      <c r="H7571" s="1" t="s">
        <v>3495</v>
      </c>
      <c r="I7571" s="1" t="s">
        <v>19</v>
      </c>
      <c r="J7571" s="1" t="s">
        <v>67</v>
      </c>
      <c r="K7571" s="1" t="s">
        <v>14</v>
      </c>
      <c r="M7571" s="2">
        <v>42482</v>
      </c>
      <c r="N7571" s="1" t="s">
        <v>8</v>
      </c>
      <c r="O7571" s="1" t="s">
        <v>68</v>
      </c>
    </row>
    <row r="7572" spans="1:15" ht="43.2" x14ac:dyDescent="0.3">
      <c r="A7572" s="1" t="s">
        <v>3496</v>
      </c>
      <c r="B7572" s="1" t="str">
        <f>"Llangybi Garden Group"</f>
        <v>Llangybi Garden Group</v>
      </c>
      <c r="C7572" s="1" t="s">
        <v>3497</v>
      </c>
      <c r="F7572" s="1" t="s">
        <v>790</v>
      </c>
      <c r="H7572" s="1" t="s">
        <v>3498</v>
      </c>
      <c r="I7572" s="1" t="s">
        <v>1872</v>
      </c>
      <c r="J7572" s="1" t="s">
        <v>67</v>
      </c>
      <c r="K7572" s="1" t="s">
        <v>14</v>
      </c>
      <c r="M7572" s="2">
        <v>42482</v>
      </c>
      <c r="N7572" s="1" t="s">
        <v>8</v>
      </c>
      <c r="O7572" s="1" t="s">
        <v>68</v>
      </c>
    </row>
    <row r="7573" spans="1:15" ht="28.8" x14ac:dyDescent="0.3">
      <c r="A7573" s="1" t="s">
        <v>3499</v>
      </c>
      <c r="B7573" s="1" t="str">
        <f>"GRP Light Haulage Ltd"</f>
        <v>GRP Light Haulage Ltd</v>
      </c>
      <c r="C7573" s="1" t="s">
        <v>3500</v>
      </c>
      <c r="F7573" s="1" t="s">
        <v>102</v>
      </c>
      <c r="H7573" s="1" t="s">
        <v>3501</v>
      </c>
      <c r="I7573" s="1" t="s">
        <v>19</v>
      </c>
      <c r="J7573" s="1" t="s">
        <v>6</v>
      </c>
      <c r="K7573" s="1" t="s">
        <v>24</v>
      </c>
      <c r="L7573" s="1">
        <v>6827352</v>
      </c>
      <c r="M7573" s="2">
        <v>42482</v>
      </c>
      <c r="N7573" s="1" t="s">
        <v>8</v>
      </c>
      <c r="O7573" s="2">
        <v>43577</v>
      </c>
    </row>
    <row r="7574" spans="1:15" ht="43.2" x14ac:dyDescent="0.3">
      <c r="A7574" s="1" t="s">
        <v>3502</v>
      </c>
      <c r="B7574" s="1" t="str">
        <f>"n g motors &amp; partners"</f>
        <v>n g motors &amp; partners</v>
      </c>
      <c r="C7574" s="1" t="s">
        <v>3503</v>
      </c>
      <c r="F7574" s="1" t="s">
        <v>27</v>
      </c>
      <c r="H7574" s="1" t="s">
        <v>3504</v>
      </c>
      <c r="I7574" s="1" t="s">
        <v>125</v>
      </c>
      <c r="J7574" s="1" t="s">
        <v>67</v>
      </c>
      <c r="K7574" s="1" t="s">
        <v>24</v>
      </c>
      <c r="M7574" s="2">
        <v>42482</v>
      </c>
      <c r="N7574" s="1" t="s">
        <v>8</v>
      </c>
      <c r="O7574" s="1" t="s">
        <v>68</v>
      </c>
    </row>
    <row r="7575" spans="1:15" x14ac:dyDescent="0.3">
      <c r="A7575" s="1" t="s">
        <v>3505</v>
      </c>
      <c r="B7575" s="1" t="str">
        <f>"Fred Lloyd &amp; Sons Ltd."</f>
        <v>Fred Lloyd &amp; Sons Ltd.</v>
      </c>
      <c r="C7575" s="1" t="s">
        <v>3506</v>
      </c>
      <c r="F7575" s="1" t="s">
        <v>1175</v>
      </c>
      <c r="H7575" s="1" t="s">
        <v>3341</v>
      </c>
      <c r="I7575" s="1" t="s">
        <v>19</v>
      </c>
      <c r="J7575" s="1" t="s">
        <v>6</v>
      </c>
      <c r="K7575" s="1" t="s">
        <v>24</v>
      </c>
      <c r="L7575" s="1">
        <v>1057113</v>
      </c>
      <c r="M7575" s="2">
        <v>42482</v>
      </c>
      <c r="N7575" s="1" t="s">
        <v>8</v>
      </c>
      <c r="O7575" s="2">
        <v>43577</v>
      </c>
    </row>
    <row r="7576" spans="1:15" ht="28.8" x14ac:dyDescent="0.3">
      <c r="A7576" s="1" t="s">
        <v>18228</v>
      </c>
      <c r="B7576" s="1" t="str">
        <f>"Hants &amp; Dorset Gardening Services "</f>
        <v xml:space="preserve">Hants &amp; Dorset Gardening Services </v>
      </c>
      <c r="C7576" s="1" t="s">
        <v>18229</v>
      </c>
      <c r="F7576" s="1" t="s">
        <v>6637</v>
      </c>
      <c r="H7576" s="1" t="s">
        <v>18230</v>
      </c>
      <c r="I7576" s="1" t="s">
        <v>19</v>
      </c>
      <c r="J7576" s="1" t="s">
        <v>6</v>
      </c>
      <c r="K7576" s="1" t="s">
        <v>24</v>
      </c>
      <c r="L7576" s="1">
        <v>8645084</v>
      </c>
      <c r="M7576" s="2">
        <v>42482</v>
      </c>
      <c r="N7576" s="1" t="s">
        <v>8</v>
      </c>
      <c r="O7576" s="2">
        <v>43577</v>
      </c>
    </row>
    <row r="7577" spans="1:15" ht="43.2" x14ac:dyDescent="0.3">
      <c r="A7577" s="1" t="s">
        <v>18231</v>
      </c>
      <c r="B7577" s="1" t="str">
        <f>"WESTEND BUILDING &amp; CIVIL ENGINEERING CONTRACTORS LTD"</f>
        <v>WESTEND BUILDING &amp; CIVIL ENGINEERING CONTRACTORS LTD</v>
      </c>
      <c r="C7577" s="1" t="s">
        <v>18232</v>
      </c>
      <c r="F7577" s="1" t="s">
        <v>1175</v>
      </c>
      <c r="H7577" s="1" t="s">
        <v>4341</v>
      </c>
      <c r="I7577" s="1" t="s">
        <v>19</v>
      </c>
      <c r="J7577" s="1" t="s">
        <v>6</v>
      </c>
      <c r="K7577" s="1" t="s">
        <v>24</v>
      </c>
      <c r="L7577" s="1">
        <v>3882276</v>
      </c>
      <c r="M7577" s="2">
        <v>42482</v>
      </c>
      <c r="N7577" s="1" t="s">
        <v>8</v>
      </c>
      <c r="O7577" s="2">
        <v>43580</v>
      </c>
    </row>
    <row r="7578" spans="1:15" ht="28.8" x14ac:dyDescent="0.3">
      <c r="A7578" s="1" t="s">
        <v>18233</v>
      </c>
      <c r="B7578" s="1" t="str">
        <f>"Roperhurst Limited"</f>
        <v>Roperhurst Limited</v>
      </c>
      <c r="C7578" s="1" t="s">
        <v>18234</v>
      </c>
      <c r="D7578" s="1" t="s">
        <v>3004</v>
      </c>
      <c r="F7578" s="1" t="s">
        <v>706</v>
      </c>
      <c r="H7578" s="1" t="s">
        <v>1476</v>
      </c>
      <c r="I7578" s="1" t="s">
        <v>19</v>
      </c>
      <c r="J7578" s="1" t="s">
        <v>6</v>
      </c>
      <c r="K7578" s="1" t="s">
        <v>34</v>
      </c>
      <c r="L7578" s="1">
        <v>1251162</v>
      </c>
      <c r="M7578" s="2">
        <v>42482</v>
      </c>
      <c r="N7578" s="1" t="s">
        <v>8</v>
      </c>
      <c r="O7578" s="2">
        <v>43608</v>
      </c>
    </row>
    <row r="7579" spans="1:15" x14ac:dyDescent="0.3">
      <c r="A7579" s="1" t="s">
        <v>18235</v>
      </c>
      <c r="B7579" s="1" t="str">
        <f>"Kimberley Gulf Ltd."</f>
        <v>Kimberley Gulf Ltd.</v>
      </c>
      <c r="C7579" s="1" t="s">
        <v>18236</v>
      </c>
      <c r="D7579" s="1" t="s">
        <v>18237</v>
      </c>
      <c r="F7579" s="1" t="s">
        <v>710</v>
      </c>
      <c r="H7579" s="1" t="s">
        <v>3094</v>
      </c>
      <c r="I7579" s="1" t="s">
        <v>19</v>
      </c>
      <c r="J7579" s="1" t="s">
        <v>6</v>
      </c>
      <c r="K7579" s="1" t="s">
        <v>24</v>
      </c>
      <c r="L7579" s="1">
        <v>2439464</v>
      </c>
      <c r="M7579" s="2">
        <v>42482</v>
      </c>
      <c r="N7579" s="1" t="s">
        <v>8</v>
      </c>
      <c r="O7579" s="2">
        <v>43617</v>
      </c>
    </row>
    <row r="7580" spans="1:15" ht="28.8" x14ac:dyDescent="0.3">
      <c r="A7580" s="1" t="s">
        <v>18238</v>
      </c>
      <c r="B7580" s="1" t="str">
        <f>"HAWK ALLOYS LTD"</f>
        <v>HAWK ALLOYS LTD</v>
      </c>
      <c r="C7580" s="1" t="s">
        <v>18239</v>
      </c>
      <c r="D7580" s="1" t="s">
        <v>18240</v>
      </c>
      <c r="F7580" s="1" t="s">
        <v>4944</v>
      </c>
      <c r="H7580" s="1" t="s">
        <v>18241</v>
      </c>
      <c r="I7580" s="1" t="s">
        <v>19</v>
      </c>
      <c r="J7580" s="1" t="s">
        <v>6</v>
      </c>
      <c r="K7580" s="1" t="s">
        <v>24</v>
      </c>
      <c r="L7580" s="1">
        <v>7036788</v>
      </c>
      <c r="M7580" s="2">
        <v>42482</v>
      </c>
      <c r="N7580" s="1" t="s">
        <v>8</v>
      </c>
      <c r="O7580" s="2">
        <v>43577</v>
      </c>
    </row>
    <row r="7581" spans="1:15" ht="43.2" x14ac:dyDescent="0.3">
      <c r="A7581" s="1" t="s">
        <v>18242</v>
      </c>
      <c r="B7581" s="1" t="str">
        <f>"D E PHILLIPS &amp; SONS LTD"</f>
        <v>D E PHILLIPS &amp; SONS LTD</v>
      </c>
      <c r="C7581" s="1" t="s">
        <v>18243</v>
      </c>
      <c r="F7581" s="1" t="s">
        <v>9179</v>
      </c>
      <c r="H7581" s="1" t="s">
        <v>18244</v>
      </c>
      <c r="I7581" s="1" t="s">
        <v>19</v>
      </c>
      <c r="J7581" s="1" t="s">
        <v>67</v>
      </c>
      <c r="K7581" s="1" t="s">
        <v>24</v>
      </c>
      <c r="L7581" s="1">
        <v>6868042</v>
      </c>
      <c r="M7581" s="2">
        <v>42482</v>
      </c>
      <c r="N7581" s="1" t="s">
        <v>8</v>
      </c>
      <c r="O7581" s="1" t="s">
        <v>68</v>
      </c>
    </row>
    <row r="7582" spans="1:15" ht="28.8" x14ac:dyDescent="0.3">
      <c r="A7582" s="1" t="s">
        <v>18245</v>
      </c>
      <c r="B7582" s="1" t="str">
        <f>"Ellaway Environmental Ltd"</f>
        <v>Ellaway Environmental Ltd</v>
      </c>
      <c r="C7582" s="1" t="s">
        <v>18246</v>
      </c>
      <c r="F7582" s="1" t="s">
        <v>37</v>
      </c>
      <c r="H7582" s="1" t="s">
        <v>18247</v>
      </c>
      <c r="I7582" s="1" t="s">
        <v>19</v>
      </c>
      <c r="J7582" s="1" t="s">
        <v>6</v>
      </c>
      <c r="K7582" s="1" t="s">
        <v>34</v>
      </c>
      <c r="M7582" s="2">
        <v>42482</v>
      </c>
      <c r="N7582" s="1" t="s">
        <v>8</v>
      </c>
      <c r="O7582" s="2">
        <v>43576</v>
      </c>
    </row>
    <row r="7583" spans="1:15" ht="28.8" x14ac:dyDescent="0.3">
      <c r="A7583" s="1" t="s">
        <v>18802</v>
      </c>
      <c r="B7583" s="1" t="str">
        <f>"Brian Clarke Brian Clarke"</f>
        <v>Brian Clarke Brian Clarke</v>
      </c>
      <c r="C7583" s="1" t="s">
        <v>18803</v>
      </c>
      <c r="F7583" s="1" t="s">
        <v>27</v>
      </c>
      <c r="H7583" s="1" t="s">
        <v>18804</v>
      </c>
      <c r="I7583" s="1" t="s">
        <v>5</v>
      </c>
      <c r="J7583" s="1" t="s">
        <v>6</v>
      </c>
      <c r="K7583" s="1" t="s">
        <v>34</v>
      </c>
      <c r="M7583" s="2">
        <v>42482</v>
      </c>
      <c r="N7583" s="1" t="s">
        <v>8</v>
      </c>
      <c r="O7583" s="2">
        <v>43577</v>
      </c>
    </row>
    <row r="7584" spans="1:15" ht="43.2" x14ac:dyDescent="0.3">
      <c r="A7584" s="1" t="s">
        <v>18805</v>
      </c>
      <c r="B7584" s="1" t="str">
        <f>"Mark Anderson Grosvenor Garden Services"</f>
        <v>Mark Anderson Grosvenor Garden Services</v>
      </c>
      <c r="C7584" s="1" t="s">
        <v>526</v>
      </c>
      <c r="F7584" s="1" t="s">
        <v>27</v>
      </c>
      <c r="H7584" s="1" t="s">
        <v>527</v>
      </c>
      <c r="I7584" s="1" t="s">
        <v>5</v>
      </c>
      <c r="J7584" s="1" t="s">
        <v>6</v>
      </c>
      <c r="K7584" s="1" t="s">
        <v>24</v>
      </c>
      <c r="M7584" s="2">
        <v>42482</v>
      </c>
      <c r="N7584" s="1" t="s">
        <v>8</v>
      </c>
      <c r="O7584" s="2">
        <v>43577</v>
      </c>
    </row>
    <row r="7585" spans="1:15" ht="28.8" x14ac:dyDescent="0.3">
      <c r="A7585" s="1" t="s">
        <v>18806</v>
      </c>
      <c r="B7585" s="1" t="str">
        <f>"Derrick Bendon D. J. Bendon Builders"</f>
        <v>Derrick Bendon D. J. Bendon Builders</v>
      </c>
      <c r="C7585" s="1" t="s">
        <v>18807</v>
      </c>
      <c r="F7585" s="1" t="s">
        <v>205</v>
      </c>
      <c r="H7585" s="1" t="s">
        <v>18808</v>
      </c>
      <c r="I7585" s="1" t="s">
        <v>5</v>
      </c>
      <c r="J7585" s="1" t="s">
        <v>6</v>
      </c>
      <c r="K7585" s="1" t="s">
        <v>24</v>
      </c>
      <c r="M7585" s="2">
        <v>42482</v>
      </c>
      <c r="N7585" s="1" t="s">
        <v>8</v>
      </c>
      <c r="O7585" s="2">
        <v>43577</v>
      </c>
    </row>
    <row r="7586" spans="1:15" ht="28.8" x14ac:dyDescent="0.3">
      <c r="A7586" s="1" t="s">
        <v>18809</v>
      </c>
      <c r="B7586" s="1" t="str">
        <f>"John Whatling John Whatling"</f>
        <v>John Whatling John Whatling</v>
      </c>
      <c r="C7586" s="1" t="s">
        <v>18810</v>
      </c>
      <c r="F7586" s="1" t="s">
        <v>1511</v>
      </c>
      <c r="H7586" s="1" t="s">
        <v>18811</v>
      </c>
      <c r="I7586" s="1" t="s">
        <v>5</v>
      </c>
      <c r="J7586" s="1" t="s">
        <v>6</v>
      </c>
      <c r="K7586" s="1" t="s">
        <v>24</v>
      </c>
      <c r="M7586" s="2">
        <v>42482</v>
      </c>
      <c r="N7586" s="1" t="s">
        <v>8</v>
      </c>
      <c r="O7586" s="2">
        <v>43577</v>
      </c>
    </row>
    <row r="7587" spans="1:15" ht="43.2" x14ac:dyDescent="0.3">
      <c r="A7587" s="1" t="s">
        <v>29862</v>
      </c>
      <c r="B7587" s="1" t="str">
        <f>"roy mohamed"</f>
        <v>roy mohamed</v>
      </c>
      <c r="C7587" s="1" t="s">
        <v>29863</v>
      </c>
      <c r="F7587" s="1" t="s">
        <v>27</v>
      </c>
      <c r="H7587" s="1" t="s">
        <v>29864</v>
      </c>
      <c r="I7587" s="1" t="s">
        <v>5</v>
      </c>
      <c r="J7587" s="1" t="s">
        <v>67</v>
      </c>
      <c r="K7587" s="1" t="s">
        <v>14</v>
      </c>
      <c r="M7587" s="2">
        <v>42482</v>
      </c>
      <c r="N7587" s="1" t="s">
        <v>8</v>
      </c>
      <c r="O7587" s="1" t="s">
        <v>68</v>
      </c>
    </row>
    <row r="7588" spans="1:15" ht="28.8" x14ac:dyDescent="0.3">
      <c r="A7588" s="1" t="s">
        <v>1343</v>
      </c>
      <c r="B7588" s="1" t="str">
        <f>"Plancast Ltd"</f>
        <v>Plancast Ltd</v>
      </c>
      <c r="C7588" s="1" t="s">
        <v>1344</v>
      </c>
      <c r="D7588" s="1" t="s">
        <v>1345</v>
      </c>
      <c r="E7588" s="1" t="s">
        <v>1097</v>
      </c>
      <c r="F7588" s="1" t="s">
        <v>1346</v>
      </c>
      <c r="H7588" s="1" t="s">
        <v>1347</v>
      </c>
      <c r="I7588" s="1" t="s">
        <v>19</v>
      </c>
      <c r="J7588" s="1" t="s">
        <v>6</v>
      </c>
      <c r="K7588" s="1" t="s">
        <v>34</v>
      </c>
      <c r="L7588" s="1">
        <v>8650960</v>
      </c>
      <c r="M7588" s="2">
        <v>42481</v>
      </c>
      <c r="N7588" s="1" t="s">
        <v>8</v>
      </c>
      <c r="O7588" s="2">
        <v>44671</v>
      </c>
    </row>
    <row r="7589" spans="1:15" ht="28.8" x14ac:dyDescent="0.3">
      <c r="A7589" s="1" t="s">
        <v>1597</v>
      </c>
      <c r="B7589" s="1" t="str">
        <f>"Darlow Lloyd &amp; Sons Ltd."</f>
        <v>Darlow Lloyd &amp; Sons Ltd.</v>
      </c>
      <c r="C7589" s="1" t="s">
        <v>1598</v>
      </c>
      <c r="D7589" s="1" t="s">
        <v>1599</v>
      </c>
      <c r="E7589" s="1" t="s">
        <v>1600</v>
      </c>
      <c r="F7589" s="1" t="s">
        <v>1351</v>
      </c>
      <c r="H7589" s="1" t="s">
        <v>1601</v>
      </c>
      <c r="I7589" s="1" t="s">
        <v>19</v>
      </c>
      <c r="J7589" s="1" t="s">
        <v>6</v>
      </c>
      <c r="K7589" s="1" t="s">
        <v>34</v>
      </c>
      <c r="L7589" s="1">
        <v>1132524</v>
      </c>
      <c r="M7589" s="2">
        <v>42481</v>
      </c>
      <c r="N7589" s="1" t="s">
        <v>8</v>
      </c>
      <c r="O7589" s="2">
        <v>44672</v>
      </c>
    </row>
    <row r="7590" spans="1:15" ht="28.8" x14ac:dyDescent="0.3">
      <c r="A7590" s="1" t="s">
        <v>17204</v>
      </c>
      <c r="B7590" s="1" t="str">
        <f>"Seal (U P V C  Products) Ltd."</f>
        <v>Seal (U P V C  Products) Ltd.</v>
      </c>
      <c r="C7590" s="1" t="s">
        <v>17205</v>
      </c>
      <c r="D7590" s="1" t="s">
        <v>551</v>
      </c>
      <c r="E7590" s="1" t="s">
        <v>449</v>
      </c>
      <c r="F7590" s="1" t="s">
        <v>42</v>
      </c>
      <c r="H7590" s="1" t="s">
        <v>552</v>
      </c>
      <c r="I7590" s="1" t="s">
        <v>19</v>
      </c>
      <c r="J7590" s="1" t="s">
        <v>6</v>
      </c>
      <c r="K7590" s="1" t="s">
        <v>34</v>
      </c>
      <c r="L7590" s="1">
        <v>2242314</v>
      </c>
      <c r="M7590" s="2">
        <v>42481</v>
      </c>
      <c r="N7590" s="1" t="s">
        <v>8</v>
      </c>
      <c r="O7590" s="2">
        <v>43576</v>
      </c>
    </row>
    <row r="7591" spans="1:15" ht="28.8" x14ac:dyDescent="0.3">
      <c r="A7591" s="1" t="s">
        <v>17206</v>
      </c>
      <c r="B7591" s="1" t="str">
        <f>"GARDNER PROPERTIES LTD"</f>
        <v>GARDNER PROPERTIES LTD</v>
      </c>
      <c r="C7591" s="1" t="s">
        <v>17207</v>
      </c>
      <c r="F7591" s="1" t="s">
        <v>2757</v>
      </c>
      <c r="H7591" s="1" t="s">
        <v>17208</v>
      </c>
      <c r="I7591" s="1" t="s">
        <v>19</v>
      </c>
      <c r="J7591" s="1" t="s">
        <v>6</v>
      </c>
      <c r="K7591" s="1" t="s">
        <v>34</v>
      </c>
      <c r="L7591" s="1">
        <v>5092876</v>
      </c>
      <c r="M7591" s="2">
        <v>42481</v>
      </c>
      <c r="N7591" s="1" t="s">
        <v>8</v>
      </c>
      <c r="O7591" s="2">
        <v>43576</v>
      </c>
    </row>
    <row r="7592" spans="1:15" ht="28.8" x14ac:dyDescent="0.3">
      <c r="A7592" s="1" t="s">
        <v>17209</v>
      </c>
      <c r="B7592" s="1" t="str">
        <f>"A&amp;m Carpenrty and construction ltd"</f>
        <v>A&amp;m Carpenrty and construction ltd</v>
      </c>
      <c r="C7592" s="1" t="s">
        <v>17210</v>
      </c>
      <c r="F7592" s="1" t="s">
        <v>17211</v>
      </c>
      <c r="H7592" s="1" t="s">
        <v>17212</v>
      </c>
      <c r="I7592" s="1" t="s">
        <v>19</v>
      </c>
      <c r="J7592" s="1" t="s">
        <v>6</v>
      </c>
      <c r="K7592" s="1" t="s">
        <v>24</v>
      </c>
      <c r="L7592" s="1">
        <v>9104215</v>
      </c>
      <c r="M7592" s="2">
        <v>42481</v>
      </c>
      <c r="N7592" s="1" t="s">
        <v>8</v>
      </c>
      <c r="O7592" s="2">
        <v>43576</v>
      </c>
    </row>
    <row r="7593" spans="1:15" ht="43.2" x14ac:dyDescent="0.3">
      <c r="A7593" s="1" t="s">
        <v>18209</v>
      </c>
      <c r="B7593" s="1" t="str">
        <f>"EXPRESS CONTRACT DRYING LTD"</f>
        <v>EXPRESS CONTRACT DRYING LTD</v>
      </c>
      <c r="C7593" s="1" t="s">
        <v>13746</v>
      </c>
      <c r="F7593" s="1" t="s">
        <v>653</v>
      </c>
      <c r="H7593" s="1" t="s">
        <v>18210</v>
      </c>
      <c r="I7593" s="1" t="s">
        <v>19</v>
      </c>
      <c r="J7593" s="1" t="s">
        <v>67</v>
      </c>
      <c r="K7593" s="1" t="s">
        <v>14</v>
      </c>
      <c r="M7593" s="2">
        <v>42481</v>
      </c>
      <c r="N7593" s="1" t="s">
        <v>8</v>
      </c>
      <c r="O7593" s="1" t="s">
        <v>68</v>
      </c>
    </row>
    <row r="7594" spans="1:15" x14ac:dyDescent="0.3">
      <c r="A7594" s="1" t="s">
        <v>18211</v>
      </c>
      <c r="B7594" s="1" t="str">
        <f>"Huw Parsons Ltd."</f>
        <v>Huw Parsons Ltd.</v>
      </c>
      <c r="C7594" s="1" t="s">
        <v>18212</v>
      </c>
      <c r="F7594" s="1" t="s">
        <v>1511</v>
      </c>
      <c r="H7594" s="1" t="s">
        <v>18213</v>
      </c>
      <c r="I7594" s="1" t="s">
        <v>19</v>
      </c>
      <c r="J7594" s="1" t="s">
        <v>6</v>
      </c>
      <c r="K7594" s="1" t="s">
        <v>24</v>
      </c>
      <c r="L7594" s="1">
        <v>4888834</v>
      </c>
      <c r="M7594" s="2">
        <v>42481</v>
      </c>
      <c r="N7594" s="1" t="s">
        <v>8</v>
      </c>
      <c r="O7594" s="2">
        <v>43576</v>
      </c>
    </row>
    <row r="7595" spans="1:15" ht="28.8" x14ac:dyDescent="0.3">
      <c r="A7595" s="1" t="s">
        <v>18214</v>
      </c>
      <c r="B7595" s="1" t="str">
        <f>"Llandovery Antiques Centre"</f>
        <v>Llandovery Antiques Centre</v>
      </c>
      <c r="C7595" s="1" t="s">
        <v>18215</v>
      </c>
      <c r="F7595" s="1" t="s">
        <v>9261</v>
      </c>
      <c r="H7595" s="1" t="s">
        <v>18216</v>
      </c>
      <c r="I7595" s="1" t="s">
        <v>125</v>
      </c>
      <c r="J7595" s="1" t="s">
        <v>6</v>
      </c>
      <c r="K7595" s="1" t="s">
        <v>34</v>
      </c>
      <c r="M7595" s="2">
        <v>42481</v>
      </c>
      <c r="N7595" s="1" t="s">
        <v>8</v>
      </c>
      <c r="O7595" s="2">
        <v>43576</v>
      </c>
    </row>
    <row r="7596" spans="1:15" ht="28.8" x14ac:dyDescent="0.3">
      <c r="A7596" s="1" t="s">
        <v>18217</v>
      </c>
      <c r="B7596" s="1" t="str">
        <f>"W H &amp; M A Roberts"</f>
        <v>W H &amp; M A Roberts</v>
      </c>
      <c r="C7596" s="1" t="s">
        <v>18218</v>
      </c>
      <c r="F7596" s="1" t="s">
        <v>790</v>
      </c>
      <c r="H7596" s="1" t="s">
        <v>18219</v>
      </c>
      <c r="I7596" s="1" t="s">
        <v>125</v>
      </c>
      <c r="J7596" s="1" t="s">
        <v>6</v>
      </c>
      <c r="K7596" s="1" t="s">
        <v>34</v>
      </c>
      <c r="M7596" s="2">
        <v>42481</v>
      </c>
      <c r="N7596" s="1" t="s">
        <v>8</v>
      </c>
      <c r="O7596" s="2">
        <v>43576</v>
      </c>
    </row>
    <row r="7597" spans="1:15" ht="43.2" x14ac:dyDescent="0.3">
      <c r="A7597" s="1" t="s">
        <v>18220</v>
      </c>
      <c r="B7597" s="1" t="str">
        <f>"Goodwick motor services"</f>
        <v>Goodwick motor services</v>
      </c>
      <c r="C7597" s="1" t="s">
        <v>18221</v>
      </c>
      <c r="D7597" s="1" t="s">
        <v>7077</v>
      </c>
      <c r="F7597" s="1" t="s">
        <v>3519</v>
      </c>
      <c r="H7597" s="1" t="s">
        <v>7078</v>
      </c>
      <c r="I7597" s="1" t="s">
        <v>19</v>
      </c>
      <c r="J7597" s="1" t="s">
        <v>67</v>
      </c>
      <c r="K7597" s="1" t="s">
        <v>14</v>
      </c>
      <c r="M7597" s="2">
        <v>42481</v>
      </c>
      <c r="N7597" s="1" t="s">
        <v>8</v>
      </c>
      <c r="O7597" s="1" t="s">
        <v>68</v>
      </c>
    </row>
    <row r="7598" spans="1:15" ht="28.8" x14ac:dyDescent="0.3">
      <c r="A7598" s="1" t="s">
        <v>18222</v>
      </c>
      <c r="B7598" s="1" t="str">
        <f>"AJB Plumbing &amp;Heating Contractors"</f>
        <v>AJB Plumbing &amp;Heating Contractors</v>
      </c>
      <c r="C7598" s="1" t="s">
        <v>18223</v>
      </c>
      <c r="F7598" s="1" t="s">
        <v>2277</v>
      </c>
      <c r="H7598" s="1" t="s">
        <v>18224</v>
      </c>
      <c r="I7598" s="1" t="s">
        <v>19</v>
      </c>
      <c r="J7598" s="1" t="s">
        <v>6</v>
      </c>
      <c r="K7598" s="1" t="s">
        <v>34</v>
      </c>
      <c r="L7598" s="1">
        <v>9734701</v>
      </c>
      <c r="M7598" s="2">
        <v>42481</v>
      </c>
      <c r="N7598" s="1" t="s">
        <v>8</v>
      </c>
      <c r="O7598" s="2">
        <v>43576</v>
      </c>
    </row>
    <row r="7599" spans="1:15" ht="28.8" x14ac:dyDescent="0.3">
      <c r="A7599" s="1" t="s">
        <v>18225</v>
      </c>
      <c r="B7599" s="1" t="str">
        <f>"A1 GRAB HIRE"</f>
        <v>A1 GRAB HIRE</v>
      </c>
      <c r="C7599" s="1" t="s">
        <v>18226</v>
      </c>
      <c r="F7599" s="1" t="s">
        <v>9159</v>
      </c>
      <c r="H7599" s="1" t="s">
        <v>18227</v>
      </c>
      <c r="I7599" s="1" t="s">
        <v>19</v>
      </c>
      <c r="J7599" s="1" t="s">
        <v>6</v>
      </c>
      <c r="K7599" s="1" t="s">
        <v>34</v>
      </c>
      <c r="L7599" s="1">
        <v>8561429</v>
      </c>
      <c r="M7599" s="2">
        <v>42481</v>
      </c>
      <c r="N7599" s="1" t="s">
        <v>8</v>
      </c>
      <c r="O7599" s="2">
        <v>43576</v>
      </c>
    </row>
    <row r="7600" spans="1:15" ht="43.2" x14ac:dyDescent="0.3">
      <c r="A7600" s="1" t="s">
        <v>29846</v>
      </c>
      <c r="B7600" s="1" t="str">
        <f>"Matthew Williams"</f>
        <v>Matthew Williams</v>
      </c>
      <c r="C7600" s="1" t="s">
        <v>29847</v>
      </c>
      <c r="F7600" s="1" t="s">
        <v>42</v>
      </c>
      <c r="H7600" s="1" t="s">
        <v>22450</v>
      </c>
      <c r="I7600" s="1" t="s">
        <v>5</v>
      </c>
      <c r="J7600" s="1" t="s">
        <v>67</v>
      </c>
      <c r="K7600" s="1" t="s">
        <v>14</v>
      </c>
      <c r="M7600" s="2">
        <v>42481</v>
      </c>
      <c r="N7600" s="1" t="s">
        <v>8</v>
      </c>
      <c r="O7600" s="1" t="s">
        <v>68</v>
      </c>
    </row>
    <row r="7601" spans="1:15" x14ac:dyDescent="0.3">
      <c r="A7601" s="1" t="s">
        <v>29848</v>
      </c>
      <c r="B7601" s="1" t="str">
        <f>"John Vaughan Butters"</f>
        <v>John Vaughan Butters</v>
      </c>
      <c r="C7601" s="1" t="s">
        <v>29849</v>
      </c>
      <c r="F7601" s="1" t="s">
        <v>7844</v>
      </c>
      <c r="H7601" s="1" t="s">
        <v>29850</v>
      </c>
      <c r="I7601" s="1" t="s">
        <v>5</v>
      </c>
      <c r="J7601" s="1" t="s">
        <v>6</v>
      </c>
      <c r="K7601" s="1" t="s">
        <v>24</v>
      </c>
      <c r="M7601" s="2">
        <v>42481</v>
      </c>
      <c r="N7601" s="1" t="s">
        <v>8</v>
      </c>
      <c r="O7601" s="2">
        <v>43576</v>
      </c>
    </row>
    <row r="7602" spans="1:15" x14ac:dyDescent="0.3">
      <c r="A7602" s="1" t="s">
        <v>29851</v>
      </c>
      <c r="B7602" s="1" t="str">
        <f>"Steven Davies"</f>
        <v>Steven Davies</v>
      </c>
      <c r="C7602" s="1" t="s">
        <v>29852</v>
      </c>
      <c r="F7602" s="1" t="s">
        <v>790</v>
      </c>
      <c r="H7602" s="1" t="s">
        <v>29853</v>
      </c>
      <c r="I7602" s="1" t="s">
        <v>5</v>
      </c>
      <c r="J7602" s="1" t="s">
        <v>6</v>
      </c>
      <c r="K7602" s="1" t="s">
        <v>24</v>
      </c>
      <c r="M7602" s="2">
        <v>42481</v>
      </c>
      <c r="N7602" s="1" t="s">
        <v>8</v>
      </c>
      <c r="O7602" s="2">
        <v>43576</v>
      </c>
    </row>
    <row r="7603" spans="1:15" ht="43.2" x14ac:dyDescent="0.3">
      <c r="A7603" s="1" t="s">
        <v>29854</v>
      </c>
      <c r="B7603" s="1" t="str">
        <f>"Duane Anning"</f>
        <v>Duane Anning</v>
      </c>
      <c r="C7603" s="1" t="s">
        <v>29855</v>
      </c>
      <c r="D7603" s="1" t="s">
        <v>7874</v>
      </c>
      <c r="F7603" s="1" t="s">
        <v>3426</v>
      </c>
      <c r="H7603" s="1" t="s">
        <v>4361</v>
      </c>
      <c r="I7603" s="1" t="s">
        <v>5</v>
      </c>
      <c r="J7603" s="1" t="s">
        <v>67</v>
      </c>
      <c r="K7603" s="1" t="s">
        <v>14</v>
      </c>
      <c r="M7603" s="2">
        <v>42481</v>
      </c>
      <c r="N7603" s="1" t="s">
        <v>8</v>
      </c>
      <c r="O7603" s="1" t="s">
        <v>68</v>
      </c>
    </row>
    <row r="7604" spans="1:15" ht="28.8" x14ac:dyDescent="0.3">
      <c r="A7604" s="1" t="s">
        <v>29856</v>
      </c>
      <c r="B7604" s="1" t="str">
        <f>"Gary Davies Dyfed Fencing Services"</f>
        <v>Gary Davies Dyfed Fencing Services</v>
      </c>
      <c r="C7604" s="1" t="s">
        <v>29857</v>
      </c>
      <c r="F7604" s="1" t="s">
        <v>2200</v>
      </c>
      <c r="H7604" s="1" t="s">
        <v>29858</v>
      </c>
      <c r="I7604" s="1" t="s">
        <v>5</v>
      </c>
      <c r="J7604" s="1" t="s">
        <v>6</v>
      </c>
      <c r="K7604" s="1" t="s">
        <v>24</v>
      </c>
      <c r="M7604" s="2">
        <v>42481</v>
      </c>
      <c r="N7604" s="1" t="s">
        <v>8</v>
      </c>
      <c r="O7604" s="2">
        <v>43576</v>
      </c>
    </row>
    <row r="7605" spans="1:15" ht="43.2" x14ac:dyDescent="0.3">
      <c r="A7605" s="1" t="s">
        <v>29859</v>
      </c>
      <c r="B7605" s="1" t="str">
        <f>"Sukhwinder Singh"</f>
        <v>Sukhwinder Singh</v>
      </c>
      <c r="C7605" s="1" t="s">
        <v>29860</v>
      </c>
      <c r="F7605" s="1" t="s">
        <v>5042</v>
      </c>
      <c r="H7605" s="1" t="s">
        <v>29861</v>
      </c>
      <c r="I7605" s="1" t="s">
        <v>5</v>
      </c>
      <c r="J7605" s="1" t="s">
        <v>67</v>
      </c>
      <c r="K7605" s="1" t="s">
        <v>14</v>
      </c>
      <c r="M7605" s="2">
        <v>42481</v>
      </c>
      <c r="N7605" s="1" t="s">
        <v>8</v>
      </c>
      <c r="O7605" s="1" t="s">
        <v>68</v>
      </c>
    </row>
    <row r="7606" spans="1:15" ht="28.8" x14ac:dyDescent="0.3">
      <c r="A7606" s="1" t="s">
        <v>292</v>
      </c>
      <c r="B7606" s="1" t="str">
        <f>"Twt Logistics Ltd."</f>
        <v>Twt Logistics Ltd.</v>
      </c>
      <c r="C7606" s="1" t="s">
        <v>293</v>
      </c>
      <c r="F7606" s="1" t="s">
        <v>294</v>
      </c>
      <c r="H7606" s="1" t="s">
        <v>295</v>
      </c>
      <c r="I7606" s="1" t="s">
        <v>19</v>
      </c>
      <c r="J7606" s="1" t="s">
        <v>6</v>
      </c>
      <c r="K7606" s="1" t="s">
        <v>24</v>
      </c>
      <c r="L7606" s="1">
        <v>2914472</v>
      </c>
      <c r="M7606" s="2">
        <v>42480</v>
      </c>
      <c r="N7606" s="1" t="s">
        <v>8</v>
      </c>
      <c r="O7606" s="2">
        <v>44671</v>
      </c>
    </row>
    <row r="7607" spans="1:15" ht="43.2" x14ac:dyDescent="0.3">
      <c r="A7607" s="1" t="s">
        <v>17175</v>
      </c>
      <c r="B7607" s="1" t="str">
        <f>"Tuffins TA Delves and Co"</f>
        <v>Tuffins TA Delves and Co</v>
      </c>
      <c r="C7607" s="1" t="s">
        <v>17176</v>
      </c>
      <c r="F7607" s="1" t="s">
        <v>4536</v>
      </c>
      <c r="H7607" s="1" t="s">
        <v>17177</v>
      </c>
      <c r="I7607" s="1" t="s">
        <v>19</v>
      </c>
      <c r="J7607" s="1" t="s">
        <v>67</v>
      </c>
      <c r="K7607" s="1" t="s">
        <v>14</v>
      </c>
      <c r="M7607" s="2">
        <v>42480</v>
      </c>
      <c r="N7607" s="1" t="s">
        <v>8</v>
      </c>
      <c r="O7607" s="1" t="s">
        <v>68</v>
      </c>
    </row>
    <row r="7608" spans="1:15" ht="43.2" x14ac:dyDescent="0.3">
      <c r="A7608" s="1" t="s">
        <v>17178</v>
      </c>
      <c r="B7608" s="1" t="str">
        <f>"Overton Medical Practice"</f>
        <v>Overton Medical Practice</v>
      </c>
      <c r="C7608" s="1" t="s">
        <v>17179</v>
      </c>
      <c r="F7608" s="1" t="s">
        <v>17180</v>
      </c>
      <c r="H7608" s="1" t="s">
        <v>17181</v>
      </c>
      <c r="I7608" s="1" t="s">
        <v>125</v>
      </c>
      <c r="J7608" s="1" t="s">
        <v>67</v>
      </c>
      <c r="K7608" s="1" t="s">
        <v>14</v>
      </c>
      <c r="M7608" s="2">
        <v>42480</v>
      </c>
      <c r="N7608" s="1" t="s">
        <v>8</v>
      </c>
      <c r="O7608" s="1" t="s">
        <v>68</v>
      </c>
    </row>
    <row r="7609" spans="1:15" ht="28.8" x14ac:dyDescent="0.3">
      <c r="A7609" s="1" t="s">
        <v>17182</v>
      </c>
      <c r="B7609" s="1" t="str">
        <f>"Haven Home Care (UK) Ltd"</f>
        <v>Haven Home Care (UK) Ltd</v>
      </c>
      <c r="C7609" s="1" t="s">
        <v>15479</v>
      </c>
      <c r="D7609" s="1" t="s">
        <v>2623</v>
      </c>
      <c r="F7609" s="1" t="s">
        <v>65</v>
      </c>
      <c r="H7609" s="1" t="s">
        <v>15480</v>
      </c>
      <c r="I7609" s="1" t="s">
        <v>19</v>
      </c>
      <c r="J7609" s="1" t="s">
        <v>6</v>
      </c>
      <c r="K7609" s="1" t="s">
        <v>24</v>
      </c>
      <c r="L7609" s="1">
        <v>8997164</v>
      </c>
      <c r="M7609" s="2">
        <v>42480</v>
      </c>
      <c r="N7609" s="1" t="s">
        <v>8</v>
      </c>
      <c r="O7609" s="2">
        <v>43575</v>
      </c>
    </row>
    <row r="7610" spans="1:15" ht="28.8" x14ac:dyDescent="0.3">
      <c r="A7610" s="1" t="s">
        <v>17183</v>
      </c>
      <c r="B7610" s="1" t="str">
        <f>"J Jones"</f>
        <v>J Jones</v>
      </c>
      <c r="C7610" s="1" t="s">
        <v>17184</v>
      </c>
      <c r="D7610" s="1" t="s">
        <v>17185</v>
      </c>
      <c r="F7610" s="1" t="s">
        <v>17186</v>
      </c>
      <c r="H7610" s="1" t="s">
        <v>17187</v>
      </c>
      <c r="I7610" s="1" t="s">
        <v>125</v>
      </c>
      <c r="J7610" s="1" t="s">
        <v>6</v>
      </c>
      <c r="K7610" s="1" t="s">
        <v>34</v>
      </c>
      <c r="M7610" s="2">
        <v>42480</v>
      </c>
      <c r="N7610" s="1" t="s">
        <v>8</v>
      </c>
      <c r="O7610" s="2">
        <v>43575</v>
      </c>
    </row>
    <row r="7611" spans="1:15" ht="28.8" x14ac:dyDescent="0.3">
      <c r="A7611" s="1" t="s">
        <v>17188</v>
      </c>
      <c r="B7611" s="1" t="str">
        <f>"J R S MECHANICAL SERVICES LTD"</f>
        <v>J R S MECHANICAL SERVICES LTD</v>
      </c>
      <c r="C7611" s="1" t="s">
        <v>17189</v>
      </c>
      <c r="F7611" s="1" t="s">
        <v>374</v>
      </c>
      <c r="H7611" s="1" t="s">
        <v>17190</v>
      </c>
      <c r="I7611" s="1" t="s">
        <v>19</v>
      </c>
      <c r="J7611" s="1" t="s">
        <v>6</v>
      </c>
      <c r="K7611" s="1" t="s">
        <v>24</v>
      </c>
      <c r="L7611" s="1">
        <v>2719196</v>
      </c>
      <c r="M7611" s="2">
        <v>42480</v>
      </c>
      <c r="N7611" s="1" t="s">
        <v>8</v>
      </c>
      <c r="O7611" s="2">
        <v>43575</v>
      </c>
    </row>
    <row r="7612" spans="1:15" ht="43.2" x14ac:dyDescent="0.3">
      <c r="A7612" s="1" t="s">
        <v>17191</v>
      </c>
      <c r="B7612" s="1" t="str">
        <f>"James Jones &amp; Sons Limited"</f>
        <v>James Jones &amp; Sons Limited</v>
      </c>
      <c r="C7612" s="1" t="s">
        <v>17192</v>
      </c>
      <c r="D7612" s="1" t="s">
        <v>197</v>
      </c>
      <c r="F7612" s="1" t="s">
        <v>198</v>
      </c>
      <c r="H7612" s="1" t="s">
        <v>7475</v>
      </c>
      <c r="I7612" s="1" t="s">
        <v>19</v>
      </c>
      <c r="J7612" s="1" t="s">
        <v>67</v>
      </c>
      <c r="K7612" s="1" t="s">
        <v>24</v>
      </c>
      <c r="L7612" s="1">
        <v>1674796</v>
      </c>
      <c r="M7612" s="2">
        <v>42480</v>
      </c>
      <c r="N7612" s="1" t="s">
        <v>8</v>
      </c>
      <c r="O7612" s="1" t="s">
        <v>68</v>
      </c>
    </row>
    <row r="7613" spans="1:15" ht="28.8" x14ac:dyDescent="0.3">
      <c r="A7613" s="1" t="s">
        <v>17193</v>
      </c>
      <c r="B7613" s="1" t="str">
        <f>"Davies Skips ltd"</f>
        <v>Davies Skips ltd</v>
      </c>
      <c r="C7613" s="1" t="s">
        <v>17194</v>
      </c>
      <c r="F7613" s="1" t="s">
        <v>1351</v>
      </c>
      <c r="H7613" s="1" t="s">
        <v>17195</v>
      </c>
      <c r="I7613" s="1" t="s">
        <v>19</v>
      </c>
      <c r="J7613" s="1" t="s">
        <v>6</v>
      </c>
      <c r="K7613" s="1" t="s">
        <v>24</v>
      </c>
      <c r="L7613" s="1">
        <v>5063543</v>
      </c>
      <c r="M7613" s="2">
        <v>42480</v>
      </c>
      <c r="N7613" s="1" t="s">
        <v>8</v>
      </c>
      <c r="O7613" s="2">
        <v>43575</v>
      </c>
    </row>
    <row r="7614" spans="1:15" ht="57.6" x14ac:dyDescent="0.3">
      <c r="A7614" s="1" t="s">
        <v>17196</v>
      </c>
      <c r="B7614" s="1" t="str">
        <f>"Kingspan Light + Air (UK &amp; Ireland) Limited"</f>
        <v>Kingspan Light + Air (UK &amp; Ireland) Limited</v>
      </c>
      <c r="C7614" s="1" t="s">
        <v>17197</v>
      </c>
      <c r="D7614" s="1" t="s">
        <v>14349</v>
      </c>
      <c r="E7614" s="1" t="s">
        <v>8138</v>
      </c>
      <c r="F7614" s="1" t="s">
        <v>27</v>
      </c>
      <c r="H7614" s="1" t="s">
        <v>3553</v>
      </c>
      <c r="I7614" s="1" t="s">
        <v>19</v>
      </c>
      <c r="J7614" s="1" t="s">
        <v>6</v>
      </c>
      <c r="K7614" s="1" t="s">
        <v>24</v>
      </c>
      <c r="L7614" s="1">
        <v>2940609</v>
      </c>
      <c r="M7614" s="2">
        <v>42480</v>
      </c>
      <c r="N7614" s="1" t="s">
        <v>8</v>
      </c>
      <c r="O7614" s="2">
        <v>43574</v>
      </c>
    </row>
    <row r="7615" spans="1:15" ht="43.2" x14ac:dyDescent="0.3">
      <c r="A7615" s="1" t="s">
        <v>17198</v>
      </c>
      <c r="B7615" s="1" t="str">
        <f>"Coronation Construction &amp; Maintenance Ltd."</f>
        <v>Coronation Construction &amp; Maintenance Ltd.</v>
      </c>
      <c r="C7615" s="1" t="s">
        <v>17199</v>
      </c>
      <c r="F7615" s="1" t="s">
        <v>27</v>
      </c>
      <c r="H7615" s="1" t="s">
        <v>17200</v>
      </c>
      <c r="I7615" s="1" t="s">
        <v>19</v>
      </c>
      <c r="J7615" s="1" t="s">
        <v>6</v>
      </c>
      <c r="K7615" s="1" t="s">
        <v>24</v>
      </c>
      <c r="L7615" s="1">
        <v>4397180</v>
      </c>
      <c r="M7615" s="2">
        <v>42480</v>
      </c>
      <c r="N7615" s="1" t="s">
        <v>8</v>
      </c>
      <c r="O7615" s="2">
        <v>43575</v>
      </c>
    </row>
    <row r="7616" spans="1:15" ht="28.8" x14ac:dyDescent="0.3">
      <c r="A7616" s="1" t="s">
        <v>17201</v>
      </c>
      <c r="B7616" s="1" t="str">
        <f>"m. &amp; a. kynaston haulage"</f>
        <v>m. &amp; a. kynaston haulage</v>
      </c>
      <c r="C7616" s="1" t="s">
        <v>17202</v>
      </c>
      <c r="D7616" s="1" t="s">
        <v>7673</v>
      </c>
      <c r="F7616" s="1" t="s">
        <v>2950</v>
      </c>
      <c r="H7616" s="1" t="s">
        <v>17203</v>
      </c>
      <c r="I7616" s="1" t="s">
        <v>125</v>
      </c>
      <c r="J7616" s="1" t="s">
        <v>6</v>
      </c>
      <c r="K7616" s="1" t="s">
        <v>24</v>
      </c>
      <c r="M7616" s="2">
        <v>42480</v>
      </c>
      <c r="N7616" s="1" t="s">
        <v>8</v>
      </c>
      <c r="O7616" s="2">
        <v>43575</v>
      </c>
    </row>
    <row r="7617" spans="1:15" ht="28.8" x14ac:dyDescent="0.3">
      <c r="A7617" s="1" t="s">
        <v>28354</v>
      </c>
      <c r="B7617" s="1" t="str">
        <f>"Vince  Oak Vince Oak"</f>
        <v>Vince  Oak Vince Oak</v>
      </c>
      <c r="C7617" s="1" t="s">
        <v>28355</v>
      </c>
      <c r="D7617" s="1" t="s">
        <v>500</v>
      </c>
      <c r="F7617" s="1" t="s">
        <v>27</v>
      </c>
      <c r="H7617" s="1" t="s">
        <v>28356</v>
      </c>
      <c r="I7617" s="1" t="s">
        <v>5</v>
      </c>
      <c r="J7617" s="1" t="s">
        <v>6</v>
      </c>
      <c r="K7617" s="1" t="s">
        <v>24</v>
      </c>
      <c r="M7617" s="2">
        <v>42480</v>
      </c>
      <c r="N7617" s="1" t="s">
        <v>8</v>
      </c>
      <c r="O7617" s="2">
        <v>43575</v>
      </c>
    </row>
    <row r="7618" spans="1:15" ht="28.8" x14ac:dyDescent="0.3">
      <c r="A7618" s="1" t="s">
        <v>29095</v>
      </c>
      <c r="B7618" s="1" t="str">
        <f>"DAVID GILES DAVID GILES"</f>
        <v>DAVID GILES DAVID GILES</v>
      </c>
      <c r="C7618" s="1" t="s">
        <v>29096</v>
      </c>
      <c r="F7618" s="1" t="s">
        <v>27</v>
      </c>
      <c r="H7618" s="1" t="s">
        <v>29097</v>
      </c>
      <c r="I7618" s="1" t="s">
        <v>5</v>
      </c>
      <c r="J7618" s="1" t="s">
        <v>6</v>
      </c>
      <c r="K7618" s="1" t="s">
        <v>24</v>
      </c>
      <c r="M7618" s="2">
        <v>42480</v>
      </c>
      <c r="N7618" s="1" t="s">
        <v>8</v>
      </c>
      <c r="O7618" s="2">
        <v>43575</v>
      </c>
    </row>
    <row r="7619" spans="1:15" ht="28.8" x14ac:dyDescent="0.3">
      <c r="A7619" s="1" t="s">
        <v>29098</v>
      </c>
      <c r="B7619" s="1" t="str">
        <f>"Vivian Lewis Vivian Lewis General Builder"</f>
        <v>Vivian Lewis Vivian Lewis General Builder</v>
      </c>
      <c r="C7619" s="1" t="s">
        <v>29099</v>
      </c>
      <c r="F7619" s="1" t="s">
        <v>65</v>
      </c>
      <c r="H7619" s="1" t="s">
        <v>29100</v>
      </c>
      <c r="I7619" s="1" t="s">
        <v>5</v>
      </c>
      <c r="J7619" s="1" t="s">
        <v>6</v>
      </c>
      <c r="K7619" s="1" t="s">
        <v>24</v>
      </c>
      <c r="M7619" s="2">
        <v>42480</v>
      </c>
      <c r="N7619" s="1" t="s">
        <v>8</v>
      </c>
      <c r="O7619" s="2">
        <v>43575</v>
      </c>
    </row>
    <row r="7620" spans="1:15" ht="28.8" x14ac:dyDescent="0.3">
      <c r="A7620" s="1" t="s">
        <v>1302</v>
      </c>
      <c r="B7620" s="1" t="str">
        <f>"Larchbond Facilities Limited"</f>
        <v>Larchbond Facilities Limited</v>
      </c>
      <c r="C7620" s="1" t="s">
        <v>1303</v>
      </c>
      <c r="D7620" s="1" t="s">
        <v>1304</v>
      </c>
      <c r="E7620" s="1" t="s">
        <v>1305</v>
      </c>
      <c r="F7620" s="1" t="s">
        <v>1306</v>
      </c>
      <c r="H7620" s="1" t="s">
        <v>1307</v>
      </c>
      <c r="I7620" s="1" t="s">
        <v>19</v>
      </c>
      <c r="J7620" s="1" t="s">
        <v>6</v>
      </c>
      <c r="K7620" s="1" t="s">
        <v>24</v>
      </c>
      <c r="L7620" s="1">
        <v>2502546</v>
      </c>
      <c r="M7620" s="2">
        <v>42479</v>
      </c>
      <c r="N7620" s="1" t="s">
        <v>8</v>
      </c>
      <c r="O7620" s="2">
        <v>44669</v>
      </c>
    </row>
    <row r="7621" spans="1:15" ht="43.2" x14ac:dyDescent="0.3">
      <c r="A7621" s="1" t="s">
        <v>1915</v>
      </c>
      <c r="B7621" s="1" t="str">
        <f>"M  &amp; M  Lowloaders Ltd."</f>
        <v>M  &amp; M  Lowloaders Ltd.</v>
      </c>
      <c r="C7621" s="1" t="s">
        <v>1916</v>
      </c>
      <c r="D7621" s="1" t="s">
        <v>1834</v>
      </c>
      <c r="F7621" s="1" t="s">
        <v>123</v>
      </c>
      <c r="H7621" s="1" t="s">
        <v>1917</v>
      </c>
      <c r="I7621" s="1" t="s">
        <v>19</v>
      </c>
      <c r="J7621" s="1" t="s">
        <v>6</v>
      </c>
      <c r="K7621" s="1" t="s">
        <v>24</v>
      </c>
      <c r="L7621" s="1">
        <v>1466892</v>
      </c>
      <c r="M7621" s="2">
        <v>42479</v>
      </c>
      <c r="N7621" s="1" t="s">
        <v>8</v>
      </c>
      <c r="O7621" s="2">
        <v>44670</v>
      </c>
    </row>
    <row r="7622" spans="1:15" ht="28.8" x14ac:dyDescent="0.3">
      <c r="A7622" s="1" t="s">
        <v>1941</v>
      </c>
      <c r="B7622" s="1" t="str">
        <f>"Ian Cockrill Spring Fields Trading"</f>
        <v>Ian Cockrill Spring Fields Trading</v>
      </c>
      <c r="C7622" s="1" t="s">
        <v>1942</v>
      </c>
      <c r="F7622" s="1" t="s">
        <v>65</v>
      </c>
      <c r="H7622" s="1" t="s">
        <v>1943</v>
      </c>
      <c r="I7622" s="1" t="s">
        <v>5</v>
      </c>
      <c r="J7622" s="1" t="s">
        <v>6</v>
      </c>
      <c r="K7622" s="1" t="s">
        <v>24</v>
      </c>
      <c r="M7622" s="2">
        <v>42479</v>
      </c>
      <c r="N7622" s="1" t="s">
        <v>8</v>
      </c>
      <c r="O7622" s="2">
        <v>44670</v>
      </c>
    </row>
    <row r="7623" spans="1:15" x14ac:dyDescent="0.3">
      <c r="A7623" s="1" t="s">
        <v>16217</v>
      </c>
      <c r="B7623" s="1" t="str">
        <f>"Eco Glazed Frames Ltd"</f>
        <v>Eco Glazed Frames Ltd</v>
      </c>
      <c r="C7623" s="1" t="s">
        <v>16218</v>
      </c>
      <c r="D7623" s="1" t="s">
        <v>3087</v>
      </c>
      <c r="E7623" s="1" t="s">
        <v>3088</v>
      </c>
      <c r="F7623" s="1" t="s">
        <v>27</v>
      </c>
      <c r="H7623" s="1" t="s">
        <v>4405</v>
      </c>
      <c r="I7623" s="1" t="s">
        <v>19</v>
      </c>
      <c r="J7623" s="1" t="s">
        <v>6</v>
      </c>
      <c r="K7623" s="1" t="s">
        <v>24</v>
      </c>
      <c r="L7623" s="1">
        <v>8222675</v>
      </c>
      <c r="M7623" s="2">
        <v>42479</v>
      </c>
      <c r="N7623" s="1" t="s">
        <v>8</v>
      </c>
      <c r="O7623" s="2">
        <v>43594</v>
      </c>
    </row>
    <row r="7624" spans="1:15" ht="43.2" x14ac:dyDescent="0.3">
      <c r="A7624" s="1" t="s">
        <v>16219</v>
      </c>
      <c r="B7624" s="1" t="str">
        <f>"GREEN PROPERTY SOLUTIONS LTD"</f>
        <v>GREEN PROPERTY SOLUTIONS LTD</v>
      </c>
      <c r="C7624" s="1" t="s">
        <v>9400</v>
      </c>
      <c r="F7624" s="1" t="s">
        <v>103</v>
      </c>
      <c r="H7624" s="1" t="s">
        <v>9401</v>
      </c>
      <c r="I7624" s="1" t="s">
        <v>19</v>
      </c>
      <c r="J7624" s="1" t="s">
        <v>67</v>
      </c>
      <c r="K7624" s="1" t="s">
        <v>24</v>
      </c>
      <c r="L7624" s="1">
        <v>7041130</v>
      </c>
      <c r="M7624" s="2">
        <v>42479</v>
      </c>
      <c r="N7624" s="1" t="s">
        <v>8</v>
      </c>
      <c r="O7624" s="1" t="s">
        <v>68</v>
      </c>
    </row>
    <row r="7625" spans="1:15" ht="28.8" x14ac:dyDescent="0.3">
      <c r="A7625" s="1" t="s">
        <v>16220</v>
      </c>
      <c r="B7625" s="1" t="str">
        <f>"Capital Garage Doors Limited"</f>
        <v>Capital Garage Doors Limited</v>
      </c>
      <c r="C7625" s="1" t="s">
        <v>16221</v>
      </c>
      <c r="D7625" s="1" t="s">
        <v>16222</v>
      </c>
      <c r="F7625" s="1" t="s">
        <v>12012</v>
      </c>
      <c r="H7625" s="1" t="s">
        <v>16223</v>
      </c>
      <c r="I7625" s="1" t="s">
        <v>19</v>
      </c>
      <c r="J7625" s="1" t="s">
        <v>6</v>
      </c>
      <c r="K7625" s="1" t="s">
        <v>24</v>
      </c>
      <c r="L7625" s="1">
        <v>1404601</v>
      </c>
      <c r="M7625" s="2">
        <v>42479</v>
      </c>
      <c r="N7625" s="1" t="s">
        <v>8</v>
      </c>
      <c r="O7625" s="2">
        <v>43574</v>
      </c>
    </row>
    <row r="7626" spans="1:15" ht="28.8" x14ac:dyDescent="0.3">
      <c r="A7626" s="1" t="s">
        <v>16224</v>
      </c>
      <c r="B7626" s="1" t="str">
        <f>"GALBOOLA LTD"</f>
        <v>GALBOOLA LTD</v>
      </c>
      <c r="C7626" s="1" t="s">
        <v>16225</v>
      </c>
      <c r="F7626" s="1" t="s">
        <v>380</v>
      </c>
      <c r="H7626" s="1" t="s">
        <v>16226</v>
      </c>
      <c r="I7626" s="1" t="s">
        <v>19</v>
      </c>
      <c r="J7626" s="1" t="s">
        <v>6</v>
      </c>
      <c r="K7626" s="1" t="s">
        <v>24</v>
      </c>
      <c r="L7626" s="1">
        <v>1237375</v>
      </c>
      <c r="M7626" s="2">
        <v>42479</v>
      </c>
      <c r="N7626" s="1" t="s">
        <v>8</v>
      </c>
      <c r="O7626" s="2">
        <v>43611</v>
      </c>
    </row>
    <row r="7627" spans="1:15" ht="43.2" x14ac:dyDescent="0.3">
      <c r="A7627" s="1" t="s">
        <v>16227</v>
      </c>
      <c r="B7627" s="1" t="str">
        <f>"RAJVEL CONSTRUCTION LIMITED"</f>
        <v>RAJVEL CONSTRUCTION LIMITED</v>
      </c>
      <c r="C7627" s="1" t="s">
        <v>16228</v>
      </c>
      <c r="F7627" s="1" t="s">
        <v>170</v>
      </c>
      <c r="H7627" s="1" t="s">
        <v>16229</v>
      </c>
      <c r="I7627" s="1" t="s">
        <v>19</v>
      </c>
      <c r="J7627" s="1" t="s">
        <v>6</v>
      </c>
      <c r="K7627" s="1" t="s">
        <v>24</v>
      </c>
      <c r="L7627" s="1">
        <v>3454304</v>
      </c>
      <c r="M7627" s="2">
        <v>42479</v>
      </c>
      <c r="N7627" s="1" t="s">
        <v>8</v>
      </c>
      <c r="O7627" s="2">
        <v>43574</v>
      </c>
    </row>
    <row r="7628" spans="1:15" ht="28.8" x14ac:dyDescent="0.3">
      <c r="A7628" s="1" t="s">
        <v>16230</v>
      </c>
      <c r="B7628" s="1" t="str">
        <f>"West Wales Utilities"</f>
        <v>West Wales Utilities</v>
      </c>
      <c r="C7628" s="1" t="s">
        <v>16231</v>
      </c>
      <c r="D7628" s="1" t="s">
        <v>16232</v>
      </c>
      <c r="F7628" s="1" t="s">
        <v>223</v>
      </c>
      <c r="H7628" s="1" t="s">
        <v>16233</v>
      </c>
      <c r="I7628" s="1" t="s">
        <v>19</v>
      </c>
      <c r="J7628" s="1" t="s">
        <v>6</v>
      </c>
      <c r="K7628" s="1" t="s">
        <v>34</v>
      </c>
      <c r="L7628" s="1">
        <v>4179343</v>
      </c>
      <c r="M7628" s="2">
        <v>42479</v>
      </c>
      <c r="N7628" s="1" t="s">
        <v>8</v>
      </c>
      <c r="O7628" s="2">
        <v>43574</v>
      </c>
    </row>
    <row r="7629" spans="1:15" ht="28.8" x14ac:dyDescent="0.3">
      <c r="A7629" s="1" t="s">
        <v>16234</v>
      </c>
      <c r="B7629" s="1" t="str">
        <f>"R A &amp; C E Platt Ltd."</f>
        <v>R A &amp; C E Platt Ltd.</v>
      </c>
      <c r="C7629" s="1" t="s">
        <v>14499</v>
      </c>
      <c r="D7629" s="1" t="s">
        <v>2596</v>
      </c>
      <c r="F7629" s="1" t="s">
        <v>198</v>
      </c>
      <c r="H7629" s="1" t="s">
        <v>4132</v>
      </c>
      <c r="I7629" s="1" t="s">
        <v>19</v>
      </c>
      <c r="J7629" s="1" t="s">
        <v>6</v>
      </c>
      <c r="K7629" s="1" t="s">
        <v>24</v>
      </c>
      <c r="L7629" s="1">
        <v>1500964</v>
      </c>
      <c r="M7629" s="2">
        <v>42479</v>
      </c>
      <c r="N7629" s="1" t="s">
        <v>8</v>
      </c>
      <c r="O7629" s="2">
        <v>43582</v>
      </c>
    </row>
    <row r="7630" spans="1:15" ht="28.8" x14ac:dyDescent="0.3">
      <c r="A7630" s="1" t="s">
        <v>16235</v>
      </c>
      <c r="B7630" s="1" t="str">
        <f>"P B SERVICES (WALES) LTD"</f>
        <v>P B SERVICES (WALES) LTD</v>
      </c>
      <c r="C7630" s="1" t="s">
        <v>16236</v>
      </c>
      <c r="F7630" s="1" t="s">
        <v>16099</v>
      </c>
      <c r="H7630" s="1" t="s">
        <v>16237</v>
      </c>
      <c r="I7630" s="1" t="s">
        <v>19</v>
      </c>
      <c r="J7630" s="1" t="s">
        <v>6</v>
      </c>
      <c r="K7630" s="1" t="s">
        <v>34</v>
      </c>
      <c r="L7630" s="1">
        <v>4812941</v>
      </c>
      <c r="M7630" s="2">
        <v>42479</v>
      </c>
      <c r="N7630" s="1" t="s">
        <v>8</v>
      </c>
      <c r="O7630" s="2">
        <v>43574</v>
      </c>
    </row>
    <row r="7631" spans="1:15" ht="28.8" x14ac:dyDescent="0.3">
      <c r="A7631" s="1" t="s">
        <v>16238</v>
      </c>
      <c r="B7631" s="1" t="str">
        <f>"Read Construction Holdings Ltd."</f>
        <v>Read Construction Holdings Ltd.</v>
      </c>
      <c r="C7631" s="1" t="s">
        <v>16239</v>
      </c>
      <c r="F7631" s="1" t="s">
        <v>198</v>
      </c>
      <c r="H7631" s="1" t="s">
        <v>16240</v>
      </c>
      <c r="I7631" s="1" t="s">
        <v>19</v>
      </c>
      <c r="J7631" s="1" t="s">
        <v>6</v>
      </c>
      <c r="K7631" s="1" t="s">
        <v>24</v>
      </c>
      <c r="L7631" s="1">
        <v>4401595</v>
      </c>
      <c r="M7631" s="2">
        <v>42479</v>
      </c>
      <c r="N7631" s="1" t="s">
        <v>8</v>
      </c>
      <c r="O7631" s="2">
        <v>43574</v>
      </c>
    </row>
    <row r="7632" spans="1:15" ht="28.8" x14ac:dyDescent="0.3">
      <c r="A7632" s="1" t="s">
        <v>16241</v>
      </c>
      <c r="B7632" s="1" t="str">
        <f>"G M Douglas"</f>
        <v>G M Douglas</v>
      </c>
      <c r="C7632" s="1" t="s">
        <v>16242</v>
      </c>
      <c r="D7632" s="1" t="s">
        <v>16243</v>
      </c>
      <c r="E7632" s="1" t="s">
        <v>5091</v>
      </c>
      <c r="F7632" s="1" t="s">
        <v>103</v>
      </c>
      <c r="H7632" s="1" t="s">
        <v>9842</v>
      </c>
      <c r="I7632" s="1" t="s">
        <v>19</v>
      </c>
      <c r="J7632" s="1" t="s">
        <v>6</v>
      </c>
      <c r="K7632" s="1" t="s">
        <v>24</v>
      </c>
      <c r="L7632" s="1">
        <v>7209900</v>
      </c>
      <c r="M7632" s="2">
        <v>42479</v>
      </c>
      <c r="N7632" s="1" t="s">
        <v>8</v>
      </c>
      <c r="O7632" s="2">
        <v>43574</v>
      </c>
    </row>
    <row r="7633" spans="1:15" ht="28.8" x14ac:dyDescent="0.3">
      <c r="A7633" s="1" t="s">
        <v>16244</v>
      </c>
      <c r="B7633" s="1" t="str">
        <f>"Straits Construction Ltd"</f>
        <v>Straits Construction Ltd</v>
      </c>
      <c r="C7633" s="1" t="s">
        <v>16245</v>
      </c>
      <c r="F7633" s="1" t="s">
        <v>16246</v>
      </c>
      <c r="H7633" s="1" t="s">
        <v>16247</v>
      </c>
      <c r="I7633" s="1" t="s">
        <v>19</v>
      </c>
      <c r="J7633" s="1" t="s">
        <v>6</v>
      </c>
      <c r="K7633" s="1" t="s">
        <v>34</v>
      </c>
      <c r="L7633" s="1">
        <v>1872168</v>
      </c>
      <c r="M7633" s="2">
        <v>42479</v>
      </c>
      <c r="N7633" s="1" t="s">
        <v>8</v>
      </c>
      <c r="O7633" s="2">
        <v>43574</v>
      </c>
    </row>
    <row r="7634" spans="1:15" ht="28.8" x14ac:dyDescent="0.3">
      <c r="A7634" s="1" t="s">
        <v>16248</v>
      </c>
      <c r="B7634" s="1" t="str">
        <f>"J&amp;S Landscaping and Tree Services"</f>
        <v>J&amp;S Landscaping and Tree Services</v>
      </c>
      <c r="C7634" s="1" t="s">
        <v>16249</v>
      </c>
      <c r="D7634" s="1" t="s">
        <v>666</v>
      </c>
      <c r="F7634" s="1" t="s">
        <v>16250</v>
      </c>
      <c r="H7634" s="1" t="s">
        <v>16251</v>
      </c>
      <c r="I7634" s="1" t="s">
        <v>19</v>
      </c>
      <c r="J7634" s="1" t="s">
        <v>6</v>
      </c>
      <c r="K7634" s="1" t="s">
        <v>34</v>
      </c>
      <c r="L7634" s="1">
        <v>10128941</v>
      </c>
      <c r="M7634" s="2">
        <v>42479</v>
      </c>
      <c r="N7634" s="1" t="s">
        <v>8</v>
      </c>
      <c r="O7634" s="2">
        <v>43574</v>
      </c>
    </row>
    <row r="7635" spans="1:15" ht="28.8" x14ac:dyDescent="0.3">
      <c r="A7635" s="1" t="s">
        <v>28336</v>
      </c>
      <c r="B7635" s="1" t="str">
        <f>"Gary Willis Alyn Garden Services"</f>
        <v>Gary Willis Alyn Garden Services</v>
      </c>
      <c r="C7635" s="1" t="s">
        <v>28337</v>
      </c>
      <c r="F7635" s="1" t="s">
        <v>1346</v>
      </c>
      <c r="H7635" s="1" t="s">
        <v>28338</v>
      </c>
      <c r="I7635" s="1" t="s">
        <v>5</v>
      </c>
      <c r="J7635" s="1" t="s">
        <v>6</v>
      </c>
      <c r="K7635" s="1" t="s">
        <v>24</v>
      </c>
      <c r="M7635" s="2">
        <v>42479</v>
      </c>
      <c r="N7635" s="1" t="s">
        <v>8</v>
      </c>
      <c r="O7635" s="2">
        <v>43574</v>
      </c>
    </row>
    <row r="7636" spans="1:15" ht="43.2" x14ac:dyDescent="0.3">
      <c r="A7636" s="1" t="s">
        <v>28339</v>
      </c>
      <c r="B7636" s="1" t="str">
        <f>"Gary Johnson"</f>
        <v>Gary Johnson</v>
      </c>
      <c r="C7636" s="1" t="s">
        <v>28340</v>
      </c>
      <c r="F7636" s="1" t="s">
        <v>25989</v>
      </c>
      <c r="H7636" s="1" t="s">
        <v>28341</v>
      </c>
      <c r="I7636" s="1" t="s">
        <v>5</v>
      </c>
      <c r="J7636" s="1" t="s">
        <v>67</v>
      </c>
      <c r="K7636" s="1" t="s">
        <v>14</v>
      </c>
      <c r="M7636" s="2">
        <v>42479</v>
      </c>
      <c r="N7636" s="1" t="s">
        <v>8</v>
      </c>
      <c r="O7636" s="1" t="s">
        <v>68</v>
      </c>
    </row>
    <row r="7637" spans="1:15" ht="28.8" x14ac:dyDescent="0.3">
      <c r="A7637" s="1" t="s">
        <v>28342</v>
      </c>
      <c r="B7637" s="1" t="str">
        <f>"wayne harrington wayne harrington"</f>
        <v>wayne harrington wayne harrington</v>
      </c>
      <c r="C7637" s="1" t="s">
        <v>28343</v>
      </c>
      <c r="F7637" s="1" t="s">
        <v>198</v>
      </c>
      <c r="H7637" s="1" t="s">
        <v>28344</v>
      </c>
      <c r="I7637" s="1" t="s">
        <v>5</v>
      </c>
      <c r="J7637" s="1" t="s">
        <v>6</v>
      </c>
      <c r="K7637" s="1" t="s">
        <v>24</v>
      </c>
      <c r="M7637" s="2">
        <v>42479</v>
      </c>
      <c r="N7637" s="1" t="s">
        <v>8</v>
      </c>
      <c r="O7637" s="2">
        <v>43574</v>
      </c>
    </row>
    <row r="7638" spans="1:15" ht="28.8" x14ac:dyDescent="0.3">
      <c r="A7638" s="1" t="s">
        <v>28345</v>
      </c>
      <c r="B7638" s="1" t="str">
        <f>"nicholas gurner at your service RCT"</f>
        <v>nicholas gurner at your service RCT</v>
      </c>
      <c r="C7638" s="1" t="s">
        <v>28346</v>
      </c>
      <c r="F7638" s="1" t="s">
        <v>277</v>
      </c>
      <c r="H7638" s="1" t="s">
        <v>28347</v>
      </c>
      <c r="I7638" s="1" t="s">
        <v>5</v>
      </c>
      <c r="J7638" s="1" t="s">
        <v>6</v>
      </c>
      <c r="K7638" s="1" t="s">
        <v>24</v>
      </c>
      <c r="M7638" s="2">
        <v>42479</v>
      </c>
      <c r="N7638" s="1" t="s">
        <v>8</v>
      </c>
      <c r="O7638" s="2">
        <v>43574</v>
      </c>
    </row>
    <row r="7639" spans="1:15" ht="28.8" x14ac:dyDescent="0.3">
      <c r="A7639" s="1" t="s">
        <v>28348</v>
      </c>
      <c r="B7639" s="1" t="str">
        <f>"Mark Gibbons  Marks house clearance center "</f>
        <v xml:space="preserve">Mark Gibbons  Marks house clearance center </v>
      </c>
      <c r="C7639" s="1" t="s">
        <v>28349</v>
      </c>
      <c r="F7639" s="1" t="s">
        <v>83</v>
      </c>
      <c r="H7639" s="1" t="s">
        <v>28350</v>
      </c>
      <c r="I7639" s="1" t="s">
        <v>5</v>
      </c>
      <c r="J7639" s="1" t="s">
        <v>6</v>
      </c>
      <c r="K7639" s="1" t="s">
        <v>34</v>
      </c>
      <c r="M7639" s="2">
        <v>42479</v>
      </c>
      <c r="N7639" s="1" t="s">
        <v>8</v>
      </c>
      <c r="O7639" s="2">
        <v>43581</v>
      </c>
    </row>
    <row r="7640" spans="1:15" ht="43.2" x14ac:dyDescent="0.3">
      <c r="A7640" s="1" t="s">
        <v>28351</v>
      </c>
      <c r="B7640" s="1" t="str">
        <f>"David Lawrence"</f>
        <v>David Lawrence</v>
      </c>
      <c r="C7640" s="1" t="s">
        <v>28352</v>
      </c>
      <c r="F7640" s="1" t="s">
        <v>873</v>
      </c>
      <c r="H7640" s="1" t="s">
        <v>28353</v>
      </c>
      <c r="I7640" s="1" t="s">
        <v>5</v>
      </c>
      <c r="J7640" s="1" t="s">
        <v>67</v>
      </c>
      <c r="K7640" s="1" t="s">
        <v>24</v>
      </c>
      <c r="M7640" s="2">
        <v>42479</v>
      </c>
      <c r="N7640" s="1" t="s">
        <v>8</v>
      </c>
      <c r="O7640" s="1" t="s">
        <v>68</v>
      </c>
    </row>
    <row r="7641" spans="1:15" ht="28.8" x14ac:dyDescent="0.3">
      <c r="A7641" s="1" t="s">
        <v>195</v>
      </c>
      <c r="B7641" s="1" t="str">
        <f>"Grafters Ltd."</f>
        <v>Grafters Ltd.</v>
      </c>
      <c r="C7641" s="1" t="s">
        <v>196</v>
      </c>
      <c r="D7641" s="1" t="s">
        <v>197</v>
      </c>
      <c r="F7641" s="1" t="s">
        <v>198</v>
      </c>
      <c r="H7641" s="1" t="s">
        <v>199</v>
      </c>
      <c r="I7641" s="1" t="s">
        <v>19</v>
      </c>
      <c r="J7641" s="1" t="s">
        <v>6</v>
      </c>
      <c r="K7641" s="1" t="s">
        <v>34</v>
      </c>
      <c r="L7641" s="1">
        <v>2891848</v>
      </c>
      <c r="M7641" s="2">
        <v>42478</v>
      </c>
      <c r="N7641" s="1" t="s">
        <v>8</v>
      </c>
      <c r="O7641" s="2">
        <v>44673</v>
      </c>
    </row>
    <row r="7642" spans="1:15" ht="28.8" x14ac:dyDescent="0.3">
      <c r="A7642" s="1" t="s">
        <v>282</v>
      </c>
      <c r="B7642" s="1" t="str">
        <f>"Cecil S Allen &amp; Sons"</f>
        <v>Cecil S Allen &amp; Sons</v>
      </c>
      <c r="C7642" s="1" t="s">
        <v>283</v>
      </c>
      <c r="D7642" s="1" t="s">
        <v>284</v>
      </c>
      <c r="E7642" s="1" t="s">
        <v>285</v>
      </c>
      <c r="F7642" s="1" t="s">
        <v>198</v>
      </c>
      <c r="H7642" s="1" t="s">
        <v>286</v>
      </c>
      <c r="I7642" s="1" t="s">
        <v>125</v>
      </c>
      <c r="J7642" s="1" t="s">
        <v>6</v>
      </c>
      <c r="K7642" s="1" t="s">
        <v>24</v>
      </c>
      <c r="M7642" s="2">
        <v>42478</v>
      </c>
      <c r="N7642" s="1" t="s">
        <v>8</v>
      </c>
      <c r="O7642" s="2">
        <v>44673</v>
      </c>
    </row>
    <row r="7643" spans="1:15" ht="28.8" x14ac:dyDescent="0.3">
      <c r="A7643" s="1" t="s">
        <v>287</v>
      </c>
      <c r="B7643" s="1" t="str">
        <f>"Hughes &amp; John"</f>
        <v>Hughes &amp; John</v>
      </c>
      <c r="C7643" s="1" t="s">
        <v>288</v>
      </c>
      <c r="D7643" s="1" t="s">
        <v>289</v>
      </c>
      <c r="F7643" s="1" t="s">
        <v>290</v>
      </c>
      <c r="H7643" s="1" t="s">
        <v>291</v>
      </c>
      <c r="I7643" s="1" t="s">
        <v>125</v>
      </c>
      <c r="J7643" s="1" t="s">
        <v>6</v>
      </c>
      <c r="K7643" s="1" t="s">
        <v>24</v>
      </c>
      <c r="M7643" s="2">
        <v>42478</v>
      </c>
      <c r="N7643" s="1" t="s">
        <v>8</v>
      </c>
      <c r="O7643" s="2">
        <v>44669</v>
      </c>
    </row>
    <row r="7644" spans="1:15" x14ac:dyDescent="0.3">
      <c r="A7644" s="1" t="s">
        <v>772</v>
      </c>
      <c r="B7644" s="1" t="str">
        <f>"Gwynedd Shipping Ltd."</f>
        <v>Gwynedd Shipping Ltd.</v>
      </c>
      <c r="C7644" s="1" t="s">
        <v>773</v>
      </c>
      <c r="F7644" s="1" t="s">
        <v>328</v>
      </c>
      <c r="H7644" s="1" t="s">
        <v>774</v>
      </c>
      <c r="I7644" s="1" t="s">
        <v>19</v>
      </c>
      <c r="J7644" s="1" t="s">
        <v>6</v>
      </c>
      <c r="K7644" s="1" t="s">
        <v>24</v>
      </c>
      <c r="L7644" s="1">
        <v>1848682</v>
      </c>
      <c r="M7644" s="2">
        <v>42478</v>
      </c>
      <c r="N7644" s="1" t="s">
        <v>8</v>
      </c>
      <c r="O7644" s="2">
        <v>44669</v>
      </c>
    </row>
    <row r="7645" spans="1:15" ht="28.8" x14ac:dyDescent="0.3">
      <c r="A7645" s="1" t="s">
        <v>847</v>
      </c>
      <c r="B7645" s="1" t="str">
        <f>"Sebastien Figueres THE FRENCH GARDENER"</f>
        <v>Sebastien Figueres THE FRENCH GARDENER</v>
      </c>
      <c r="C7645" s="1" t="s">
        <v>848</v>
      </c>
      <c r="F7645" s="1" t="s">
        <v>298</v>
      </c>
      <c r="H7645" s="1" t="s">
        <v>849</v>
      </c>
      <c r="I7645" s="1" t="s">
        <v>5</v>
      </c>
      <c r="J7645" s="1" t="s">
        <v>6</v>
      </c>
      <c r="K7645" s="1" t="s">
        <v>34</v>
      </c>
      <c r="M7645" s="2">
        <v>42478</v>
      </c>
      <c r="N7645" s="1" t="s">
        <v>8</v>
      </c>
      <c r="O7645" s="2">
        <v>44669</v>
      </c>
    </row>
    <row r="7646" spans="1:15" ht="28.8" x14ac:dyDescent="0.3">
      <c r="A7646" s="1" t="s">
        <v>1296</v>
      </c>
      <c r="B7646" s="1" t="str">
        <f>"Walls Truck Services Ltd"</f>
        <v>Walls Truck Services Ltd</v>
      </c>
      <c r="C7646" s="1" t="s">
        <v>1297</v>
      </c>
      <c r="F7646" s="1" t="s">
        <v>91</v>
      </c>
      <c r="H7646" s="1" t="s">
        <v>1298</v>
      </c>
      <c r="I7646" s="1" t="s">
        <v>19</v>
      </c>
      <c r="J7646" s="1" t="s">
        <v>6</v>
      </c>
      <c r="K7646" s="1" t="s">
        <v>34</v>
      </c>
      <c r="L7646" s="1">
        <v>4409477</v>
      </c>
      <c r="M7646" s="2">
        <v>42478</v>
      </c>
      <c r="N7646" s="1" t="s">
        <v>8</v>
      </c>
      <c r="O7646" s="2">
        <v>44669</v>
      </c>
    </row>
    <row r="7647" spans="1:15" ht="28.8" x14ac:dyDescent="0.3">
      <c r="A7647" s="1" t="s">
        <v>1970</v>
      </c>
      <c r="B7647" s="1" t="str">
        <f>"W. J Owen &amp; Son"</f>
        <v>W. J Owen &amp; Son</v>
      </c>
      <c r="C7647" s="1" t="s">
        <v>1971</v>
      </c>
      <c r="F7647" s="1" t="s">
        <v>1408</v>
      </c>
      <c r="H7647" s="1" t="s">
        <v>1972</v>
      </c>
      <c r="I7647" s="1" t="s">
        <v>125</v>
      </c>
      <c r="J7647" s="1" t="s">
        <v>6</v>
      </c>
      <c r="K7647" s="1" t="s">
        <v>34</v>
      </c>
      <c r="M7647" s="2">
        <v>42478</v>
      </c>
      <c r="N7647" s="1" t="s">
        <v>8</v>
      </c>
      <c r="O7647" s="2">
        <v>44669</v>
      </c>
    </row>
    <row r="7648" spans="1:15" ht="28.8" x14ac:dyDescent="0.3">
      <c r="A7648" s="1" t="s">
        <v>14322</v>
      </c>
      <c r="B7648" s="1" t="str">
        <f>"Pm Rees &amp; Sons 2000 Ltd."</f>
        <v>Pm Rees &amp; Sons 2000 Ltd.</v>
      </c>
      <c r="C7648" s="1" t="s">
        <v>14323</v>
      </c>
      <c r="F7648" s="1" t="s">
        <v>298</v>
      </c>
      <c r="H7648" s="1" t="s">
        <v>966</v>
      </c>
      <c r="I7648" s="1" t="s">
        <v>19</v>
      </c>
      <c r="J7648" s="1" t="s">
        <v>6</v>
      </c>
      <c r="K7648" s="1" t="s">
        <v>24</v>
      </c>
      <c r="L7648" s="1">
        <v>4077804</v>
      </c>
      <c r="M7648" s="2">
        <v>42478</v>
      </c>
      <c r="N7648" s="1" t="s">
        <v>8</v>
      </c>
      <c r="O7648" s="2">
        <v>43609</v>
      </c>
    </row>
    <row r="7649" spans="1:15" ht="28.8" x14ac:dyDescent="0.3">
      <c r="A7649" s="1" t="s">
        <v>14324</v>
      </c>
      <c r="B7649" s="1" t="str">
        <f>"R O Williams &amp; Sons Ltd "</f>
        <v xml:space="preserve">R O Williams &amp; Sons Ltd </v>
      </c>
      <c r="C7649" s="1" t="s">
        <v>14325</v>
      </c>
      <c r="F7649" s="1" t="s">
        <v>370</v>
      </c>
      <c r="H7649" s="1" t="s">
        <v>14326</v>
      </c>
      <c r="I7649" s="1" t="s">
        <v>19</v>
      </c>
      <c r="J7649" s="1" t="s">
        <v>6</v>
      </c>
      <c r="K7649" s="1" t="s">
        <v>34</v>
      </c>
      <c r="L7649" s="1">
        <v>6304336</v>
      </c>
      <c r="M7649" s="2">
        <v>42478</v>
      </c>
      <c r="N7649" s="1" t="s">
        <v>8</v>
      </c>
      <c r="O7649" s="2">
        <v>43573</v>
      </c>
    </row>
    <row r="7650" spans="1:15" ht="28.8" x14ac:dyDescent="0.3">
      <c r="A7650" s="1" t="s">
        <v>15253</v>
      </c>
      <c r="B7650" s="1" t="str">
        <f>"DG polymer recycling ltd"</f>
        <v>DG polymer recycling ltd</v>
      </c>
      <c r="C7650" s="1" t="s">
        <v>15254</v>
      </c>
      <c r="F7650" s="1" t="s">
        <v>15255</v>
      </c>
      <c r="H7650" s="1" t="s">
        <v>15256</v>
      </c>
      <c r="I7650" s="1" t="s">
        <v>19</v>
      </c>
      <c r="J7650" s="1" t="s">
        <v>6</v>
      </c>
      <c r="K7650" s="1" t="s">
        <v>34</v>
      </c>
      <c r="L7650" s="1">
        <v>8409623</v>
      </c>
      <c r="M7650" s="2">
        <v>42478</v>
      </c>
      <c r="N7650" s="1" t="s">
        <v>8</v>
      </c>
      <c r="O7650" s="2">
        <v>43573</v>
      </c>
    </row>
    <row r="7651" spans="1:15" ht="28.8" x14ac:dyDescent="0.3">
      <c r="A7651" s="1" t="s">
        <v>26701</v>
      </c>
      <c r="B7651" s="1" t="str">
        <f>"Gaz Waste carrier licences"</f>
        <v>Gaz Waste carrier licences</v>
      </c>
      <c r="C7651" s="1" t="s">
        <v>26702</v>
      </c>
      <c r="F7651" s="1" t="s">
        <v>12</v>
      </c>
      <c r="H7651" s="1" t="s">
        <v>26703</v>
      </c>
      <c r="I7651" s="1" t="s">
        <v>5</v>
      </c>
      <c r="J7651" s="1" t="s">
        <v>6</v>
      </c>
      <c r="K7651" s="1" t="s">
        <v>24</v>
      </c>
      <c r="M7651" s="2">
        <v>42478</v>
      </c>
      <c r="N7651" s="1" t="s">
        <v>8</v>
      </c>
      <c r="O7651" s="2">
        <v>43573</v>
      </c>
    </row>
    <row r="7652" spans="1:15" ht="28.8" x14ac:dyDescent="0.3">
      <c r="A7652" s="1" t="s">
        <v>26704</v>
      </c>
      <c r="B7652" s="1" t="str">
        <f>"andrew randles a j randles"</f>
        <v>andrew randles a j randles</v>
      </c>
      <c r="C7652" s="1" t="s">
        <v>26705</v>
      </c>
      <c r="F7652" s="1" t="s">
        <v>1346</v>
      </c>
      <c r="H7652" s="1" t="s">
        <v>26706</v>
      </c>
      <c r="I7652" s="1" t="s">
        <v>5</v>
      </c>
      <c r="J7652" s="1" t="s">
        <v>6</v>
      </c>
      <c r="K7652" s="1" t="s">
        <v>24</v>
      </c>
      <c r="M7652" s="2">
        <v>42478</v>
      </c>
      <c r="N7652" s="1" t="s">
        <v>8</v>
      </c>
      <c r="O7652" s="2">
        <v>43582</v>
      </c>
    </row>
    <row r="7653" spans="1:15" ht="28.8" x14ac:dyDescent="0.3">
      <c r="A7653" s="1" t="s">
        <v>27556</v>
      </c>
      <c r="B7653" s="1" t="str">
        <f>"John Phelps J Phelps Roofing"</f>
        <v>John Phelps J Phelps Roofing</v>
      </c>
      <c r="C7653" s="1" t="s">
        <v>27557</v>
      </c>
      <c r="D7653" s="1" t="s">
        <v>27558</v>
      </c>
      <c r="F7653" s="1" t="s">
        <v>556</v>
      </c>
      <c r="H7653" s="1" t="s">
        <v>27559</v>
      </c>
      <c r="I7653" s="1" t="s">
        <v>5</v>
      </c>
      <c r="J7653" s="1" t="s">
        <v>6</v>
      </c>
      <c r="K7653" s="1" t="s">
        <v>24</v>
      </c>
      <c r="M7653" s="2">
        <v>42478</v>
      </c>
      <c r="N7653" s="1" t="s">
        <v>8</v>
      </c>
      <c r="O7653" s="2">
        <v>43573</v>
      </c>
    </row>
    <row r="7654" spans="1:15" x14ac:dyDescent="0.3">
      <c r="A7654" s="1" t="s">
        <v>27560</v>
      </c>
      <c r="B7654" s="1" t="str">
        <f>"Robert Wynne Oliver"</f>
        <v>Robert Wynne Oliver</v>
      </c>
      <c r="C7654" s="1" t="s">
        <v>27561</v>
      </c>
      <c r="F7654" s="1" t="s">
        <v>277</v>
      </c>
      <c r="H7654" s="1" t="s">
        <v>27562</v>
      </c>
      <c r="I7654" s="1" t="s">
        <v>5</v>
      </c>
      <c r="J7654" s="1" t="s">
        <v>6</v>
      </c>
      <c r="K7654" s="1" t="s">
        <v>24</v>
      </c>
      <c r="M7654" s="2">
        <v>42478</v>
      </c>
      <c r="N7654" s="1" t="s">
        <v>8</v>
      </c>
      <c r="O7654" s="2">
        <v>43573</v>
      </c>
    </row>
    <row r="7655" spans="1:15" ht="28.8" x14ac:dyDescent="0.3">
      <c r="A7655" s="1" t="s">
        <v>27563</v>
      </c>
      <c r="B7655" s="1" t="str">
        <f>"Nathan Price County Tree Services"</f>
        <v>Nathan Price County Tree Services</v>
      </c>
      <c r="C7655" s="1" t="s">
        <v>27564</v>
      </c>
      <c r="F7655" s="1" t="s">
        <v>298</v>
      </c>
      <c r="H7655" s="1" t="s">
        <v>27565</v>
      </c>
      <c r="I7655" s="1" t="s">
        <v>5</v>
      </c>
      <c r="J7655" s="1" t="s">
        <v>6</v>
      </c>
      <c r="K7655" s="1" t="s">
        <v>24</v>
      </c>
      <c r="M7655" s="2">
        <v>42478</v>
      </c>
      <c r="N7655" s="1" t="s">
        <v>8</v>
      </c>
      <c r="O7655" s="2">
        <v>43573</v>
      </c>
    </row>
    <row r="7656" spans="1:15" ht="43.2" x14ac:dyDescent="0.3">
      <c r="A7656" s="1" t="s">
        <v>27566</v>
      </c>
      <c r="B7656" s="1" t="str">
        <f>"gurpreet kaur"</f>
        <v>gurpreet kaur</v>
      </c>
      <c r="C7656" s="1" t="s">
        <v>27567</v>
      </c>
      <c r="F7656" s="1" t="s">
        <v>4204</v>
      </c>
      <c r="H7656" s="1" t="s">
        <v>27568</v>
      </c>
      <c r="I7656" s="1" t="s">
        <v>5</v>
      </c>
      <c r="J7656" s="1" t="s">
        <v>67</v>
      </c>
      <c r="K7656" s="1" t="s">
        <v>14</v>
      </c>
      <c r="M7656" s="2">
        <v>42478</v>
      </c>
      <c r="N7656" s="1" t="s">
        <v>8</v>
      </c>
      <c r="O7656" s="1" t="s">
        <v>68</v>
      </c>
    </row>
    <row r="7657" spans="1:15" ht="43.2" x14ac:dyDescent="0.3">
      <c r="A7657" s="1" t="s">
        <v>27569</v>
      </c>
      <c r="B7657" s="1" t="str">
        <f>"Aled Thomas"</f>
        <v>Aled Thomas</v>
      </c>
      <c r="C7657" s="1" t="s">
        <v>27570</v>
      </c>
      <c r="D7657" s="1" t="s">
        <v>11</v>
      </c>
      <c r="F7657" s="1" t="s">
        <v>12</v>
      </c>
      <c r="H7657" s="1" t="s">
        <v>13</v>
      </c>
      <c r="I7657" s="1" t="s">
        <v>5</v>
      </c>
      <c r="J7657" s="1" t="s">
        <v>67</v>
      </c>
      <c r="K7657" s="1" t="s">
        <v>34</v>
      </c>
      <c r="M7657" s="2">
        <v>42478</v>
      </c>
      <c r="N7657" s="1" t="s">
        <v>8</v>
      </c>
      <c r="O7657" s="1" t="s">
        <v>68</v>
      </c>
    </row>
    <row r="7658" spans="1:15" ht="43.2" x14ac:dyDescent="0.3">
      <c r="A7658" s="1" t="s">
        <v>27571</v>
      </c>
      <c r="B7658" s="1" t="str">
        <f>"Shaun Burgesss"</f>
        <v>Shaun Burgesss</v>
      </c>
      <c r="C7658" s="1" t="s">
        <v>27572</v>
      </c>
      <c r="F7658" s="1" t="s">
        <v>739</v>
      </c>
      <c r="H7658" s="1" t="s">
        <v>27573</v>
      </c>
      <c r="I7658" s="1" t="s">
        <v>5</v>
      </c>
      <c r="J7658" s="1" t="s">
        <v>67</v>
      </c>
      <c r="K7658" s="1" t="s">
        <v>14</v>
      </c>
      <c r="M7658" s="2">
        <v>42478</v>
      </c>
      <c r="N7658" s="1" t="s">
        <v>8</v>
      </c>
      <c r="O7658" s="1" t="s">
        <v>68</v>
      </c>
    </row>
    <row r="7659" spans="1:15" ht="43.2" x14ac:dyDescent="0.3">
      <c r="A7659" s="1" t="s">
        <v>14319</v>
      </c>
      <c r="B7659" s="1" t="str">
        <f>"At The Welsh Oven"</f>
        <v>At The Welsh Oven</v>
      </c>
      <c r="C7659" s="1" t="s">
        <v>14320</v>
      </c>
      <c r="F7659" s="1" t="s">
        <v>1260</v>
      </c>
      <c r="H7659" s="1" t="s">
        <v>14321</v>
      </c>
      <c r="I7659" s="1" t="s">
        <v>19</v>
      </c>
      <c r="J7659" s="1" t="s">
        <v>67</v>
      </c>
      <c r="K7659" s="1" t="s">
        <v>14</v>
      </c>
      <c r="M7659" s="2">
        <v>42477</v>
      </c>
      <c r="N7659" s="1" t="s">
        <v>8</v>
      </c>
      <c r="O7659" s="1" t="s">
        <v>68</v>
      </c>
    </row>
    <row r="7660" spans="1:15" ht="43.2" x14ac:dyDescent="0.3">
      <c r="A7660" s="1" t="s">
        <v>26695</v>
      </c>
      <c r="B7660" s="1" t="str">
        <f>"richard galea"</f>
        <v>richard galea</v>
      </c>
      <c r="C7660" s="1" t="s">
        <v>26696</v>
      </c>
      <c r="F7660" s="1" t="s">
        <v>3415</v>
      </c>
      <c r="H7660" s="1" t="s">
        <v>26697</v>
      </c>
      <c r="I7660" s="1" t="s">
        <v>5</v>
      </c>
      <c r="J7660" s="1" t="s">
        <v>67</v>
      </c>
      <c r="K7660" s="1" t="s">
        <v>14</v>
      </c>
      <c r="M7660" s="2">
        <v>42477</v>
      </c>
      <c r="N7660" s="1" t="s">
        <v>8</v>
      </c>
      <c r="O7660" s="1" t="s">
        <v>68</v>
      </c>
    </row>
    <row r="7661" spans="1:15" ht="43.2" x14ac:dyDescent="0.3">
      <c r="A7661" s="1" t="s">
        <v>26698</v>
      </c>
      <c r="B7661" s="1" t="str">
        <f>"Adam Johnson A.Johnson Agricultural Engineering"</f>
        <v>Adam Johnson A.Johnson Agricultural Engineering</v>
      </c>
      <c r="C7661" s="1" t="s">
        <v>26699</v>
      </c>
      <c r="F7661" s="1" t="s">
        <v>873</v>
      </c>
      <c r="H7661" s="1" t="s">
        <v>26700</v>
      </c>
      <c r="I7661" s="1" t="s">
        <v>5</v>
      </c>
      <c r="J7661" s="1" t="s">
        <v>6</v>
      </c>
      <c r="K7661" s="1" t="s">
        <v>24</v>
      </c>
      <c r="M7661" s="2">
        <v>42477</v>
      </c>
      <c r="N7661" s="1" t="s">
        <v>8</v>
      </c>
      <c r="O7661" s="2">
        <v>43572</v>
      </c>
    </row>
    <row r="7662" spans="1:15" ht="43.2" x14ac:dyDescent="0.3">
      <c r="A7662" s="1" t="s">
        <v>25964</v>
      </c>
      <c r="B7662" s="1" t="str">
        <f>"Damien  Granger  Phoenix cleaning company "</f>
        <v xml:space="preserve">Damien  Granger  Phoenix cleaning company </v>
      </c>
      <c r="C7662" s="1" t="s">
        <v>25965</v>
      </c>
      <c r="F7662" s="1" t="s">
        <v>508</v>
      </c>
      <c r="H7662" s="1" t="s">
        <v>25966</v>
      </c>
      <c r="I7662" s="1" t="s">
        <v>5</v>
      </c>
      <c r="J7662" s="1" t="s">
        <v>6</v>
      </c>
      <c r="K7662" s="1" t="s">
        <v>34</v>
      </c>
      <c r="M7662" s="2">
        <v>42476</v>
      </c>
      <c r="N7662" s="1" t="s">
        <v>8</v>
      </c>
      <c r="O7662" s="2">
        <v>43571</v>
      </c>
    </row>
    <row r="7663" spans="1:15" x14ac:dyDescent="0.3">
      <c r="A7663" s="1" t="s">
        <v>13421</v>
      </c>
      <c r="B7663" s="1" t="str">
        <f>"Palm Gardens Ltd"</f>
        <v>Palm Gardens Ltd</v>
      </c>
      <c r="C7663" s="1" t="s">
        <v>13422</v>
      </c>
      <c r="F7663" s="1" t="s">
        <v>170</v>
      </c>
      <c r="H7663" s="1" t="s">
        <v>13423</v>
      </c>
      <c r="I7663" s="1" t="s">
        <v>19</v>
      </c>
      <c r="J7663" s="1" t="s">
        <v>6</v>
      </c>
      <c r="K7663" s="1" t="s">
        <v>24</v>
      </c>
      <c r="L7663" s="1">
        <v>6974851</v>
      </c>
      <c r="M7663" s="2">
        <v>42475</v>
      </c>
      <c r="N7663" s="1" t="s">
        <v>8</v>
      </c>
      <c r="O7663" s="2">
        <v>43570</v>
      </c>
    </row>
    <row r="7664" spans="1:15" ht="28.8" x14ac:dyDescent="0.3">
      <c r="A7664" s="1" t="s">
        <v>13424</v>
      </c>
      <c r="B7664" s="1" t="str">
        <f>"BOW DISTRIBUTION &amp; WAREHOUSING LTD"</f>
        <v>BOW DISTRIBUTION &amp; WAREHOUSING LTD</v>
      </c>
      <c r="C7664" s="1" t="s">
        <v>13425</v>
      </c>
      <c r="D7664" s="1" t="s">
        <v>13426</v>
      </c>
      <c r="F7664" s="1" t="s">
        <v>13427</v>
      </c>
      <c r="H7664" s="1" t="s">
        <v>13428</v>
      </c>
      <c r="I7664" s="1" t="s">
        <v>19</v>
      </c>
      <c r="J7664" s="1" t="s">
        <v>6</v>
      </c>
      <c r="K7664" s="1" t="s">
        <v>24</v>
      </c>
      <c r="L7664" s="1">
        <v>3571925</v>
      </c>
      <c r="M7664" s="2">
        <v>42475</v>
      </c>
      <c r="N7664" s="1" t="s">
        <v>8</v>
      </c>
      <c r="O7664" s="2">
        <v>43570</v>
      </c>
    </row>
    <row r="7665" spans="1:15" x14ac:dyDescent="0.3">
      <c r="A7665" s="1" t="s">
        <v>13429</v>
      </c>
      <c r="B7665" s="1" t="str">
        <f>"Dongard limited"</f>
        <v>Dongard limited</v>
      </c>
      <c r="C7665" s="1" t="s">
        <v>13430</v>
      </c>
      <c r="F7665" s="1" t="s">
        <v>3791</v>
      </c>
      <c r="H7665" s="1" t="s">
        <v>13431</v>
      </c>
      <c r="I7665" s="1" t="s">
        <v>19</v>
      </c>
      <c r="J7665" s="1" t="s">
        <v>6</v>
      </c>
      <c r="K7665" s="1" t="s">
        <v>24</v>
      </c>
      <c r="L7665" s="1">
        <v>8057381</v>
      </c>
      <c r="M7665" s="2">
        <v>42475</v>
      </c>
      <c r="N7665" s="1" t="s">
        <v>8</v>
      </c>
      <c r="O7665" s="2">
        <v>43570</v>
      </c>
    </row>
    <row r="7666" spans="1:15" ht="43.2" x14ac:dyDescent="0.3">
      <c r="A7666" s="1" t="s">
        <v>13432</v>
      </c>
      <c r="B7666" s="1" t="str">
        <f>"Frank Jones &amp; Son"</f>
        <v>Frank Jones &amp; Son</v>
      </c>
      <c r="C7666" s="1" t="s">
        <v>13433</v>
      </c>
      <c r="F7666" s="1" t="s">
        <v>2281</v>
      </c>
      <c r="H7666" s="1" t="s">
        <v>13434</v>
      </c>
      <c r="I7666" s="1" t="s">
        <v>125</v>
      </c>
      <c r="J7666" s="1" t="s">
        <v>67</v>
      </c>
      <c r="K7666" s="1" t="s">
        <v>14</v>
      </c>
      <c r="M7666" s="2">
        <v>42475</v>
      </c>
      <c r="N7666" s="1" t="s">
        <v>8</v>
      </c>
      <c r="O7666" s="1" t="s">
        <v>68</v>
      </c>
    </row>
    <row r="7667" spans="1:15" ht="28.8" x14ac:dyDescent="0.3">
      <c r="A7667" s="1" t="s">
        <v>13435</v>
      </c>
      <c r="B7667" s="1" t="str">
        <f>"Drulight Ltd"</f>
        <v>Drulight Ltd</v>
      </c>
      <c r="C7667" s="1" t="s">
        <v>13436</v>
      </c>
      <c r="D7667" s="1" t="s">
        <v>6724</v>
      </c>
      <c r="E7667" s="1" t="s">
        <v>294</v>
      </c>
      <c r="F7667" s="1" t="s">
        <v>364</v>
      </c>
      <c r="H7667" s="1" t="s">
        <v>13437</v>
      </c>
      <c r="I7667" s="1" t="s">
        <v>19</v>
      </c>
      <c r="J7667" s="1" t="s">
        <v>6</v>
      </c>
      <c r="K7667" s="1" t="s">
        <v>24</v>
      </c>
      <c r="L7667" s="1">
        <v>1258454</v>
      </c>
      <c r="M7667" s="2">
        <v>42475</v>
      </c>
      <c r="N7667" s="1" t="s">
        <v>8</v>
      </c>
      <c r="O7667" s="2">
        <v>43570</v>
      </c>
    </row>
    <row r="7668" spans="1:15" ht="28.8" x14ac:dyDescent="0.3">
      <c r="A7668" s="1" t="s">
        <v>13438</v>
      </c>
      <c r="B7668" s="1" t="str">
        <f>"Advanced Heating Wales"</f>
        <v>Advanced Heating Wales</v>
      </c>
      <c r="C7668" s="1" t="s">
        <v>13439</v>
      </c>
      <c r="D7668" s="1" t="s">
        <v>424</v>
      </c>
      <c r="F7668" s="1" t="s">
        <v>65</v>
      </c>
      <c r="H7668" s="1" t="s">
        <v>13440</v>
      </c>
      <c r="I7668" s="1" t="s">
        <v>19</v>
      </c>
      <c r="J7668" s="1" t="s">
        <v>6</v>
      </c>
      <c r="K7668" s="1" t="s">
        <v>34</v>
      </c>
      <c r="L7668" s="1">
        <v>2973940</v>
      </c>
      <c r="M7668" s="2">
        <v>42475</v>
      </c>
      <c r="N7668" s="1" t="s">
        <v>8</v>
      </c>
      <c r="O7668" s="2">
        <v>43570</v>
      </c>
    </row>
    <row r="7669" spans="1:15" ht="28.8" x14ac:dyDescent="0.3">
      <c r="A7669" s="1" t="s">
        <v>13441</v>
      </c>
      <c r="B7669" s="1" t="str">
        <f>"Prince Charles Hospital"</f>
        <v>Prince Charles Hospital</v>
      </c>
      <c r="C7669" s="1" t="s">
        <v>13442</v>
      </c>
      <c r="F7669" s="1" t="s">
        <v>556</v>
      </c>
      <c r="H7669" s="1" t="s">
        <v>13443</v>
      </c>
      <c r="I7669" s="1" t="s">
        <v>188</v>
      </c>
      <c r="J7669" s="1" t="s">
        <v>6</v>
      </c>
      <c r="K7669" s="1" t="s">
        <v>24</v>
      </c>
      <c r="M7669" s="2">
        <v>42475</v>
      </c>
      <c r="N7669" s="1" t="s">
        <v>8</v>
      </c>
      <c r="O7669" s="2">
        <v>43570</v>
      </c>
    </row>
    <row r="7670" spans="1:15" ht="43.2" x14ac:dyDescent="0.3">
      <c r="A7670" s="1" t="s">
        <v>13444</v>
      </c>
      <c r="B7670" s="1" t="str">
        <f>"Welsh Blood Service"</f>
        <v>Welsh Blood Service</v>
      </c>
      <c r="C7670" s="1" t="s">
        <v>13445</v>
      </c>
      <c r="D7670" s="1" t="s">
        <v>1321</v>
      </c>
      <c r="F7670" s="1" t="s">
        <v>3</v>
      </c>
      <c r="H7670" s="1" t="s">
        <v>13446</v>
      </c>
      <c r="I7670" s="1" t="s">
        <v>188</v>
      </c>
      <c r="J7670" s="1" t="s">
        <v>67</v>
      </c>
      <c r="K7670" s="1" t="s">
        <v>14</v>
      </c>
      <c r="M7670" s="2">
        <v>42475</v>
      </c>
      <c r="N7670" s="1" t="s">
        <v>8</v>
      </c>
      <c r="O7670" s="1" t="s">
        <v>68</v>
      </c>
    </row>
    <row r="7671" spans="1:15" ht="28.8" x14ac:dyDescent="0.3">
      <c r="A7671" s="1" t="s">
        <v>13447</v>
      </c>
      <c r="B7671" s="1" t="str">
        <f>"JOHN MCCARTHY TRANSPORT LTD"</f>
        <v>JOHN MCCARTHY TRANSPORT LTD</v>
      </c>
      <c r="C7671" s="1" t="s">
        <v>13448</v>
      </c>
      <c r="D7671" s="1" t="s">
        <v>1389</v>
      </c>
      <c r="F7671" s="1" t="s">
        <v>865</v>
      </c>
      <c r="H7671" s="1" t="s">
        <v>7522</v>
      </c>
      <c r="I7671" s="1" t="s">
        <v>19</v>
      </c>
      <c r="J7671" s="1" t="s">
        <v>6</v>
      </c>
      <c r="K7671" s="1" t="s">
        <v>24</v>
      </c>
      <c r="L7671" s="1">
        <v>1495062</v>
      </c>
      <c r="M7671" s="2">
        <v>42475</v>
      </c>
      <c r="N7671" s="1" t="s">
        <v>8</v>
      </c>
      <c r="O7671" s="2">
        <v>43570</v>
      </c>
    </row>
    <row r="7672" spans="1:15" ht="43.2" x14ac:dyDescent="0.3">
      <c r="A7672" s="1" t="s">
        <v>25241</v>
      </c>
      <c r="B7672" s="1" t="str">
        <f>"Liam Watt"</f>
        <v>Liam Watt</v>
      </c>
      <c r="C7672" s="1" t="s">
        <v>25242</v>
      </c>
      <c r="F7672" s="1" t="s">
        <v>19610</v>
      </c>
      <c r="H7672" s="1" t="s">
        <v>25243</v>
      </c>
      <c r="I7672" s="1" t="s">
        <v>5</v>
      </c>
      <c r="J7672" s="1" t="s">
        <v>67</v>
      </c>
      <c r="K7672" s="1" t="s">
        <v>14</v>
      </c>
      <c r="M7672" s="2">
        <v>42475</v>
      </c>
      <c r="N7672" s="1" t="s">
        <v>8</v>
      </c>
      <c r="O7672" s="1" t="s">
        <v>68</v>
      </c>
    </row>
    <row r="7673" spans="1:15" ht="43.2" x14ac:dyDescent="0.3">
      <c r="A7673" s="1" t="s">
        <v>12293</v>
      </c>
      <c r="B7673" s="1" t="str">
        <f>"RecycleX"</f>
        <v>RecycleX</v>
      </c>
      <c r="C7673" s="1" t="s">
        <v>12294</v>
      </c>
      <c r="F7673" s="1" t="s">
        <v>1556</v>
      </c>
      <c r="H7673" s="1" t="s">
        <v>12295</v>
      </c>
      <c r="I7673" s="1" t="s">
        <v>125</v>
      </c>
      <c r="J7673" s="1" t="s">
        <v>67</v>
      </c>
      <c r="K7673" s="1" t="s">
        <v>14</v>
      </c>
      <c r="M7673" s="2">
        <v>42474</v>
      </c>
      <c r="N7673" s="1" t="s">
        <v>8</v>
      </c>
      <c r="O7673" s="1" t="s">
        <v>68</v>
      </c>
    </row>
    <row r="7674" spans="1:15" ht="43.2" x14ac:dyDescent="0.3">
      <c r="A7674" s="1" t="s">
        <v>12296</v>
      </c>
      <c r="B7674" s="1" t="str">
        <f>"OAKTREE CONSTRUCTION (WALES) LTD"</f>
        <v>OAKTREE CONSTRUCTION (WALES) LTD</v>
      </c>
      <c r="C7674" s="1" t="s">
        <v>1891</v>
      </c>
      <c r="D7674" s="1" t="s">
        <v>108</v>
      </c>
      <c r="F7674" s="1" t="s">
        <v>65</v>
      </c>
      <c r="H7674" s="1" t="s">
        <v>1892</v>
      </c>
      <c r="I7674" s="1" t="s">
        <v>19</v>
      </c>
      <c r="J7674" s="1" t="s">
        <v>6</v>
      </c>
      <c r="K7674" s="1" t="s">
        <v>24</v>
      </c>
      <c r="L7674" s="1">
        <v>6559193</v>
      </c>
      <c r="M7674" s="2">
        <v>42474</v>
      </c>
      <c r="N7674" s="1" t="s">
        <v>8</v>
      </c>
      <c r="O7674" s="2">
        <v>43569</v>
      </c>
    </row>
    <row r="7675" spans="1:15" ht="28.8" x14ac:dyDescent="0.3">
      <c r="A7675" s="1" t="s">
        <v>12297</v>
      </c>
      <c r="B7675" s="1" t="str">
        <f>"MasMor Construction &amp; Maintenance S"</f>
        <v>MasMor Construction &amp; Maintenance S</v>
      </c>
      <c r="C7675" s="1" t="s">
        <v>12298</v>
      </c>
      <c r="F7675" s="1" t="s">
        <v>298</v>
      </c>
      <c r="H7675" s="1" t="s">
        <v>12299</v>
      </c>
      <c r="I7675" s="1" t="s">
        <v>19</v>
      </c>
      <c r="J7675" s="1" t="s">
        <v>6</v>
      </c>
      <c r="K7675" s="1" t="s">
        <v>34</v>
      </c>
      <c r="L7675" s="1">
        <v>9784278</v>
      </c>
      <c r="M7675" s="2">
        <v>42474</v>
      </c>
      <c r="N7675" s="1" t="s">
        <v>8</v>
      </c>
      <c r="O7675" s="2">
        <v>43569</v>
      </c>
    </row>
    <row r="7676" spans="1:15" ht="43.2" x14ac:dyDescent="0.3">
      <c r="A7676" s="1" t="s">
        <v>12300</v>
      </c>
      <c r="B7676" s="1" t="str">
        <f>"GB Air Control LTD"</f>
        <v>GB Air Control LTD</v>
      </c>
      <c r="C7676" s="1" t="s">
        <v>12301</v>
      </c>
      <c r="D7676" s="1" t="s">
        <v>12302</v>
      </c>
      <c r="E7676" s="1" t="s">
        <v>12303</v>
      </c>
      <c r="F7676" s="1" t="s">
        <v>12304</v>
      </c>
      <c r="H7676" s="1" t="s">
        <v>12305</v>
      </c>
      <c r="I7676" s="1" t="s">
        <v>19</v>
      </c>
      <c r="J7676" s="1" t="s">
        <v>67</v>
      </c>
      <c r="K7676" s="1" t="s">
        <v>14</v>
      </c>
      <c r="M7676" s="2">
        <v>42474</v>
      </c>
      <c r="N7676" s="1" t="s">
        <v>8</v>
      </c>
      <c r="O7676" s="1" t="s">
        <v>68</v>
      </c>
    </row>
    <row r="7677" spans="1:15" ht="43.2" x14ac:dyDescent="0.3">
      <c r="A7677" s="1" t="s">
        <v>12306</v>
      </c>
      <c r="B7677" s="1" t="str">
        <f>"New York bagel company ltd"</f>
        <v>New York bagel company ltd</v>
      </c>
      <c r="C7677" s="1" t="s">
        <v>12307</v>
      </c>
      <c r="D7677" s="1" t="s">
        <v>12308</v>
      </c>
      <c r="F7677" s="1" t="s">
        <v>5366</v>
      </c>
      <c r="H7677" s="1" t="s">
        <v>12309</v>
      </c>
      <c r="I7677" s="1" t="s">
        <v>19</v>
      </c>
      <c r="J7677" s="1" t="s">
        <v>67</v>
      </c>
      <c r="K7677" s="1" t="s">
        <v>14</v>
      </c>
      <c r="M7677" s="2">
        <v>42474</v>
      </c>
      <c r="N7677" s="1" t="s">
        <v>8</v>
      </c>
      <c r="O7677" s="1" t="s">
        <v>68</v>
      </c>
    </row>
    <row r="7678" spans="1:15" ht="43.2" x14ac:dyDescent="0.3">
      <c r="A7678" s="1" t="s">
        <v>12310</v>
      </c>
      <c r="B7678" s="1" t="str">
        <f>"RG. Frost and Son"</f>
        <v>RG. Frost and Son</v>
      </c>
      <c r="C7678" s="1" t="s">
        <v>12311</v>
      </c>
      <c r="D7678" s="1" t="s">
        <v>12312</v>
      </c>
      <c r="F7678" s="1" t="s">
        <v>6317</v>
      </c>
      <c r="H7678" s="1" t="s">
        <v>12313</v>
      </c>
      <c r="I7678" s="1" t="s">
        <v>125</v>
      </c>
      <c r="J7678" s="1" t="s">
        <v>67</v>
      </c>
      <c r="K7678" s="1" t="s">
        <v>14</v>
      </c>
      <c r="M7678" s="2">
        <v>42474</v>
      </c>
      <c r="N7678" s="1" t="s">
        <v>8</v>
      </c>
      <c r="O7678" s="1" t="s">
        <v>68</v>
      </c>
    </row>
    <row r="7679" spans="1:15" ht="28.8" x14ac:dyDescent="0.3">
      <c r="A7679" s="1" t="s">
        <v>25233</v>
      </c>
      <c r="B7679" s="1" t="str">
        <f>"Hugh Thomas Hugh Thomas"</f>
        <v>Hugh Thomas Hugh Thomas</v>
      </c>
      <c r="C7679" s="1" t="s">
        <v>25234</v>
      </c>
      <c r="F7679" s="1" t="s">
        <v>174</v>
      </c>
      <c r="H7679" s="1" t="s">
        <v>25235</v>
      </c>
      <c r="I7679" s="1" t="s">
        <v>5</v>
      </c>
      <c r="J7679" s="1" t="s">
        <v>6</v>
      </c>
      <c r="K7679" s="1" t="s">
        <v>24</v>
      </c>
      <c r="M7679" s="2">
        <v>42474</v>
      </c>
      <c r="N7679" s="1" t="s">
        <v>8</v>
      </c>
      <c r="O7679" s="2">
        <v>43569</v>
      </c>
    </row>
    <row r="7680" spans="1:15" ht="43.2" x14ac:dyDescent="0.3">
      <c r="A7680" s="1" t="s">
        <v>25236</v>
      </c>
      <c r="B7680" s="1" t="str">
        <f>"thomas morley a2z dampproofing &amp; construction ltd"</f>
        <v>thomas morley a2z dampproofing &amp; construction ltd</v>
      </c>
      <c r="C7680" s="1" t="s">
        <v>25237</v>
      </c>
      <c r="F7680" s="1" t="s">
        <v>11706</v>
      </c>
      <c r="H7680" s="1" t="s">
        <v>25238</v>
      </c>
      <c r="I7680" s="1" t="s">
        <v>5</v>
      </c>
      <c r="J7680" s="1" t="s">
        <v>6</v>
      </c>
      <c r="K7680" s="1" t="s">
        <v>24</v>
      </c>
      <c r="M7680" s="2">
        <v>42474</v>
      </c>
      <c r="N7680" s="1" t="s">
        <v>8</v>
      </c>
      <c r="O7680" s="2">
        <v>43569</v>
      </c>
    </row>
    <row r="7681" spans="1:15" ht="43.2" x14ac:dyDescent="0.3">
      <c r="A7681" s="1" t="s">
        <v>25239</v>
      </c>
      <c r="B7681" s="1" t="str">
        <f>"Brian Godwin"</f>
        <v>Brian Godwin</v>
      </c>
      <c r="C7681" s="1" t="s">
        <v>25240</v>
      </c>
      <c r="D7681" s="1" t="s">
        <v>6510</v>
      </c>
      <c r="E7681" s="1" t="s">
        <v>2041</v>
      </c>
      <c r="F7681" s="1" t="s">
        <v>65</v>
      </c>
      <c r="H7681" s="1" t="s">
        <v>6511</v>
      </c>
      <c r="I7681" s="1" t="s">
        <v>5</v>
      </c>
      <c r="J7681" s="1" t="s">
        <v>67</v>
      </c>
      <c r="K7681" s="1" t="s">
        <v>24</v>
      </c>
      <c r="M7681" s="2">
        <v>42474</v>
      </c>
      <c r="N7681" s="1" t="s">
        <v>8</v>
      </c>
      <c r="O7681" s="1" t="s">
        <v>68</v>
      </c>
    </row>
    <row r="7682" spans="1:15" ht="28.8" x14ac:dyDescent="0.3">
      <c r="A7682" s="1" t="s">
        <v>1952</v>
      </c>
      <c r="B7682" s="1" t="str">
        <f>"COPEFIELD CONSTRUCTION LTD"</f>
        <v>COPEFIELD CONSTRUCTION LTD</v>
      </c>
      <c r="C7682" s="1" t="s">
        <v>1953</v>
      </c>
      <c r="D7682" s="1" t="s">
        <v>1954</v>
      </c>
      <c r="F7682" s="1" t="s">
        <v>42</v>
      </c>
      <c r="H7682" s="1" t="s">
        <v>1955</v>
      </c>
      <c r="I7682" s="1" t="s">
        <v>19</v>
      </c>
      <c r="J7682" s="1" t="s">
        <v>6</v>
      </c>
      <c r="K7682" s="1" t="s">
        <v>34</v>
      </c>
      <c r="L7682" s="1">
        <v>6927835</v>
      </c>
      <c r="M7682" s="2">
        <v>42473</v>
      </c>
      <c r="N7682" s="1" t="s">
        <v>8</v>
      </c>
      <c r="O7682" s="2">
        <v>44664</v>
      </c>
    </row>
    <row r="7683" spans="1:15" x14ac:dyDescent="0.3">
      <c r="A7683" s="1" t="s">
        <v>10316</v>
      </c>
      <c r="B7683" s="1" t="str">
        <f>"C&amp;S Driveways Limited"</f>
        <v>C&amp;S Driveways Limited</v>
      </c>
      <c r="C7683" s="1" t="s">
        <v>10317</v>
      </c>
      <c r="F7683" s="1" t="s">
        <v>198</v>
      </c>
      <c r="H7683" s="1" t="s">
        <v>10318</v>
      </c>
      <c r="I7683" s="1" t="s">
        <v>19</v>
      </c>
      <c r="J7683" s="1" t="s">
        <v>6</v>
      </c>
      <c r="K7683" s="1" t="s">
        <v>24</v>
      </c>
      <c r="L7683" s="1">
        <v>10054978</v>
      </c>
      <c r="M7683" s="2">
        <v>42473</v>
      </c>
      <c r="N7683" s="1" t="s">
        <v>8</v>
      </c>
      <c r="O7683" s="2">
        <v>43568</v>
      </c>
    </row>
    <row r="7684" spans="1:15" ht="28.8" x14ac:dyDescent="0.3">
      <c r="A7684" s="1" t="s">
        <v>11342</v>
      </c>
      <c r="B7684" s="1" t="str">
        <f>"Peter Jones Carpentry Ltd"</f>
        <v>Peter Jones Carpentry Ltd</v>
      </c>
      <c r="C7684" s="1" t="s">
        <v>11343</v>
      </c>
      <c r="D7684" s="1" t="s">
        <v>3150</v>
      </c>
      <c r="F7684" s="1" t="s">
        <v>96</v>
      </c>
      <c r="H7684" s="1" t="s">
        <v>3151</v>
      </c>
      <c r="I7684" s="1" t="s">
        <v>19</v>
      </c>
      <c r="J7684" s="1" t="s">
        <v>6</v>
      </c>
      <c r="K7684" s="1" t="s">
        <v>24</v>
      </c>
      <c r="L7684" s="1">
        <v>6836887</v>
      </c>
      <c r="M7684" s="2">
        <v>42473</v>
      </c>
      <c r="N7684" s="1" t="s">
        <v>8</v>
      </c>
      <c r="O7684" s="2">
        <v>43568</v>
      </c>
    </row>
    <row r="7685" spans="1:15" ht="28.8" x14ac:dyDescent="0.3">
      <c r="A7685" s="1" t="s">
        <v>11344</v>
      </c>
      <c r="B7685" s="1" t="str">
        <f>"PDC &amp; Co. Plumbing &amp; Heating Engineers"</f>
        <v>PDC &amp; Co. Plumbing &amp; Heating Engineers</v>
      </c>
      <c r="C7685" s="1" t="s">
        <v>11345</v>
      </c>
      <c r="F7685" s="1" t="s">
        <v>865</v>
      </c>
      <c r="H7685" s="1" t="s">
        <v>6151</v>
      </c>
      <c r="I7685" s="1" t="s">
        <v>125</v>
      </c>
      <c r="J7685" s="1" t="s">
        <v>6</v>
      </c>
      <c r="K7685" s="1" t="s">
        <v>24</v>
      </c>
      <c r="M7685" s="2">
        <v>42473</v>
      </c>
      <c r="N7685" s="1" t="s">
        <v>8</v>
      </c>
      <c r="O7685" s="2">
        <v>43568</v>
      </c>
    </row>
    <row r="7686" spans="1:15" ht="43.2" x14ac:dyDescent="0.3">
      <c r="A7686" s="1" t="s">
        <v>11346</v>
      </c>
      <c r="B7686" s="1" t="str">
        <f>"Ecolab Ltd"</f>
        <v>Ecolab Ltd</v>
      </c>
      <c r="C7686" s="1" t="s">
        <v>5988</v>
      </c>
      <c r="F7686" s="1" t="s">
        <v>103</v>
      </c>
      <c r="H7686" s="1" t="s">
        <v>5989</v>
      </c>
      <c r="I7686" s="1" t="s">
        <v>19</v>
      </c>
      <c r="J7686" s="1" t="s">
        <v>67</v>
      </c>
      <c r="K7686" s="1" t="s">
        <v>14</v>
      </c>
      <c r="M7686" s="2">
        <v>42473</v>
      </c>
      <c r="N7686" s="1" t="s">
        <v>8</v>
      </c>
      <c r="O7686" s="1" t="s">
        <v>68</v>
      </c>
    </row>
    <row r="7687" spans="1:15" ht="43.2" x14ac:dyDescent="0.3">
      <c r="A7687" s="1" t="s">
        <v>11347</v>
      </c>
      <c r="B7687" s="1" t="str">
        <f>"Crown Garden Services"</f>
        <v>Crown Garden Services</v>
      </c>
      <c r="C7687" s="1" t="s">
        <v>11348</v>
      </c>
      <c r="F7687" s="1" t="s">
        <v>27</v>
      </c>
      <c r="H7687" s="1" t="s">
        <v>11349</v>
      </c>
      <c r="I7687" s="1" t="s">
        <v>19</v>
      </c>
      <c r="J7687" s="1" t="s">
        <v>67</v>
      </c>
      <c r="K7687" s="1" t="s">
        <v>24</v>
      </c>
      <c r="M7687" s="2">
        <v>42473</v>
      </c>
      <c r="N7687" s="1" t="s">
        <v>8</v>
      </c>
      <c r="O7687" s="1" t="s">
        <v>68</v>
      </c>
    </row>
    <row r="7688" spans="1:15" ht="28.8" x14ac:dyDescent="0.3">
      <c r="A7688" s="1" t="s">
        <v>11350</v>
      </c>
      <c r="B7688" s="1" t="str">
        <f>"DC Carpentry  &amp; Joinery Ltd"</f>
        <v>DC Carpentry  &amp; Joinery Ltd</v>
      </c>
      <c r="C7688" s="1" t="s">
        <v>11351</v>
      </c>
      <c r="F7688" s="1" t="s">
        <v>1351</v>
      </c>
      <c r="H7688" s="1" t="s">
        <v>11352</v>
      </c>
      <c r="I7688" s="1" t="s">
        <v>19</v>
      </c>
      <c r="J7688" s="1" t="s">
        <v>6</v>
      </c>
      <c r="K7688" s="1" t="s">
        <v>24</v>
      </c>
      <c r="L7688" s="1">
        <v>8036665</v>
      </c>
      <c r="M7688" s="2">
        <v>42473</v>
      </c>
      <c r="N7688" s="1" t="s">
        <v>8</v>
      </c>
      <c r="O7688" s="2">
        <v>43568</v>
      </c>
    </row>
    <row r="7689" spans="1:15" ht="43.2" x14ac:dyDescent="0.3">
      <c r="A7689" s="1" t="s">
        <v>11353</v>
      </c>
      <c r="B7689" s="1" t="str">
        <f>"Shon Morris Heating and Plumbing Engineers LTD"</f>
        <v>Shon Morris Heating and Plumbing Engineers LTD</v>
      </c>
      <c r="C7689" s="1" t="s">
        <v>11354</v>
      </c>
      <c r="F7689" s="1" t="s">
        <v>37</v>
      </c>
      <c r="H7689" s="1" t="s">
        <v>11355</v>
      </c>
      <c r="I7689" s="1" t="s">
        <v>19</v>
      </c>
      <c r="J7689" s="1" t="s">
        <v>6</v>
      </c>
      <c r="K7689" s="1" t="s">
        <v>24</v>
      </c>
      <c r="L7689" s="1">
        <v>7199006</v>
      </c>
      <c r="M7689" s="2">
        <v>42473</v>
      </c>
      <c r="N7689" s="1" t="s">
        <v>8</v>
      </c>
      <c r="O7689" s="2">
        <v>43568</v>
      </c>
    </row>
    <row r="7690" spans="1:15" ht="43.2" x14ac:dyDescent="0.3">
      <c r="A7690" s="1" t="s">
        <v>23531</v>
      </c>
      <c r="B7690" s="1" t="str">
        <f>"JONATHAN  TYLER  Dorking Rubbish Clearance"</f>
        <v>JONATHAN  TYLER  Dorking Rubbish Clearance</v>
      </c>
      <c r="C7690" s="1" t="s">
        <v>23532</v>
      </c>
      <c r="F7690" s="1" t="s">
        <v>5405</v>
      </c>
      <c r="H7690" s="1" t="s">
        <v>23533</v>
      </c>
      <c r="I7690" s="1" t="s">
        <v>5</v>
      </c>
      <c r="J7690" s="1" t="s">
        <v>6</v>
      </c>
      <c r="K7690" s="1" t="s">
        <v>24</v>
      </c>
      <c r="M7690" s="2">
        <v>42473</v>
      </c>
      <c r="N7690" s="1" t="s">
        <v>8</v>
      </c>
      <c r="O7690" s="2">
        <v>43568</v>
      </c>
    </row>
    <row r="7691" spans="1:15" ht="43.2" x14ac:dyDescent="0.3">
      <c r="A7691" s="1" t="s">
        <v>23534</v>
      </c>
      <c r="B7691" s="1" t="str">
        <f>"Carl Engstrom"</f>
        <v>Carl Engstrom</v>
      </c>
      <c r="C7691" s="1" t="s">
        <v>23535</v>
      </c>
      <c r="F7691" s="1" t="s">
        <v>8319</v>
      </c>
      <c r="H7691" s="1" t="s">
        <v>23536</v>
      </c>
      <c r="I7691" s="1" t="s">
        <v>5</v>
      </c>
      <c r="J7691" s="1" t="s">
        <v>67</v>
      </c>
      <c r="K7691" s="1" t="s">
        <v>14</v>
      </c>
      <c r="M7691" s="2">
        <v>42473</v>
      </c>
      <c r="N7691" s="1" t="s">
        <v>8</v>
      </c>
      <c r="O7691" s="1" t="s">
        <v>68</v>
      </c>
    </row>
    <row r="7692" spans="1:15" ht="28.8" x14ac:dyDescent="0.3">
      <c r="A7692" s="1" t="s">
        <v>23537</v>
      </c>
      <c r="B7692" s="1" t="str">
        <f>"RHYS  MATHIAS RHYS MATHIAS"</f>
        <v>RHYS  MATHIAS RHYS MATHIAS</v>
      </c>
      <c r="C7692" s="1" t="s">
        <v>23538</v>
      </c>
      <c r="F7692" s="1" t="s">
        <v>3389</v>
      </c>
      <c r="H7692" s="1" t="s">
        <v>23539</v>
      </c>
      <c r="I7692" s="1" t="s">
        <v>5</v>
      </c>
      <c r="J7692" s="1" t="s">
        <v>6</v>
      </c>
      <c r="K7692" s="1" t="s">
        <v>24</v>
      </c>
      <c r="M7692" s="2">
        <v>42473</v>
      </c>
      <c r="N7692" s="1" t="s">
        <v>8</v>
      </c>
      <c r="O7692" s="2">
        <v>43568</v>
      </c>
    </row>
    <row r="7693" spans="1:15" ht="28.8" x14ac:dyDescent="0.3">
      <c r="A7693" s="1" t="s">
        <v>24378</v>
      </c>
      <c r="B7693" s="1" t="str">
        <f>"Goronwy Jones Parry G Jones Parry Heulog"</f>
        <v>Goronwy Jones Parry G Jones Parry Heulog</v>
      </c>
      <c r="C7693" s="1" t="s">
        <v>24379</v>
      </c>
      <c r="F7693" s="1" t="s">
        <v>710</v>
      </c>
      <c r="H7693" s="1" t="s">
        <v>8537</v>
      </c>
      <c r="I7693" s="1" t="s">
        <v>5</v>
      </c>
      <c r="J7693" s="1" t="s">
        <v>6</v>
      </c>
      <c r="K7693" s="1" t="s">
        <v>24</v>
      </c>
      <c r="M7693" s="2">
        <v>42473</v>
      </c>
      <c r="N7693" s="1" t="s">
        <v>8</v>
      </c>
      <c r="O7693" s="2">
        <v>43568</v>
      </c>
    </row>
    <row r="7694" spans="1:15" ht="43.2" x14ac:dyDescent="0.3">
      <c r="A7694" s="1" t="s">
        <v>24380</v>
      </c>
      <c r="B7694" s="1" t="str">
        <f>"Marcin Gburek"</f>
        <v>Marcin Gburek</v>
      </c>
      <c r="C7694" s="1" t="s">
        <v>24381</v>
      </c>
      <c r="F7694" s="1" t="s">
        <v>9159</v>
      </c>
      <c r="H7694" s="1" t="s">
        <v>24382</v>
      </c>
      <c r="I7694" s="1" t="s">
        <v>5</v>
      </c>
      <c r="J7694" s="1" t="s">
        <v>67</v>
      </c>
      <c r="K7694" s="1" t="s">
        <v>14</v>
      </c>
      <c r="M7694" s="2">
        <v>42473</v>
      </c>
      <c r="N7694" s="1" t="s">
        <v>8</v>
      </c>
      <c r="O7694" s="1" t="s">
        <v>68</v>
      </c>
    </row>
    <row r="7695" spans="1:15" ht="43.2" x14ac:dyDescent="0.3">
      <c r="A7695" s="1" t="s">
        <v>24383</v>
      </c>
      <c r="B7695" s="1" t="str">
        <f>"Farouq Said"</f>
        <v>Farouq Said</v>
      </c>
      <c r="C7695" s="1" t="s">
        <v>24384</v>
      </c>
      <c r="D7695" s="1" t="s">
        <v>24385</v>
      </c>
      <c r="F7695" s="1" t="s">
        <v>7125</v>
      </c>
      <c r="H7695" s="1" t="s">
        <v>24386</v>
      </c>
      <c r="I7695" s="1" t="s">
        <v>5</v>
      </c>
      <c r="J7695" s="1" t="s">
        <v>67</v>
      </c>
      <c r="K7695" s="1" t="s">
        <v>14</v>
      </c>
      <c r="M7695" s="2">
        <v>42473</v>
      </c>
      <c r="N7695" s="1" t="s">
        <v>8</v>
      </c>
      <c r="O7695" s="1" t="s">
        <v>68</v>
      </c>
    </row>
    <row r="7696" spans="1:15" ht="28.8" x14ac:dyDescent="0.3">
      <c r="A7696" s="1" t="s">
        <v>24387</v>
      </c>
      <c r="B7696" s="1" t="str">
        <f>"Stephen Phillips Bits &amp; Bobs"</f>
        <v>Stephen Phillips Bits &amp; Bobs</v>
      </c>
      <c r="C7696" s="1" t="s">
        <v>24388</v>
      </c>
      <c r="F7696" s="1" t="s">
        <v>134</v>
      </c>
      <c r="H7696" s="1" t="s">
        <v>24389</v>
      </c>
      <c r="I7696" s="1" t="s">
        <v>5</v>
      </c>
      <c r="J7696" s="1" t="s">
        <v>6</v>
      </c>
      <c r="K7696" s="1" t="s">
        <v>24</v>
      </c>
      <c r="M7696" s="2">
        <v>42473</v>
      </c>
      <c r="N7696" s="1" t="s">
        <v>8</v>
      </c>
      <c r="O7696" s="2">
        <v>43568</v>
      </c>
    </row>
    <row r="7697" spans="1:15" ht="28.8" x14ac:dyDescent="0.3">
      <c r="A7697" s="1" t="s">
        <v>9190</v>
      </c>
      <c r="B7697" s="1" t="str">
        <f>"Dwyfor Oils Limited"</f>
        <v>Dwyfor Oils Limited</v>
      </c>
      <c r="C7697" s="1" t="s">
        <v>9191</v>
      </c>
      <c r="F7697" s="1" t="s">
        <v>710</v>
      </c>
      <c r="H7697" s="1" t="s">
        <v>9192</v>
      </c>
      <c r="I7697" s="1" t="s">
        <v>19</v>
      </c>
      <c r="J7697" s="1" t="s">
        <v>6</v>
      </c>
      <c r="K7697" s="1" t="s">
        <v>34</v>
      </c>
      <c r="L7697" s="1">
        <v>6071182</v>
      </c>
      <c r="M7697" s="2">
        <v>42472</v>
      </c>
      <c r="N7697" s="1" t="s">
        <v>8</v>
      </c>
      <c r="O7697" s="2">
        <v>43567</v>
      </c>
    </row>
    <row r="7698" spans="1:15" ht="28.8" x14ac:dyDescent="0.3">
      <c r="A7698" s="1" t="s">
        <v>9193</v>
      </c>
      <c r="B7698" s="1" t="str">
        <f>"Ezee Let Ltd"</f>
        <v>Ezee Let Ltd</v>
      </c>
      <c r="C7698" s="1" t="s">
        <v>9194</v>
      </c>
      <c r="F7698" s="1" t="s">
        <v>27</v>
      </c>
      <c r="H7698" s="1" t="s">
        <v>9195</v>
      </c>
      <c r="I7698" s="1" t="s">
        <v>19</v>
      </c>
      <c r="J7698" s="1" t="s">
        <v>6</v>
      </c>
      <c r="K7698" s="1" t="s">
        <v>34</v>
      </c>
      <c r="L7698" s="1">
        <v>3857555</v>
      </c>
      <c r="M7698" s="2">
        <v>42472</v>
      </c>
      <c r="N7698" s="1" t="s">
        <v>8</v>
      </c>
      <c r="O7698" s="2">
        <v>43567</v>
      </c>
    </row>
    <row r="7699" spans="1:15" ht="28.8" x14ac:dyDescent="0.3">
      <c r="A7699" s="1" t="s">
        <v>9196</v>
      </c>
      <c r="B7699" s="1" t="str">
        <f>"Allied Welsh Ltd"</f>
        <v>Allied Welsh Ltd</v>
      </c>
      <c r="C7699" s="1" t="s">
        <v>9197</v>
      </c>
      <c r="D7699" s="1" t="s">
        <v>9198</v>
      </c>
      <c r="E7699" s="1" t="s">
        <v>9199</v>
      </c>
      <c r="F7699" s="1" t="s">
        <v>22</v>
      </c>
      <c r="H7699" s="1" t="s">
        <v>9200</v>
      </c>
      <c r="I7699" s="1" t="s">
        <v>19</v>
      </c>
      <c r="J7699" s="1" t="s">
        <v>6</v>
      </c>
      <c r="K7699" s="1" t="s">
        <v>1859</v>
      </c>
      <c r="L7699" s="1">
        <v>2409092</v>
      </c>
      <c r="M7699" s="2">
        <v>42472</v>
      </c>
      <c r="N7699" s="1" t="s">
        <v>8</v>
      </c>
      <c r="O7699" s="2">
        <v>43567</v>
      </c>
    </row>
    <row r="7700" spans="1:15" ht="28.8" x14ac:dyDescent="0.3">
      <c r="A7700" s="1" t="s">
        <v>9201</v>
      </c>
      <c r="B7700" s="1" t="str">
        <f>"Peter Holding Plumbing Ltd."</f>
        <v>Peter Holding Plumbing Ltd.</v>
      </c>
      <c r="C7700" s="1" t="s">
        <v>9202</v>
      </c>
      <c r="F7700" s="1" t="s">
        <v>416</v>
      </c>
      <c r="H7700" s="1" t="s">
        <v>9203</v>
      </c>
      <c r="I7700" s="1" t="s">
        <v>19</v>
      </c>
      <c r="J7700" s="1" t="s">
        <v>6</v>
      </c>
      <c r="K7700" s="1" t="s">
        <v>24</v>
      </c>
      <c r="L7700" s="1">
        <v>5747290</v>
      </c>
      <c r="M7700" s="2">
        <v>42472</v>
      </c>
      <c r="N7700" s="1" t="s">
        <v>8</v>
      </c>
      <c r="O7700" s="2">
        <v>43567</v>
      </c>
    </row>
    <row r="7701" spans="1:15" ht="43.2" x14ac:dyDescent="0.3">
      <c r="A7701" s="1" t="s">
        <v>9204</v>
      </c>
      <c r="B7701" s="1" t="str">
        <f>"Berrymans Bakery Ltd"</f>
        <v>Berrymans Bakery Ltd</v>
      </c>
      <c r="C7701" s="1" t="s">
        <v>9205</v>
      </c>
      <c r="F7701" s="1" t="s">
        <v>9206</v>
      </c>
      <c r="H7701" s="1" t="s">
        <v>9207</v>
      </c>
      <c r="I7701" s="1" t="s">
        <v>19</v>
      </c>
      <c r="J7701" s="1" t="s">
        <v>67</v>
      </c>
      <c r="K7701" s="1" t="s">
        <v>14</v>
      </c>
      <c r="M7701" s="2">
        <v>42472</v>
      </c>
      <c r="N7701" s="1" t="s">
        <v>8</v>
      </c>
      <c r="O7701" s="1" t="s">
        <v>68</v>
      </c>
    </row>
    <row r="7702" spans="1:15" ht="28.8" x14ac:dyDescent="0.3">
      <c r="A7702" s="1" t="s">
        <v>9208</v>
      </c>
      <c r="B7702" s="1" t="str">
        <f>"C&amp;D Transport Services Ltd"</f>
        <v>C&amp;D Transport Services Ltd</v>
      </c>
      <c r="C7702" s="1" t="s">
        <v>9209</v>
      </c>
      <c r="F7702" s="1" t="s">
        <v>12</v>
      </c>
      <c r="H7702" s="1" t="s">
        <v>9210</v>
      </c>
      <c r="I7702" s="1" t="s">
        <v>19</v>
      </c>
      <c r="J7702" s="1" t="s">
        <v>6</v>
      </c>
      <c r="K7702" s="1" t="s">
        <v>24</v>
      </c>
      <c r="L7702" s="1">
        <v>4631773</v>
      </c>
      <c r="M7702" s="2">
        <v>42472</v>
      </c>
      <c r="N7702" s="1" t="s">
        <v>8</v>
      </c>
      <c r="O7702" s="2">
        <v>43567</v>
      </c>
    </row>
    <row r="7703" spans="1:15" ht="28.8" x14ac:dyDescent="0.3">
      <c r="A7703" s="1" t="s">
        <v>9211</v>
      </c>
      <c r="B7703" s="1" t="str">
        <f>"Insurgo Media Services Limited"</f>
        <v>Insurgo Media Services Limited</v>
      </c>
      <c r="C7703" s="1" t="s">
        <v>9212</v>
      </c>
      <c r="D7703" s="1" t="s">
        <v>9213</v>
      </c>
      <c r="F7703" s="1" t="s">
        <v>140</v>
      </c>
      <c r="H7703" s="1" t="s">
        <v>9214</v>
      </c>
      <c r="I7703" s="1" t="s">
        <v>19</v>
      </c>
      <c r="J7703" s="1" t="s">
        <v>6</v>
      </c>
      <c r="K7703" s="1" t="s">
        <v>34</v>
      </c>
      <c r="L7703" s="1">
        <v>7044710</v>
      </c>
      <c r="M7703" s="2">
        <v>42472</v>
      </c>
      <c r="N7703" s="1" t="s">
        <v>8</v>
      </c>
      <c r="O7703" s="2">
        <v>43567</v>
      </c>
    </row>
    <row r="7704" spans="1:15" ht="28.8" x14ac:dyDescent="0.3">
      <c r="A7704" s="1" t="s">
        <v>10310</v>
      </c>
      <c r="B7704" s="1" t="str">
        <f>"Pontypridd Town Council"</f>
        <v>Pontypridd Town Council</v>
      </c>
      <c r="C7704" s="1" t="s">
        <v>10311</v>
      </c>
      <c r="F7704" s="1" t="s">
        <v>277</v>
      </c>
      <c r="H7704" s="1" t="s">
        <v>10312</v>
      </c>
      <c r="I7704" s="1" t="s">
        <v>188</v>
      </c>
      <c r="J7704" s="1" t="s">
        <v>6</v>
      </c>
      <c r="K7704" s="1" t="s">
        <v>24</v>
      </c>
      <c r="M7704" s="2">
        <v>42472</v>
      </c>
      <c r="N7704" s="1" t="s">
        <v>8</v>
      </c>
      <c r="O7704" s="2">
        <v>43567</v>
      </c>
    </row>
    <row r="7705" spans="1:15" ht="28.8" x14ac:dyDescent="0.3">
      <c r="A7705" s="1" t="s">
        <v>10313</v>
      </c>
      <c r="B7705" s="1" t="str">
        <f>"a.p.property maintenance"</f>
        <v>a.p.property maintenance</v>
      </c>
      <c r="C7705" s="1" t="s">
        <v>10314</v>
      </c>
      <c r="F7705" s="1" t="s">
        <v>174</v>
      </c>
      <c r="H7705" s="1" t="s">
        <v>10315</v>
      </c>
      <c r="I7705" s="1" t="s">
        <v>125</v>
      </c>
      <c r="J7705" s="1" t="s">
        <v>6</v>
      </c>
      <c r="K7705" s="1" t="s">
        <v>24</v>
      </c>
      <c r="M7705" s="2">
        <v>42472</v>
      </c>
      <c r="N7705" s="1" t="s">
        <v>8</v>
      </c>
      <c r="O7705" s="2">
        <v>43567</v>
      </c>
    </row>
    <row r="7706" spans="1:15" ht="28.8" x14ac:dyDescent="0.3">
      <c r="A7706" s="1" t="s">
        <v>22757</v>
      </c>
      <c r="B7706" s="1" t="str">
        <f>"william willis william willis scrap metal"</f>
        <v>william willis william willis scrap metal</v>
      </c>
      <c r="C7706" s="1" t="s">
        <v>22758</v>
      </c>
      <c r="F7706" s="1" t="s">
        <v>91</v>
      </c>
      <c r="H7706" s="1" t="s">
        <v>22759</v>
      </c>
      <c r="I7706" s="1" t="s">
        <v>5</v>
      </c>
      <c r="J7706" s="1" t="s">
        <v>6</v>
      </c>
      <c r="K7706" s="1" t="s">
        <v>24</v>
      </c>
      <c r="M7706" s="2">
        <v>42472</v>
      </c>
      <c r="N7706" s="1" t="s">
        <v>8</v>
      </c>
      <c r="O7706" s="2">
        <v>43567</v>
      </c>
    </row>
    <row r="7707" spans="1:15" ht="28.8" x14ac:dyDescent="0.3">
      <c r="A7707" s="1" t="s">
        <v>23520</v>
      </c>
      <c r="B7707" s="1" t="str">
        <f>"Duncan Edwards Jones &amp; Edwards"</f>
        <v>Duncan Edwards Jones &amp; Edwards</v>
      </c>
      <c r="C7707" s="1" t="s">
        <v>23521</v>
      </c>
      <c r="F7707" s="1" t="s">
        <v>1321</v>
      </c>
      <c r="H7707" s="1" t="s">
        <v>23522</v>
      </c>
      <c r="I7707" s="1" t="s">
        <v>5</v>
      </c>
      <c r="J7707" s="1" t="s">
        <v>6</v>
      </c>
      <c r="K7707" s="1" t="s">
        <v>34</v>
      </c>
      <c r="M7707" s="2">
        <v>42472</v>
      </c>
      <c r="N7707" s="1" t="s">
        <v>8</v>
      </c>
      <c r="O7707" s="2">
        <v>43567</v>
      </c>
    </row>
    <row r="7708" spans="1:15" ht="43.2" x14ac:dyDescent="0.3">
      <c r="A7708" s="1" t="s">
        <v>23523</v>
      </c>
      <c r="B7708" s="1" t="str">
        <f>"Scott Walton Scott Walton Contracting"</f>
        <v>Scott Walton Scott Walton Contracting</v>
      </c>
      <c r="C7708" s="1" t="s">
        <v>23524</v>
      </c>
      <c r="F7708" s="1" t="s">
        <v>865</v>
      </c>
      <c r="H7708" s="1" t="s">
        <v>23525</v>
      </c>
      <c r="I7708" s="1" t="s">
        <v>5</v>
      </c>
      <c r="J7708" s="1" t="s">
        <v>67</v>
      </c>
      <c r="K7708" s="1" t="s">
        <v>34</v>
      </c>
      <c r="M7708" s="2">
        <v>42472</v>
      </c>
      <c r="N7708" s="1" t="s">
        <v>8</v>
      </c>
      <c r="O7708" s="1" t="s">
        <v>68</v>
      </c>
    </row>
    <row r="7709" spans="1:15" ht="43.2" x14ac:dyDescent="0.3">
      <c r="A7709" s="1" t="s">
        <v>23526</v>
      </c>
      <c r="B7709" s="1" t="str">
        <f>"Victoria White"</f>
        <v>Victoria White</v>
      </c>
      <c r="C7709" s="1" t="s">
        <v>23527</v>
      </c>
      <c r="F7709" s="1" t="s">
        <v>438</v>
      </c>
      <c r="H7709" s="1" t="s">
        <v>23528</v>
      </c>
      <c r="I7709" s="1" t="s">
        <v>5</v>
      </c>
      <c r="J7709" s="1" t="s">
        <v>67</v>
      </c>
      <c r="K7709" s="1" t="s">
        <v>14</v>
      </c>
      <c r="M7709" s="2">
        <v>42472</v>
      </c>
      <c r="N7709" s="1" t="s">
        <v>8</v>
      </c>
      <c r="O7709" s="1" t="s">
        <v>68</v>
      </c>
    </row>
    <row r="7710" spans="1:15" ht="28.8" x14ac:dyDescent="0.3">
      <c r="A7710" s="1" t="s">
        <v>23529</v>
      </c>
      <c r="B7710" s="1" t="str">
        <f>"Shane  Hawkins  S&amp;A removals"</f>
        <v>Shane  Hawkins  S&amp;A removals</v>
      </c>
      <c r="C7710" s="1" t="s">
        <v>23530</v>
      </c>
      <c r="F7710" s="1" t="s">
        <v>277</v>
      </c>
      <c r="H7710" s="1" t="s">
        <v>1055</v>
      </c>
      <c r="I7710" s="1" t="s">
        <v>5</v>
      </c>
      <c r="J7710" s="1" t="s">
        <v>6</v>
      </c>
      <c r="K7710" s="1" t="s">
        <v>24</v>
      </c>
      <c r="M7710" s="2">
        <v>42472</v>
      </c>
      <c r="N7710" s="1" t="s">
        <v>8</v>
      </c>
      <c r="O7710" s="2">
        <v>43567</v>
      </c>
    </row>
    <row r="7711" spans="1:15" x14ac:dyDescent="0.3">
      <c r="A7711" s="1" t="s">
        <v>212</v>
      </c>
      <c r="B7711" s="1" t="str">
        <f>"The Sumner Collection"</f>
        <v>The Sumner Collection</v>
      </c>
      <c r="C7711" s="1" t="s">
        <v>213</v>
      </c>
      <c r="F7711" s="1" t="s">
        <v>214</v>
      </c>
      <c r="H7711" s="1" t="s">
        <v>215</v>
      </c>
      <c r="I7711" s="1" t="s">
        <v>125</v>
      </c>
      <c r="J7711" s="1" t="s">
        <v>6</v>
      </c>
      <c r="K7711" s="1" t="s">
        <v>24</v>
      </c>
      <c r="M7711" s="2">
        <v>42471</v>
      </c>
      <c r="N7711" s="1" t="s">
        <v>8</v>
      </c>
      <c r="O7711" s="2">
        <v>44662</v>
      </c>
    </row>
    <row r="7712" spans="1:15" ht="28.8" x14ac:dyDescent="0.3">
      <c r="A7712" s="1" t="s">
        <v>221</v>
      </c>
      <c r="B7712" s="1" t="str">
        <f>"Wales Environmental Ltd."</f>
        <v>Wales Environmental Ltd.</v>
      </c>
      <c r="C7712" s="1" t="s">
        <v>222</v>
      </c>
      <c r="F7712" s="1" t="s">
        <v>223</v>
      </c>
      <c r="H7712" s="1" t="s">
        <v>224</v>
      </c>
      <c r="I7712" s="1" t="s">
        <v>19</v>
      </c>
      <c r="J7712" s="1" t="s">
        <v>6</v>
      </c>
      <c r="K7712" s="1" t="s">
        <v>34</v>
      </c>
      <c r="L7712" s="1">
        <v>2530769</v>
      </c>
      <c r="M7712" s="2">
        <v>42471</v>
      </c>
      <c r="N7712" s="1" t="s">
        <v>8</v>
      </c>
      <c r="O7712" s="2">
        <v>44661</v>
      </c>
    </row>
    <row r="7713" spans="1:15" ht="28.8" x14ac:dyDescent="0.3">
      <c r="A7713" s="1" t="s">
        <v>6942</v>
      </c>
      <c r="B7713" s="1" t="str">
        <f>"Northern Welsh Quarries Ltd "</f>
        <v xml:space="preserve">Northern Welsh Quarries Ltd </v>
      </c>
      <c r="C7713" s="1" t="s">
        <v>6943</v>
      </c>
      <c r="F7713" s="1" t="s">
        <v>6944</v>
      </c>
      <c r="H7713" s="1" t="s">
        <v>6945</v>
      </c>
      <c r="I7713" s="1" t="s">
        <v>19</v>
      </c>
      <c r="J7713" s="1" t="s">
        <v>6</v>
      </c>
      <c r="K7713" s="1" t="s">
        <v>34</v>
      </c>
      <c r="L7713" s="1">
        <v>9308444</v>
      </c>
      <c r="M7713" s="2">
        <v>42471</v>
      </c>
      <c r="N7713" s="1" t="s">
        <v>8</v>
      </c>
      <c r="O7713" s="2">
        <v>43566</v>
      </c>
    </row>
    <row r="7714" spans="1:15" ht="28.8" x14ac:dyDescent="0.3">
      <c r="A7714" s="1" t="s">
        <v>7982</v>
      </c>
      <c r="B7714" s="1" t="str">
        <f>"R.L. DAVIES (PLANT HIRE) LTD"</f>
        <v>R.L. DAVIES (PLANT HIRE) LTD</v>
      </c>
      <c r="C7714" s="1" t="s">
        <v>7983</v>
      </c>
      <c r="F7714" s="1" t="s">
        <v>710</v>
      </c>
      <c r="H7714" s="1" t="s">
        <v>7984</v>
      </c>
      <c r="I7714" s="1" t="s">
        <v>19</v>
      </c>
      <c r="J7714" s="1" t="s">
        <v>6</v>
      </c>
      <c r="K7714" s="1" t="s">
        <v>34</v>
      </c>
      <c r="L7714" s="1">
        <v>5443306</v>
      </c>
      <c r="M7714" s="2">
        <v>42471</v>
      </c>
      <c r="N7714" s="1" t="s">
        <v>8</v>
      </c>
      <c r="O7714" s="2">
        <v>43566</v>
      </c>
    </row>
    <row r="7715" spans="1:15" ht="43.2" x14ac:dyDescent="0.3">
      <c r="A7715" s="1" t="s">
        <v>7985</v>
      </c>
      <c r="B7715" s="1" t="str">
        <f>"Northants Fence and Gate Ltd"</f>
        <v>Northants Fence and Gate Ltd</v>
      </c>
      <c r="C7715" s="1" t="s">
        <v>7986</v>
      </c>
      <c r="D7715" s="1" t="s">
        <v>7987</v>
      </c>
      <c r="F7715" s="1" t="s">
        <v>7988</v>
      </c>
      <c r="H7715" s="1" t="s">
        <v>7989</v>
      </c>
      <c r="I7715" s="1" t="s">
        <v>19</v>
      </c>
      <c r="J7715" s="1" t="s">
        <v>67</v>
      </c>
      <c r="K7715" s="1" t="s">
        <v>14</v>
      </c>
      <c r="M7715" s="2">
        <v>42471</v>
      </c>
      <c r="N7715" s="1" t="s">
        <v>8</v>
      </c>
      <c r="O7715" s="1" t="s">
        <v>68</v>
      </c>
    </row>
    <row r="7716" spans="1:15" ht="28.8" x14ac:dyDescent="0.3">
      <c r="A7716" s="1" t="s">
        <v>7990</v>
      </c>
      <c r="B7716" s="1" t="str">
        <f>"MRM &amp; Sons Building &amp; Roofing LTD"</f>
        <v>MRM &amp; Sons Building &amp; Roofing LTD</v>
      </c>
      <c r="C7716" s="1" t="s">
        <v>7991</v>
      </c>
      <c r="F7716" s="1" t="s">
        <v>27</v>
      </c>
      <c r="H7716" s="1" t="s">
        <v>7992</v>
      </c>
      <c r="I7716" s="1" t="s">
        <v>19</v>
      </c>
      <c r="J7716" s="1" t="s">
        <v>6</v>
      </c>
      <c r="K7716" s="1" t="s">
        <v>34</v>
      </c>
      <c r="L7716" s="1">
        <v>8283884</v>
      </c>
      <c r="M7716" s="2">
        <v>42471</v>
      </c>
      <c r="N7716" s="1" t="s">
        <v>8</v>
      </c>
      <c r="O7716" s="2">
        <v>43566</v>
      </c>
    </row>
    <row r="7717" spans="1:15" ht="28.8" x14ac:dyDescent="0.3">
      <c r="A7717" s="1" t="s">
        <v>7993</v>
      </c>
      <c r="B7717" s="1" t="str">
        <f>"COMCEN COMPUTER SUPPLIES LTD"</f>
        <v>COMCEN COMPUTER SUPPLIES LTD</v>
      </c>
      <c r="C7717" s="1" t="s">
        <v>7994</v>
      </c>
      <c r="F7717" s="1" t="s">
        <v>65</v>
      </c>
      <c r="H7717" s="1" t="s">
        <v>6511</v>
      </c>
      <c r="I7717" s="1" t="s">
        <v>19</v>
      </c>
      <c r="J7717" s="1" t="s">
        <v>6</v>
      </c>
      <c r="K7717" s="1" t="s">
        <v>34</v>
      </c>
      <c r="L7717" s="1">
        <v>1626451</v>
      </c>
      <c r="M7717" s="2">
        <v>42471</v>
      </c>
      <c r="N7717" s="1" t="s">
        <v>8</v>
      </c>
      <c r="O7717" s="2">
        <v>43566</v>
      </c>
    </row>
    <row r="7718" spans="1:15" ht="28.8" x14ac:dyDescent="0.3">
      <c r="A7718" s="1" t="s">
        <v>7995</v>
      </c>
      <c r="B7718" s="1" t="str">
        <f>"CHESTER FLOORING SERVICES LTD"</f>
        <v>CHESTER FLOORING SERVICES LTD</v>
      </c>
      <c r="C7718" s="1" t="s">
        <v>7996</v>
      </c>
      <c r="D7718" s="1" t="s">
        <v>7997</v>
      </c>
      <c r="E7718" s="1" t="s">
        <v>7998</v>
      </c>
      <c r="F7718" s="1" t="s">
        <v>1346</v>
      </c>
      <c r="H7718" s="1" t="s">
        <v>7999</v>
      </c>
      <c r="I7718" s="1" t="s">
        <v>19</v>
      </c>
      <c r="J7718" s="1" t="s">
        <v>6</v>
      </c>
      <c r="K7718" s="1" t="s">
        <v>34</v>
      </c>
      <c r="L7718" s="1">
        <v>4937231</v>
      </c>
      <c r="M7718" s="2">
        <v>42471</v>
      </c>
      <c r="N7718" s="1" t="s">
        <v>8</v>
      </c>
      <c r="O7718" s="2">
        <v>43566</v>
      </c>
    </row>
    <row r="7719" spans="1:15" ht="28.8" x14ac:dyDescent="0.3">
      <c r="A7719" s="1" t="s">
        <v>8000</v>
      </c>
      <c r="B7719" s="1" t="str">
        <f>"Ronnie S Evans"</f>
        <v>Ronnie S Evans</v>
      </c>
      <c r="C7719" s="1" t="s">
        <v>8001</v>
      </c>
      <c r="F7719" s="1" t="s">
        <v>42</v>
      </c>
      <c r="H7719" s="1" t="s">
        <v>8002</v>
      </c>
      <c r="I7719" s="1" t="s">
        <v>125</v>
      </c>
      <c r="J7719" s="1" t="s">
        <v>6</v>
      </c>
      <c r="K7719" s="1" t="s">
        <v>24</v>
      </c>
      <c r="M7719" s="2">
        <v>42471</v>
      </c>
      <c r="N7719" s="1" t="s">
        <v>8</v>
      </c>
      <c r="O7719" s="2">
        <v>43566</v>
      </c>
    </row>
    <row r="7720" spans="1:15" ht="28.8" x14ac:dyDescent="0.3">
      <c r="A7720" s="1" t="s">
        <v>8003</v>
      </c>
      <c r="B7720" s="1" t="str">
        <f>"Ronnie S Evans Ltd"</f>
        <v>Ronnie S Evans Ltd</v>
      </c>
      <c r="C7720" s="1" t="s">
        <v>8001</v>
      </c>
      <c r="F7720" s="1" t="s">
        <v>42</v>
      </c>
      <c r="H7720" s="1" t="s">
        <v>8002</v>
      </c>
      <c r="I7720" s="1" t="s">
        <v>19</v>
      </c>
      <c r="J7720" s="1" t="s">
        <v>6</v>
      </c>
      <c r="K7720" s="1" t="s">
        <v>24</v>
      </c>
      <c r="L7720" s="1">
        <v>7157981</v>
      </c>
      <c r="M7720" s="2">
        <v>42471</v>
      </c>
      <c r="N7720" s="1" t="s">
        <v>8</v>
      </c>
      <c r="O7720" s="2">
        <v>43566</v>
      </c>
    </row>
    <row r="7721" spans="1:15" ht="43.2" x14ac:dyDescent="0.3">
      <c r="A7721" s="1" t="s">
        <v>8004</v>
      </c>
      <c r="B7721" s="1" t="str">
        <f>"patel corner store ltd"</f>
        <v>patel corner store ltd</v>
      </c>
      <c r="C7721" s="1" t="s">
        <v>8005</v>
      </c>
      <c r="F7721" s="1" t="s">
        <v>374</v>
      </c>
      <c r="H7721" s="1" t="s">
        <v>5478</v>
      </c>
      <c r="I7721" s="1" t="s">
        <v>125</v>
      </c>
      <c r="J7721" s="1" t="s">
        <v>67</v>
      </c>
      <c r="K7721" s="1" t="s">
        <v>14</v>
      </c>
      <c r="M7721" s="2">
        <v>42471</v>
      </c>
      <c r="N7721" s="1" t="s">
        <v>8</v>
      </c>
      <c r="O7721" s="1" t="s">
        <v>68</v>
      </c>
    </row>
    <row r="7722" spans="1:15" ht="43.2" x14ac:dyDescent="0.3">
      <c r="A7722" s="1" t="s">
        <v>8006</v>
      </c>
      <c r="B7722" s="1" t="str">
        <f>"SHEPHARD ENGINEERING SERVICES LTD"</f>
        <v>SHEPHARD ENGINEERING SERVICES LTD</v>
      </c>
      <c r="C7722" s="1" t="s">
        <v>8007</v>
      </c>
      <c r="D7722" s="1" t="s">
        <v>8008</v>
      </c>
      <c r="F7722" s="1" t="s">
        <v>8009</v>
      </c>
      <c r="H7722" s="1" t="s">
        <v>8010</v>
      </c>
      <c r="I7722" s="1" t="s">
        <v>19</v>
      </c>
      <c r="J7722" s="1" t="s">
        <v>6</v>
      </c>
      <c r="K7722" s="1" t="s">
        <v>24</v>
      </c>
      <c r="L7722" s="1">
        <v>6255172</v>
      </c>
      <c r="M7722" s="2">
        <v>42471</v>
      </c>
      <c r="N7722" s="1" t="s">
        <v>8</v>
      </c>
      <c r="O7722" s="2">
        <v>43566</v>
      </c>
    </row>
    <row r="7723" spans="1:15" ht="28.8" x14ac:dyDescent="0.3">
      <c r="A7723" s="1" t="s">
        <v>9181</v>
      </c>
      <c r="B7723" s="1" t="str">
        <f>"EWENNY GARDEN CENTRE LTD"</f>
        <v>EWENNY GARDEN CENTRE LTD</v>
      </c>
      <c r="C7723" s="1" t="s">
        <v>9182</v>
      </c>
      <c r="F7723" s="1" t="s">
        <v>179</v>
      </c>
      <c r="H7723" s="1" t="s">
        <v>9183</v>
      </c>
      <c r="I7723" s="1" t="s">
        <v>19</v>
      </c>
      <c r="J7723" s="1" t="s">
        <v>6</v>
      </c>
      <c r="K7723" s="1" t="s">
        <v>34</v>
      </c>
      <c r="L7723" s="1">
        <v>7264183</v>
      </c>
      <c r="M7723" s="2">
        <v>42471</v>
      </c>
      <c r="N7723" s="1" t="s">
        <v>8</v>
      </c>
      <c r="O7723" s="2">
        <v>43566</v>
      </c>
    </row>
    <row r="7724" spans="1:15" ht="28.8" x14ac:dyDescent="0.3">
      <c r="A7724" s="1" t="s">
        <v>9184</v>
      </c>
      <c r="B7724" s="1" t="str">
        <f>"H F OWEN TRANSPORT  &amp;  STORAGE LTD"</f>
        <v>H F OWEN TRANSPORT  &amp;  STORAGE LTD</v>
      </c>
      <c r="C7724" s="1" t="s">
        <v>9185</v>
      </c>
      <c r="F7724" s="1" t="s">
        <v>710</v>
      </c>
      <c r="H7724" s="1" t="s">
        <v>9186</v>
      </c>
      <c r="I7724" s="1" t="s">
        <v>19</v>
      </c>
      <c r="J7724" s="1" t="s">
        <v>6</v>
      </c>
      <c r="K7724" s="1" t="s">
        <v>24</v>
      </c>
      <c r="L7724" s="1">
        <v>4708455</v>
      </c>
      <c r="M7724" s="2">
        <v>42471</v>
      </c>
      <c r="N7724" s="1" t="s">
        <v>8</v>
      </c>
      <c r="O7724" s="2">
        <v>43566</v>
      </c>
    </row>
    <row r="7725" spans="1:15" ht="43.2" x14ac:dyDescent="0.3">
      <c r="A7725" s="1" t="s">
        <v>9187</v>
      </c>
      <c r="B7725" s="1" t="str">
        <f>"William Jenkins Contractors Ltd"</f>
        <v>William Jenkins Contractors Ltd</v>
      </c>
      <c r="C7725" s="1" t="s">
        <v>9188</v>
      </c>
      <c r="F7725" s="1" t="s">
        <v>298</v>
      </c>
      <c r="H7725" s="1" t="s">
        <v>9189</v>
      </c>
      <c r="I7725" s="1" t="s">
        <v>19</v>
      </c>
      <c r="J7725" s="1" t="s">
        <v>67</v>
      </c>
      <c r="K7725" s="1" t="s">
        <v>24</v>
      </c>
      <c r="L7725" s="1">
        <v>5373081</v>
      </c>
      <c r="M7725" s="2">
        <v>42471</v>
      </c>
      <c r="N7725" s="1" t="s">
        <v>8</v>
      </c>
      <c r="O7725" s="1" t="s">
        <v>68</v>
      </c>
    </row>
    <row r="7726" spans="1:15" ht="28.8" x14ac:dyDescent="0.3">
      <c r="A7726" s="1" t="s">
        <v>21194</v>
      </c>
      <c r="B7726" s="1" t="str">
        <f>"Leon  Cook  LSCC Recycling "</f>
        <v xml:space="preserve">Leon  Cook  LSCC Recycling </v>
      </c>
      <c r="C7726" s="1" t="s">
        <v>21195</v>
      </c>
      <c r="F7726" s="1" t="s">
        <v>621</v>
      </c>
      <c r="H7726" s="1" t="s">
        <v>21196</v>
      </c>
      <c r="I7726" s="1" t="s">
        <v>5</v>
      </c>
      <c r="J7726" s="1" t="s">
        <v>6</v>
      </c>
      <c r="K7726" s="1" t="s">
        <v>34</v>
      </c>
      <c r="M7726" s="2">
        <v>42471</v>
      </c>
      <c r="N7726" s="1" t="s">
        <v>8</v>
      </c>
      <c r="O7726" s="2">
        <v>43566</v>
      </c>
    </row>
    <row r="7727" spans="1:15" x14ac:dyDescent="0.3">
      <c r="A7727" s="1" t="s">
        <v>21197</v>
      </c>
      <c r="B7727" s="1" t="str">
        <f>"William Roberts"</f>
        <v>William Roberts</v>
      </c>
      <c r="C7727" s="1" t="s">
        <v>21198</v>
      </c>
      <c r="F7727" s="1" t="s">
        <v>1696</v>
      </c>
      <c r="H7727" s="1" t="s">
        <v>21199</v>
      </c>
      <c r="I7727" s="1" t="s">
        <v>5</v>
      </c>
      <c r="J7727" s="1" t="s">
        <v>6</v>
      </c>
      <c r="K7727" s="1" t="s">
        <v>24</v>
      </c>
      <c r="M7727" s="2">
        <v>42471</v>
      </c>
      <c r="N7727" s="1" t="s">
        <v>8</v>
      </c>
      <c r="O7727" s="2">
        <v>43566</v>
      </c>
    </row>
    <row r="7728" spans="1:15" ht="28.8" x14ac:dyDescent="0.3">
      <c r="A7728" s="1" t="s">
        <v>21956</v>
      </c>
      <c r="B7728" s="1" t="str">
        <f>"Elwyn Morton Roberts"</f>
        <v>Elwyn Morton Roberts</v>
      </c>
      <c r="C7728" s="1" t="s">
        <v>21957</v>
      </c>
      <c r="F7728" s="1" t="s">
        <v>710</v>
      </c>
      <c r="H7728" s="1" t="s">
        <v>21958</v>
      </c>
      <c r="I7728" s="1" t="s">
        <v>5</v>
      </c>
      <c r="J7728" s="1" t="s">
        <v>6</v>
      </c>
      <c r="K7728" s="1" t="s">
        <v>24</v>
      </c>
      <c r="M7728" s="2">
        <v>42471</v>
      </c>
      <c r="N7728" s="1" t="s">
        <v>8</v>
      </c>
      <c r="O7728" s="2">
        <v>43566</v>
      </c>
    </row>
    <row r="7729" spans="1:15" ht="43.2" x14ac:dyDescent="0.3">
      <c r="A7729" s="1" t="s">
        <v>22754</v>
      </c>
      <c r="B7729" s="1" t="str">
        <f>"GARETH DAVIES"</f>
        <v>GARETH DAVIES</v>
      </c>
      <c r="C7729" s="1" t="s">
        <v>22755</v>
      </c>
      <c r="D7729" s="1" t="s">
        <v>10290</v>
      </c>
      <c r="E7729" s="1" t="s">
        <v>108</v>
      </c>
      <c r="F7729" s="1" t="s">
        <v>65</v>
      </c>
      <c r="H7729" s="1" t="s">
        <v>22756</v>
      </c>
      <c r="I7729" s="1" t="s">
        <v>5</v>
      </c>
      <c r="J7729" s="1" t="s">
        <v>67</v>
      </c>
      <c r="K7729" s="1" t="s">
        <v>34</v>
      </c>
      <c r="M7729" s="2">
        <v>42471</v>
      </c>
      <c r="N7729" s="1" t="s">
        <v>8</v>
      </c>
      <c r="O7729" s="1" t="s">
        <v>68</v>
      </c>
    </row>
    <row r="7730" spans="1:15" ht="28.8" x14ac:dyDescent="0.3">
      <c r="A7730" s="1" t="s">
        <v>6936</v>
      </c>
      <c r="B7730" s="1" t="str">
        <f>"Abnormal Load Specialists Ltd."</f>
        <v>Abnormal Load Specialists Ltd.</v>
      </c>
      <c r="C7730" s="1" t="s">
        <v>6937</v>
      </c>
      <c r="D7730" s="1" t="s">
        <v>1389</v>
      </c>
      <c r="F7730" s="1" t="s">
        <v>865</v>
      </c>
      <c r="H7730" s="1" t="s">
        <v>6938</v>
      </c>
      <c r="I7730" s="1" t="s">
        <v>19</v>
      </c>
      <c r="J7730" s="1" t="s">
        <v>6</v>
      </c>
      <c r="K7730" s="1" t="s">
        <v>1859</v>
      </c>
      <c r="L7730" s="1">
        <v>3400583</v>
      </c>
      <c r="M7730" s="2">
        <v>42470</v>
      </c>
      <c r="N7730" s="1" t="s">
        <v>8</v>
      </c>
      <c r="O7730" s="2">
        <v>43565</v>
      </c>
    </row>
    <row r="7731" spans="1:15" ht="43.2" x14ac:dyDescent="0.3">
      <c r="A7731" s="1" t="s">
        <v>6939</v>
      </c>
      <c r="B7731" s="1" t="str">
        <f>"UPLAND CONSTRUCTION (WALES) LTD"</f>
        <v>UPLAND CONSTRUCTION (WALES) LTD</v>
      </c>
      <c r="C7731" s="1" t="s">
        <v>6940</v>
      </c>
      <c r="F7731" s="1" t="s">
        <v>96</v>
      </c>
      <c r="H7731" s="1" t="s">
        <v>6941</v>
      </c>
      <c r="I7731" s="1" t="s">
        <v>19</v>
      </c>
      <c r="J7731" s="1" t="s">
        <v>6</v>
      </c>
      <c r="K7731" s="1" t="s">
        <v>24</v>
      </c>
      <c r="L7731" s="1">
        <v>4008601</v>
      </c>
      <c r="M7731" s="2">
        <v>42470</v>
      </c>
      <c r="N7731" s="1" t="s">
        <v>8</v>
      </c>
      <c r="O7731" s="2">
        <v>43565</v>
      </c>
    </row>
    <row r="7732" spans="1:15" ht="28.8" x14ac:dyDescent="0.3">
      <c r="A7732" s="1" t="s">
        <v>21188</v>
      </c>
      <c r="B7732" s="1" t="str">
        <f>"Max Hardy M A Hardy building contractor "</f>
        <v xml:space="preserve">Max Hardy M A Hardy building contractor </v>
      </c>
      <c r="C7732" s="1" t="s">
        <v>21189</v>
      </c>
      <c r="F7732" s="1" t="s">
        <v>134</v>
      </c>
      <c r="H7732" s="1" t="s">
        <v>21190</v>
      </c>
      <c r="I7732" s="1" t="s">
        <v>5</v>
      </c>
      <c r="J7732" s="1" t="s">
        <v>6</v>
      </c>
      <c r="K7732" s="1" t="s">
        <v>24</v>
      </c>
      <c r="M7732" s="2">
        <v>42470</v>
      </c>
      <c r="N7732" s="1" t="s">
        <v>8</v>
      </c>
      <c r="O7732" s="2">
        <v>43565</v>
      </c>
    </row>
    <row r="7733" spans="1:15" ht="28.8" x14ac:dyDescent="0.3">
      <c r="A7733" s="1" t="s">
        <v>21191</v>
      </c>
      <c r="B7733" s="1" t="str">
        <f>"Alun Williams Alcon Builders"</f>
        <v>Alun Williams Alcon Builders</v>
      </c>
      <c r="C7733" s="1" t="s">
        <v>21192</v>
      </c>
      <c r="F7733" s="1" t="s">
        <v>179</v>
      </c>
      <c r="H7733" s="1" t="s">
        <v>21193</v>
      </c>
      <c r="I7733" s="1" t="s">
        <v>5</v>
      </c>
      <c r="J7733" s="1" t="s">
        <v>6</v>
      </c>
      <c r="K7733" s="1" t="s">
        <v>24</v>
      </c>
      <c r="M7733" s="2">
        <v>42470</v>
      </c>
      <c r="N7733" s="1" t="s">
        <v>8</v>
      </c>
      <c r="O7733" s="2">
        <v>43565</v>
      </c>
    </row>
    <row r="7734" spans="1:15" ht="28.8" x14ac:dyDescent="0.3">
      <c r="A7734" s="1" t="s">
        <v>800</v>
      </c>
      <c r="B7734" s="1" t="str">
        <f>"H K MOTORS (WALES) LTD"</f>
        <v>H K MOTORS (WALES) LTD</v>
      </c>
      <c r="C7734" s="1" t="s">
        <v>801</v>
      </c>
      <c r="D7734" s="1" t="s">
        <v>802</v>
      </c>
      <c r="F7734" s="1" t="s">
        <v>198</v>
      </c>
      <c r="H7734" s="1" t="s">
        <v>803</v>
      </c>
      <c r="I7734" s="1" t="s">
        <v>19</v>
      </c>
      <c r="J7734" s="1" t="s">
        <v>6</v>
      </c>
      <c r="K7734" s="1" t="s">
        <v>24</v>
      </c>
      <c r="L7734" s="1">
        <v>5481949</v>
      </c>
      <c r="M7734" s="2">
        <v>42469</v>
      </c>
      <c r="N7734" s="1" t="s">
        <v>8</v>
      </c>
      <c r="O7734" s="2">
        <v>44660</v>
      </c>
    </row>
    <row r="7735" spans="1:15" ht="28.8" x14ac:dyDescent="0.3">
      <c r="A7735" s="1" t="s">
        <v>172</v>
      </c>
      <c r="B7735" s="1" t="str">
        <f>"Crynant Skips and Recycling LTD"</f>
        <v>Crynant Skips and Recycling LTD</v>
      </c>
      <c r="C7735" s="1" t="s">
        <v>173</v>
      </c>
      <c r="F7735" s="1" t="s">
        <v>174</v>
      </c>
      <c r="H7735" s="1" t="s">
        <v>175</v>
      </c>
      <c r="I7735" s="1" t="s">
        <v>19</v>
      </c>
      <c r="J7735" s="1" t="s">
        <v>6</v>
      </c>
      <c r="K7735" s="1" t="s">
        <v>24</v>
      </c>
      <c r="L7735" s="1">
        <v>4705726</v>
      </c>
      <c r="M7735" s="2">
        <v>42468</v>
      </c>
      <c r="N7735" s="1" t="s">
        <v>8</v>
      </c>
      <c r="O7735" s="2">
        <v>44659</v>
      </c>
    </row>
    <row r="7736" spans="1:15" ht="28.8" x14ac:dyDescent="0.3">
      <c r="A7736" s="1" t="s">
        <v>1516</v>
      </c>
      <c r="B7736" s="1" t="str">
        <f>"Engineering Fabrication Ltd"</f>
        <v>Engineering Fabrication Ltd</v>
      </c>
      <c r="C7736" s="1" t="s">
        <v>1517</v>
      </c>
      <c r="F7736" s="1" t="s">
        <v>123</v>
      </c>
      <c r="H7736" s="1" t="s">
        <v>1518</v>
      </c>
      <c r="I7736" s="1" t="s">
        <v>19</v>
      </c>
      <c r="J7736" s="1" t="s">
        <v>6</v>
      </c>
      <c r="K7736" s="1" t="s">
        <v>24</v>
      </c>
      <c r="L7736" s="1">
        <v>3710090</v>
      </c>
      <c r="M7736" s="2">
        <v>42468</v>
      </c>
      <c r="N7736" s="1" t="s">
        <v>8</v>
      </c>
      <c r="O7736" s="2">
        <v>44659</v>
      </c>
    </row>
    <row r="7737" spans="1:15" ht="43.2" x14ac:dyDescent="0.3">
      <c r="A7737" s="1" t="s">
        <v>5770</v>
      </c>
      <c r="B7737" s="1" t="str">
        <f>"Storage Design Limited"</f>
        <v>Storage Design Limited</v>
      </c>
      <c r="C7737" s="1" t="s">
        <v>5771</v>
      </c>
      <c r="F7737" s="1" t="s">
        <v>786</v>
      </c>
      <c r="H7737" s="1" t="s">
        <v>5772</v>
      </c>
      <c r="I7737" s="1" t="s">
        <v>19</v>
      </c>
      <c r="J7737" s="1" t="s">
        <v>67</v>
      </c>
      <c r="K7737" s="1" t="s">
        <v>14</v>
      </c>
      <c r="M7737" s="2">
        <v>42468</v>
      </c>
      <c r="N7737" s="1" t="s">
        <v>8</v>
      </c>
      <c r="O7737" s="1" t="s">
        <v>68</v>
      </c>
    </row>
    <row r="7738" spans="1:15" ht="28.8" x14ac:dyDescent="0.3">
      <c r="A7738" s="1" t="s">
        <v>6932</v>
      </c>
      <c r="B7738" s="1" t="str">
        <f>"Carmarthenshire Tyre Services Ltd"</f>
        <v>Carmarthenshire Tyre Services Ltd</v>
      </c>
      <c r="C7738" s="1" t="s">
        <v>6921</v>
      </c>
      <c r="F7738" s="1" t="s">
        <v>96</v>
      </c>
      <c r="H7738" s="1" t="s">
        <v>6922</v>
      </c>
      <c r="I7738" s="1" t="s">
        <v>19</v>
      </c>
      <c r="J7738" s="1" t="s">
        <v>6</v>
      </c>
      <c r="K7738" s="1" t="s">
        <v>34</v>
      </c>
      <c r="L7738" s="1">
        <v>5150973</v>
      </c>
      <c r="M7738" s="2">
        <v>42468</v>
      </c>
      <c r="N7738" s="1" t="s">
        <v>8</v>
      </c>
      <c r="O7738" s="2">
        <v>43563</v>
      </c>
    </row>
    <row r="7739" spans="1:15" ht="28.8" x14ac:dyDescent="0.3">
      <c r="A7739" s="1" t="s">
        <v>6933</v>
      </c>
      <c r="B7739" s="1" t="str">
        <f>"Trustees of Powis Castle Estate"</f>
        <v>Trustees of Powis Castle Estate</v>
      </c>
      <c r="C7739" s="1" t="s">
        <v>6934</v>
      </c>
      <c r="F7739" s="1" t="s">
        <v>416</v>
      </c>
      <c r="H7739" s="1" t="s">
        <v>6935</v>
      </c>
      <c r="I7739" s="1" t="s">
        <v>125</v>
      </c>
      <c r="J7739" s="1" t="s">
        <v>6</v>
      </c>
      <c r="K7739" s="1" t="s">
        <v>24</v>
      </c>
      <c r="M7739" s="2">
        <v>42468</v>
      </c>
      <c r="N7739" s="1" t="s">
        <v>8</v>
      </c>
      <c r="O7739" s="2">
        <v>43563</v>
      </c>
    </row>
    <row r="7740" spans="1:15" ht="28.8" x14ac:dyDescent="0.3">
      <c r="A7740" s="1" t="s">
        <v>20400</v>
      </c>
      <c r="B7740" s="1" t="str">
        <f>"Tom Watts K H Watts And Sons"</f>
        <v>Tom Watts K H Watts And Sons</v>
      </c>
      <c r="C7740" s="1" t="s">
        <v>20401</v>
      </c>
      <c r="D7740" s="1" t="s">
        <v>8540</v>
      </c>
      <c r="F7740" s="1" t="s">
        <v>380</v>
      </c>
      <c r="H7740" s="1" t="s">
        <v>20402</v>
      </c>
      <c r="I7740" s="1" t="s">
        <v>5</v>
      </c>
      <c r="J7740" s="1" t="s">
        <v>6</v>
      </c>
      <c r="K7740" s="1" t="s">
        <v>34</v>
      </c>
      <c r="M7740" s="2">
        <v>42468</v>
      </c>
      <c r="N7740" s="1" t="s">
        <v>8</v>
      </c>
      <c r="O7740" s="2">
        <v>43563</v>
      </c>
    </row>
    <row r="7741" spans="1:15" ht="28.8" x14ac:dyDescent="0.3">
      <c r="A7741" s="1" t="s">
        <v>20403</v>
      </c>
      <c r="B7741" s="1" t="str">
        <f>"Sebastian Dickinson Caradog Landscapes"</f>
        <v>Sebastian Dickinson Caradog Landscapes</v>
      </c>
      <c r="C7741" s="1" t="s">
        <v>20404</v>
      </c>
      <c r="F7741" s="1" t="s">
        <v>65</v>
      </c>
      <c r="H7741" s="1" t="s">
        <v>20405</v>
      </c>
      <c r="I7741" s="1" t="s">
        <v>5</v>
      </c>
      <c r="J7741" s="1" t="s">
        <v>6</v>
      </c>
      <c r="K7741" s="1" t="s">
        <v>24</v>
      </c>
      <c r="M7741" s="2">
        <v>42468</v>
      </c>
      <c r="N7741" s="1" t="s">
        <v>8</v>
      </c>
      <c r="O7741" s="2">
        <v>43563</v>
      </c>
    </row>
    <row r="7742" spans="1:15" ht="28.8" x14ac:dyDescent="0.3">
      <c r="A7742" s="1" t="s">
        <v>20406</v>
      </c>
      <c r="B7742" s="1" t="str">
        <f>"Lynn Laver The Panel Shop"</f>
        <v>Lynn Laver The Panel Shop</v>
      </c>
      <c r="C7742" s="1" t="s">
        <v>20407</v>
      </c>
      <c r="D7742" s="1" t="s">
        <v>9448</v>
      </c>
      <c r="F7742" s="1" t="s">
        <v>27</v>
      </c>
      <c r="H7742" s="1" t="s">
        <v>9449</v>
      </c>
      <c r="I7742" s="1" t="s">
        <v>5</v>
      </c>
      <c r="J7742" s="1" t="s">
        <v>6</v>
      </c>
      <c r="K7742" s="1" t="s">
        <v>24</v>
      </c>
      <c r="M7742" s="2">
        <v>42468</v>
      </c>
      <c r="N7742" s="1" t="s">
        <v>8</v>
      </c>
      <c r="O7742" s="2">
        <v>43563</v>
      </c>
    </row>
    <row r="7743" spans="1:15" ht="28.8" x14ac:dyDescent="0.3">
      <c r="A7743" s="1" t="s">
        <v>20408</v>
      </c>
      <c r="B7743" s="1" t="str">
        <f>"Timothy Mallin T Mallin"</f>
        <v>Timothy Mallin T Mallin</v>
      </c>
      <c r="C7743" s="1" t="s">
        <v>20409</v>
      </c>
      <c r="F7743" s="1" t="s">
        <v>873</v>
      </c>
      <c r="H7743" s="1" t="s">
        <v>20410</v>
      </c>
      <c r="I7743" s="1" t="s">
        <v>5</v>
      </c>
      <c r="J7743" s="1" t="s">
        <v>6</v>
      </c>
      <c r="K7743" s="1" t="s">
        <v>24</v>
      </c>
      <c r="M7743" s="2">
        <v>42468</v>
      </c>
      <c r="N7743" s="1" t="s">
        <v>8</v>
      </c>
      <c r="O7743" s="2">
        <v>43563</v>
      </c>
    </row>
    <row r="7744" spans="1:15" ht="28.8" x14ac:dyDescent="0.3">
      <c r="A7744" s="1" t="s">
        <v>20411</v>
      </c>
      <c r="B7744" s="1" t="str">
        <f>"Owen Griffith"</f>
        <v>Owen Griffith</v>
      </c>
      <c r="C7744" s="1" t="s">
        <v>20412</v>
      </c>
      <c r="F7744" s="1" t="s">
        <v>1696</v>
      </c>
      <c r="H7744" s="1" t="s">
        <v>20413</v>
      </c>
      <c r="I7744" s="1" t="s">
        <v>5</v>
      </c>
      <c r="J7744" s="1" t="s">
        <v>6</v>
      </c>
      <c r="K7744" s="1" t="s">
        <v>34</v>
      </c>
      <c r="M7744" s="2">
        <v>42468</v>
      </c>
      <c r="N7744" s="1" t="s">
        <v>8</v>
      </c>
      <c r="O7744" s="2">
        <v>43575</v>
      </c>
    </row>
    <row r="7745" spans="1:15" ht="28.8" x14ac:dyDescent="0.3">
      <c r="A7745" s="1" t="s">
        <v>21185</v>
      </c>
      <c r="B7745" s="1" t="str">
        <f>"Richard Trevor Davies"</f>
        <v>Richard Trevor Davies</v>
      </c>
      <c r="C7745" s="1" t="s">
        <v>21186</v>
      </c>
      <c r="F7745" s="1" t="s">
        <v>27</v>
      </c>
      <c r="H7745" s="1" t="s">
        <v>21187</v>
      </c>
      <c r="I7745" s="1" t="s">
        <v>5</v>
      </c>
      <c r="J7745" s="1" t="s">
        <v>6</v>
      </c>
      <c r="K7745" s="1" t="s">
        <v>24</v>
      </c>
      <c r="M7745" s="2">
        <v>42468</v>
      </c>
      <c r="N7745" s="1" t="s">
        <v>8</v>
      </c>
      <c r="O7745" s="2">
        <v>43563</v>
      </c>
    </row>
    <row r="7746" spans="1:15" ht="28.8" x14ac:dyDescent="0.3">
      <c r="A7746" s="1" t="s">
        <v>1171</v>
      </c>
      <c r="B7746" s="1" t="str">
        <f>"D  Lucas &amp; Sons Ltd."</f>
        <v>D  Lucas &amp; Sons Ltd.</v>
      </c>
      <c r="C7746" s="1" t="s">
        <v>1172</v>
      </c>
      <c r="D7746" s="1" t="s">
        <v>1173</v>
      </c>
      <c r="E7746" s="1" t="s">
        <v>1174</v>
      </c>
      <c r="F7746" s="1" t="s">
        <v>1175</v>
      </c>
      <c r="H7746" s="1" t="s">
        <v>1176</v>
      </c>
      <c r="I7746" s="1" t="s">
        <v>19</v>
      </c>
      <c r="J7746" s="1" t="s">
        <v>6</v>
      </c>
      <c r="K7746" s="1" t="s">
        <v>24</v>
      </c>
      <c r="L7746" s="1">
        <v>2982505</v>
      </c>
      <c r="M7746" s="2">
        <v>42467</v>
      </c>
      <c r="N7746" s="1" t="s">
        <v>8</v>
      </c>
      <c r="O7746" s="2">
        <v>44658</v>
      </c>
    </row>
    <row r="7747" spans="1:15" ht="28.8" x14ac:dyDescent="0.3">
      <c r="A7747" s="1" t="s">
        <v>1189</v>
      </c>
      <c r="B7747" s="1" t="str">
        <f>"Robert Davies Robert Davies Plant Hire"</f>
        <v>Robert Davies Robert Davies Plant Hire</v>
      </c>
      <c r="C7747" s="1" t="s">
        <v>1190</v>
      </c>
      <c r="D7747" s="1" t="s">
        <v>1191</v>
      </c>
      <c r="F7747" s="1" t="s">
        <v>96</v>
      </c>
      <c r="H7747" s="1" t="s">
        <v>1192</v>
      </c>
      <c r="I7747" s="1" t="s">
        <v>5</v>
      </c>
      <c r="J7747" s="1" t="s">
        <v>6</v>
      </c>
      <c r="K7747" s="1" t="s">
        <v>34</v>
      </c>
      <c r="M7747" s="2">
        <v>42467</v>
      </c>
      <c r="N7747" s="1" t="s">
        <v>8</v>
      </c>
      <c r="O7747" s="2">
        <v>44658</v>
      </c>
    </row>
    <row r="7748" spans="1:15" ht="28.8" x14ac:dyDescent="0.3">
      <c r="A7748" s="1" t="s">
        <v>1944</v>
      </c>
      <c r="B7748" s="1" t="str">
        <f>"ANDREW ISAACS PHOENIX EXPRESS"</f>
        <v>ANDREW ISAACS PHOENIX EXPRESS</v>
      </c>
      <c r="C7748" s="1" t="s">
        <v>1945</v>
      </c>
      <c r="D7748" s="1" t="s">
        <v>1946</v>
      </c>
      <c r="F7748" s="1" t="s">
        <v>96</v>
      </c>
      <c r="H7748" s="1" t="s">
        <v>1947</v>
      </c>
      <c r="I7748" s="1" t="s">
        <v>5</v>
      </c>
      <c r="J7748" s="1" t="s">
        <v>6</v>
      </c>
      <c r="K7748" s="1" t="s">
        <v>24</v>
      </c>
      <c r="M7748" s="2">
        <v>42467</v>
      </c>
      <c r="N7748" s="1" t="s">
        <v>8</v>
      </c>
      <c r="O7748" s="2">
        <v>44658</v>
      </c>
    </row>
    <row r="7749" spans="1:15" ht="28.8" x14ac:dyDescent="0.3">
      <c r="A7749" s="1" t="s">
        <v>4598</v>
      </c>
      <c r="B7749" s="1" t="str">
        <f>"K &amp; S Transport Ltd "</f>
        <v xml:space="preserve">K &amp; S Transport Ltd </v>
      </c>
      <c r="C7749" s="1" t="s">
        <v>4599</v>
      </c>
      <c r="F7749" s="1" t="s">
        <v>42</v>
      </c>
      <c r="H7749" s="1" t="s">
        <v>4600</v>
      </c>
      <c r="I7749" s="1" t="s">
        <v>19</v>
      </c>
      <c r="J7749" s="1" t="s">
        <v>6</v>
      </c>
      <c r="K7749" s="1" t="s">
        <v>34</v>
      </c>
      <c r="L7749" s="1">
        <v>8499711</v>
      </c>
      <c r="M7749" s="2">
        <v>42467</v>
      </c>
      <c r="N7749" s="1" t="s">
        <v>8</v>
      </c>
      <c r="O7749" s="2">
        <v>43562</v>
      </c>
    </row>
    <row r="7750" spans="1:15" ht="43.2" x14ac:dyDescent="0.3">
      <c r="A7750" s="1" t="s">
        <v>4601</v>
      </c>
      <c r="B7750" s="1" t="str">
        <f>"Catnic"</f>
        <v>Catnic</v>
      </c>
      <c r="C7750" s="1" t="s">
        <v>4602</v>
      </c>
      <c r="F7750" s="1" t="s">
        <v>103</v>
      </c>
      <c r="H7750" s="1" t="s">
        <v>4603</v>
      </c>
      <c r="I7750" s="1" t="s">
        <v>19</v>
      </c>
      <c r="J7750" s="1" t="s">
        <v>67</v>
      </c>
      <c r="K7750" s="1" t="s">
        <v>14</v>
      </c>
      <c r="M7750" s="2">
        <v>42467</v>
      </c>
      <c r="N7750" s="1" t="s">
        <v>8</v>
      </c>
      <c r="O7750" s="1" t="s">
        <v>68</v>
      </c>
    </row>
    <row r="7751" spans="1:15" ht="43.2" x14ac:dyDescent="0.3">
      <c r="A7751" s="1" t="s">
        <v>4604</v>
      </c>
      <c r="B7751" s="1" t="str">
        <f>"B&amp;B Environmental Services Limited"</f>
        <v>B&amp;B Environmental Services Limited</v>
      </c>
      <c r="C7751" s="1" t="s">
        <v>4605</v>
      </c>
      <c r="F7751" s="1" t="s">
        <v>156</v>
      </c>
      <c r="H7751" s="1" t="s">
        <v>4606</v>
      </c>
      <c r="I7751" s="1" t="s">
        <v>19</v>
      </c>
      <c r="J7751" s="1" t="s">
        <v>6</v>
      </c>
      <c r="K7751" s="1" t="s">
        <v>34</v>
      </c>
      <c r="L7751" s="1">
        <v>8731818</v>
      </c>
      <c r="M7751" s="2">
        <v>42467</v>
      </c>
      <c r="N7751" s="1" t="s">
        <v>8</v>
      </c>
      <c r="O7751" s="2">
        <v>43562</v>
      </c>
    </row>
    <row r="7752" spans="1:15" ht="43.2" x14ac:dyDescent="0.3">
      <c r="A7752" s="1" t="s">
        <v>4607</v>
      </c>
      <c r="B7752" s="1" t="str">
        <f>"B &amp; D Electrical Services Ltd"</f>
        <v>B &amp; D Electrical Services Ltd</v>
      </c>
      <c r="C7752" s="1" t="s">
        <v>4608</v>
      </c>
      <c r="D7752" s="1" t="s">
        <v>4609</v>
      </c>
      <c r="F7752" s="1" t="s">
        <v>198</v>
      </c>
      <c r="H7752" s="1" t="s">
        <v>4610</v>
      </c>
      <c r="I7752" s="1" t="s">
        <v>19</v>
      </c>
      <c r="J7752" s="1" t="s">
        <v>67</v>
      </c>
      <c r="K7752" s="1" t="s">
        <v>14</v>
      </c>
      <c r="M7752" s="2">
        <v>42467</v>
      </c>
      <c r="N7752" s="1" t="s">
        <v>8</v>
      </c>
      <c r="O7752" s="1" t="s">
        <v>68</v>
      </c>
    </row>
    <row r="7753" spans="1:15" ht="28.8" x14ac:dyDescent="0.3">
      <c r="A7753" s="1" t="s">
        <v>5763</v>
      </c>
      <c r="B7753" s="1" t="str">
        <f>"MACCARTER BUILDERS &amp; DEVELOPERS"</f>
        <v>MACCARTER BUILDERS &amp; DEVELOPERS</v>
      </c>
      <c r="C7753" s="1" t="s">
        <v>5764</v>
      </c>
      <c r="F7753" s="1" t="s">
        <v>5765</v>
      </c>
      <c r="H7753" s="1" t="s">
        <v>5766</v>
      </c>
      <c r="I7753" s="1" t="s">
        <v>125</v>
      </c>
      <c r="J7753" s="1" t="s">
        <v>6</v>
      </c>
      <c r="K7753" s="1" t="s">
        <v>24</v>
      </c>
      <c r="M7753" s="2">
        <v>42467</v>
      </c>
      <c r="N7753" s="1" t="s">
        <v>8</v>
      </c>
      <c r="O7753" s="2">
        <v>43562</v>
      </c>
    </row>
    <row r="7754" spans="1:15" ht="43.2" x14ac:dyDescent="0.3">
      <c r="A7754" s="1" t="s">
        <v>5767</v>
      </c>
      <c r="B7754" s="1" t="str">
        <f>"Enfys Windows &amp; Roofs Limited"</f>
        <v>Enfys Windows &amp; Roofs Limited</v>
      </c>
      <c r="C7754" s="1" t="s">
        <v>5768</v>
      </c>
      <c r="F7754" s="1" t="s">
        <v>96</v>
      </c>
      <c r="H7754" s="1" t="s">
        <v>5769</v>
      </c>
      <c r="I7754" s="1" t="s">
        <v>19</v>
      </c>
      <c r="J7754" s="1" t="s">
        <v>67</v>
      </c>
      <c r="K7754" s="1" t="s">
        <v>14</v>
      </c>
      <c r="M7754" s="2">
        <v>42467</v>
      </c>
      <c r="N7754" s="1" t="s">
        <v>8</v>
      </c>
      <c r="O7754" s="1" t="s">
        <v>68</v>
      </c>
    </row>
    <row r="7755" spans="1:15" ht="43.2" x14ac:dyDescent="0.3">
      <c r="A7755" s="1" t="s">
        <v>19630</v>
      </c>
      <c r="B7755" s="1" t="str">
        <f>"Dennis Leigh  Woodhams  D L W Landscaping "</f>
        <v xml:space="preserve">Dennis Leigh  Woodhams  D L W Landscaping </v>
      </c>
      <c r="C7755" s="1" t="s">
        <v>19631</v>
      </c>
      <c r="D7755" s="1" t="s">
        <v>19632</v>
      </c>
      <c r="F7755" s="1" t="s">
        <v>96</v>
      </c>
      <c r="H7755" s="1" t="s">
        <v>19633</v>
      </c>
      <c r="I7755" s="1" t="s">
        <v>5</v>
      </c>
      <c r="J7755" s="1" t="s">
        <v>6</v>
      </c>
      <c r="K7755" s="1" t="s">
        <v>34</v>
      </c>
      <c r="M7755" s="2">
        <v>42467</v>
      </c>
      <c r="N7755" s="1" t="s">
        <v>8</v>
      </c>
      <c r="O7755" s="2">
        <v>43562</v>
      </c>
    </row>
    <row r="7756" spans="1:15" ht="28.8" x14ac:dyDescent="0.3">
      <c r="A7756" s="1" t="s">
        <v>20397</v>
      </c>
      <c r="B7756" s="1" t="str">
        <f>"Kenneth Cutler Crusader Home IMP"</f>
        <v>Kenneth Cutler Crusader Home IMP</v>
      </c>
      <c r="C7756" s="1" t="s">
        <v>20398</v>
      </c>
      <c r="F7756" s="1" t="s">
        <v>277</v>
      </c>
      <c r="H7756" s="1" t="s">
        <v>20399</v>
      </c>
      <c r="I7756" s="1" t="s">
        <v>5</v>
      </c>
      <c r="J7756" s="1" t="s">
        <v>6</v>
      </c>
      <c r="K7756" s="1" t="s">
        <v>24</v>
      </c>
      <c r="M7756" s="2">
        <v>42467</v>
      </c>
      <c r="N7756" s="1" t="s">
        <v>8</v>
      </c>
      <c r="O7756" s="2">
        <v>43562</v>
      </c>
    </row>
    <row r="7757" spans="1:15" ht="28.8" x14ac:dyDescent="0.3">
      <c r="A7757" s="1" t="s">
        <v>1886</v>
      </c>
      <c r="B7757" s="1" t="str">
        <f>"DAVIES BROTHERS CONSTRUCTION LTD"</f>
        <v>DAVIES BROTHERS CONSTRUCTION LTD</v>
      </c>
      <c r="C7757" s="1" t="s">
        <v>1887</v>
      </c>
      <c r="F7757" s="1" t="s">
        <v>1888</v>
      </c>
      <c r="H7757" s="1" t="s">
        <v>1889</v>
      </c>
      <c r="I7757" s="1" t="s">
        <v>19</v>
      </c>
      <c r="J7757" s="1" t="s">
        <v>6</v>
      </c>
      <c r="K7757" s="1" t="s">
        <v>24</v>
      </c>
      <c r="L7757" s="1">
        <v>6159518</v>
      </c>
      <c r="M7757" s="2">
        <v>42466</v>
      </c>
      <c r="N7757" s="1" t="s">
        <v>8</v>
      </c>
      <c r="O7757" s="2">
        <v>44657</v>
      </c>
    </row>
    <row r="7758" spans="1:15" ht="43.2" x14ac:dyDescent="0.3">
      <c r="A7758" s="1" t="s">
        <v>3489</v>
      </c>
      <c r="B7758" s="1" t="str">
        <f>"Ail Gyfle-Second Chance Ltd"</f>
        <v>Ail Gyfle-Second Chance Ltd</v>
      </c>
      <c r="C7758" s="1" t="s">
        <v>3490</v>
      </c>
      <c r="F7758" s="1" t="s">
        <v>42</v>
      </c>
      <c r="H7758" s="1" t="s">
        <v>3491</v>
      </c>
      <c r="I7758" s="1" t="s">
        <v>19</v>
      </c>
      <c r="J7758" s="1" t="s">
        <v>67</v>
      </c>
      <c r="K7758" s="1" t="s">
        <v>14</v>
      </c>
      <c r="M7758" s="2">
        <v>42466</v>
      </c>
      <c r="N7758" s="1" t="s">
        <v>8</v>
      </c>
      <c r="O7758" s="1" t="s">
        <v>68</v>
      </c>
    </row>
    <row r="7759" spans="1:15" ht="43.2" x14ac:dyDescent="0.3">
      <c r="A7759" s="1" t="s">
        <v>4585</v>
      </c>
      <c r="B7759" s="1" t="str">
        <f>"Hopkins Young Electrical Ltd"</f>
        <v>Hopkins Young Electrical Ltd</v>
      </c>
      <c r="C7759" s="1" t="s">
        <v>4586</v>
      </c>
      <c r="F7759" s="1" t="s">
        <v>4587</v>
      </c>
      <c r="H7759" s="1" t="s">
        <v>4588</v>
      </c>
      <c r="I7759" s="1" t="s">
        <v>19</v>
      </c>
      <c r="J7759" s="1" t="s">
        <v>67</v>
      </c>
      <c r="K7759" s="1" t="s">
        <v>34</v>
      </c>
      <c r="L7759" s="1">
        <v>3703915</v>
      </c>
      <c r="M7759" s="2">
        <v>42466</v>
      </c>
      <c r="N7759" s="1" t="s">
        <v>8</v>
      </c>
      <c r="O7759" s="1" t="s">
        <v>68</v>
      </c>
    </row>
    <row r="7760" spans="1:15" ht="43.2" x14ac:dyDescent="0.3">
      <c r="A7760" s="1" t="s">
        <v>4589</v>
      </c>
      <c r="B7760" s="1" t="str">
        <f>"Creigiau Tyres Ltd"</f>
        <v>Creigiau Tyres Ltd</v>
      </c>
      <c r="C7760" s="1" t="s">
        <v>4590</v>
      </c>
      <c r="D7760" s="1" t="s">
        <v>4591</v>
      </c>
      <c r="F7760" s="1" t="s">
        <v>277</v>
      </c>
      <c r="H7760" s="1" t="s">
        <v>4592</v>
      </c>
      <c r="I7760" s="1" t="s">
        <v>19</v>
      </c>
      <c r="J7760" s="1" t="s">
        <v>6</v>
      </c>
      <c r="K7760" s="1" t="s">
        <v>24</v>
      </c>
      <c r="L7760" s="1">
        <v>5146722</v>
      </c>
      <c r="M7760" s="2">
        <v>42466</v>
      </c>
      <c r="N7760" s="1" t="s">
        <v>8</v>
      </c>
      <c r="O7760" s="2">
        <v>43561</v>
      </c>
    </row>
    <row r="7761" spans="1:15" ht="28.8" x14ac:dyDescent="0.3">
      <c r="A7761" s="1" t="s">
        <v>4593</v>
      </c>
      <c r="B7761" s="1" t="str">
        <f>"construction group limited"</f>
        <v>construction group limited</v>
      </c>
      <c r="C7761" s="1" t="s">
        <v>4594</v>
      </c>
      <c r="D7761" s="1" t="s">
        <v>4595</v>
      </c>
      <c r="F7761" s="1" t="s">
        <v>4596</v>
      </c>
      <c r="H7761" s="1" t="s">
        <v>4597</v>
      </c>
      <c r="I7761" s="1" t="s">
        <v>19</v>
      </c>
      <c r="J7761" s="1" t="s">
        <v>6</v>
      </c>
      <c r="K7761" s="1" t="s">
        <v>24</v>
      </c>
      <c r="L7761" s="1">
        <v>9936433</v>
      </c>
      <c r="M7761" s="2">
        <v>42466</v>
      </c>
      <c r="N7761" s="1" t="s">
        <v>8</v>
      </c>
      <c r="O7761" s="2">
        <v>43561</v>
      </c>
    </row>
    <row r="7762" spans="1:15" ht="43.2" x14ac:dyDescent="0.3">
      <c r="A7762" s="1" t="s">
        <v>18789</v>
      </c>
      <c r="B7762" s="1" t="str">
        <f>"Paul Parry Paul Parry Upvc WINDOWS AND dOORS"</f>
        <v>Paul Parry Paul Parry Upvc WINDOWS AND dOORS</v>
      </c>
      <c r="C7762" s="1" t="s">
        <v>18790</v>
      </c>
      <c r="F7762" s="1" t="s">
        <v>1351</v>
      </c>
      <c r="H7762" s="1" t="s">
        <v>18791</v>
      </c>
      <c r="I7762" s="1" t="s">
        <v>5</v>
      </c>
      <c r="J7762" s="1" t="s">
        <v>6</v>
      </c>
      <c r="K7762" s="1" t="s">
        <v>24</v>
      </c>
      <c r="M7762" s="2">
        <v>42466</v>
      </c>
      <c r="N7762" s="1" t="s">
        <v>8</v>
      </c>
      <c r="O7762" s="2">
        <v>43561</v>
      </c>
    </row>
    <row r="7763" spans="1:15" ht="28.8" x14ac:dyDescent="0.3">
      <c r="A7763" s="1" t="s">
        <v>18792</v>
      </c>
      <c r="B7763" s="1" t="str">
        <f>"edward sands MILL TYRES"</f>
        <v>edward sands MILL TYRES</v>
      </c>
      <c r="C7763" s="1" t="s">
        <v>18793</v>
      </c>
      <c r="F7763" s="1" t="s">
        <v>9631</v>
      </c>
      <c r="H7763" s="1" t="s">
        <v>18794</v>
      </c>
      <c r="I7763" s="1" t="s">
        <v>5</v>
      </c>
      <c r="J7763" s="1" t="s">
        <v>6</v>
      </c>
      <c r="K7763" s="1" t="s">
        <v>24</v>
      </c>
      <c r="M7763" s="2">
        <v>42466</v>
      </c>
      <c r="N7763" s="1" t="s">
        <v>8</v>
      </c>
      <c r="O7763" s="2">
        <v>43561</v>
      </c>
    </row>
    <row r="7764" spans="1:15" ht="28.8" x14ac:dyDescent="0.3">
      <c r="A7764" s="1" t="s">
        <v>18795</v>
      </c>
      <c r="B7764" s="1" t="str">
        <f>"Virgil Scott Davies"</f>
        <v>Virgil Scott Davies</v>
      </c>
      <c r="C7764" s="1" t="s">
        <v>18796</v>
      </c>
      <c r="F7764" s="1" t="s">
        <v>457</v>
      </c>
      <c r="H7764" s="1" t="s">
        <v>18797</v>
      </c>
      <c r="I7764" s="1" t="s">
        <v>5</v>
      </c>
      <c r="J7764" s="1" t="s">
        <v>6</v>
      </c>
      <c r="K7764" s="1" t="s">
        <v>24</v>
      </c>
      <c r="M7764" s="2">
        <v>42466</v>
      </c>
      <c r="N7764" s="1" t="s">
        <v>8</v>
      </c>
      <c r="O7764" s="2">
        <v>43561</v>
      </c>
    </row>
    <row r="7765" spans="1:15" ht="43.2" x14ac:dyDescent="0.3">
      <c r="A7765" s="1" t="s">
        <v>18798</v>
      </c>
      <c r="B7765" s="1" t="str">
        <f>"Chad Mckay"</f>
        <v>Chad Mckay</v>
      </c>
      <c r="C7765" s="1" t="s">
        <v>18799</v>
      </c>
      <c r="F7765" s="1" t="s">
        <v>18800</v>
      </c>
      <c r="H7765" s="1" t="s">
        <v>18801</v>
      </c>
      <c r="I7765" s="1" t="s">
        <v>5</v>
      </c>
      <c r="J7765" s="1" t="s">
        <v>67</v>
      </c>
      <c r="K7765" s="1" t="s">
        <v>14</v>
      </c>
      <c r="M7765" s="2">
        <v>42466</v>
      </c>
      <c r="N7765" s="1" t="s">
        <v>8</v>
      </c>
      <c r="O7765" s="1" t="s">
        <v>68</v>
      </c>
    </row>
    <row r="7766" spans="1:15" ht="28.8" x14ac:dyDescent="0.3">
      <c r="A7766" s="1" t="s">
        <v>19624</v>
      </c>
      <c r="B7766" s="1" t="str">
        <f>"Simon  Jones Water Supply Solutions "</f>
        <v xml:space="preserve">Simon  Jones Water Supply Solutions </v>
      </c>
      <c r="C7766" s="1" t="s">
        <v>19625</v>
      </c>
      <c r="F7766" s="1" t="s">
        <v>3242</v>
      </c>
      <c r="H7766" s="1" t="s">
        <v>19626</v>
      </c>
      <c r="I7766" s="1" t="s">
        <v>5</v>
      </c>
      <c r="J7766" s="1" t="s">
        <v>6</v>
      </c>
      <c r="K7766" s="1" t="s">
        <v>24</v>
      </c>
      <c r="M7766" s="2">
        <v>42466</v>
      </c>
      <c r="N7766" s="1" t="s">
        <v>8</v>
      </c>
      <c r="O7766" s="2">
        <v>43561</v>
      </c>
    </row>
    <row r="7767" spans="1:15" ht="28.8" x14ac:dyDescent="0.3">
      <c r="A7767" s="1" t="s">
        <v>19627</v>
      </c>
      <c r="B7767" s="1" t="str">
        <f>"Rhys  Williams  Newam Tree Services "</f>
        <v xml:space="preserve">Rhys  Williams  Newam Tree Services </v>
      </c>
      <c r="C7767" s="1" t="s">
        <v>19628</v>
      </c>
      <c r="F7767" s="1" t="s">
        <v>65</v>
      </c>
      <c r="H7767" s="1" t="s">
        <v>19629</v>
      </c>
      <c r="I7767" s="1" t="s">
        <v>5</v>
      </c>
      <c r="J7767" s="1" t="s">
        <v>6</v>
      </c>
      <c r="K7767" s="1" t="s">
        <v>34</v>
      </c>
      <c r="M7767" s="2">
        <v>42466</v>
      </c>
      <c r="N7767" s="1" t="s">
        <v>8</v>
      </c>
      <c r="O7767" s="2">
        <v>43562</v>
      </c>
    </row>
    <row r="7768" spans="1:15" ht="28.8" x14ac:dyDescent="0.3">
      <c r="A7768" s="1" t="s">
        <v>300</v>
      </c>
      <c r="B7768" s="1" t="str">
        <f>"Pegasus Maintenance Services Ltd."</f>
        <v>Pegasus Maintenance Services Ltd.</v>
      </c>
      <c r="C7768" s="1" t="s">
        <v>301</v>
      </c>
      <c r="F7768" s="1" t="s">
        <v>27</v>
      </c>
      <c r="H7768" s="1" t="s">
        <v>302</v>
      </c>
      <c r="I7768" s="1" t="s">
        <v>19</v>
      </c>
      <c r="J7768" s="1" t="s">
        <v>6</v>
      </c>
      <c r="K7768" s="1" t="s">
        <v>24</v>
      </c>
      <c r="L7768" s="1">
        <v>5380567</v>
      </c>
      <c r="M7768" s="2">
        <v>42465</v>
      </c>
      <c r="N7768" s="1" t="s">
        <v>8</v>
      </c>
      <c r="O7768" s="2">
        <v>44673</v>
      </c>
    </row>
    <row r="7769" spans="1:15" ht="28.8" x14ac:dyDescent="0.3">
      <c r="A7769" s="1" t="s">
        <v>880</v>
      </c>
      <c r="B7769" s="1" t="str">
        <f>"TEIARS HUW LEWIS CYF"</f>
        <v>TEIARS HUW LEWIS CYF</v>
      </c>
      <c r="C7769" s="1" t="s">
        <v>881</v>
      </c>
      <c r="F7769" s="1" t="s">
        <v>37</v>
      </c>
      <c r="H7769" s="1" t="s">
        <v>879</v>
      </c>
      <c r="I7769" s="1" t="s">
        <v>19</v>
      </c>
      <c r="J7769" s="1" t="s">
        <v>6</v>
      </c>
      <c r="K7769" s="1" t="s">
        <v>24</v>
      </c>
      <c r="L7769" s="1">
        <v>5083663</v>
      </c>
      <c r="M7769" s="2">
        <v>42465</v>
      </c>
      <c r="N7769" s="1" t="s">
        <v>8</v>
      </c>
      <c r="O7769" s="2">
        <v>44655</v>
      </c>
    </row>
    <row r="7770" spans="1:15" ht="28.8" x14ac:dyDescent="0.3">
      <c r="A7770" s="1" t="s">
        <v>1276</v>
      </c>
      <c r="B7770" s="1" t="str">
        <f>"Haydn Hughes H O Hughes Haulage"</f>
        <v>Haydn Hughes H O Hughes Haulage</v>
      </c>
      <c r="C7770" s="1" t="s">
        <v>1277</v>
      </c>
      <c r="D7770" s="1" t="s">
        <v>861</v>
      </c>
      <c r="F7770" s="1" t="s">
        <v>1278</v>
      </c>
      <c r="H7770" s="1" t="s">
        <v>1279</v>
      </c>
      <c r="I7770" s="1" t="s">
        <v>5</v>
      </c>
      <c r="J7770" s="1" t="s">
        <v>6</v>
      </c>
      <c r="K7770" s="1" t="s">
        <v>24</v>
      </c>
      <c r="M7770" s="2">
        <v>42465</v>
      </c>
      <c r="N7770" s="1" t="s">
        <v>8</v>
      </c>
      <c r="O7770" s="2">
        <v>44656</v>
      </c>
    </row>
    <row r="7771" spans="1:15" ht="28.8" x14ac:dyDescent="0.3">
      <c r="A7771" s="1" t="s">
        <v>1948</v>
      </c>
      <c r="B7771" s="1" t="str">
        <f>"DAVID RONALD GEORGE JAMES"</f>
        <v>DAVID RONALD GEORGE JAMES</v>
      </c>
      <c r="C7771" s="1" t="s">
        <v>1949</v>
      </c>
      <c r="D7771" s="1" t="s">
        <v>1950</v>
      </c>
      <c r="F7771" s="1" t="s">
        <v>1511</v>
      </c>
      <c r="H7771" s="1" t="s">
        <v>1951</v>
      </c>
      <c r="I7771" s="1" t="s">
        <v>5</v>
      </c>
      <c r="J7771" s="1" t="s">
        <v>6</v>
      </c>
      <c r="K7771" s="1" t="s">
        <v>24</v>
      </c>
      <c r="M7771" s="2">
        <v>42465</v>
      </c>
      <c r="N7771" s="1" t="s">
        <v>8</v>
      </c>
      <c r="O7771" s="2">
        <v>44656</v>
      </c>
    </row>
    <row r="7772" spans="1:15" ht="28.8" x14ac:dyDescent="0.3">
      <c r="A7772" s="1" t="s">
        <v>1973</v>
      </c>
      <c r="B7772" s="1" t="str">
        <f>"J O P Ltd."</f>
        <v>J O P Ltd.</v>
      </c>
      <c r="C7772" s="1" t="s">
        <v>1974</v>
      </c>
      <c r="F7772" s="1" t="s">
        <v>1975</v>
      </c>
      <c r="H7772" s="1" t="s">
        <v>1976</v>
      </c>
      <c r="I7772" s="1" t="s">
        <v>19</v>
      </c>
      <c r="J7772" s="1" t="s">
        <v>6</v>
      </c>
      <c r="K7772" s="1" t="s">
        <v>34</v>
      </c>
      <c r="L7772" s="1">
        <v>1151509</v>
      </c>
      <c r="M7772" s="2">
        <v>42465</v>
      </c>
      <c r="N7772" s="1" t="s">
        <v>8</v>
      </c>
      <c r="O7772" s="2">
        <v>44656</v>
      </c>
    </row>
    <row r="7773" spans="1:15" ht="28.8" x14ac:dyDescent="0.3">
      <c r="A7773" s="1" t="s">
        <v>3486</v>
      </c>
      <c r="B7773" s="1" t="str">
        <f>"MIB FACADES LTD"</f>
        <v>MIB FACADES LTD</v>
      </c>
      <c r="C7773" s="1" t="s">
        <v>3487</v>
      </c>
      <c r="F7773" s="1" t="s">
        <v>27</v>
      </c>
      <c r="H7773" s="1" t="s">
        <v>3488</v>
      </c>
      <c r="I7773" s="1" t="s">
        <v>19</v>
      </c>
      <c r="J7773" s="1" t="s">
        <v>6</v>
      </c>
      <c r="K7773" s="1" t="s">
        <v>24</v>
      </c>
      <c r="L7773" s="1">
        <v>6067270</v>
      </c>
      <c r="M7773" s="2">
        <v>42465</v>
      </c>
      <c r="N7773" s="1" t="s">
        <v>8</v>
      </c>
      <c r="O7773" s="2">
        <v>43560</v>
      </c>
    </row>
    <row r="7774" spans="1:15" ht="43.2" x14ac:dyDescent="0.3">
      <c r="A7774" s="1" t="s">
        <v>18199</v>
      </c>
      <c r="B7774" s="1" t="str">
        <f>"R S COMMERCIALS"</f>
        <v>R S COMMERCIALS</v>
      </c>
      <c r="C7774" s="1" t="s">
        <v>18200</v>
      </c>
      <c r="D7774" s="1" t="s">
        <v>4308</v>
      </c>
      <c r="F7774" s="1" t="s">
        <v>198</v>
      </c>
      <c r="H7774" s="1" t="s">
        <v>18201</v>
      </c>
      <c r="I7774" s="1" t="s">
        <v>125</v>
      </c>
      <c r="J7774" s="1" t="s">
        <v>67</v>
      </c>
      <c r="K7774" s="1" t="s">
        <v>14</v>
      </c>
      <c r="M7774" s="2">
        <v>42465</v>
      </c>
      <c r="N7774" s="1" t="s">
        <v>8</v>
      </c>
      <c r="O7774" s="1" t="s">
        <v>68</v>
      </c>
    </row>
    <row r="7775" spans="1:15" ht="28.8" x14ac:dyDescent="0.3">
      <c r="A7775" s="1" t="s">
        <v>18202</v>
      </c>
      <c r="B7775" s="1" t="str">
        <f>"D.R. WILLIAMS (FELINWNDA) LTD"</f>
        <v>D.R. WILLIAMS (FELINWNDA) LTD</v>
      </c>
      <c r="C7775" s="1" t="s">
        <v>18203</v>
      </c>
      <c r="F7775" s="1" t="s">
        <v>710</v>
      </c>
      <c r="H7775" s="1" t="s">
        <v>18204</v>
      </c>
      <c r="I7775" s="1" t="s">
        <v>19</v>
      </c>
      <c r="J7775" s="1" t="s">
        <v>6</v>
      </c>
      <c r="K7775" s="1" t="s">
        <v>34</v>
      </c>
      <c r="L7775" s="1">
        <v>1244799</v>
      </c>
      <c r="M7775" s="2">
        <v>42465</v>
      </c>
      <c r="N7775" s="1" t="s">
        <v>8</v>
      </c>
      <c r="O7775" s="2">
        <v>43560</v>
      </c>
    </row>
    <row r="7776" spans="1:15" ht="28.8" x14ac:dyDescent="0.3">
      <c r="A7776" s="1" t="s">
        <v>18205</v>
      </c>
      <c r="B7776" s="1" t="str">
        <f>"D A J  Evans Ltd."</f>
        <v>D A J  Evans Ltd.</v>
      </c>
      <c r="C7776" s="1" t="s">
        <v>18206</v>
      </c>
      <c r="D7776" s="1" t="s">
        <v>18207</v>
      </c>
      <c r="F7776" s="1" t="s">
        <v>2961</v>
      </c>
      <c r="H7776" s="1" t="s">
        <v>18208</v>
      </c>
      <c r="I7776" s="1" t="s">
        <v>19</v>
      </c>
      <c r="J7776" s="1" t="s">
        <v>6</v>
      </c>
      <c r="K7776" s="1" t="s">
        <v>34</v>
      </c>
      <c r="L7776" s="1">
        <v>3059623</v>
      </c>
      <c r="M7776" s="2">
        <v>42465</v>
      </c>
      <c r="N7776" s="1" t="s">
        <v>8</v>
      </c>
      <c r="O7776" s="2">
        <v>43560</v>
      </c>
    </row>
    <row r="7777" spans="1:15" ht="28.8" x14ac:dyDescent="0.3">
      <c r="A7777" s="1" t="s">
        <v>18767</v>
      </c>
      <c r="B7777" s="1" t="str">
        <f>"Stanley  Davies"</f>
        <v>Stanley  Davies</v>
      </c>
      <c r="C7777" s="1" t="s">
        <v>18768</v>
      </c>
      <c r="F7777" s="1" t="s">
        <v>825</v>
      </c>
      <c r="G7777" s="1" t="s">
        <v>180</v>
      </c>
      <c r="H7777" s="1" t="s">
        <v>18769</v>
      </c>
      <c r="I7777" s="1" t="s">
        <v>5</v>
      </c>
      <c r="J7777" s="1" t="s">
        <v>6</v>
      </c>
      <c r="K7777" s="1" t="s">
        <v>24</v>
      </c>
      <c r="M7777" s="2">
        <v>42465</v>
      </c>
      <c r="N7777" s="1" t="s">
        <v>8</v>
      </c>
      <c r="O7777" s="2">
        <v>43559</v>
      </c>
    </row>
    <row r="7778" spans="1:15" ht="28.8" x14ac:dyDescent="0.3">
      <c r="A7778" s="1" t="s">
        <v>18770</v>
      </c>
      <c r="B7778" s="1" t="str">
        <f>"Brian Kuppan Abel Gas Engineers"</f>
        <v>Brian Kuppan Abel Gas Engineers</v>
      </c>
      <c r="C7778" s="1" t="s">
        <v>18771</v>
      </c>
      <c r="F7778" s="1" t="s">
        <v>18772</v>
      </c>
      <c r="H7778" s="1" t="s">
        <v>18773</v>
      </c>
      <c r="I7778" s="1" t="s">
        <v>5</v>
      </c>
      <c r="J7778" s="1" t="s">
        <v>6</v>
      </c>
      <c r="K7778" s="1" t="s">
        <v>24</v>
      </c>
      <c r="M7778" s="2">
        <v>42465</v>
      </c>
      <c r="N7778" s="1" t="s">
        <v>8</v>
      </c>
      <c r="O7778" s="2">
        <v>43560</v>
      </c>
    </row>
    <row r="7779" spans="1:15" ht="28.8" x14ac:dyDescent="0.3">
      <c r="A7779" s="1" t="s">
        <v>18774</v>
      </c>
      <c r="B7779" s="1" t="str">
        <f>"Anthony Hawkins A Hawkins roofing"</f>
        <v>Anthony Hawkins A Hawkins roofing</v>
      </c>
      <c r="C7779" s="1" t="s">
        <v>18775</v>
      </c>
      <c r="F7779" s="1" t="s">
        <v>825</v>
      </c>
      <c r="H7779" s="1" t="s">
        <v>18776</v>
      </c>
      <c r="I7779" s="1" t="s">
        <v>5</v>
      </c>
      <c r="J7779" s="1" t="s">
        <v>6</v>
      </c>
      <c r="K7779" s="1" t="s">
        <v>34</v>
      </c>
      <c r="M7779" s="2">
        <v>42465</v>
      </c>
      <c r="N7779" s="1" t="s">
        <v>8</v>
      </c>
      <c r="O7779" s="2">
        <v>43560</v>
      </c>
    </row>
    <row r="7780" spans="1:15" ht="28.8" x14ac:dyDescent="0.3">
      <c r="A7780" s="1" t="s">
        <v>18777</v>
      </c>
      <c r="B7780" s="1" t="str">
        <f>"Richard Thomas rgthomas"</f>
        <v>Richard Thomas rgthomas</v>
      </c>
      <c r="C7780" s="1" t="s">
        <v>18778</v>
      </c>
      <c r="F7780" s="1" t="s">
        <v>1700</v>
      </c>
      <c r="H7780" s="1" t="s">
        <v>18779</v>
      </c>
      <c r="I7780" s="1" t="s">
        <v>5</v>
      </c>
      <c r="J7780" s="1" t="s">
        <v>6</v>
      </c>
      <c r="K7780" s="1" t="s">
        <v>24</v>
      </c>
      <c r="M7780" s="2">
        <v>42465</v>
      </c>
      <c r="N7780" s="1" t="s">
        <v>8</v>
      </c>
      <c r="O7780" s="2">
        <v>43560</v>
      </c>
    </row>
    <row r="7781" spans="1:15" ht="28.8" x14ac:dyDescent="0.3">
      <c r="A7781" s="1" t="s">
        <v>18780</v>
      </c>
      <c r="B7781" s="1" t="str">
        <f>"MICHAEL WILLIAM CLATWORTHY"</f>
        <v>MICHAEL WILLIAM CLATWORTHY</v>
      </c>
      <c r="C7781" s="1" t="s">
        <v>18781</v>
      </c>
      <c r="D7781" s="1" t="s">
        <v>18782</v>
      </c>
      <c r="F7781" s="1" t="s">
        <v>865</v>
      </c>
      <c r="H7781" s="1" t="s">
        <v>1257</v>
      </c>
      <c r="I7781" s="1" t="s">
        <v>5</v>
      </c>
      <c r="J7781" s="1" t="s">
        <v>6</v>
      </c>
      <c r="K7781" s="1" t="s">
        <v>24</v>
      </c>
      <c r="M7781" s="2">
        <v>42465</v>
      </c>
      <c r="N7781" s="1" t="s">
        <v>8</v>
      </c>
      <c r="O7781" s="2">
        <v>43560</v>
      </c>
    </row>
    <row r="7782" spans="1:15" ht="28.8" x14ac:dyDescent="0.3">
      <c r="A7782" s="1" t="s">
        <v>18783</v>
      </c>
      <c r="B7782" s="1" t="str">
        <f>"Mark Pope Mark Pope Building &amp; Roofing"</f>
        <v>Mark Pope Mark Pope Building &amp; Roofing</v>
      </c>
      <c r="C7782" s="1" t="s">
        <v>18784</v>
      </c>
      <c r="F7782" s="1" t="s">
        <v>1260</v>
      </c>
      <c r="H7782" s="1" t="s">
        <v>18785</v>
      </c>
      <c r="I7782" s="1" t="s">
        <v>5</v>
      </c>
      <c r="J7782" s="1" t="s">
        <v>6</v>
      </c>
      <c r="K7782" s="1" t="s">
        <v>34</v>
      </c>
      <c r="M7782" s="2">
        <v>42465</v>
      </c>
      <c r="N7782" s="1" t="s">
        <v>8</v>
      </c>
      <c r="O7782" s="2">
        <v>43560</v>
      </c>
    </row>
    <row r="7783" spans="1:15" ht="28.8" x14ac:dyDescent="0.3">
      <c r="A7783" s="1" t="s">
        <v>18786</v>
      </c>
      <c r="B7783" s="1" t="str">
        <f>"Shane Sutton A &amp; S Services"</f>
        <v>Shane Sutton A &amp; S Services</v>
      </c>
      <c r="C7783" s="1" t="s">
        <v>18787</v>
      </c>
      <c r="F7783" s="1" t="s">
        <v>16099</v>
      </c>
      <c r="H7783" s="1" t="s">
        <v>18788</v>
      </c>
      <c r="I7783" s="1" t="s">
        <v>5</v>
      </c>
      <c r="J7783" s="1" t="s">
        <v>6</v>
      </c>
      <c r="K7783" s="1" t="s">
        <v>24</v>
      </c>
      <c r="M7783" s="2">
        <v>42465</v>
      </c>
      <c r="N7783" s="1" t="s">
        <v>8</v>
      </c>
      <c r="O7783" s="2">
        <v>43560</v>
      </c>
    </row>
    <row r="7784" spans="1:15" ht="43.2" x14ac:dyDescent="0.3">
      <c r="A7784" s="1" t="s">
        <v>29837</v>
      </c>
      <c r="B7784" s="1" t="str">
        <f>"Richard Owen Woodland View Caravan Park"</f>
        <v>Richard Owen Woodland View Caravan Park</v>
      </c>
      <c r="C7784" s="1" t="s">
        <v>29838</v>
      </c>
      <c r="F7784" s="1" t="s">
        <v>7844</v>
      </c>
      <c r="H7784" s="1" t="s">
        <v>29839</v>
      </c>
      <c r="I7784" s="1" t="s">
        <v>5</v>
      </c>
      <c r="J7784" s="1" t="s">
        <v>6</v>
      </c>
      <c r="K7784" s="1" t="s">
        <v>24</v>
      </c>
      <c r="M7784" s="2">
        <v>42465</v>
      </c>
      <c r="N7784" s="1" t="s">
        <v>8</v>
      </c>
      <c r="O7784" s="2">
        <v>43560</v>
      </c>
    </row>
    <row r="7785" spans="1:15" ht="28.8" x14ac:dyDescent="0.3">
      <c r="A7785" s="1" t="s">
        <v>29840</v>
      </c>
      <c r="B7785" s="1" t="str">
        <f>"Halwyn Hext H H Builder"</f>
        <v>Halwyn Hext H H Builder</v>
      </c>
      <c r="C7785" s="1" t="s">
        <v>29841</v>
      </c>
      <c r="F7785" s="1" t="s">
        <v>277</v>
      </c>
      <c r="H7785" s="1" t="s">
        <v>29842</v>
      </c>
      <c r="I7785" s="1" t="s">
        <v>5</v>
      </c>
      <c r="J7785" s="1" t="s">
        <v>6</v>
      </c>
      <c r="K7785" s="1" t="s">
        <v>24</v>
      </c>
      <c r="M7785" s="2">
        <v>42465</v>
      </c>
      <c r="N7785" s="1" t="s">
        <v>8</v>
      </c>
      <c r="O7785" s="2">
        <v>43560</v>
      </c>
    </row>
    <row r="7786" spans="1:15" ht="28.8" x14ac:dyDescent="0.3">
      <c r="A7786" s="1" t="s">
        <v>29843</v>
      </c>
      <c r="B7786" s="1" t="str">
        <f>"Lance Pugh"</f>
        <v>Lance Pugh</v>
      </c>
      <c r="C7786" s="1" t="s">
        <v>29844</v>
      </c>
      <c r="D7786" s="1" t="s">
        <v>3842</v>
      </c>
      <c r="F7786" s="1" t="s">
        <v>32</v>
      </c>
      <c r="H7786" s="1" t="s">
        <v>29845</v>
      </c>
      <c r="I7786" s="1" t="s">
        <v>5</v>
      </c>
      <c r="J7786" s="1" t="s">
        <v>6</v>
      </c>
      <c r="K7786" s="1" t="s">
        <v>34</v>
      </c>
      <c r="M7786" s="2">
        <v>42465</v>
      </c>
      <c r="N7786" s="1" t="s">
        <v>8</v>
      </c>
      <c r="O7786" s="2">
        <v>43560</v>
      </c>
    </row>
    <row r="7787" spans="1:15" ht="28.8" x14ac:dyDescent="0.3">
      <c r="A7787" s="1" t="s">
        <v>143</v>
      </c>
      <c r="B7787" s="1" t="str">
        <f>"A.E.Gough and Sons"</f>
        <v>A.E.Gough and Sons</v>
      </c>
      <c r="C7787" s="1" t="s">
        <v>144</v>
      </c>
      <c r="D7787" s="1" t="s">
        <v>145</v>
      </c>
      <c r="F7787" s="1" t="s">
        <v>146</v>
      </c>
      <c r="H7787" s="1" t="s">
        <v>147</v>
      </c>
      <c r="I7787" s="1" t="s">
        <v>125</v>
      </c>
      <c r="J7787" s="1" t="s">
        <v>6</v>
      </c>
      <c r="K7787" s="1" t="s">
        <v>24</v>
      </c>
      <c r="M7787" s="2">
        <v>42464</v>
      </c>
      <c r="N7787" s="1" t="s">
        <v>8</v>
      </c>
      <c r="O7787" s="2">
        <v>44654</v>
      </c>
    </row>
    <row r="7788" spans="1:15" ht="28.8" x14ac:dyDescent="0.3">
      <c r="A7788" s="1" t="s">
        <v>775</v>
      </c>
      <c r="B7788" s="1" t="str">
        <f>"welsh border motor spares"</f>
        <v>welsh border motor spares</v>
      </c>
      <c r="C7788" s="1" t="s">
        <v>776</v>
      </c>
      <c r="F7788" s="1" t="s">
        <v>416</v>
      </c>
      <c r="H7788" s="1" t="s">
        <v>777</v>
      </c>
      <c r="I7788" s="1" t="s">
        <v>125</v>
      </c>
      <c r="J7788" s="1" t="s">
        <v>6</v>
      </c>
      <c r="K7788" s="1" t="s">
        <v>34</v>
      </c>
      <c r="M7788" s="2">
        <v>42464</v>
      </c>
      <c r="N7788" s="1" t="s">
        <v>8</v>
      </c>
      <c r="O7788" s="2">
        <v>44655</v>
      </c>
    </row>
    <row r="7789" spans="1:15" ht="28.8" x14ac:dyDescent="0.3">
      <c r="A7789" s="1" t="s">
        <v>1182</v>
      </c>
      <c r="B7789" s="1" t="str">
        <f>"Wayne Roberts Wayne Roberts Haulage"</f>
        <v>Wayne Roberts Wayne Roberts Haulage</v>
      </c>
      <c r="C7789" s="1" t="s">
        <v>1183</v>
      </c>
      <c r="F7789" s="1" t="s">
        <v>1184</v>
      </c>
      <c r="H7789" s="1" t="s">
        <v>1185</v>
      </c>
      <c r="I7789" s="1" t="s">
        <v>5</v>
      </c>
      <c r="J7789" s="1" t="s">
        <v>6</v>
      </c>
      <c r="K7789" s="1" t="s">
        <v>34</v>
      </c>
      <c r="M7789" s="2">
        <v>42464</v>
      </c>
      <c r="N7789" s="1" t="s">
        <v>8</v>
      </c>
      <c r="O7789" s="2">
        <v>44655</v>
      </c>
    </row>
    <row r="7790" spans="1:15" ht="28.8" x14ac:dyDescent="0.3">
      <c r="A7790" s="1" t="s">
        <v>1249</v>
      </c>
      <c r="B7790" s="1" t="str">
        <f>"RALPHYS ROOFING LTD"</f>
        <v>RALPHYS ROOFING LTD</v>
      </c>
      <c r="C7790" s="1" t="s">
        <v>1250</v>
      </c>
      <c r="F7790" s="1" t="s">
        <v>739</v>
      </c>
      <c r="H7790" s="1" t="s">
        <v>1251</v>
      </c>
      <c r="I7790" s="1" t="s">
        <v>19</v>
      </c>
      <c r="J7790" s="1" t="s">
        <v>6</v>
      </c>
      <c r="K7790" s="1" t="s">
        <v>24</v>
      </c>
      <c r="L7790" s="1">
        <v>5537429</v>
      </c>
      <c r="M7790" s="2">
        <v>42464</v>
      </c>
      <c r="N7790" s="1" t="s">
        <v>8</v>
      </c>
      <c r="O7790" s="2">
        <v>44655</v>
      </c>
    </row>
    <row r="7791" spans="1:15" ht="28.8" x14ac:dyDescent="0.3">
      <c r="A7791" s="1" t="s">
        <v>1495</v>
      </c>
      <c r="B7791" s="1" t="str">
        <f>"Ronald  Bradley Ronald Bradley"</f>
        <v>Ronald  Bradley Ronald Bradley</v>
      </c>
      <c r="C7791" s="1" t="s">
        <v>1496</v>
      </c>
      <c r="F7791" s="1" t="s">
        <v>508</v>
      </c>
      <c r="H7791" s="1" t="s">
        <v>1497</v>
      </c>
      <c r="I7791" s="1" t="s">
        <v>5</v>
      </c>
      <c r="J7791" s="1" t="s">
        <v>6</v>
      </c>
      <c r="K7791" s="1" t="s">
        <v>34</v>
      </c>
      <c r="M7791" s="2">
        <v>42464</v>
      </c>
      <c r="N7791" s="1" t="s">
        <v>8</v>
      </c>
      <c r="O7791" s="2">
        <v>44655</v>
      </c>
    </row>
    <row r="7792" spans="1:15" x14ac:dyDescent="0.3">
      <c r="A7792" s="1" t="s">
        <v>1544</v>
      </c>
      <c r="B7792" s="1" t="str">
        <f>"S. MORGAN &amp; SON"</f>
        <v>S. MORGAN &amp; SON</v>
      </c>
      <c r="C7792" s="1" t="s">
        <v>1545</v>
      </c>
      <c r="F7792" s="1" t="s">
        <v>739</v>
      </c>
      <c r="H7792" s="1" t="s">
        <v>1546</v>
      </c>
      <c r="I7792" s="1" t="s">
        <v>19</v>
      </c>
      <c r="J7792" s="1" t="s">
        <v>6</v>
      </c>
      <c r="K7792" s="1" t="s">
        <v>24</v>
      </c>
      <c r="L7792" s="1">
        <v>8715712</v>
      </c>
      <c r="M7792" s="2">
        <v>42464</v>
      </c>
      <c r="N7792" s="1" t="s">
        <v>8</v>
      </c>
      <c r="O7792" s="2">
        <v>44655</v>
      </c>
    </row>
    <row r="7793" spans="1:15" ht="28.8" x14ac:dyDescent="0.3">
      <c r="A7793" s="1" t="s">
        <v>1581</v>
      </c>
      <c r="B7793" s="1" t="str">
        <f>"EDWARDS WOODLAND SERVICES LTD"</f>
        <v>EDWARDS WOODLAND SERVICES LTD</v>
      </c>
      <c r="C7793" s="1" t="s">
        <v>1582</v>
      </c>
      <c r="D7793" s="1" t="s">
        <v>1583</v>
      </c>
      <c r="F7793" s="1" t="s">
        <v>1584</v>
      </c>
      <c r="H7793" s="1" t="s">
        <v>1585</v>
      </c>
      <c r="I7793" s="1" t="s">
        <v>19</v>
      </c>
      <c r="J7793" s="1" t="s">
        <v>6</v>
      </c>
      <c r="K7793" s="1" t="s">
        <v>34</v>
      </c>
      <c r="L7793" s="1">
        <v>3953029</v>
      </c>
      <c r="M7793" s="2">
        <v>42464</v>
      </c>
      <c r="N7793" s="1" t="s">
        <v>8</v>
      </c>
      <c r="O7793" s="2">
        <v>44655</v>
      </c>
    </row>
    <row r="7794" spans="1:15" ht="28.8" x14ac:dyDescent="0.3">
      <c r="A7794" s="1" t="s">
        <v>1918</v>
      </c>
      <c r="B7794" s="1" t="str">
        <f>"INDUSTRIAL DOOR SERVICES LTD"</f>
        <v>INDUSTRIAL DOOR SERVICES LTD</v>
      </c>
      <c r="C7794" s="1" t="s">
        <v>1919</v>
      </c>
      <c r="F7794" s="1" t="s">
        <v>91</v>
      </c>
      <c r="H7794" s="1" t="s">
        <v>1920</v>
      </c>
      <c r="I7794" s="1" t="s">
        <v>19</v>
      </c>
      <c r="J7794" s="1" t="s">
        <v>6</v>
      </c>
      <c r="K7794" s="1" t="s">
        <v>24</v>
      </c>
      <c r="L7794" s="1">
        <v>3139260</v>
      </c>
      <c r="M7794" s="2">
        <v>42464</v>
      </c>
      <c r="N7794" s="1" t="s">
        <v>8</v>
      </c>
      <c r="O7794" s="2">
        <v>44658</v>
      </c>
    </row>
    <row r="7795" spans="1:15" ht="28.8" x14ac:dyDescent="0.3">
      <c r="A7795" s="1" t="s">
        <v>16205</v>
      </c>
      <c r="B7795" s="1" t="str">
        <f>"BOB GAY Plant Hire"</f>
        <v>BOB GAY Plant Hire</v>
      </c>
      <c r="C7795" s="1" t="s">
        <v>16206</v>
      </c>
      <c r="F7795" s="1" t="s">
        <v>1274</v>
      </c>
      <c r="H7795" s="1" t="s">
        <v>16207</v>
      </c>
      <c r="I7795" s="1" t="s">
        <v>125</v>
      </c>
      <c r="J7795" s="1" t="s">
        <v>6</v>
      </c>
      <c r="K7795" s="1" t="s">
        <v>34</v>
      </c>
      <c r="M7795" s="2">
        <v>42464</v>
      </c>
      <c r="N7795" s="1" t="s">
        <v>8</v>
      </c>
      <c r="O7795" s="2">
        <v>43559</v>
      </c>
    </row>
    <row r="7796" spans="1:15" ht="43.2" x14ac:dyDescent="0.3">
      <c r="A7796" s="1" t="s">
        <v>16208</v>
      </c>
      <c r="B7796" s="1" t="str">
        <f>"st davids care in the community"</f>
        <v>st davids care in the community</v>
      </c>
      <c r="C7796" s="1" t="s">
        <v>16209</v>
      </c>
      <c r="F7796" s="1" t="s">
        <v>438</v>
      </c>
      <c r="H7796" s="1" t="s">
        <v>16210</v>
      </c>
      <c r="I7796" s="1" t="s">
        <v>19</v>
      </c>
      <c r="J7796" s="1" t="s">
        <v>67</v>
      </c>
      <c r="K7796" s="1" t="s">
        <v>14</v>
      </c>
      <c r="M7796" s="2">
        <v>42464</v>
      </c>
      <c r="N7796" s="1" t="s">
        <v>8</v>
      </c>
      <c r="O7796" s="1" t="s">
        <v>68</v>
      </c>
    </row>
    <row r="7797" spans="1:15" ht="28.8" x14ac:dyDescent="0.3">
      <c r="A7797" s="1" t="s">
        <v>16211</v>
      </c>
      <c r="B7797" s="1" t="str">
        <f>"WIlliams Shipping Marine Limited"</f>
        <v>WIlliams Shipping Marine Limited</v>
      </c>
      <c r="C7797" s="1" t="s">
        <v>16212</v>
      </c>
      <c r="F7797" s="1" t="s">
        <v>15303</v>
      </c>
      <c r="H7797" s="1" t="s">
        <v>16213</v>
      </c>
      <c r="I7797" s="1" t="s">
        <v>19</v>
      </c>
      <c r="J7797" s="1" t="s">
        <v>6</v>
      </c>
      <c r="K7797" s="1" t="s">
        <v>24</v>
      </c>
      <c r="L7797" s="1">
        <v>2324176</v>
      </c>
      <c r="M7797" s="2">
        <v>42464</v>
      </c>
      <c r="N7797" s="1" t="s">
        <v>8</v>
      </c>
      <c r="O7797" s="2">
        <v>43559</v>
      </c>
    </row>
    <row r="7798" spans="1:15" ht="28.8" x14ac:dyDescent="0.3">
      <c r="A7798" s="1" t="s">
        <v>16214</v>
      </c>
      <c r="B7798" s="1" t="str">
        <f>"H. V. BOWEN &amp; SONS (QUARRY) LTD"</f>
        <v>H. V. BOWEN &amp; SONS (QUARRY) LTD</v>
      </c>
      <c r="C7798" s="1" t="s">
        <v>16215</v>
      </c>
      <c r="F7798" s="1" t="s">
        <v>416</v>
      </c>
      <c r="H7798" s="1" t="s">
        <v>16216</v>
      </c>
      <c r="I7798" s="1" t="s">
        <v>19</v>
      </c>
      <c r="J7798" s="1" t="s">
        <v>6</v>
      </c>
      <c r="K7798" s="1" t="s">
        <v>24</v>
      </c>
      <c r="L7798" s="1">
        <v>7745354</v>
      </c>
      <c r="M7798" s="2">
        <v>42464</v>
      </c>
      <c r="N7798" s="1" t="s">
        <v>8</v>
      </c>
      <c r="O7798" s="2">
        <v>43559</v>
      </c>
    </row>
    <row r="7799" spans="1:15" ht="28.8" x14ac:dyDescent="0.3">
      <c r="A7799" s="1" t="s">
        <v>17161</v>
      </c>
      <c r="B7799" s="1" t="str">
        <f>"M A Evans Transport Ltd."</f>
        <v>M A Evans Transport Ltd.</v>
      </c>
      <c r="C7799" s="1" t="s">
        <v>12753</v>
      </c>
      <c r="F7799" s="1" t="s">
        <v>5683</v>
      </c>
      <c r="H7799" s="1" t="s">
        <v>17162</v>
      </c>
      <c r="I7799" s="1" t="s">
        <v>19</v>
      </c>
      <c r="J7799" s="1" t="s">
        <v>6</v>
      </c>
      <c r="K7799" s="1" t="s">
        <v>24</v>
      </c>
      <c r="L7799" s="1">
        <v>946338</v>
      </c>
      <c r="M7799" s="2">
        <v>42464</v>
      </c>
      <c r="N7799" s="1" t="s">
        <v>8</v>
      </c>
      <c r="O7799" s="2">
        <v>43559</v>
      </c>
    </row>
    <row r="7800" spans="1:15" ht="28.8" x14ac:dyDescent="0.3">
      <c r="A7800" s="1" t="s">
        <v>17163</v>
      </c>
      <c r="B7800" s="1" t="str">
        <f>"C P  Construction (Gwent) Ltd."</f>
        <v>C P  Construction (Gwent) Ltd.</v>
      </c>
      <c r="C7800" s="1" t="s">
        <v>17164</v>
      </c>
      <c r="D7800" s="1" t="s">
        <v>3128</v>
      </c>
      <c r="F7800" s="1" t="s">
        <v>91</v>
      </c>
      <c r="H7800" s="1" t="s">
        <v>17165</v>
      </c>
      <c r="I7800" s="1" t="s">
        <v>19</v>
      </c>
      <c r="J7800" s="1" t="s">
        <v>6</v>
      </c>
      <c r="K7800" s="1" t="s">
        <v>24</v>
      </c>
      <c r="L7800" s="1">
        <v>1005702</v>
      </c>
      <c r="M7800" s="2">
        <v>42464</v>
      </c>
      <c r="N7800" s="1" t="s">
        <v>8</v>
      </c>
      <c r="O7800" s="2">
        <v>43603</v>
      </c>
    </row>
    <row r="7801" spans="1:15" ht="43.2" x14ac:dyDescent="0.3">
      <c r="A7801" s="1" t="s">
        <v>17166</v>
      </c>
      <c r="B7801" s="1" t="str">
        <f>"P C &amp; M Hutchinson"</f>
        <v>P C &amp; M Hutchinson</v>
      </c>
      <c r="C7801" s="1" t="s">
        <v>17167</v>
      </c>
      <c r="D7801" s="1" t="s">
        <v>3282</v>
      </c>
      <c r="F7801" s="1" t="s">
        <v>3283</v>
      </c>
      <c r="H7801" s="1" t="s">
        <v>17168</v>
      </c>
      <c r="I7801" s="1" t="s">
        <v>125</v>
      </c>
      <c r="J7801" s="1" t="s">
        <v>67</v>
      </c>
      <c r="K7801" s="1" t="s">
        <v>14</v>
      </c>
      <c r="M7801" s="2">
        <v>42464</v>
      </c>
      <c r="N7801" s="1" t="s">
        <v>8</v>
      </c>
      <c r="O7801" s="1" t="s">
        <v>68</v>
      </c>
    </row>
    <row r="7802" spans="1:15" ht="28.8" x14ac:dyDescent="0.3">
      <c r="A7802" s="1" t="s">
        <v>17169</v>
      </c>
      <c r="B7802" s="1" t="str">
        <f>"W B CEE LTD"</f>
        <v>W B CEE LTD</v>
      </c>
      <c r="C7802" s="1" t="s">
        <v>17170</v>
      </c>
      <c r="F7802" s="1" t="s">
        <v>13220</v>
      </c>
      <c r="H7802" s="1" t="s">
        <v>14251</v>
      </c>
      <c r="I7802" s="1" t="s">
        <v>19</v>
      </c>
      <c r="J7802" s="1" t="s">
        <v>6</v>
      </c>
      <c r="K7802" s="1" t="s">
        <v>34</v>
      </c>
      <c r="L7802" s="1">
        <v>6667093</v>
      </c>
      <c r="M7802" s="2">
        <v>42464</v>
      </c>
      <c r="N7802" s="1" t="s">
        <v>8</v>
      </c>
      <c r="O7802" s="2">
        <v>43559</v>
      </c>
    </row>
    <row r="7803" spans="1:15" ht="43.2" x14ac:dyDescent="0.3">
      <c r="A7803" s="1" t="s">
        <v>17171</v>
      </c>
      <c r="B7803" s="1" t="str">
        <f>"Millers Alarms Ltd"</f>
        <v>Millers Alarms Ltd</v>
      </c>
      <c r="C7803" s="1" t="s">
        <v>17172</v>
      </c>
      <c r="F7803" s="1" t="s">
        <v>3472</v>
      </c>
      <c r="H7803" s="1" t="s">
        <v>17173</v>
      </c>
      <c r="I7803" s="1" t="s">
        <v>19</v>
      </c>
      <c r="J7803" s="1" t="s">
        <v>67</v>
      </c>
      <c r="K7803" s="1" t="s">
        <v>14</v>
      </c>
      <c r="M7803" s="2">
        <v>42464</v>
      </c>
      <c r="N7803" s="1" t="s">
        <v>8</v>
      </c>
      <c r="O7803" s="1" t="s">
        <v>68</v>
      </c>
    </row>
    <row r="7804" spans="1:15" ht="28.8" x14ac:dyDescent="0.3">
      <c r="A7804" s="1" t="s">
        <v>17174</v>
      </c>
      <c r="B7804" s="1" t="str">
        <f>"Hogan (Construction) Ltd."</f>
        <v>Hogan (Construction) Ltd.</v>
      </c>
      <c r="C7804" s="1" t="s">
        <v>14041</v>
      </c>
      <c r="F7804" s="1" t="s">
        <v>1321</v>
      </c>
      <c r="H7804" s="1" t="s">
        <v>4961</v>
      </c>
      <c r="I7804" s="1" t="s">
        <v>19</v>
      </c>
      <c r="J7804" s="1" t="s">
        <v>6</v>
      </c>
      <c r="K7804" s="1" t="s">
        <v>24</v>
      </c>
      <c r="L7804" s="1">
        <v>1754312</v>
      </c>
      <c r="M7804" s="2">
        <v>42464</v>
      </c>
      <c r="N7804" s="1" t="s">
        <v>8</v>
      </c>
      <c r="O7804" s="2">
        <v>43559</v>
      </c>
    </row>
    <row r="7805" spans="1:15" ht="43.2" x14ac:dyDescent="0.3">
      <c r="A7805" s="1" t="s">
        <v>18194</v>
      </c>
      <c r="B7805" s="1" t="str">
        <f>"Roche Ultimate Limited"</f>
        <v>Roche Ultimate Limited</v>
      </c>
      <c r="C7805" s="1" t="s">
        <v>18195</v>
      </c>
      <c r="F7805" s="1" t="s">
        <v>457</v>
      </c>
      <c r="H7805" s="1" t="s">
        <v>9778</v>
      </c>
      <c r="I7805" s="1" t="s">
        <v>19</v>
      </c>
      <c r="J7805" s="1" t="s">
        <v>6</v>
      </c>
      <c r="K7805" s="1" t="s">
        <v>24</v>
      </c>
      <c r="L7805" s="1">
        <v>9477613</v>
      </c>
      <c r="M7805" s="2">
        <v>42464</v>
      </c>
      <c r="N7805" s="1" t="s">
        <v>8</v>
      </c>
      <c r="O7805" s="2">
        <v>43559</v>
      </c>
    </row>
    <row r="7806" spans="1:15" ht="43.2" x14ac:dyDescent="0.3">
      <c r="A7806" s="1" t="s">
        <v>18196</v>
      </c>
      <c r="B7806" s="1" t="str">
        <f>"pms cars"</f>
        <v>pms cars</v>
      </c>
      <c r="C7806" s="1" t="s">
        <v>18197</v>
      </c>
      <c r="F7806" s="1" t="s">
        <v>438</v>
      </c>
      <c r="H7806" s="1" t="s">
        <v>18198</v>
      </c>
      <c r="I7806" s="1" t="s">
        <v>19</v>
      </c>
      <c r="J7806" s="1" t="s">
        <v>67</v>
      </c>
      <c r="K7806" s="1" t="s">
        <v>14</v>
      </c>
      <c r="M7806" s="2">
        <v>42464</v>
      </c>
      <c r="N7806" s="1" t="s">
        <v>8</v>
      </c>
      <c r="O7806" s="1" t="s">
        <v>68</v>
      </c>
    </row>
    <row r="7807" spans="1:15" ht="28.8" x14ac:dyDescent="0.3">
      <c r="A7807" s="1" t="s">
        <v>28333</v>
      </c>
      <c r="B7807" s="1" t="str">
        <f>"Mark  Sheppard  Cybi Couriers "</f>
        <v xml:space="preserve">Mark  Sheppard  Cybi Couriers </v>
      </c>
      <c r="C7807" s="1" t="s">
        <v>28334</v>
      </c>
      <c r="F7807" s="1" t="s">
        <v>328</v>
      </c>
      <c r="H7807" s="1" t="s">
        <v>28335</v>
      </c>
      <c r="I7807" s="1" t="s">
        <v>5</v>
      </c>
      <c r="J7807" s="1" t="s">
        <v>6</v>
      </c>
      <c r="K7807" s="1" t="s">
        <v>34</v>
      </c>
      <c r="M7807" s="2">
        <v>42464</v>
      </c>
      <c r="N7807" s="1" t="s">
        <v>8</v>
      </c>
      <c r="O7807" s="2">
        <v>43559</v>
      </c>
    </row>
    <row r="7808" spans="1:15" ht="43.2" x14ac:dyDescent="0.3">
      <c r="A7808" s="1" t="s">
        <v>29083</v>
      </c>
      <c r="B7808" s="1" t="str">
        <f>"Nigel Edmonds"</f>
        <v>Nigel Edmonds</v>
      </c>
      <c r="C7808" s="1" t="s">
        <v>29084</v>
      </c>
      <c r="F7808" s="1" t="s">
        <v>4327</v>
      </c>
      <c r="H7808" s="1" t="s">
        <v>29085</v>
      </c>
      <c r="I7808" s="1" t="s">
        <v>5</v>
      </c>
      <c r="J7808" s="1" t="s">
        <v>67</v>
      </c>
      <c r="K7808" s="1" t="s">
        <v>14</v>
      </c>
      <c r="M7808" s="2">
        <v>42464</v>
      </c>
      <c r="N7808" s="1" t="s">
        <v>8</v>
      </c>
      <c r="O7808" s="1" t="s">
        <v>68</v>
      </c>
    </row>
    <row r="7809" spans="1:15" ht="43.2" x14ac:dyDescent="0.3">
      <c r="A7809" s="1" t="s">
        <v>29086</v>
      </c>
      <c r="B7809" s="1" t="str">
        <f>"jason simpson"</f>
        <v>jason simpson</v>
      </c>
      <c r="C7809" s="1" t="s">
        <v>29087</v>
      </c>
      <c r="F7809" s="1" t="s">
        <v>5110</v>
      </c>
      <c r="H7809" s="1" t="s">
        <v>29088</v>
      </c>
      <c r="I7809" s="1" t="s">
        <v>5</v>
      </c>
      <c r="J7809" s="1" t="s">
        <v>67</v>
      </c>
      <c r="K7809" s="1" t="s">
        <v>14</v>
      </c>
      <c r="M7809" s="2">
        <v>42464</v>
      </c>
      <c r="N7809" s="1" t="s">
        <v>8</v>
      </c>
      <c r="O7809" s="1" t="s">
        <v>68</v>
      </c>
    </row>
    <row r="7810" spans="1:15" ht="28.8" x14ac:dyDescent="0.3">
      <c r="A7810" s="1" t="s">
        <v>29089</v>
      </c>
      <c r="B7810" s="1" t="str">
        <f>"Neil Roberts D Parry &amp; Son"</f>
        <v>Neil Roberts D Parry &amp; Son</v>
      </c>
      <c r="C7810" s="1" t="s">
        <v>29090</v>
      </c>
      <c r="F7810" s="1" t="s">
        <v>1184</v>
      </c>
      <c r="H7810" s="1" t="s">
        <v>27814</v>
      </c>
      <c r="I7810" s="1" t="s">
        <v>5</v>
      </c>
      <c r="J7810" s="1" t="s">
        <v>6</v>
      </c>
      <c r="K7810" s="1" t="s">
        <v>34</v>
      </c>
      <c r="M7810" s="2">
        <v>42464</v>
      </c>
      <c r="N7810" s="1" t="s">
        <v>8</v>
      </c>
      <c r="O7810" s="2">
        <v>43559</v>
      </c>
    </row>
    <row r="7811" spans="1:15" ht="43.2" x14ac:dyDescent="0.3">
      <c r="A7811" s="1" t="s">
        <v>29091</v>
      </c>
      <c r="B7811" s="1" t="str">
        <f>"Dan Farmer"</f>
        <v>Dan Farmer</v>
      </c>
      <c r="C7811" s="1" t="s">
        <v>29092</v>
      </c>
      <c r="F7811" s="1" t="s">
        <v>29093</v>
      </c>
      <c r="H7811" s="1" t="s">
        <v>29094</v>
      </c>
      <c r="I7811" s="1" t="s">
        <v>5</v>
      </c>
      <c r="J7811" s="1" t="s">
        <v>67</v>
      </c>
      <c r="K7811" s="1" t="s">
        <v>14</v>
      </c>
      <c r="M7811" s="2">
        <v>42464</v>
      </c>
      <c r="N7811" s="1" t="s">
        <v>8</v>
      </c>
      <c r="O7811" s="1" t="s">
        <v>68</v>
      </c>
    </row>
    <row r="7812" spans="1:15" ht="43.2" x14ac:dyDescent="0.3">
      <c r="A7812" s="1" t="s">
        <v>29827</v>
      </c>
      <c r="B7812" s="1" t="str">
        <f>"Walter Bentley"</f>
        <v>Walter Bentley</v>
      </c>
      <c r="C7812" s="1" t="s">
        <v>29828</v>
      </c>
      <c r="F7812" s="1" t="s">
        <v>91</v>
      </c>
      <c r="H7812" s="1" t="s">
        <v>29829</v>
      </c>
      <c r="I7812" s="1" t="s">
        <v>5</v>
      </c>
      <c r="J7812" s="1" t="s">
        <v>67</v>
      </c>
      <c r="K7812" s="1" t="s">
        <v>14</v>
      </c>
      <c r="M7812" s="2">
        <v>42464</v>
      </c>
      <c r="N7812" s="1" t="s">
        <v>8</v>
      </c>
      <c r="O7812" s="1" t="s">
        <v>68</v>
      </c>
    </row>
    <row r="7813" spans="1:15" ht="28.8" x14ac:dyDescent="0.3">
      <c r="A7813" s="1" t="s">
        <v>29830</v>
      </c>
      <c r="B7813" s="1" t="str">
        <f>"Joseph Ralph joe ralph electrical services"</f>
        <v>Joseph Ralph joe ralph electrical services</v>
      </c>
      <c r="C7813" s="1" t="s">
        <v>29831</v>
      </c>
      <c r="F7813" s="1" t="s">
        <v>2</v>
      </c>
      <c r="H7813" s="1" t="s">
        <v>29832</v>
      </c>
      <c r="I7813" s="1" t="s">
        <v>5</v>
      </c>
      <c r="J7813" s="1" t="s">
        <v>6</v>
      </c>
      <c r="K7813" s="1" t="s">
        <v>24</v>
      </c>
      <c r="M7813" s="2">
        <v>42464</v>
      </c>
      <c r="N7813" s="1" t="s">
        <v>8</v>
      </c>
      <c r="O7813" s="2">
        <v>43559</v>
      </c>
    </row>
    <row r="7814" spans="1:15" ht="28.8" x14ac:dyDescent="0.3">
      <c r="A7814" s="1" t="s">
        <v>29833</v>
      </c>
      <c r="B7814" s="1" t="str">
        <f>"Brinley Mansfield B Mansfield"</f>
        <v>Brinley Mansfield B Mansfield</v>
      </c>
      <c r="C7814" s="1" t="s">
        <v>29834</v>
      </c>
      <c r="D7814" s="1" t="s">
        <v>277</v>
      </c>
      <c r="F7814" s="1" t="s">
        <v>29835</v>
      </c>
      <c r="H7814" s="1" t="s">
        <v>29836</v>
      </c>
      <c r="I7814" s="1" t="s">
        <v>5</v>
      </c>
      <c r="J7814" s="1" t="s">
        <v>6</v>
      </c>
      <c r="K7814" s="1" t="s">
        <v>24</v>
      </c>
      <c r="M7814" s="2">
        <v>42464</v>
      </c>
      <c r="N7814" s="1" t="s">
        <v>8</v>
      </c>
      <c r="O7814" s="2">
        <v>43559</v>
      </c>
    </row>
    <row r="7815" spans="1:15" ht="28.8" x14ac:dyDescent="0.3">
      <c r="A7815" s="1" t="s">
        <v>15250</v>
      </c>
      <c r="B7815" s="1" t="str">
        <f>"Board Bros"</f>
        <v>Board Bros</v>
      </c>
      <c r="C7815" s="1" t="s">
        <v>15251</v>
      </c>
      <c r="F7815" s="1" t="s">
        <v>27</v>
      </c>
      <c r="H7815" s="1" t="s">
        <v>15252</v>
      </c>
      <c r="I7815" s="1" t="s">
        <v>125</v>
      </c>
      <c r="J7815" s="1" t="s">
        <v>6</v>
      </c>
      <c r="K7815" s="1" t="s">
        <v>34</v>
      </c>
      <c r="M7815" s="2">
        <v>42463</v>
      </c>
      <c r="N7815" s="1" t="s">
        <v>8</v>
      </c>
      <c r="O7815" s="2">
        <v>43558</v>
      </c>
    </row>
    <row r="7816" spans="1:15" ht="28.8" x14ac:dyDescent="0.3">
      <c r="A7816" s="1" t="s">
        <v>16202</v>
      </c>
      <c r="B7816" s="1" t="str">
        <f>"E J DAVIES &amp; SONS LTD"</f>
        <v>E J DAVIES &amp; SONS LTD</v>
      </c>
      <c r="C7816" s="1" t="s">
        <v>16203</v>
      </c>
      <c r="F7816" s="1" t="s">
        <v>65</v>
      </c>
      <c r="H7816" s="1" t="s">
        <v>16204</v>
      </c>
      <c r="I7816" s="1" t="s">
        <v>19</v>
      </c>
      <c r="J7816" s="1" t="s">
        <v>6</v>
      </c>
      <c r="K7816" s="1" t="s">
        <v>34</v>
      </c>
      <c r="L7816" s="1">
        <v>6498828</v>
      </c>
      <c r="M7816" s="2">
        <v>42463</v>
      </c>
      <c r="N7816" s="1" t="s">
        <v>8</v>
      </c>
      <c r="O7816" s="2">
        <v>43558</v>
      </c>
    </row>
    <row r="7817" spans="1:15" ht="43.2" x14ac:dyDescent="0.3">
      <c r="A7817" s="1" t="s">
        <v>28324</v>
      </c>
      <c r="B7817" s="1" t="str">
        <f>"Stephen Watkins D. T. Watkins  Building Contractors"</f>
        <v>Stephen Watkins D. T. Watkins  Building Contractors</v>
      </c>
      <c r="C7817" s="1" t="s">
        <v>28325</v>
      </c>
      <c r="F7817" s="1" t="s">
        <v>1175</v>
      </c>
      <c r="H7817" s="1" t="s">
        <v>28326</v>
      </c>
      <c r="I7817" s="1" t="s">
        <v>5</v>
      </c>
      <c r="J7817" s="1" t="s">
        <v>6</v>
      </c>
      <c r="K7817" s="1" t="s">
        <v>34</v>
      </c>
      <c r="M7817" s="2">
        <v>42463</v>
      </c>
      <c r="N7817" s="1" t="s">
        <v>8</v>
      </c>
      <c r="O7817" s="2">
        <v>43558</v>
      </c>
    </row>
    <row r="7818" spans="1:15" ht="43.2" x14ac:dyDescent="0.3">
      <c r="A7818" s="1" t="s">
        <v>28327</v>
      </c>
      <c r="B7818" s="1" t="str">
        <f>"Graham Harding"</f>
        <v>Graham Harding</v>
      </c>
      <c r="C7818" s="1" t="s">
        <v>28328</v>
      </c>
      <c r="F7818" s="1" t="s">
        <v>3726</v>
      </c>
      <c r="H7818" s="1" t="s">
        <v>28329</v>
      </c>
      <c r="I7818" s="1" t="s">
        <v>5</v>
      </c>
      <c r="J7818" s="1" t="s">
        <v>67</v>
      </c>
      <c r="K7818" s="1" t="s">
        <v>14</v>
      </c>
      <c r="M7818" s="2">
        <v>42463</v>
      </c>
      <c r="N7818" s="1" t="s">
        <v>8</v>
      </c>
      <c r="O7818" s="1" t="s">
        <v>68</v>
      </c>
    </row>
    <row r="7819" spans="1:15" ht="28.8" x14ac:dyDescent="0.3">
      <c r="A7819" s="1" t="s">
        <v>28330</v>
      </c>
      <c r="B7819" s="1" t="str">
        <f>"Andrew Davies Ridgeline roofing"</f>
        <v>Andrew Davies Ridgeline roofing</v>
      </c>
      <c r="C7819" s="1" t="s">
        <v>28331</v>
      </c>
      <c r="F7819" s="1" t="s">
        <v>42</v>
      </c>
      <c r="H7819" s="1" t="s">
        <v>28332</v>
      </c>
      <c r="I7819" s="1" t="s">
        <v>5</v>
      </c>
      <c r="J7819" s="1" t="s">
        <v>6</v>
      </c>
      <c r="K7819" s="1" t="s">
        <v>34</v>
      </c>
      <c r="M7819" s="2">
        <v>42463</v>
      </c>
      <c r="N7819" s="1" t="s">
        <v>8</v>
      </c>
      <c r="O7819" s="2">
        <v>43558</v>
      </c>
    </row>
    <row r="7820" spans="1:15" ht="28.8" x14ac:dyDescent="0.3">
      <c r="A7820" s="1" t="s">
        <v>15239</v>
      </c>
      <c r="B7820" s="1" t="str">
        <f>"Aber Property Services"</f>
        <v>Aber Property Services</v>
      </c>
      <c r="C7820" s="1" t="s">
        <v>15240</v>
      </c>
      <c r="F7820" s="1" t="s">
        <v>865</v>
      </c>
      <c r="H7820" s="1" t="s">
        <v>15241</v>
      </c>
      <c r="I7820" s="1" t="s">
        <v>125</v>
      </c>
      <c r="J7820" s="1" t="s">
        <v>6</v>
      </c>
      <c r="K7820" s="1" t="s">
        <v>24</v>
      </c>
      <c r="M7820" s="2">
        <v>42462</v>
      </c>
      <c r="N7820" s="1" t="s">
        <v>8</v>
      </c>
      <c r="O7820" s="2">
        <v>43557</v>
      </c>
    </row>
    <row r="7821" spans="1:15" ht="43.2" x14ac:dyDescent="0.3">
      <c r="A7821" s="1" t="s">
        <v>15242</v>
      </c>
      <c r="B7821" s="1" t="str">
        <f>"Coastal Entertainments"</f>
        <v>Coastal Entertainments</v>
      </c>
      <c r="C7821" s="1" t="s">
        <v>15243</v>
      </c>
      <c r="D7821" s="1" t="s">
        <v>15244</v>
      </c>
      <c r="F7821" s="1" t="s">
        <v>476</v>
      </c>
      <c r="H7821" s="1" t="s">
        <v>15245</v>
      </c>
      <c r="I7821" s="1" t="s">
        <v>125</v>
      </c>
      <c r="J7821" s="1" t="s">
        <v>67</v>
      </c>
      <c r="K7821" s="1" t="s">
        <v>14</v>
      </c>
      <c r="M7821" s="2">
        <v>42462</v>
      </c>
      <c r="N7821" s="1" t="s">
        <v>8</v>
      </c>
      <c r="O7821" s="1" t="s">
        <v>68</v>
      </c>
    </row>
    <row r="7822" spans="1:15" ht="43.2" x14ac:dyDescent="0.3">
      <c r="A7822" s="1" t="s">
        <v>15246</v>
      </c>
      <c r="B7822" s="1" t="str">
        <f>"ISMOOTH COMMUNITY CAFE"</f>
        <v>ISMOOTH COMMUNITY CAFE</v>
      </c>
      <c r="C7822" s="1" t="s">
        <v>15247</v>
      </c>
      <c r="D7822" s="1" t="s">
        <v>5943</v>
      </c>
      <c r="F7822" s="1" t="s">
        <v>15248</v>
      </c>
      <c r="H7822" s="1" t="s">
        <v>15249</v>
      </c>
      <c r="I7822" s="1" t="s">
        <v>1872</v>
      </c>
      <c r="J7822" s="1" t="s">
        <v>67</v>
      </c>
      <c r="K7822" s="1" t="s">
        <v>14</v>
      </c>
      <c r="M7822" s="2">
        <v>42462</v>
      </c>
      <c r="N7822" s="1" t="s">
        <v>8</v>
      </c>
      <c r="O7822" s="1" t="s">
        <v>68</v>
      </c>
    </row>
    <row r="7823" spans="1:15" ht="28.8" x14ac:dyDescent="0.3">
      <c r="A7823" s="1" t="s">
        <v>712</v>
      </c>
      <c r="B7823" s="1" t="str">
        <f>"CELTIC VACUUM LTD"</f>
        <v>CELTIC VACUUM LTD</v>
      </c>
      <c r="C7823" s="1" t="s">
        <v>713</v>
      </c>
      <c r="F7823" s="1" t="s">
        <v>714</v>
      </c>
      <c r="H7823" s="1" t="s">
        <v>715</v>
      </c>
      <c r="I7823" s="1" t="s">
        <v>19</v>
      </c>
      <c r="J7823" s="1" t="s">
        <v>6</v>
      </c>
      <c r="K7823" s="1" t="s">
        <v>24</v>
      </c>
      <c r="L7823" s="1">
        <v>2794156</v>
      </c>
      <c r="M7823" s="2">
        <v>42461</v>
      </c>
      <c r="N7823" s="1" t="s">
        <v>8</v>
      </c>
      <c r="O7823" s="2">
        <v>44652</v>
      </c>
    </row>
    <row r="7824" spans="1:15" ht="28.8" x14ac:dyDescent="0.3">
      <c r="A7824" s="1" t="s">
        <v>844</v>
      </c>
      <c r="B7824" s="1" t="str">
        <f>"Rosalind Jones S &amp; R Metals"</f>
        <v>Rosalind Jones S &amp; R Metals</v>
      </c>
      <c r="C7824" s="1" t="s">
        <v>845</v>
      </c>
      <c r="D7824" s="1" t="s">
        <v>790</v>
      </c>
      <c r="F7824" s="1" t="s">
        <v>3</v>
      </c>
      <c r="H7824" s="1" t="s">
        <v>846</v>
      </c>
      <c r="I7824" s="1" t="s">
        <v>5</v>
      </c>
      <c r="J7824" s="1" t="s">
        <v>6</v>
      </c>
      <c r="K7824" s="1" t="s">
        <v>24</v>
      </c>
      <c r="M7824" s="2">
        <v>42461</v>
      </c>
      <c r="N7824" s="1" t="s">
        <v>8</v>
      </c>
      <c r="O7824" s="2">
        <v>44652</v>
      </c>
    </row>
    <row r="7825" spans="1:15" ht="28.8" x14ac:dyDescent="0.3">
      <c r="A7825" s="1" t="s">
        <v>1474</v>
      </c>
      <c r="B7825" s="1" t="str">
        <f>"MASON'S MOVING GROUP LTD"</f>
        <v>MASON'S MOVING GROUP LTD</v>
      </c>
      <c r="C7825" s="1" t="s">
        <v>1475</v>
      </c>
      <c r="F7825" s="1" t="s">
        <v>298</v>
      </c>
      <c r="H7825" s="1" t="s">
        <v>1476</v>
      </c>
      <c r="I7825" s="1" t="s">
        <v>19</v>
      </c>
      <c r="J7825" s="1" t="s">
        <v>6</v>
      </c>
      <c r="K7825" s="1" t="s">
        <v>24</v>
      </c>
      <c r="L7825" s="1">
        <v>3794762</v>
      </c>
      <c r="M7825" s="2">
        <v>42461</v>
      </c>
      <c r="N7825" s="1" t="s">
        <v>8</v>
      </c>
      <c r="O7825" s="2">
        <v>44652</v>
      </c>
    </row>
    <row r="7826" spans="1:15" ht="28.8" x14ac:dyDescent="0.3">
      <c r="A7826" s="1" t="s">
        <v>1481</v>
      </c>
      <c r="B7826" s="1" t="str">
        <f>"HORAN CONSTRUCTION LTD"</f>
        <v>HORAN CONSTRUCTION LTD</v>
      </c>
      <c r="C7826" s="1" t="s">
        <v>1482</v>
      </c>
      <c r="F7826" s="1" t="s">
        <v>27</v>
      </c>
      <c r="H7826" s="1" t="s">
        <v>1483</v>
      </c>
      <c r="I7826" s="1" t="s">
        <v>19</v>
      </c>
      <c r="J7826" s="1" t="s">
        <v>6</v>
      </c>
      <c r="K7826" s="1" t="s">
        <v>24</v>
      </c>
      <c r="L7826" s="1">
        <v>1275400</v>
      </c>
      <c r="M7826" s="2">
        <v>42461</v>
      </c>
      <c r="N7826" s="1" t="s">
        <v>8</v>
      </c>
      <c r="O7826" s="2">
        <v>44652</v>
      </c>
    </row>
    <row r="7827" spans="1:15" ht="28.8" x14ac:dyDescent="0.3">
      <c r="A7827" s="1" t="s">
        <v>1484</v>
      </c>
      <c r="B7827" s="1" t="str">
        <f>"CATESBY DEVELOPMENTS LTD"</f>
        <v>CATESBY DEVELOPMENTS LTD</v>
      </c>
      <c r="C7827" s="1" t="s">
        <v>1485</v>
      </c>
      <c r="D7827" s="1" t="s">
        <v>277</v>
      </c>
      <c r="F7827" s="1" t="s">
        <v>1486</v>
      </c>
      <c r="H7827" s="1" t="s">
        <v>1487</v>
      </c>
      <c r="I7827" s="1" t="s">
        <v>19</v>
      </c>
      <c r="J7827" s="1" t="s">
        <v>6</v>
      </c>
      <c r="K7827" s="1" t="s">
        <v>24</v>
      </c>
      <c r="L7827" s="1">
        <v>1643575</v>
      </c>
      <c r="M7827" s="2">
        <v>42461</v>
      </c>
      <c r="N7827" s="1" t="s">
        <v>8</v>
      </c>
      <c r="O7827" s="2">
        <v>44652</v>
      </c>
    </row>
    <row r="7828" spans="1:15" ht="28.8" x14ac:dyDescent="0.3">
      <c r="A7828" s="1" t="s">
        <v>1563</v>
      </c>
      <c r="B7828" s="1" t="str">
        <f>"Hazells (Haulage) Ltd."</f>
        <v>Hazells (Haulage) Ltd.</v>
      </c>
      <c r="C7828" s="1" t="s">
        <v>1564</v>
      </c>
      <c r="F7828" s="1" t="s">
        <v>156</v>
      </c>
      <c r="H7828" s="1" t="s">
        <v>1565</v>
      </c>
      <c r="I7828" s="1" t="s">
        <v>19</v>
      </c>
      <c r="J7828" s="1" t="s">
        <v>6</v>
      </c>
      <c r="K7828" s="1" t="s">
        <v>34</v>
      </c>
      <c r="L7828" s="1">
        <v>687938</v>
      </c>
      <c r="M7828" s="2">
        <v>42461</v>
      </c>
      <c r="N7828" s="1" t="s">
        <v>8</v>
      </c>
      <c r="O7828" s="2">
        <v>44652</v>
      </c>
    </row>
    <row r="7829" spans="1:15" ht="28.8" x14ac:dyDescent="0.3">
      <c r="A7829" s="1" t="s">
        <v>1578</v>
      </c>
      <c r="B7829" s="1" t="str">
        <f>"OWEN EVANS (HAULAGE) LTD"</f>
        <v>OWEN EVANS (HAULAGE) LTD</v>
      </c>
      <c r="C7829" s="1" t="s">
        <v>1579</v>
      </c>
      <c r="F7829" s="1" t="s">
        <v>96</v>
      </c>
      <c r="H7829" s="1" t="s">
        <v>1580</v>
      </c>
      <c r="I7829" s="1" t="s">
        <v>19</v>
      </c>
      <c r="J7829" s="1" t="s">
        <v>6</v>
      </c>
      <c r="K7829" s="1" t="s">
        <v>24</v>
      </c>
      <c r="L7829" s="1">
        <v>3801666</v>
      </c>
      <c r="M7829" s="2">
        <v>42461</v>
      </c>
      <c r="N7829" s="1" t="s">
        <v>8</v>
      </c>
      <c r="O7829" s="2">
        <v>44652</v>
      </c>
    </row>
    <row r="7830" spans="1:15" ht="28.8" x14ac:dyDescent="0.3">
      <c r="A7830" s="1" t="s">
        <v>1831</v>
      </c>
      <c r="B7830" s="1" t="str">
        <f>"Dale Building Maintenance Ltd."</f>
        <v>Dale Building Maintenance Ltd.</v>
      </c>
      <c r="C7830" s="1" t="s">
        <v>1832</v>
      </c>
      <c r="D7830" s="1" t="s">
        <v>1833</v>
      </c>
      <c r="E7830" s="1" t="s">
        <v>1834</v>
      </c>
      <c r="F7830" s="1" t="s">
        <v>27</v>
      </c>
      <c r="H7830" s="1" t="s">
        <v>1835</v>
      </c>
      <c r="I7830" s="1" t="s">
        <v>19</v>
      </c>
      <c r="J7830" s="1" t="s">
        <v>6</v>
      </c>
      <c r="K7830" s="1" t="s">
        <v>24</v>
      </c>
      <c r="L7830" s="1">
        <v>2048625</v>
      </c>
      <c r="M7830" s="2">
        <v>42461</v>
      </c>
      <c r="N7830" s="1" t="s">
        <v>8</v>
      </c>
      <c r="O7830" s="2">
        <v>44651</v>
      </c>
    </row>
    <row r="7831" spans="1:15" ht="28.8" x14ac:dyDescent="0.3">
      <c r="A7831" s="1" t="s">
        <v>1981</v>
      </c>
      <c r="B7831" s="1" t="str">
        <f>"L A S  Recycling Ltd"</f>
        <v>L A S  Recycling Ltd</v>
      </c>
      <c r="C7831" s="1" t="s">
        <v>1982</v>
      </c>
      <c r="D7831" s="1" t="s">
        <v>1385</v>
      </c>
      <c r="F7831" s="1" t="s">
        <v>1983</v>
      </c>
      <c r="H7831" s="1" t="s">
        <v>1386</v>
      </c>
      <c r="I7831" s="1" t="s">
        <v>19</v>
      </c>
      <c r="J7831" s="1" t="s">
        <v>6</v>
      </c>
      <c r="K7831" s="1" t="s">
        <v>34</v>
      </c>
      <c r="L7831" s="1">
        <v>2676054</v>
      </c>
      <c r="M7831" s="2">
        <v>42461</v>
      </c>
      <c r="N7831" s="1" t="s">
        <v>8</v>
      </c>
      <c r="O7831" s="2">
        <v>44651</v>
      </c>
    </row>
    <row r="7832" spans="1:15" ht="28.8" x14ac:dyDescent="0.3">
      <c r="A7832" s="1" t="s">
        <v>14315</v>
      </c>
      <c r="B7832" s="1" t="str">
        <f>"O G Owen"</f>
        <v>O G Owen</v>
      </c>
      <c r="C7832" s="1" t="s">
        <v>8503</v>
      </c>
      <c r="F7832" s="1" t="s">
        <v>328</v>
      </c>
      <c r="H7832" s="1" t="s">
        <v>8504</v>
      </c>
      <c r="I7832" s="1" t="s">
        <v>125</v>
      </c>
      <c r="J7832" s="1" t="s">
        <v>6</v>
      </c>
      <c r="K7832" s="1" t="s">
        <v>24</v>
      </c>
      <c r="M7832" s="2">
        <v>42461</v>
      </c>
      <c r="N7832" s="1" t="s">
        <v>8</v>
      </c>
      <c r="O7832" s="2">
        <v>43556</v>
      </c>
    </row>
    <row r="7833" spans="1:15" ht="28.8" x14ac:dyDescent="0.3">
      <c r="A7833" s="1" t="s">
        <v>14316</v>
      </c>
      <c r="B7833" s="1" t="str">
        <f>"I R HARRISON PLANT SERVICES LTD"</f>
        <v>I R HARRISON PLANT SERVICES LTD</v>
      </c>
      <c r="C7833" s="1" t="s">
        <v>14317</v>
      </c>
      <c r="F7833" s="1" t="s">
        <v>2711</v>
      </c>
      <c r="H7833" s="1" t="s">
        <v>14318</v>
      </c>
      <c r="I7833" s="1" t="s">
        <v>19</v>
      </c>
      <c r="J7833" s="1" t="s">
        <v>6</v>
      </c>
      <c r="K7833" s="1" t="s">
        <v>24</v>
      </c>
      <c r="L7833" s="1">
        <v>4660215</v>
      </c>
      <c r="M7833" s="2">
        <v>42461</v>
      </c>
      <c r="N7833" s="1" t="s">
        <v>8</v>
      </c>
      <c r="O7833" s="2">
        <v>43556</v>
      </c>
    </row>
    <row r="7834" spans="1:15" ht="28.8" x14ac:dyDescent="0.3">
      <c r="A7834" s="1" t="s">
        <v>15224</v>
      </c>
      <c r="B7834" s="1" t="str">
        <f>"Bassett &amp; Macgregor Construction Ltd."</f>
        <v>Bassett &amp; Macgregor Construction Ltd.</v>
      </c>
      <c r="C7834" s="1" t="s">
        <v>15225</v>
      </c>
      <c r="D7834" s="1" t="s">
        <v>95</v>
      </c>
      <c r="F7834" s="1" t="s">
        <v>96</v>
      </c>
      <c r="H7834" s="1" t="s">
        <v>15226</v>
      </c>
      <c r="I7834" s="1" t="s">
        <v>19</v>
      </c>
      <c r="J7834" s="1" t="s">
        <v>6</v>
      </c>
      <c r="K7834" s="1" t="s">
        <v>24</v>
      </c>
      <c r="L7834" s="1">
        <v>3916348</v>
      </c>
      <c r="M7834" s="2">
        <v>42461</v>
      </c>
      <c r="N7834" s="1" t="s">
        <v>8</v>
      </c>
      <c r="O7834" s="2">
        <v>43556</v>
      </c>
    </row>
    <row r="7835" spans="1:15" ht="28.8" x14ac:dyDescent="0.3">
      <c r="A7835" s="1" t="s">
        <v>15227</v>
      </c>
      <c r="B7835" s="1" t="str">
        <f>"WHITE BROTHERS &amp; SPEED LTD"</f>
        <v>WHITE BROTHERS &amp; SPEED LTD</v>
      </c>
      <c r="C7835" s="1" t="s">
        <v>15228</v>
      </c>
      <c r="D7835" s="1" t="s">
        <v>4162</v>
      </c>
      <c r="F7835" s="1" t="s">
        <v>91</v>
      </c>
      <c r="H7835" s="1" t="s">
        <v>4163</v>
      </c>
      <c r="I7835" s="1" t="s">
        <v>19</v>
      </c>
      <c r="J7835" s="1" t="s">
        <v>6</v>
      </c>
      <c r="K7835" s="1" t="s">
        <v>24</v>
      </c>
      <c r="L7835" s="1">
        <v>1206227</v>
      </c>
      <c r="M7835" s="2">
        <v>42461</v>
      </c>
      <c r="N7835" s="1" t="s">
        <v>8</v>
      </c>
      <c r="O7835" s="2">
        <v>43556</v>
      </c>
    </row>
    <row r="7836" spans="1:15" ht="28.8" x14ac:dyDescent="0.3">
      <c r="A7836" s="1" t="s">
        <v>15229</v>
      </c>
      <c r="B7836" s="1" t="str">
        <f>"A N Morgans (Wales) Ltd."</f>
        <v>A N Morgans (Wales) Ltd.</v>
      </c>
      <c r="C7836" s="1" t="s">
        <v>15230</v>
      </c>
      <c r="D7836" s="1" t="s">
        <v>15231</v>
      </c>
      <c r="F7836" s="1" t="s">
        <v>96</v>
      </c>
      <c r="H7836" s="1" t="s">
        <v>15232</v>
      </c>
      <c r="I7836" s="1" t="s">
        <v>19</v>
      </c>
      <c r="J7836" s="1" t="s">
        <v>6</v>
      </c>
      <c r="K7836" s="1" t="s">
        <v>34</v>
      </c>
      <c r="L7836" s="1">
        <v>6518374</v>
      </c>
      <c r="M7836" s="2">
        <v>42461</v>
      </c>
      <c r="N7836" s="1" t="s">
        <v>8</v>
      </c>
      <c r="O7836" s="2">
        <v>43556</v>
      </c>
    </row>
    <row r="7837" spans="1:15" ht="28.8" x14ac:dyDescent="0.3">
      <c r="A7837" s="1" t="s">
        <v>15233</v>
      </c>
      <c r="B7837" s="1" t="str">
        <f>"ARK wales LTD"</f>
        <v>ARK wales LTD</v>
      </c>
      <c r="C7837" s="1" t="s">
        <v>15234</v>
      </c>
      <c r="F7837" s="1" t="s">
        <v>91</v>
      </c>
      <c r="H7837" s="1" t="s">
        <v>15235</v>
      </c>
      <c r="I7837" s="1" t="s">
        <v>19</v>
      </c>
      <c r="J7837" s="1" t="s">
        <v>6</v>
      </c>
      <c r="K7837" s="1" t="s">
        <v>24</v>
      </c>
      <c r="L7837" s="1">
        <v>6117316</v>
      </c>
      <c r="M7837" s="2">
        <v>42461</v>
      </c>
      <c r="N7837" s="1" t="s">
        <v>8</v>
      </c>
      <c r="O7837" s="2">
        <v>43556</v>
      </c>
    </row>
    <row r="7838" spans="1:15" x14ac:dyDescent="0.3">
      <c r="A7838" s="1" t="s">
        <v>15236</v>
      </c>
      <c r="B7838" s="1" t="str">
        <f>"Ninian Builders"</f>
        <v>Ninian Builders</v>
      </c>
      <c r="C7838" s="1" t="s">
        <v>15237</v>
      </c>
      <c r="F7838" s="1" t="s">
        <v>27</v>
      </c>
      <c r="H7838" s="1" t="s">
        <v>15238</v>
      </c>
      <c r="I7838" s="1" t="s">
        <v>125</v>
      </c>
      <c r="J7838" s="1" t="s">
        <v>6</v>
      </c>
      <c r="K7838" s="1" t="s">
        <v>24</v>
      </c>
      <c r="M7838" s="2">
        <v>42461</v>
      </c>
      <c r="N7838" s="1" t="s">
        <v>8</v>
      </c>
      <c r="O7838" s="2">
        <v>43556</v>
      </c>
    </row>
    <row r="7839" spans="1:15" ht="43.2" x14ac:dyDescent="0.3">
      <c r="A7839" s="1" t="s">
        <v>26680</v>
      </c>
      <c r="B7839" s="1" t="str">
        <f>"Damien close"</f>
        <v>Damien close</v>
      </c>
      <c r="C7839" s="1" t="s">
        <v>26681</v>
      </c>
      <c r="F7839" s="1" t="s">
        <v>277</v>
      </c>
      <c r="H7839" s="1" t="s">
        <v>26682</v>
      </c>
      <c r="I7839" s="1" t="s">
        <v>5</v>
      </c>
      <c r="J7839" s="1" t="s">
        <v>67</v>
      </c>
      <c r="K7839" s="1" t="s">
        <v>14</v>
      </c>
      <c r="M7839" s="2">
        <v>42461</v>
      </c>
      <c r="N7839" s="1" t="s">
        <v>8</v>
      </c>
      <c r="O7839" s="1" t="s">
        <v>68</v>
      </c>
    </row>
    <row r="7840" spans="1:15" ht="28.8" x14ac:dyDescent="0.3">
      <c r="A7840" s="1" t="s">
        <v>26683</v>
      </c>
      <c r="B7840" s="1" t="str">
        <f>"Lewis Ward Town Garden Services"</f>
        <v>Lewis Ward Town Garden Services</v>
      </c>
      <c r="C7840" s="1" t="s">
        <v>26684</v>
      </c>
      <c r="F7840" s="1" t="s">
        <v>865</v>
      </c>
      <c r="H7840" s="1" t="s">
        <v>26685</v>
      </c>
      <c r="I7840" s="1" t="s">
        <v>5</v>
      </c>
      <c r="J7840" s="1" t="s">
        <v>6</v>
      </c>
      <c r="K7840" s="1" t="s">
        <v>34</v>
      </c>
      <c r="M7840" s="2">
        <v>42461</v>
      </c>
      <c r="N7840" s="1" t="s">
        <v>8</v>
      </c>
      <c r="O7840" s="2">
        <v>43556</v>
      </c>
    </row>
    <row r="7841" spans="1:15" ht="28.8" x14ac:dyDescent="0.3">
      <c r="A7841" s="1" t="s">
        <v>26686</v>
      </c>
      <c r="B7841" s="1" t="str">
        <f>"Alistair Minton Alistair Minton"</f>
        <v>Alistair Minton Alistair Minton</v>
      </c>
      <c r="C7841" s="1" t="s">
        <v>26687</v>
      </c>
      <c r="F7841" s="1" t="s">
        <v>20217</v>
      </c>
      <c r="H7841" s="1" t="s">
        <v>26688</v>
      </c>
      <c r="I7841" s="1" t="s">
        <v>5</v>
      </c>
      <c r="J7841" s="1" t="s">
        <v>6</v>
      </c>
      <c r="K7841" s="1" t="s">
        <v>24</v>
      </c>
      <c r="M7841" s="2">
        <v>42461</v>
      </c>
      <c r="N7841" s="1" t="s">
        <v>8</v>
      </c>
      <c r="O7841" s="2">
        <v>43556</v>
      </c>
    </row>
    <row r="7842" spans="1:15" x14ac:dyDescent="0.3">
      <c r="A7842" s="1" t="s">
        <v>26689</v>
      </c>
      <c r="B7842" s="1" t="str">
        <f>"John Alger John Alger"</f>
        <v>John Alger John Alger</v>
      </c>
      <c r="C7842" s="1" t="s">
        <v>26690</v>
      </c>
      <c r="F7842" s="1" t="s">
        <v>27</v>
      </c>
      <c r="H7842" s="1" t="s">
        <v>26691</v>
      </c>
      <c r="I7842" s="1" t="s">
        <v>5</v>
      </c>
      <c r="J7842" s="1" t="s">
        <v>6</v>
      </c>
      <c r="K7842" s="1" t="s">
        <v>24</v>
      </c>
      <c r="M7842" s="2">
        <v>42461</v>
      </c>
      <c r="N7842" s="1" t="s">
        <v>8</v>
      </c>
      <c r="O7842" s="2">
        <v>43556</v>
      </c>
    </row>
    <row r="7843" spans="1:15" ht="28.8" x14ac:dyDescent="0.3">
      <c r="A7843" s="1" t="s">
        <v>26692</v>
      </c>
      <c r="B7843" s="1" t="str">
        <f>"Brian Perry Brian Perry Brynna Scrapyard"</f>
        <v>Brian Perry Brian Perry Brynna Scrapyard</v>
      </c>
      <c r="C7843" s="1" t="s">
        <v>26693</v>
      </c>
      <c r="F7843" s="1" t="s">
        <v>873</v>
      </c>
      <c r="H7843" s="1" t="s">
        <v>26694</v>
      </c>
      <c r="I7843" s="1" t="s">
        <v>5</v>
      </c>
      <c r="J7843" s="1" t="s">
        <v>6</v>
      </c>
      <c r="K7843" s="1" t="s">
        <v>24</v>
      </c>
      <c r="M7843" s="2">
        <v>42461</v>
      </c>
      <c r="N7843" s="1" t="s">
        <v>8</v>
      </c>
      <c r="O7843" s="2">
        <v>43556</v>
      </c>
    </row>
    <row r="7844" spans="1:15" ht="28.8" x14ac:dyDescent="0.3">
      <c r="A7844" s="1" t="s">
        <v>27540</v>
      </c>
      <c r="B7844" s="1" t="str">
        <f>"Walter Burchell Dai Burchell"</f>
        <v>Walter Burchell Dai Burchell</v>
      </c>
      <c r="C7844" s="1" t="s">
        <v>27541</v>
      </c>
      <c r="F7844" s="1" t="s">
        <v>8319</v>
      </c>
      <c r="H7844" s="1" t="s">
        <v>27542</v>
      </c>
      <c r="I7844" s="1" t="s">
        <v>5</v>
      </c>
      <c r="J7844" s="1" t="s">
        <v>6</v>
      </c>
      <c r="K7844" s="1" t="s">
        <v>24</v>
      </c>
      <c r="M7844" s="2">
        <v>42461</v>
      </c>
      <c r="N7844" s="1" t="s">
        <v>8</v>
      </c>
      <c r="O7844" s="2">
        <v>43556</v>
      </c>
    </row>
    <row r="7845" spans="1:15" ht="28.8" x14ac:dyDescent="0.3">
      <c r="A7845" s="1" t="s">
        <v>27543</v>
      </c>
      <c r="B7845" s="1" t="str">
        <f>"Dean Humphreys"</f>
        <v>Dean Humphreys</v>
      </c>
      <c r="C7845" s="1" t="s">
        <v>6927</v>
      </c>
      <c r="F7845" s="1" t="s">
        <v>277</v>
      </c>
      <c r="H7845" s="1" t="s">
        <v>6928</v>
      </c>
      <c r="I7845" s="1" t="s">
        <v>5</v>
      </c>
      <c r="J7845" s="1" t="s">
        <v>6</v>
      </c>
      <c r="K7845" s="1" t="s">
        <v>24</v>
      </c>
      <c r="M7845" s="2">
        <v>42461</v>
      </c>
      <c r="N7845" s="1" t="s">
        <v>8</v>
      </c>
      <c r="O7845" s="2">
        <v>43556</v>
      </c>
    </row>
    <row r="7846" spans="1:15" ht="28.8" x14ac:dyDescent="0.3">
      <c r="A7846" s="1" t="s">
        <v>27544</v>
      </c>
      <c r="B7846" s="1" t="str">
        <f>"Nigel Donovan Donovan Removals"</f>
        <v>Nigel Donovan Donovan Removals</v>
      </c>
      <c r="C7846" s="1" t="s">
        <v>27545</v>
      </c>
      <c r="F7846" s="1" t="s">
        <v>27546</v>
      </c>
      <c r="H7846" s="1" t="s">
        <v>27547</v>
      </c>
      <c r="I7846" s="1" t="s">
        <v>5</v>
      </c>
      <c r="J7846" s="1" t="s">
        <v>6</v>
      </c>
      <c r="K7846" s="1" t="s">
        <v>24</v>
      </c>
      <c r="M7846" s="2">
        <v>42461</v>
      </c>
      <c r="N7846" s="1" t="s">
        <v>8</v>
      </c>
      <c r="O7846" s="2">
        <v>43556</v>
      </c>
    </row>
    <row r="7847" spans="1:15" ht="28.8" x14ac:dyDescent="0.3">
      <c r="A7847" s="1" t="s">
        <v>27548</v>
      </c>
      <c r="B7847" s="1" t="str">
        <f>"Glyn  Brannan  Glyn Brannan "</f>
        <v xml:space="preserve">Glyn  Brannan  Glyn Brannan </v>
      </c>
      <c r="C7847" s="1" t="s">
        <v>27549</v>
      </c>
      <c r="D7847" s="1" t="s">
        <v>1897</v>
      </c>
      <c r="F7847" s="1" t="s">
        <v>3371</v>
      </c>
      <c r="H7847" s="1" t="s">
        <v>318</v>
      </c>
      <c r="I7847" s="1" t="s">
        <v>5</v>
      </c>
      <c r="J7847" s="1" t="s">
        <v>6</v>
      </c>
      <c r="K7847" s="1" t="s">
        <v>34</v>
      </c>
      <c r="M7847" s="2">
        <v>42461</v>
      </c>
      <c r="N7847" s="1" t="s">
        <v>8</v>
      </c>
      <c r="O7847" s="2">
        <v>43556</v>
      </c>
    </row>
    <row r="7848" spans="1:15" x14ac:dyDescent="0.3">
      <c r="A7848" s="1" t="s">
        <v>27550</v>
      </c>
      <c r="B7848" s="1" t="str">
        <f>"steven johnson relics"</f>
        <v>steven johnson relics</v>
      </c>
      <c r="C7848" s="1" t="s">
        <v>27551</v>
      </c>
      <c r="F7848" s="1" t="s">
        <v>1321</v>
      </c>
      <c r="H7848" s="1" t="s">
        <v>27552</v>
      </c>
      <c r="I7848" s="1" t="s">
        <v>5</v>
      </c>
      <c r="J7848" s="1" t="s">
        <v>6</v>
      </c>
      <c r="K7848" s="1" t="s">
        <v>24</v>
      </c>
      <c r="M7848" s="2">
        <v>42461</v>
      </c>
      <c r="N7848" s="1" t="s">
        <v>8</v>
      </c>
      <c r="O7848" s="2">
        <v>43556</v>
      </c>
    </row>
    <row r="7849" spans="1:15" ht="28.8" x14ac:dyDescent="0.3">
      <c r="A7849" s="1" t="s">
        <v>27553</v>
      </c>
      <c r="B7849" s="1" t="str">
        <f>"Peter Gerald Carson"</f>
        <v>Peter Gerald Carson</v>
      </c>
      <c r="C7849" s="1" t="s">
        <v>27554</v>
      </c>
      <c r="F7849" s="1" t="s">
        <v>27</v>
      </c>
      <c r="H7849" s="1" t="s">
        <v>27555</v>
      </c>
      <c r="I7849" s="1" t="s">
        <v>5</v>
      </c>
      <c r="J7849" s="1" t="s">
        <v>6</v>
      </c>
      <c r="K7849" s="1" t="s">
        <v>24</v>
      </c>
      <c r="M7849" s="2">
        <v>42461</v>
      </c>
      <c r="N7849" s="1" t="s">
        <v>8</v>
      </c>
      <c r="O7849" s="2">
        <v>43556</v>
      </c>
    </row>
    <row r="7850" spans="1:15" ht="28.8" x14ac:dyDescent="0.3">
      <c r="A7850" s="1" t="s">
        <v>708</v>
      </c>
      <c r="B7850" s="1" t="str">
        <f>"Celtic Heritage Const. &amp; St.masonry"</f>
        <v>Celtic Heritage Const. &amp; St.masonry</v>
      </c>
      <c r="C7850" s="1" t="s">
        <v>709</v>
      </c>
      <c r="F7850" s="1" t="s">
        <v>710</v>
      </c>
      <c r="H7850" s="1" t="s">
        <v>711</v>
      </c>
      <c r="I7850" s="1" t="s">
        <v>19</v>
      </c>
      <c r="J7850" s="1" t="s">
        <v>6</v>
      </c>
      <c r="K7850" s="1" t="s">
        <v>34</v>
      </c>
      <c r="L7850" s="1">
        <v>9405798</v>
      </c>
      <c r="M7850" s="2">
        <v>42460</v>
      </c>
      <c r="N7850" s="1" t="s">
        <v>8</v>
      </c>
      <c r="O7850" s="2">
        <v>44651</v>
      </c>
    </row>
    <row r="7851" spans="1:15" ht="28.8" x14ac:dyDescent="0.3">
      <c r="A7851" s="1" t="s">
        <v>1099</v>
      </c>
      <c r="B7851" s="1" t="str">
        <f>"Pets in Peace LTD"</f>
        <v>Pets in Peace LTD</v>
      </c>
      <c r="C7851" s="1" t="s">
        <v>1100</v>
      </c>
      <c r="F7851" s="1" t="s">
        <v>825</v>
      </c>
      <c r="H7851" s="1" t="s">
        <v>1101</v>
      </c>
      <c r="I7851" s="1" t="s">
        <v>19</v>
      </c>
      <c r="J7851" s="1" t="s">
        <v>6</v>
      </c>
      <c r="K7851" s="1" t="s">
        <v>24</v>
      </c>
      <c r="L7851" s="1">
        <v>8172166</v>
      </c>
      <c r="M7851" s="2">
        <v>42460</v>
      </c>
      <c r="N7851" s="1" t="s">
        <v>8</v>
      </c>
      <c r="O7851" s="2">
        <v>44651</v>
      </c>
    </row>
    <row r="7852" spans="1:15" x14ac:dyDescent="0.3">
      <c r="A7852" s="1" t="s">
        <v>1856</v>
      </c>
      <c r="B7852" s="1" t="str">
        <f>"Antur Waunfawr"</f>
        <v>Antur Waunfawr</v>
      </c>
      <c r="C7852" s="1" t="s">
        <v>1857</v>
      </c>
      <c r="F7852" s="1" t="s">
        <v>710</v>
      </c>
      <c r="H7852" s="1" t="s">
        <v>1858</v>
      </c>
      <c r="I7852" s="1" t="s">
        <v>19</v>
      </c>
      <c r="J7852" s="1" t="s">
        <v>6</v>
      </c>
      <c r="K7852" s="1" t="s">
        <v>1859</v>
      </c>
      <c r="L7852" s="1">
        <v>1832813</v>
      </c>
      <c r="M7852" s="2">
        <v>42460</v>
      </c>
      <c r="N7852" s="1" t="s">
        <v>8</v>
      </c>
      <c r="O7852" s="2">
        <v>44650</v>
      </c>
    </row>
    <row r="7853" spans="1:15" ht="28.8" x14ac:dyDescent="0.3">
      <c r="A7853" s="1" t="s">
        <v>13418</v>
      </c>
      <c r="B7853" s="1" t="str">
        <f>"morris properties ltd"</f>
        <v>morris properties ltd</v>
      </c>
      <c r="C7853" s="1" t="s">
        <v>13419</v>
      </c>
      <c r="D7853" s="1" t="s">
        <v>6091</v>
      </c>
      <c r="F7853" s="1" t="s">
        <v>4656</v>
      </c>
      <c r="H7853" s="1" t="s">
        <v>13420</v>
      </c>
      <c r="I7853" s="1" t="s">
        <v>19</v>
      </c>
      <c r="J7853" s="1" t="s">
        <v>6</v>
      </c>
      <c r="K7853" s="1" t="s">
        <v>24</v>
      </c>
      <c r="L7853" s="1">
        <v>8648333</v>
      </c>
      <c r="M7853" s="2">
        <v>42460</v>
      </c>
      <c r="N7853" s="1" t="s">
        <v>8</v>
      </c>
      <c r="O7853" s="2">
        <v>43555</v>
      </c>
    </row>
    <row r="7854" spans="1:15" ht="28.8" x14ac:dyDescent="0.3">
      <c r="A7854" s="1" t="s">
        <v>14307</v>
      </c>
      <c r="B7854" s="1" t="str">
        <f>"A &amp; N LEWIS LIMITED"</f>
        <v>A &amp; N LEWIS LIMITED</v>
      </c>
      <c r="C7854" s="1" t="s">
        <v>14308</v>
      </c>
      <c r="F7854" s="1" t="s">
        <v>27</v>
      </c>
      <c r="H7854" s="1" t="s">
        <v>2148</v>
      </c>
      <c r="I7854" s="1" t="s">
        <v>19</v>
      </c>
      <c r="J7854" s="1" t="s">
        <v>6</v>
      </c>
      <c r="K7854" s="1" t="s">
        <v>24</v>
      </c>
      <c r="L7854" s="1">
        <v>2113380</v>
      </c>
      <c r="M7854" s="2">
        <v>42460</v>
      </c>
      <c r="N7854" s="1" t="s">
        <v>8</v>
      </c>
      <c r="O7854" s="2">
        <v>43555</v>
      </c>
    </row>
    <row r="7855" spans="1:15" ht="28.8" x14ac:dyDescent="0.3">
      <c r="A7855" s="1" t="s">
        <v>14309</v>
      </c>
      <c r="B7855" s="1" t="str">
        <f>"Manning Construction Ltd."</f>
        <v>Manning Construction Ltd.</v>
      </c>
      <c r="C7855" s="1" t="s">
        <v>14310</v>
      </c>
      <c r="F7855" s="1" t="s">
        <v>179</v>
      </c>
      <c r="H7855" s="1" t="s">
        <v>14311</v>
      </c>
      <c r="I7855" s="1" t="s">
        <v>19</v>
      </c>
      <c r="J7855" s="1" t="s">
        <v>6</v>
      </c>
      <c r="K7855" s="1" t="s">
        <v>34</v>
      </c>
      <c r="L7855" s="1">
        <v>4430069</v>
      </c>
      <c r="M7855" s="2">
        <v>42460</v>
      </c>
      <c r="N7855" s="1" t="s">
        <v>8</v>
      </c>
      <c r="O7855" s="2">
        <v>43611</v>
      </c>
    </row>
    <row r="7856" spans="1:15" ht="28.8" x14ac:dyDescent="0.3">
      <c r="A7856" s="1" t="s">
        <v>14312</v>
      </c>
      <c r="B7856" s="1" t="str">
        <f>"Kingdom developments (Pembrokeshire"</f>
        <v>Kingdom developments (Pembrokeshire</v>
      </c>
      <c r="C7856" s="1" t="s">
        <v>14313</v>
      </c>
      <c r="F7856" s="1" t="s">
        <v>134</v>
      </c>
      <c r="H7856" s="1" t="s">
        <v>14314</v>
      </c>
      <c r="I7856" s="1" t="s">
        <v>19</v>
      </c>
      <c r="J7856" s="1" t="s">
        <v>6</v>
      </c>
      <c r="K7856" s="1" t="s">
        <v>24</v>
      </c>
      <c r="L7856" s="1">
        <v>9925947</v>
      </c>
      <c r="M7856" s="2">
        <v>42460</v>
      </c>
      <c r="N7856" s="1" t="s">
        <v>8</v>
      </c>
      <c r="O7856" s="2">
        <v>43555</v>
      </c>
    </row>
    <row r="7857" spans="1:15" ht="43.2" x14ac:dyDescent="0.3">
      <c r="A7857" s="1" t="s">
        <v>25960</v>
      </c>
      <c r="B7857" s="1" t="str">
        <f>"Debbie Thompson"</f>
        <v>Debbie Thompson</v>
      </c>
      <c r="C7857" s="1" t="s">
        <v>25961</v>
      </c>
      <c r="F7857" s="1" t="s">
        <v>96</v>
      </c>
      <c r="H7857" s="1" t="s">
        <v>13675</v>
      </c>
      <c r="I7857" s="1" t="s">
        <v>5</v>
      </c>
      <c r="J7857" s="1" t="s">
        <v>67</v>
      </c>
      <c r="K7857" s="1" t="s">
        <v>14</v>
      </c>
      <c r="M7857" s="2">
        <v>42460</v>
      </c>
      <c r="N7857" s="1" t="s">
        <v>8</v>
      </c>
      <c r="O7857" s="1" t="s">
        <v>68</v>
      </c>
    </row>
    <row r="7858" spans="1:15" ht="43.2" x14ac:dyDescent="0.3">
      <c r="A7858" s="1" t="s">
        <v>25962</v>
      </c>
      <c r="B7858" s="1" t="str">
        <f>"David Jones"</f>
        <v>David Jones</v>
      </c>
      <c r="C7858" s="1" t="s">
        <v>25963</v>
      </c>
      <c r="D7858" s="1" t="s">
        <v>449</v>
      </c>
      <c r="F7858" s="1" t="s">
        <v>42</v>
      </c>
      <c r="H7858" s="1" t="s">
        <v>14644</v>
      </c>
      <c r="I7858" s="1" t="s">
        <v>5</v>
      </c>
      <c r="J7858" s="1" t="s">
        <v>67</v>
      </c>
      <c r="K7858" s="1" t="s">
        <v>14</v>
      </c>
      <c r="M7858" s="2">
        <v>42460</v>
      </c>
      <c r="N7858" s="1" t="s">
        <v>8</v>
      </c>
      <c r="O7858" s="1" t="s">
        <v>68</v>
      </c>
    </row>
    <row r="7859" spans="1:15" ht="28.8" x14ac:dyDescent="0.3">
      <c r="A7859" s="1" t="s">
        <v>26666</v>
      </c>
      <c r="B7859" s="1" t="str">
        <f>"tomasz wegner tomasz wegner handyman"</f>
        <v>tomasz wegner tomasz wegner handyman</v>
      </c>
      <c r="C7859" s="1" t="s">
        <v>26667</v>
      </c>
      <c r="F7859" s="1" t="s">
        <v>198</v>
      </c>
      <c r="H7859" s="1" t="s">
        <v>26668</v>
      </c>
      <c r="I7859" s="1" t="s">
        <v>5</v>
      </c>
      <c r="J7859" s="1" t="s">
        <v>6</v>
      </c>
      <c r="K7859" s="1" t="s">
        <v>24</v>
      </c>
      <c r="M7859" s="2">
        <v>42460</v>
      </c>
      <c r="N7859" s="1" t="s">
        <v>8</v>
      </c>
      <c r="O7859" s="2">
        <v>43555</v>
      </c>
    </row>
    <row r="7860" spans="1:15" ht="28.8" x14ac:dyDescent="0.3">
      <c r="A7860" s="1" t="s">
        <v>26669</v>
      </c>
      <c r="B7860" s="1" t="str">
        <f>"Craig Hearne Seasontraders"</f>
        <v>Craig Hearne Seasontraders</v>
      </c>
      <c r="C7860" s="1" t="s">
        <v>26670</v>
      </c>
      <c r="F7860" s="1" t="s">
        <v>865</v>
      </c>
      <c r="H7860" s="1" t="s">
        <v>26671</v>
      </c>
      <c r="I7860" s="1" t="s">
        <v>5</v>
      </c>
      <c r="J7860" s="1" t="s">
        <v>6</v>
      </c>
      <c r="K7860" s="1" t="s">
        <v>34</v>
      </c>
      <c r="M7860" s="2">
        <v>42460</v>
      </c>
      <c r="N7860" s="1" t="s">
        <v>8</v>
      </c>
      <c r="O7860" s="2">
        <v>43555</v>
      </c>
    </row>
    <row r="7861" spans="1:15" ht="43.2" x14ac:dyDescent="0.3">
      <c r="A7861" s="1" t="s">
        <v>26672</v>
      </c>
      <c r="B7861" s="1" t="str">
        <f>"Russell Tullis RT carpenter joiner "</f>
        <v xml:space="preserve">Russell Tullis RT carpenter joiner </v>
      </c>
      <c r="C7861" s="1" t="s">
        <v>26673</v>
      </c>
      <c r="F7861" s="1" t="s">
        <v>7864</v>
      </c>
      <c r="H7861" s="1" t="s">
        <v>26674</v>
      </c>
      <c r="I7861" s="1" t="s">
        <v>5</v>
      </c>
      <c r="J7861" s="1" t="s">
        <v>67</v>
      </c>
      <c r="K7861" s="1" t="s">
        <v>24</v>
      </c>
      <c r="M7861" s="2">
        <v>42460</v>
      </c>
      <c r="N7861" s="1" t="s">
        <v>8</v>
      </c>
      <c r="O7861" s="1" t="s">
        <v>68</v>
      </c>
    </row>
    <row r="7862" spans="1:15" ht="28.8" x14ac:dyDescent="0.3">
      <c r="A7862" s="1" t="s">
        <v>26675</v>
      </c>
      <c r="B7862" s="1" t="str">
        <f>"Allan Hill Bramwell clearance"</f>
        <v>Allan Hill Bramwell clearance</v>
      </c>
      <c r="C7862" s="1" t="s">
        <v>26676</v>
      </c>
      <c r="F7862" s="1" t="s">
        <v>1556</v>
      </c>
      <c r="H7862" s="1" t="s">
        <v>1557</v>
      </c>
      <c r="I7862" s="1" t="s">
        <v>5</v>
      </c>
      <c r="J7862" s="1" t="s">
        <v>6</v>
      </c>
      <c r="K7862" s="1" t="s">
        <v>24</v>
      </c>
      <c r="M7862" s="2">
        <v>42460</v>
      </c>
      <c r="N7862" s="1" t="s">
        <v>8</v>
      </c>
      <c r="O7862" s="2">
        <v>43555</v>
      </c>
    </row>
    <row r="7863" spans="1:15" ht="28.8" x14ac:dyDescent="0.3">
      <c r="A7863" s="1" t="s">
        <v>26677</v>
      </c>
      <c r="B7863" s="1" t="str">
        <f>"Paul Hayman Paul's Gardening Services"</f>
        <v>Paul Hayman Paul's Gardening Services</v>
      </c>
      <c r="C7863" s="1" t="s">
        <v>26678</v>
      </c>
      <c r="F7863" s="1" t="s">
        <v>438</v>
      </c>
      <c r="H7863" s="1" t="s">
        <v>26679</v>
      </c>
      <c r="I7863" s="1" t="s">
        <v>5</v>
      </c>
      <c r="J7863" s="1" t="s">
        <v>6</v>
      </c>
      <c r="K7863" s="1" t="s">
        <v>24</v>
      </c>
      <c r="M7863" s="2">
        <v>42460</v>
      </c>
      <c r="N7863" s="1" t="s">
        <v>8</v>
      </c>
      <c r="O7863" s="2">
        <v>43555</v>
      </c>
    </row>
    <row r="7864" spans="1:15" ht="28.8" x14ac:dyDescent="0.3">
      <c r="A7864" s="1" t="s">
        <v>252</v>
      </c>
      <c r="B7864" s="1" t="str">
        <f>"Stephen Jones Sarel upvc"</f>
        <v>Stephen Jones Sarel upvc</v>
      </c>
      <c r="C7864" s="1" t="s">
        <v>253</v>
      </c>
      <c r="F7864" s="1" t="s">
        <v>65</v>
      </c>
      <c r="H7864" s="1" t="s">
        <v>254</v>
      </c>
      <c r="I7864" s="1" t="s">
        <v>5</v>
      </c>
      <c r="J7864" s="1" t="s">
        <v>6</v>
      </c>
      <c r="K7864" s="1" t="s">
        <v>24</v>
      </c>
      <c r="M7864" s="2">
        <v>42459</v>
      </c>
      <c r="N7864" s="1" t="s">
        <v>8</v>
      </c>
      <c r="O7864" s="2">
        <v>44650</v>
      </c>
    </row>
    <row r="7865" spans="1:15" ht="28.8" x14ac:dyDescent="0.3">
      <c r="A7865" s="1" t="s">
        <v>1123</v>
      </c>
      <c r="B7865" s="1" t="str">
        <f>"bernard budd B M Budd Haulage"</f>
        <v>bernard budd B M Budd Haulage</v>
      </c>
      <c r="C7865" s="1" t="s">
        <v>1124</v>
      </c>
      <c r="F7865" s="1" t="s">
        <v>27</v>
      </c>
      <c r="H7865" s="1" t="s">
        <v>1125</v>
      </c>
      <c r="I7865" s="1" t="s">
        <v>5</v>
      </c>
      <c r="J7865" s="1" t="s">
        <v>6</v>
      </c>
      <c r="K7865" s="1" t="s">
        <v>24</v>
      </c>
      <c r="M7865" s="2">
        <v>42459</v>
      </c>
      <c r="N7865" s="1" t="s">
        <v>8</v>
      </c>
      <c r="O7865" s="2">
        <v>44650</v>
      </c>
    </row>
    <row r="7866" spans="1:15" ht="28.8" x14ac:dyDescent="0.3">
      <c r="A7866" s="1" t="s">
        <v>1145</v>
      </c>
      <c r="B7866" s="1" t="str">
        <f>"CORONA LIGHTING LTD"</f>
        <v>CORONA LIGHTING LTD</v>
      </c>
      <c r="C7866" s="1" t="s">
        <v>1146</v>
      </c>
      <c r="F7866" s="1" t="s">
        <v>706</v>
      </c>
      <c r="G7866" s="1" t="s">
        <v>211</v>
      </c>
      <c r="H7866" s="1" t="s">
        <v>1147</v>
      </c>
      <c r="I7866" s="1" t="s">
        <v>19</v>
      </c>
      <c r="J7866" s="1" t="s">
        <v>6</v>
      </c>
      <c r="K7866" s="1" t="s">
        <v>34</v>
      </c>
      <c r="L7866" s="1">
        <v>2560057</v>
      </c>
      <c r="M7866" s="2">
        <v>42459</v>
      </c>
      <c r="N7866" s="1" t="s">
        <v>8</v>
      </c>
      <c r="O7866" s="2">
        <v>44650</v>
      </c>
    </row>
    <row r="7867" spans="1:15" ht="28.8" x14ac:dyDescent="0.3">
      <c r="A7867" s="1" t="s">
        <v>1766</v>
      </c>
      <c r="B7867" s="1" t="str">
        <f>"Hammond (Ecs) Ltd."</f>
        <v>Hammond (Ecs) Ltd.</v>
      </c>
      <c r="C7867" s="1" t="s">
        <v>1767</v>
      </c>
      <c r="D7867" s="1" t="s">
        <v>1768</v>
      </c>
      <c r="E7867" s="1" t="s">
        <v>1769</v>
      </c>
      <c r="F7867" s="1" t="s">
        <v>140</v>
      </c>
      <c r="G7867" s="1" t="s">
        <v>141</v>
      </c>
      <c r="H7867" s="1" t="s">
        <v>1770</v>
      </c>
      <c r="I7867" s="1" t="s">
        <v>19</v>
      </c>
      <c r="J7867" s="1" t="s">
        <v>6</v>
      </c>
      <c r="K7867" s="1" t="s">
        <v>34</v>
      </c>
      <c r="L7867" s="1">
        <v>3379408</v>
      </c>
      <c r="M7867" s="2">
        <v>42459</v>
      </c>
      <c r="N7867" s="1" t="s">
        <v>8</v>
      </c>
      <c r="O7867" s="2">
        <v>44649</v>
      </c>
    </row>
    <row r="7868" spans="1:15" ht="28.8" x14ac:dyDescent="0.3">
      <c r="A7868" s="1" t="s">
        <v>1836</v>
      </c>
      <c r="B7868" s="1" t="str">
        <f>"K G J  Price (Railway Contractors) Ltd."</f>
        <v>K G J  Price (Railway Contractors) Ltd.</v>
      </c>
      <c r="C7868" s="1" t="s">
        <v>1837</v>
      </c>
      <c r="D7868" s="1" t="s">
        <v>1838</v>
      </c>
      <c r="E7868" s="1" t="s">
        <v>1839</v>
      </c>
      <c r="F7868" s="1" t="s">
        <v>103</v>
      </c>
      <c r="H7868" s="1" t="s">
        <v>1202</v>
      </c>
      <c r="I7868" s="1" t="s">
        <v>19</v>
      </c>
      <c r="J7868" s="1" t="s">
        <v>6</v>
      </c>
      <c r="K7868" s="1" t="s">
        <v>14</v>
      </c>
      <c r="L7868" s="1">
        <v>1732544</v>
      </c>
      <c r="M7868" s="2">
        <v>42459</v>
      </c>
      <c r="N7868" s="1" t="s">
        <v>8</v>
      </c>
      <c r="O7868" s="2">
        <v>44650</v>
      </c>
    </row>
    <row r="7869" spans="1:15" x14ac:dyDescent="0.3">
      <c r="A7869" s="1" t="s">
        <v>12284</v>
      </c>
      <c r="B7869" s="1" t="str">
        <f>"Kieran McDaid ltd"</f>
        <v>Kieran McDaid ltd</v>
      </c>
      <c r="C7869" s="1" t="s">
        <v>12285</v>
      </c>
      <c r="F7869" s="1" t="s">
        <v>12286</v>
      </c>
      <c r="H7869" s="1" t="s">
        <v>12287</v>
      </c>
      <c r="I7869" s="1" t="s">
        <v>19</v>
      </c>
      <c r="J7869" s="1" t="s">
        <v>6</v>
      </c>
      <c r="K7869" s="1" t="s">
        <v>24</v>
      </c>
      <c r="L7869" s="1">
        <v>6309939</v>
      </c>
      <c r="M7869" s="2">
        <v>42459</v>
      </c>
      <c r="N7869" s="1" t="s">
        <v>8</v>
      </c>
      <c r="O7869" s="2">
        <v>43554</v>
      </c>
    </row>
    <row r="7870" spans="1:15" ht="43.2" x14ac:dyDescent="0.3">
      <c r="A7870" s="1" t="s">
        <v>12288</v>
      </c>
      <c r="B7870" s="1" t="str">
        <f>"J A DENNON ASSOCIATES LTD"</f>
        <v>J A DENNON ASSOCIATES LTD</v>
      </c>
      <c r="C7870" s="1" t="s">
        <v>12289</v>
      </c>
      <c r="D7870" s="1" t="s">
        <v>12290</v>
      </c>
      <c r="F7870" s="1" t="s">
        <v>12291</v>
      </c>
      <c r="H7870" s="1" t="s">
        <v>12292</v>
      </c>
      <c r="I7870" s="1" t="s">
        <v>19</v>
      </c>
      <c r="J7870" s="1" t="s">
        <v>67</v>
      </c>
      <c r="K7870" s="1" t="s">
        <v>14</v>
      </c>
      <c r="M7870" s="2">
        <v>42459</v>
      </c>
      <c r="N7870" s="1" t="s">
        <v>8</v>
      </c>
      <c r="O7870" s="1" t="s">
        <v>68</v>
      </c>
    </row>
    <row r="7871" spans="1:15" ht="43.2" x14ac:dyDescent="0.3">
      <c r="A7871" s="1" t="s">
        <v>13410</v>
      </c>
      <c r="B7871" s="1" t="str">
        <f>"J.C. TARMAC LTD"</f>
        <v>J.C. TARMAC LTD</v>
      </c>
      <c r="C7871" s="1" t="s">
        <v>13411</v>
      </c>
      <c r="D7871" s="1" t="s">
        <v>8016</v>
      </c>
      <c r="F7871" s="1" t="s">
        <v>607</v>
      </c>
      <c r="H7871" s="1" t="s">
        <v>13412</v>
      </c>
      <c r="I7871" s="1" t="s">
        <v>19</v>
      </c>
      <c r="J7871" s="1" t="s">
        <v>67</v>
      </c>
      <c r="K7871" s="1" t="s">
        <v>34</v>
      </c>
      <c r="L7871" s="1">
        <v>4629854</v>
      </c>
      <c r="M7871" s="2">
        <v>42459</v>
      </c>
      <c r="N7871" s="1" t="s">
        <v>8</v>
      </c>
      <c r="O7871" s="1" t="s">
        <v>68</v>
      </c>
    </row>
    <row r="7872" spans="1:15" ht="28.8" x14ac:dyDescent="0.3">
      <c r="A7872" s="1" t="s">
        <v>13413</v>
      </c>
      <c r="B7872" s="1" t="str">
        <f>"J.C. TARMAC LTD"</f>
        <v>J.C. TARMAC LTD</v>
      </c>
      <c r="C7872" s="1" t="s">
        <v>13411</v>
      </c>
      <c r="D7872" s="1" t="s">
        <v>8016</v>
      </c>
      <c r="F7872" s="1" t="s">
        <v>607</v>
      </c>
      <c r="H7872" s="1" t="s">
        <v>13412</v>
      </c>
      <c r="I7872" s="1" t="s">
        <v>19</v>
      </c>
      <c r="J7872" s="1" t="s">
        <v>6</v>
      </c>
      <c r="K7872" s="1" t="s">
        <v>34</v>
      </c>
      <c r="L7872" s="1">
        <v>4629854</v>
      </c>
      <c r="M7872" s="2">
        <v>42459</v>
      </c>
      <c r="N7872" s="1" t="s">
        <v>8</v>
      </c>
      <c r="O7872" s="2">
        <v>43554</v>
      </c>
    </row>
    <row r="7873" spans="1:15" ht="28.8" x14ac:dyDescent="0.3">
      <c r="A7873" s="1" t="s">
        <v>13414</v>
      </c>
      <c r="B7873" s="1" t="str">
        <f>"RSM EVANS LIMITED"</f>
        <v>RSM EVANS LIMITED</v>
      </c>
      <c r="C7873" s="1" t="s">
        <v>8001</v>
      </c>
      <c r="F7873" s="1" t="s">
        <v>42</v>
      </c>
      <c r="H7873" s="1" t="s">
        <v>8002</v>
      </c>
      <c r="I7873" s="1" t="s">
        <v>19</v>
      </c>
      <c r="J7873" s="1" t="s">
        <v>6</v>
      </c>
      <c r="K7873" s="1" t="s">
        <v>24</v>
      </c>
      <c r="L7873" s="1">
        <v>5983914</v>
      </c>
      <c r="M7873" s="2">
        <v>42459</v>
      </c>
      <c r="N7873" s="1" t="s">
        <v>8</v>
      </c>
      <c r="O7873" s="2">
        <v>43554</v>
      </c>
    </row>
    <row r="7874" spans="1:15" ht="43.2" x14ac:dyDescent="0.3">
      <c r="A7874" s="1" t="s">
        <v>13415</v>
      </c>
      <c r="B7874" s="1" t="str">
        <f>"tim chimney"</f>
        <v>tim chimney</v>
      </c>
      <c r="C7874" s="1" t="s">
        <v>13416</v>
      </c>
      <c r="F7874" s="1" t="s">
        <v>198</v>
      </c>
      <c r="H7874" s="1" t="s">
        <v>13417</v>
      </c>
      <c r="I7874" s="1" t="s">
        <v>125</v>
      </c>
      <c r="J7874" s="1" t="s">
        <v>67</v>
      </c>
      <c r="K7874" s="1" t="s">
        <v>14</v>
      </c>
      <c r="M7874" s="2">
        <v>42459</v>
      </c>
      <c r="N7874" s="1" t="s">
        <v>8</v>
      </c>
      <c r="O7874" s="1" t="s">
        <v>68</v>
      </c>
    </row>
    <row r="7875" spans="1:15" ht="43.2" x14ac:dyDescent="0.3">
      <c r="A7875" s="1" t="s">
        <v>25221</v>
      </c>
      <c r="B7875" s="1" t="str">
        <f>"andrew rees"</f>
        <v>andrew rees</v>
      </c>
      <c r="C7875" s="1" t="s">
        <v>25222</v>
      </c>
      <c r="D7875" s="1" t="s">
        <v>25223</v>
      </c>
      <c r="E7875" s="1" t="s">
        <v>10331</v>
      </c>
      <c r="F7875" s="1" t="s">
        <v>174</v>
      </c>
      <c r="H7875" s="1" t="s">
        <v>10540</v>
      </c>
      <c r="I7875" s="1" t="s">
        <v>5</v>
      </c>
      <c r="J7875" s="1" t="s">
        <v>67</v>
      </c>
      <c r="K7875" s="1" t="s">
        <v>24</v>
      </c>
      <c r="M7875" s="2">
        <v>42459</v>
      </c>
      <c r="N7875" s="1" t="s">
        <v>8</v>
      </c>
      <c r="O7875" s="1" t="s">
        <v>68</v>
      </c>
    </row>
    <row r="7876" spans="1:15" ht="28.8" x14ac:dyDescent="0.3">
      <c r="A7876" s="1" t="s">
        <v>25224</v>
      </c>
      <c r="B7876" s="1" t="str">
        <f>"Nigel Fisher Shift It"</f>
        <v>Nigel Fisher Shift It</v>
      </c>
      <c r="C7876" s="1" t="s">
        <v>25225</v>
      </c>
      <c r="F7876" s="1" t="s">
        <v>65</v>
      </c>
      <c r="H7876" s="1" t="s">
        <v>25226</v>
      </c>
      <c r="I7876" s="1" t="s">
        <v>5</v>
      </c>
      <c r="J7876" s="1" t="s">
        <v>6</v>
      </c>
      <c r="K7876" s="1" t="s">
        <v>24</v>
      </c>
      <c r="M7876" s="2">
        <v>42459</v>
      </c>
      <c r="N7876" s="1" t="s">
        <v>8</v>
      </c>
      <c r="O7876" s="2">
        <v>43554</v>
      </c>
    </row>
    <row r="7877" spans="1:15" ht="28.8" x14ac:dyDescent="0.3">
      <c r="A7877" s="1" t="s">
        <v>25227</v>
      </c>
      <c r="B7877" s="1" t="str">
        <f>"William Mathias William Mathias"</f>
        <v>William Mathias William Mathias</v>
      </c>
      <c r="C7877" s="1" t="s">
        <v>25228</v>
      </c>
      <c r="F7877" s="1" t="s">
        <v>27</v>
      </c>
      <c r="H7877" s="1" t="s">
        <v>25229</v>
      </c>
      <c r="I7877" s="1" t="s">
        <v>5</v>
      </c>
      <c r="J7877" s="1" t="s">
        <v>6</v>
      </c>
      <c r="K7877" s="1" t="s">
        <v>34</v>
      </c>
      <c r="M7877" s="2">
        <v>42459</v>
      </c>
      <c r="N7877" s="1" t="s">
        <v>8</v>
      </c>
      <c r="O7877" s="2">
        <v>43554</v>
      </c>
    </row>
    <row r="7878" spans="1:15" x14ac:dyDescent="0.3">
      <c r="A7878" s="1" t="s">
        <v>25230</v>
      </c>
      <c r="B7878" s="1" t="str">
        <f>"John Richardson BOXIS"</f>
        <v>John Richardson BOXIS</v>
      </c>
      <c r="C7878" s="1" t="s">
        <v>25231</v>
      </c>
      <c r="F7878" s="1" t="s">
        <v>12453</v>
      </c>
      <c r="H7878" s="1" t="s">
        <v>25232</v>
      </c>
      <c r="I7878" s="1" t="s">
        <v>5</v>
      </c>
      <c r="J7878" s="1" t="s">
        <v>6</v>
      </c>
      <c r="K7878" s="1" t="s">
        <v>24</v>
      </c>
      <c r="M7878" s="2">
        <v>42459</v>
      </c>
      <c r="N7878" s="1" t="s">
        <v>8</v>
      </c>
      <c r="O7878" s="2">
        <v>43554</v>
      </c>
    </row>
    <row r="7879" spans="1:15" ht="28.8" x14ac:dyDescent="0.3">
      <c r="A7879" s="1" t="s">
        <v>25950</v>
      </c>
      <c r="B7879" s="1" t="str">
        <f>"Michael Cheeseman Michael Cheeseman"</f>
        <v>Michael Cheeseman Michael Cheeseman</v>
      </c>
      <c r="C7879" s="1" t="s">
        <v>25951</v>
      </c>
      <c r="F7879" s="1" t="s">
        <v>401</v>
      </c>
      <c r="H7879" s="1" t="s">
        <v>25952</v>
      </c>
      <c r="I7879" s="1" t="s">
        <v>5</v>
      </c>
      <c r="J7879" s="1" t="s">
        <v>6</v>
      </c>
      <c r="K7879" s="1" t="s">
        <v>24</v>
      </c>
      <c r="M7879" s="2">
        <v>42459</v>
      </c>
      <c r="N7879" s="1" t="s">
        <v>8</v>
      </c>
      <c r="O7879" s="2">
        <v>43554</v>
      </c>
    </row>
    <row r="7880" spans="1:15" ht="43.2" x14ac:dyDescent="0.3">
      <c r="A7880" s="1" t="s">
        <v>25953</v>
      </c>
      <c r="B7880" s="1" t="str">
        <f>"Martin  Holmes RoMa clearances "</f>
        <v xml:space="preserve">Martin  Holmes RoMa clearances </v>
      </c>
      <c r="C7880" s="1" t="s">
        <v>25954</v>
      </c>
      <c r="F7880" s="1" t="s">
        <v>25955</v>
      </c>
      <c r="H7880" s="1" t="s">
        <v>25956</v>
      </c>
      <c r="I7880" s="1" t="s">
        <v>5</v>
      </c>
      <c r="J7880" s="1" t="s">
        <v>67</v>
      </c>
      <c r="K7880" s="1" t="s">
        <v>24</v>
      </c>
      <c r="M7880" s="2">
        <v>42459</v>
      </c>
      <c r="N7880" s="1" t="s">
        <v>8</v>
      </c>
      <c r="O7880" s="1" t="s">
        <v>68</v>
      </c>
    </row>
    <row r="7881" spans="1:15" ht="28.8" x14ac:dyDescent="0.3">
      <c r="A7881" s="1" t="s">
        <v>25957</v>
      </c>
      <c r="B7881" s="1" t="str">
        <f>"Gareth Owen complete building services"</f>
        <v>Gareth Owen complete building services</v>
      </c>
      <c r="C7881" s="1" t="s">
        <v>25958</v>
      </c>
      <c r="F7881" s="1" t="s">
        <v>328</v>
      </c>
      <c r="H7881" s="1" t="s">
        <v>25959</v>
      </c>
      <c r="I7881" s="1" t="s">
        <v>5</v>
      </c>
      <c r="J7881" s="1" t="s">
        <v>6</v>
      </c>
      <c r="K7881" s="1" t="s">
        <v>34</v>
      </c>
      <c r="M7881" s="2">
        <v>42459</v>
      </c>
      <c r="N7881" s="1" t="s">
        <v>8</v>
      </c>
      <c r="O7881" s="2">
        <v>43561</v>
      </c>
    </row>
    <row r="7882" spans="1:15" ht="28.8" x14ac:dyDescent="0.3">
      <c r="A7882" s="1" t="s">
        <v>39</v>
      </c>
      <c r="B7882" s="1" t="str">
        <f>"Clarach Bay Services Ltd."</f>
        <v>Clarach Bay Services Ltd.</v>
      </c>
      <c r="C7882" s="1" t="s">
        <v>36</v>
      </c>
      <c r="F7882" s="1" t="s">
        <v>37</v>
      </c>
      <c r="H7882" s="1" t="s">
        <v>38</v>
      </c>
      <c r="I7882" s="1" t="s">
        <v>19</v>
      </c>
      <c r="J7882" s="1" t="s">
        <v>6</v>
      </c>
      <c r="K7882" s="1" t="s">
        <v>34</v>
      </c>
      <c r="L7882" s="1">
        <v>6216212</v>
      </c>
      <c r="M7882" s="2">
        <v>42458</v>
      </c>
      <c r="N7882" s="1" t="s">
        <v>8</v>
      </c>
      <c r="O7882" s="2">
        <v>44649</v>
      </c>
    </row>
    <row r="7883" spans="1:15" ht="28.8" x14ac:dyDescent="0.3">
      <c r="A7883" s="1" t="s">
        <v>216</v>
      </c>
      <c r="B7883" s="1" t="str">
        <f>"ISLWYN PUGH CONSTRUCTION LTD"</f>
        <v>ISLWYN PUGH CONSTRUCTION LTD</v>
      </c>
      <c r="C7883" s="1" t="s">
        <v>217</v>
      </c>
      <c r="D7883" s="1" t="s">
        <v>218</v>
      </c>
      <c r="F7883" s="1" t="s">
        <v>219</v>
      </c>
      <c r="H7883" s="1" t="s">
        <v>220</v>
      </c>
      <c r="I7883" s="1" t="s">
        <v>19</v>
      </c>
      <c r="J7883" s="1" t="s">
        <v>6</v>
      </c>
      <c r="K7883" s="1" t="s">
        <v>24</v>
      </c>
      <c r="L7883" s="1">
        <v>5512104</v>
      </c>
      <c r="M7883" s="2">
        <v>42458</v>
      </c>
      <c r="N7883" s="1" t="s">
        <v>8</v>
      </c>
      <c r="O7883" s="2">
        <v>44648</v>
      </c>
    </row>
    <row r="7884" spans="1:15" ht="28.8" x14ac:dyDescent="0.3">
      <c r="A7884" s="1" t="s">
        <v>1139</v>
      </c>
      <c r="B7884" s="1" t="str">
        <f>"G Oakley &amp; Sons"</f>
        <v>G Oakley &amp; Sons</v>
      </c>
      <c r="C7884" s="1" t="s">
        <v>1140</v>
      </c>
      <c r="F7884" s="1" t="s">
        <v>786</v>
      </c>
      <c r="H7884" s="1" t="s">
        <v>1141</v>
      </c>
      <c r="I7884" s="1" t="s">
        <v>125</v>
      </c>
      <c r="J7884" s="1" t="s">
        <v>6</v>
      </c>
      <c r="K7884" s="1" t="s">
        <v>34</v>
      </c>
      <c r="M7884" s="2">
        <v>42458</v>
      </c>
      <c r="N7884" s="1" t="s">
        <v>8</v>
      </c>
      <c r="O7884" s="2">
        <v>44649</v>
      </c>
    </row>
    <row r="7885" spans="1:15" ht="28.8" x14ac:dyDescent="0.3">
      <c r="A7885" s="1" t="s">
        <v>1159</v>
      </c>
      <c r="B7885" s="1" t="str">
        <f>"COMPTON GSR LTD"</f>
        <v>COMPTON GSR LTD</v>
      </c>
      <c r="C7885" s="1" t="s">
        <v>1160</v>
      </c>
      <c r="D7885" s="1" t="s">
        <v>1161</v>
      </c>
      <c r="F7885" s="1" t="s">
        <v>1162</v>
      </c>
      <c r="H7885" s="1" t="s">
        <v>1163</v>
      </c>
      <c r="I7885" s="1" t="s">
        <v>19</v>
      </c>
      <c r="J7885" s="1" t="s">
        <v>6</v>
      </c>
      <c r="K7885" s="1" t="s">
        <v>34</v>
      </c>
      <c r="L7885" s="1">
        <v>7484928</v>
      </c>
      <c r="M7885" s="2">
        <v>42458</v>
      </c>
      <c r="N7885" s="1" t="s">
        <v>8</v>
      </c>
      <c r="O7885" s="2">
        <v>44649</v>
      </c>
    </row>
    <row r="7886" spans="1:15" ht="28.8" x14ac:dyDescent="0.3">
      <c r="A7886" s="1" t="s">
        <v>1566</v>
      </c>
      <c r="B7886" s="1" t="str">
        <f>"Volehurst Ltd"</f>
        <v>Volehurst Ltd</v>
      </c>
      <c r="C7886" s="1" t="s">
        <v>1567</v>
      </c>
      <c r="F7886" s="1" t="s">
        <v>91</v>
      </c>
      <c r="H7886" s="1" t="s">
        <v>1568</v>
      </c>
      <c r="I7886" s="1" t="s">
        <v>19</v>
      </c>
      <c r="J7886" s="1" t="s">
        <v>6</v>
      </c>
      <c r="K7886" s="1" t="s">
        <v>24</v>
      </c>
      <c r="L7886" s="1">
        <v>1069483</v>
      </c>
      <c r="M7886" s="2">
        <v>42458</v>
      </c>
      <c r="N7886" s="1" t="s">
        <v>8</v>
      </c>
      <c r="O7886" s="2">
        <v>44649</v>
      </c>
    </row>
    <row r="7887" spans="1:15" ht="28.8" x14ac:dyDescent="0.3">
      <c r="A7887" s="1" t="s">
        <v>1808</v>
      </c>
      <c r="B7887" s="1" t="str">
        <f>"PET FUNERAL SERVICES LTD"</f>
        <v>PET FUNERAL SERVICES LTD</v>
      </c>
      <c r="C7887" s="1" t="s">
        <v>1809</v>
      </c>
      <c r="F7887" s="1" t="s">
        <v>1278</v>
      </c>
      <c r="H7887" s="1" t="s">
        <v>1810</v>
      </c>
      <c r="I7887" s="1" t="s">
        <v>19</v>
      </c>
      <c r="J7887" s="1" t="s">
        <v>6</v>
      </c>
      <c r="K7887" s="1" t="s">
        <v>24</v>
      </c>
      <c r="L7887" s="1">
        <v>3859924</v>
      </c>
      <c r="M7887" s="2">
        <v>42458</v>
      </c>
      <c r="N7887" s="1" t="s">
        <v>8</v>
      </c>
      <c r="O7887" s="2">
        <v>44649</v>
      </c>
    </row>
    <row r="7888" spans="1:15" ht="43.2" x14ac:dyDescent="0.3">
      <c r="A7888" s="1" t="s">
        <v>10307</v>
      </c>
      <c r="B7888" s="1" t="str">
        <f>"j e wilson &amp; sons"</f>
        <v>j e wilson &amp; sons</v>
      </c>
      <c r="C7888" s="1" t="s">
        <v>10308</v>
      </c>
      <c r="F7888" s="1" t="s">
        <v>607</v>
      </c>
      <c r="H7888" s="1" t="s">
        <v>8290</v>
      </c>
      <c r="I7888" s="1" t="s">
        <v>125</v>
      </c>
      <c r="J7888" s="1" t="s">
        <v>67</v>
      </c>
      <c r="K7888" s="1" t="s">
        <v>24</v>
      </c>
      <c r="M7888" s="2">
        <v>42458</v>
      </c>
      <c r="N7888" s="1" t="s">
        <v>8</v>
      </c>
      <c r="O7888" s="1" t="s">
        <v>68</v>
      </c>
    </row>
    <row r="7889" spans="1:15" ht="28.8" x14ac:dyDescent="0.3">
      <c r="A7889" s="1" t="s">
        <v>10309</v>
      </c>
      <c r="B7889" s="1" t="str">
        <f>"B  &amp; T  Hicks (Transport) Ltd."</f>
        <v>B  &amp; T  Hicks (Transport) Ltd.</v>
      </c>
      <c r="C7889" s="1" t="s">
        <v>925</v>
      </c>
      <c r="F7889" s="1" t="s">
        <v>91</v>
      </c>
      <c r="H7889" s="1" t="s">
        <v>926</v>
      </c>
      <c r="I7889" s="1" t="s">
        <v>19</v>
      </c>
      <c r="J7889" s="1" t="s">
        <v>6</v>
      </c>
      <c r="K7889" s="1" t="s">
        <v>24</v>
      </c>
      <c r="L7889" s="1">
        <v>1119401</v>
      </c>
      <c r="M7889" s="2">
        <v>42458</v>
      </c>
      <c r="N7889" s="1" t="s">
        <v>8</v>
      </c>
      <c r="O7889" s="2">
        <v>43553</v>
      </c>
    </row>
    <row r="7890" spans="1:15" ht="43.2" x14ac:dyDescent="0.3">
      <c r="A7890" s="1" t="s">
        <v>11322</v>
      </c>
      <c r="B7890" s="1" t="str">
        <f>"M RECRUIT"</f>
        <v>M RECRUIT</v>
      </c>
      <c r="C7890" s="1" t="s">
        <v>11323</v>
      </c>
      <c r="F7890" s="1" t="s">
        <v>4401</v>
      </c>
      <c r="H7890" s="1" t="s">
        <v>11324</v>
      </c>
      <c r="I7890" s="1" t="s">
        <v>19</v>
      </c>
      <c r="J7890" s="1" t="s">
        <v>67</v>
      </c>
      <c r="K7890" s="1" t="s">
        <v>14</v>
      </c>
      <c r="M7890" s="2">
        <v>42458</v>
      </c>
      <c r="N7890" s="1" t="s">
        <v>8</v>
      </c>
      <c r="O7890" s="1" t="s">
        <v>68</v>
      </c>
    </row>
    <row r="7891" spans="1:15" ht="28.8" x14ac:dyDescent="0.3">
      <c r="A7891" s="1" t="s">
        <v>11325</v>
      </c>
      <c r="B7891" s="1" t="str">
        <f>"DALE RECYCLING LIMITED"</f>
        <v>DALE RECYCLING LIMITED</v>
      </c>
      <c r="C7891" s="1" t="s">
        <v>11326</v>
      </c>
      <c r="D7891" s="1" t="s">
        <v>11327</v>
      </c>
      <c r="F7891" s="1" t="s">
        <v>11328</v>
      </c>
      <c r="H7891" s="1" t="s">
        <v>4302</v>
      </c>
      <c r="I7891" s="1" t="s">
        <v>19</v>
      </c>
      <c r="J7891" s="1" t="s">
        <v>6</v>
      </c>
      <c r="K7891" s="1" t="s">
        <v>34</v>
      </c>
      <c r="L7891" s="1">
        <v>6257687</v>
      </c>
      <c r="M7891" s="2">
        <v>42458</v>
      </c>
      <c r="N7891" s="1" t="s">
        <v>8</v>
      </c>
      <c r="O7891" s="2">
        <v>43553</v>
      </c>
    </row>
    <row r="7892" spans="1:15" ht="28.8" x14ac:dyDescent="0.3">
      <c r="A7892" s="1" t="s">
        <v>11329</v>
      </c>
      <c r="B7892" s="1" t="str">
        <f>"A &amp; M Lloyd Plant Hire Ltd"</f>
        <v>A &amp; M Lloyd Plant Hire Ltd</v>
      </c>
      <c r="C7892" s="1" t="s">
        <v>11330</v>
      </c>
      <c r="F7892" s="1" t="s">
        <v>1400</v>
      </c>
      <c r="H7892" s="1" t="s">
        <v>11331</v>
      </c>
      <c r="I7892" s="1" t="s">
        <v>19</v>
      </c>
      <c r="J7892" s="1" t="s">
        <v>6</v>
      </c>
      <c r="K7892" s="1" t="s">
        <v>34</v>
      </c>
      <c r="L7892" s="1">
        <v>6849731</v>
      </c>
      <c r="M7892" s="2">
        <v>42458</v>
      </c>
      <c r="N7892" s="1" t="s">
        <v>8</v>
      </c>
      <c r="O7892" s="2">
        <v>43553</v>
      </c>
    </row>
    <row r="7893" spans="1:15" x14ac:dyDescent="0.3">
      <c r="A7893" s="1" t="s">
        <v>11332</v>
      </c>
      <c r="B7893" s="1" t="str">
        <f>"APMS Builders"</f>
        <v>APMS Builders</v>
      </c>
      <c r="C7893" s="1" t="s">
        <v>11333</v>
      </c>
      <c r="D7893" s="1" t="s">
        <v>11334</v>
      </c>
      <c r="F7893" s="1" t="s">
        <v>865</v>
      </c>
      <c r="H7893" s="1" t="s">
        <v>11335</v>
      </c>
      <c r="I7893" s="1" t="s">
        <v>19</v>
      </c>
      <c r="J7893" s="1" t="s">
        <v>6</v>
      </c>
      <c r="K7893" s="1" t="s">
        <v>24</v>
      </c>
      <c r="L7893" s="1">
        <v>9709258</v>
      </c>
      <c r="M7893" s="2">
        <v>42458</v>
      </c>
      <c r="N7893" s="1" t="s">
        <v>8</v>
      </c>
      <c r="O7893" s="2">
        <v>43553</v>
      </c>
    </row>
    <row r="7894" spans="1:15" ht="28.8" x14ac:dyDescent="0.3">
      <c r="A7894" s="1" t="s">
        <v>11336</v>
      </c>
      <c r="B7894" s="1" t="str">
        <f>"GOWER CHEMICALS LTD"</f>
        <v>GOWER CHEMICALS LTD</v>
      </c>
      <c r="C7894" s="1" t="s">
        <v>11337</v>
      </c>
      <c r="F7894" s="1" t="s">
        <v>65</v>
      </c>
      <c r="H7894" s="1" t="s">
        <v>11338</v>
      </c>
      <c r="I7894" s="1" t="s">
        <v>19</v>
      </c>
      <c r="J7894" s="1" t="s">
        <v>6</v>
      </c>
      <c r="K7894" s="1" t="s">
        <v>34</v>
      </c>
      <c r="L7894" s="1">
        <v>1346796</v>
      </c>
      <c r="M7894" s="2">
        <v>42458</v>
      </c>
      <c r="N7894" s="1" t="s">
        <v>8</v>
      </c>
      <c r="O7894" s="2">
        <v>43553</v>
      </c>
    </row>
    <row r="7895" spans="1:15" ht="43.2" x14ac:dyDescent="0.3">
      <c r="A7895" s="1" t="s">
        <v>11339</v>
      </c>
      <c r="B7895" s="1" t="str">
        <f>"Western Security Systems Ltd"</f>
        <v>Western Security Systems Ltd</v>
      </c>
      <c r="C7895" s="1" t="s">
        <v>11340</v>
      </c>
      <c r="F7895" s="1" t="s">
        <v>27</v>
      </c>
      <c r="H7895" s="1" t="s">
        <v>11341</v>
      </c>
      <c r="I7895" s="1" t="s">
        <v>19</v>
      </c>
      <c r="J7895" s="1" t="s">
        <v>67</v>
      </c>
      <c r="K7895" s="1" t="s">
        <v>14</v>
      </c>
      <c r="M7895" s="2">
        <v>42458</v>
      </c>
      <c r="N7895" s="1" t="s">
        <v>8</v>
      </c>
      <c r="O7895" s="1" t="s">
        <v>68</v>
      </c>
    </row>
    <row r="7896" spans="1:15" ht="28.8" x14ac:dyDescent="0.3">
      <c r="A7896" s="1" t="s">
        <v>12276</v>
      </c>
      <c r="B7896" s="1" t="str">
        <f>"Barry house clearance ltd"</f>
        <v>Barry house clearance ltd</v>
      </c>
      <c r="C7896" s="1" t="s">
        <v>12277</v>
      </c>
      <c r="F7896" s="1" t="s">
        <v>298</v>
      </c>
      <c r="H7896" s="1" t="s">
        <v>12278</v>
      </c>
      <c r="I7896" s="1" t="s">
        <v>19</v>
      </c>
      <c r="J7896" s="1" t="s">
        <v>6</v>
      </c>
      <c r="K7896" s="1" t="s">
        <v>24</v>
      </c>
      <c r="L7896" s="1">
        <v>9353942</v>
      </c>
      <c r="M7896" s="2">
        <v>42458</v>
      </c>
      <c r="N7896" s="1" t="s">
        <v>8</v>
      </c>
      <c r="O7896" s="2">
        <v>43553</v>
      </c>
    </row>
    <row r="7897" spans="1:15" ht="28.8" x14ac:dyDescent="0.3">
      <c r="A7897" s="1" t="s">
        <v>12279</v>
      </c>
      <c r="B7897" s="1" t="str">
        <f>"A MAN WITH VANS LTD"</f>
        <v>A MAN WITH VANS LTD</v>
      </c>
      <c r="C7897" s="1" t="s">
        <v>12280</v>
      </c>
      <c r="D7897" s="1" t="s">
        <v>12281</v>
      </c>
      <c r="E7897" s="1" t="s">
        <v>12282</v>
      </c>
      <c r="F7897" s="1" t="s">
        <v>27</v>
      </c>
      <c r="H7897" s="1" t="s">
        <v>12283</v>
      </c>
      <c r="I7897" s="1" t="s">
        <v>19</v>
      </c>
      <c r="J7897" s="1" t="s">
        <v>6</v>
      </c>
      <c r="K7897" s="1" t="s">
        <v>24</v>
      </c>
      <c r="L7897" s="1">
        <v>8706338</v>
      </c>
      <c r="M7897" s="2">
        <v>42458</v>
      </c>
      <c r="N7897" s="1" t="s">
        <v>8</v>
      </c>
      <c r="O7897" s="2">
        <v>43553</v>
      </c>
    </row>
    <row r="7898" spans="1:15" x14ac:dyDescent="0.3">
      <c r="A7898" s="1" t="s">
        <v>23515</v>
      </c>
      <c r="B7898" s="1" t="str">
        <f>"Richard Thomas Lewis"</f>
        <v>Richard Thomas Lewis</v>
      </c>
      <c r="C7898" s="1" t="s">
        <v>23516</v>
      </c>
      <c r="F7898" s="1" t="s">
        <v>91</v>
      </c>
      <c r="H7898" s="1" t="s">
        <v>23517</v>
      </c>
      <c r="I7898" s="1" t="s">
        <v>5</v>
      </c>
      <c r="J7898" s="1" t="s">
        <v>6</v>
      </c>
      <c r="K7898" s="1" t="s">
        <v>24</v>
      </c>
      <c r="M7898" s="2">
        <v>42458</v>
      </c>
      <c r="N7898" s="1" t="s">
        <v>8</v>
      </c>
      <c r="O7898" s="2">
        <v>43553</v>
      </c>
    </row>
    <row r="7899" spans="1:15" ht="28.8" x14ac:dyDescent="0.3">
      <c r="A7899" s="1" t="s">
        <v>23518</v>
      </c>
      <c r="B7899" s="1" t="str">
        <f>"Sandra Harris Talywain Salvage"</f>
        <v>Sandra Harris Talywain Salvage</v>
      </c>
      <c r="C7899" s="1" t="s">
        <v>23519</v>
      </c>
      <c r="D7899" s="1" t="s">
        <v>7242</v>
      </c>
      <c r="F7899" s="1" t="s">
        <v>91</v>
      </c>
      <c r="H7899" s="1" t="s">
        <v>20672</v>
      </c>
      <c r="I7899" s="1" t="s">
        <v>5</v>
      </c>
      <c r="J7899" s="1" t="s">
        <v>6</v>
      </c>
      <c r="K7899" s="1" t="s">
        <v>34</v>
      </c>
      <c r="M7899" s="2">
        <v>42458</v>
      </c>
      <c r="N7899" s="1" t="s">
        <v>8</v>
      </c>
      <c r="O7899" s="2">
        <v>43553</v>
      </c>
    </row>
    <row r="7900" spans="1:15" ht="43.2" x14ac:dyDescent="0.3">
      <c r="A7900" s="1" t="s">
        <v>24365</v>
      </c>
      <c r="B7900" s="1" t="str">
        <f>"Maureen Lovell"</f>
        <v>Maureen Lovell</v>
      </c>
      <c r="C7900" s="1" t="s">
        <v>24366</v>
      </c>
      <c r="F7900" s="1" t="s">
        <v>1180</v>
      </c>
      <c r="H7900" s="1" t="s">
        <v>24367</v>
      </c>
      <c r="I7900" s="1" t="s">
        <v>5</v>
      </c>
      <c r="J7900" s="1" t="s">
        <v>67</v>
      </c>
      <c r="K7900" s="1" t="s">
        <v>14</v>
      </c>
      <c r="M7900" s="2">
        <v>42458</v>
      </c>
      <c r="N7900" s="1" t="s">
        <v>8</v>
      </c>
      <c r="O7900" s="1" t="s">
        <v>68</v>
      </c>
    </row>
    <row r="7901" spans="1:15" x14ac:dyDescent="0.3">
      <c r="A7901" s="1" t="s">
        <v>24368</v>
      </c>
      <c r="B7901" s="1" t="str">
        <f>"George  Evans"</f>
        <v>George  Evans</v>
      </c>
      <c r="C7901" s="1" t="s">
        <v>24369</v>
      </c>
      <c r="F7901" s="1" t="s">
        <v>5640</v>
      </c>
      <c r="H7901" s="1" t="s">
        <v>24370</v>
      </c>
      <c r="I7901" s="1" t="s">
        <v>5</v>
      </c>
      <c r="J7901" s="1" t="s">
        <v>6</v>
      </c>
      <c r="K7901" s="1" t="s">
        <v>24</v>
      </c>
      <c r="M7901" s="2">
        <v>42458</v>
      </c>
      <c r="N7901" s="1" t="s">
        <v>8</v>
      </c>
      <c r="O7901" s="2">
        <v>43553</v>
      </c>
    </row>
    <row r="7902" spans="1:15" ht="28.8" x14ac:dyDescent="0.3">
      <c r="A7902" s="1" t="s">
        <v>24371</v>
      </c>
      <c r="B7902" s="1" t="str">
        <f>"Geraint Davies Home and Garden Maintence"</f>
        <v>Geraint Davies Home and Garden Maintence</v>
      </c>
      <c r="C7902" s="1" t="s">
        <v>24372</v>
      </c>
      <c r="F7902" s="1" t="s">
        <v>96</v>
      </c>
      <c r="H7902" s="1" t="s">
        <v>24373</v>
      </c>
      <c r="I7902" s="1" t="s">
        <v>5</v>
      </c>
      <c r="J7902" s="1" t="s">
        <v>6</v>
      </c>
      <c r="K7902" s="1" t="s">
        <v>34</v>
      </c>
      <c r="M7902" s="2">
        <v>42458</v>
      </c>
      <c r="N7902" s="1" t="s">
        <v>8</v>
      </c>
      <c r="O7902" s="2">
        <v>43553</v>
      </c>
    </row>
    <row r="7903" spans="1:15" ht="28.8" x14ac:dyDescent="0.3">
      <c r="A7903" s="1" t="s">
        <v>24374</v>
      </c>
      <c r="B7903" s="1" t="str">
        <f>"Gerald Perkins T.G. Garden Services"</f>
        <v>Gerald Perkins T.G. Garden Services</v>
      </c>
      <c r="C7903" s="1" t="s">
        <v>6237</v>
      </c>
      <c r="F7903" s="1" t="s">
        <v>865</v>
      </c>
      <c r="H7903" s="1" t="s">
        <v>6238</v>
      </c>
      <c r="I7903" s="1" t="s">
        <v>5</v>
      </c>
      <c r="J7903" s="1" t="s">
        <v>6</v>
      </c>
      <c r="K7903" s="1" t="s">
        <v>24</v>
      </c>
      <c r="M7903" s="2">
        <v>42458</v>
      </c>
      <c r="N7903" s="1" t="s">
        <v>8</v>
      </c>
      <c r="O7903" s="2">
        <v>43553</v>
      </c>
    </row>
    <row r="7904" spans="1:15" ht="43.2" x14ac:dyDescent="0.3">
      <c r="A7904" s="1" t="s">
        <v>24375</v>
      </c>
      <c r="B7904" s="1" t="str">
        <f>"Lee Criddle"</f>
        <v>Lee Criddle</v>
      </c>
      <c r="C7904" s="1" t="s">
        <v>24376</v>
      </c>
      <c r="F7904" s="1" t="s">
        <v>27</v>
      </c>
      <c r="H7904" s="1" t="s">
        <v>24377</v>
      </c>
      <c r="I7904" s="1" t="s">
        <v>5</v>
      </c>
      <c r="J7904" s="1" t="s">
        <v>67</v>
      </c>
      <c r="K7904" s="1" t="s">
        <v>14</v>
      </c>
      <c r="M7904" s="2">
        <v>42458</v>
      </c>
      <c r="N7904" s="1" t="s">
        <v>8</v>
      </c>
      <c r="O7904" s="1" t="s">
        <v>68</v>
      </c>
    </row>
    <row r="7905" spans="1:15" ht="43.2" x14ac:dyDescent="0.3">
      <c r="A7905" s="1" t="s">
        <v>25209</v>
      </c>
      <c r="B7905" s="1" t="str">
        <f>"Michael Pratt Castleton Landscapes &amp; Tree Services"</f>
        <v>Michael Pratt Castleton Landscapes &amp; Tree Services</v>
      </c>
      <c r="C7905" s="1" t="s">
        <v>25210</v>
      </c>
      <c r="D7905" s="1" t="s">
        <v>123</v>
      </c>
      <c r="F7905" s="1" t="s">
        <v>211</v>
      </c>
      <c r="H7905" s="1" t="s">
        <v>25211</v>
      </c>
      <c r="I7905" s="1" t="s">
        <v>5</v>
      </c>
      <c r="J7905" s="1" t="s">
        <v>6</v>
      </c>
      <c r="K7905" s="1" t="s">
        <v>24</v>
      </c>
      <c r="M7905" s="2">
        <v>42458</v>
      </c>
      <c r="N7905" s="1" t="s">
        <v>8</v>
      </c>
      <c r="O7905" s="2">
        <v>43553</v>
      </c>
    </row>
    <row r="7906" spans="1:15" ht="43.2" x14ac:dyDescent="0.3">
      <c r="A7906" s="1" t="s">
        <v>25212</v>
      </c>
      <c r="B7906" s="1" t="str">
        <f>"Idris Bowen"</f>
        <v>Idris Bowen</v>
      </c>
      <c r="C7906" s="1" t="s">
        <v>25213</v>
      </c>
      <c r="F7906" s="1" t="s">
        <v>146</v>
      </c>
      <c r="H7906" s="1" t="s">
        <v>25214</v>
      </c>
      <c r="I7906" s="1" t="s">
        <v>5</v>
      </c>
      <c r="J7906" s="1" t="s">
        <v>67</v>
      </c>
      <c r="K7906" s="1" t="s">
        <v>14</v>
      </c>
      <c r="M7906" s="2">
        <v>42458</v>
      </c>
      <c r="N7906" s="1" t="s">
        <v>8</v>
      </c>
      <c r="O7906" s="1" t="s">
        <v>68</v>
      </c>
    </row>
    <row r="7907" spans="1:15" ht="43.2" x14ac:dyDescent="0.3">
      <c r="A7907" s="1" t="s">
        <v>25215</v>
      </c>
      <c r="B7907" s="1" t="str">
        <f>"John Lawrence"</f>
        <v>John Lawrence</v>
      </c>
      <c r="C7907" s="1" t="s">
        <v>25216</v>
      </c>
      <c r="F7907" s="1" t="s">
        <v>290</v>
      </c>
      <c r="H7907" s="1" t="s">
        <v>25217</v>
      </c>
      <c r="I7907" s="1" t="s">
        <v>5</v>
      </c>
      <c r="J7907" s="1" t="s">
        <v>67</v>
      </c>
      <c r="K7907" s="1" t="s">
        <v>14</v>
      </c>
      <c r="M7907" s="2">
        <v>42458</v>
      </c>
      <c r="N7907" s="1" t="s">
        <v>8</v>
      </c>
      <c r="O7907" s="1" t="s">
        <v>68</v>
      </c>
    </row>
    <row r="7908" spans="1:15" ht="43.2" x14ac:dyDescent="0.3">
      <c r="A7908" s="1" t="s">
        <v>25218</v>
      </c>
      <c r="B7908" s="1" t="str">
        <f>"Wesley North Wesley North Carpentry &amp; Building"</f>
        <v>Wesley North Wesley North Carpentry &amp; Building</v>
      </c>
      <c r="C7908" s="1" t="s">
        <v>25219</v>
      </c>
      <c r="F7908" s="1" t="s">
        <v>27</v>
      </c>
      <c r="H7908" s="1" t="s">
        <v>25220</v>
      </c>
      <c r="I7908" s="1" t="s">
        <v>5</v>
      </c>
      <c r="J7908" s="1" t="s">
        <v>6</v>
      </c>
      <c r="K7908" s="1" t="s">
        <v>34</v>
      </c>
      <c r="M7908" s="2">
        <v>42458</v>
      </c>
      <c r="N7908" s="1" t="s">
        <v>8</v>
      </c>
      <c r="O7908" s="2">
        <v>43553</v>
      </c>
    </row>
    <row r="7909" spans="1:15" ht="28.8" x14ac:dyDescent="0.3">
      <c r="A7909" s="1" t="s">
        <v>1348</v>
      </c>
      <c r="B7909" s="1" t="str">
        <f>"Jistcourt South Wales Ltd."</f>
        <v>Jistcourt South Wales Ltd.</v>
      </c>
      <c r="C7909" s="1" t="s">
        <v>1349</v>
      </c>
      <c r="D7909" s="1" t="s">
        <v>1350</v>
      </c>
      <c r="F7909" s="1" t="s">
        <v>1351</v>
      </c>
      <c r="H7909" s="1" t="s">
        <v>1352</v>
      </c>
      <c r="I7909" s="1" t="s">
        <v>19</v>
      </c>
      <c r="J7909" s="1" t="s">
        <v>6</v>
      </c>
      <c r="K7909" s="1" t="s">
        <v>24</v>
      </c>
      <c r="L7909" s="1">
        <v>1516922</v>
      </c>
      <c r="M7909" s="2">
        <v>42456</v>
      </c>
      <c r="N7909" s="1" t="s">
        <v>8</v>
      </c>
      <c r="O7909" s="2">
        <v>44647</v>
      </c>
    </row>
    <row r="7910" spans="1:15" x14ac:dyDescent="0.3">
      <c r="A7910" s="1" t="s">
        <v>9177</v>
      </c>
      <c r="B7910" s="1" t="str">
        <f>"S W Roberts Trucking"</f>
        <v>S W Roberts Trucking</v>
      </c>
      <c r="C7910" s="1" t="s">
        <v>9178</v>
      </c>
      <c r="F7910" s="1" t="s">
        <v>9179</v>
      </c>
      <c r="H7910" s="1" t="s">
        <v>9180</v>
      </c>
      <c r="I7910" s="1" t="s">
        <v>125</v>
      </c>
      <c r="J7910" s="1" t="s">
        <v>6</v>
      </c>
      <c r="K7910" s="1" t="s">
        <v>24</v>
      </c>
      <c r="M7910" s="2">
        <v>42456</v>
      </c>
      <c r="N7910" s="1" t="s">
        <v>8</v>
      </c>
      <c r="O7910" s="2">
        <v>43551</v>
      </c>
    </row>
    <row r="7911" spans="1:15" ht="28.8" x14ac:dyDescent="0.3">
      <c r="A7911" s="1" t="s">
        <v>10302</v>
      </c>
      <c r="B7911" s="1" t="str">
        <f>"P Dobbins (Chester) Ltd."</f>
        <v>P Dobbins (Chester) Ltd.</v>
      </c>
      <c r="C7911" s="1" t="s">
        <v>10303</v>
      </c>
      <c r="D7911" s="1" t="s">
        <v>10304</v>
      </c>
      <c r="F7911" s="1" t="s">
        <v>10305</v>
      </c>
      <c r="H7911" s="1" t="s">
        <v>10306</v>
      </c>
      <c r="I7911" s="1" t="s">
        <v>19</v>
      </c>
      <c r="J7911" s="1" t="s">
        <v>6</v>
      </c>
      <c r="K7911" s="1" t="s">
        <v>24</v>
      </c>
      <c r="L7911" s="1">
        <v>506308</v>
      </c>
      <c r="M7911" s="2">
        <v>42456</v>
      </c>
      <c r="N7911" s="1" t="s">
        <v>8</v>
      </c>
      <c r="O7911" s="2">
        <v>43551</v>
      </c>
    </row>
    <row r="7912" spans="1:15" x14ac:dyDescent="0.3">
      <c r="A7912" s="1" t="s">
        <v>22751</v>
      </c>
      <c r="B7912" s="1" t="str">
        <f>"Dewi Glyn Owen"</f>
        <v>Dewi Glyn Owen</v>
      </c>
      <c r="C7912" s="1" t="s">
        <v>22752</v>
      </c>
      <c r="F7912" s="1" t="s">
        <v>1880</v>
      </c>
      <c r="H7912" s="1" t="s">
        <v>22753</v>
      </c>
      <c r="I7912" s="1" t="s">
        <v>5</v>
      </c>
      <c r="J7912" s="1" t="s">
        <v>6</v>
      </c>
      <c r="K7912" s="1" t="s">
        <v>24</v>
      </c>
      <c r="M7912" s="2">
        <v>42456</v>
      </c>
      <c r="N7912" s="1" t="s">
        <v>8</v>
      </c>
      <c r="O7912" s="2">
        <v>43551</v>
      </c>
    </row>
    <row r="7913" spans="1:15" x14ac:dyDescent="0.3">
      <c r="A7913" s="1" t="s">
        <v>23508</v>
      </c>
      <c r="B7913" s="1" t="str">
        <f>"John Dyfodg Langman"</f>
        <v>John Dyfodg Langman</v>
      </c>
      <c r="C7913" s="1" t="s">
        <v>23509</v>
      </c>
      <c r="F7913" s="1" t="s">
        <v>27</v>
      </c>
      <c r="H7913" s="1" t="s">
        <v>23510</v>
      </c>
      <c r="I7913" s="1" t="s">
        <v>5</v>
      </c>
      <c r="J7913" s="1" t="s">
        <v>6</v>
      </c>
      <c r="K7913" s="1" t="s">
        <v>24</v>
      </c>
      <c r="M7913" s="2">
        <v>42456</v>
      </c>
      <c r="N7913" s="1" t="s">
        <v>8</v>
      </c>
      <c r="O7913" s="2">
        <v>43551</v>
      </c>
    </row>
    <row r="7914" spans="1:15" ht="43.2" x14ac:dyDescent="0.3">
      <c r="A7914" s="1" t="s">
        <v>23511</v>
      </c>
      <c r="B7914" s="1" t="str">
        <f>"paul humphreys"</f>
        <v>paul humphreys</v>
      </c>
      <c r="C7914" s="1" t="s">
        <v>23512</v>
      </c>
      <c r="F7914" s="1" t="s">
        <v>174</v>
      </c>
      <c r="H7914" s="1" t="s">
        <v>23513</v>
      </c>
      <c r="I7914" s="1" t="s">
        <v>5</v>
      </c>
      <c r="J7914" s="1" t="s">
        <v>67</v>
      </c>
      <c r="K7914" s="1" t="s">
        <v>14</v>
      </c>
      <c r="M7914" s="2">
        <v>42456</v>
      </c>
      <c r="N7914" s="1" t="s">
        <v>8</v>
      </c>
      <c r="O7914" s="1" t="s">
        <v>68</v>
      </c>
    </row>
    <row r="7915" spans="1:15" ht="28.8" x14ac:dyDescent="0.3">
      <c r="A7915" s="1" t="s">
        <v>23514</v>
      </c>
      <c r="B7915" s="1" t="str">
        <f>"paul humphreys pauls upvc services"</f>
        <v>paul humphreys pauls upvc services</v>
      </c>
      <c r="C7915" s="1" t="s">
        <v>23512</v>
      </c>
      <c r="F7915" s="1" t="s">
        <v>174</v>
      </c>
      <c r="H7915" s="1" t="s">
        <v>23513</v>
      </c>
      <c r="I7915" s="1" t="s">
        <v>5</v>
      </c>
      <c r="J7915" s="1" t="s">
        <v>6</v>
      </c>
      <c r="K7915" s="1" t="s">
        <v>24</v>
      </c>
      <c r="M7915" s="2">
        <v>42456</v>
      </c>
      <c r="N7915" s="1" t="s">
        <v>8</v>
      </c>
      <c r="O7915" s="2">
        <v>43551</v>
      </c>
    </row>
    <row r="7916" spans="1:15" x14ac:dyDescent="0.3">
      <c r="A7916" s="1" t="s">
        <v>1463</v>
      </c>
      <c r="B7916" s="1" t="str">
        <f>"Maldwyn  Evans"</f>
        <v>Maldwyn  Evans</v>
      </c>
      <c r="C7916" s="1" t="s">
        <v>1464</v>
      </c>
      <c r="F7916" s="1" t="s">
        <v>710</v>
      </c>
      <c r="H7916" s="1" t="s">
        <v>1465</v>
      </c>
      <c r="I7916" s="1" t="s">
        <v>5</v>
      </c>
      <c r="J7916" s="1" t="s">
        <v>6</v>
      </c>
      <c r="K7916" s="1" t="s">
        <v>24</v>
      </c>
      <c r="M7916" s="2">
        <v>42455</v>
      </c>
      <c r="N7916" s="1" t="s">
        <v>8</v>
      </c>
      <c r="O7916" s="2">
        <v>44646</v>
      </c>
    </row>
    <row r="7917" spans="1:15" ht="28.8" x14ac:dyDescent="0.3">
      <c r="A7917" s="1" t="s">
        <v>9168</v>
      </c>
      <c r="B7917" s="1" t="str">
        <f>"FIRE PROTECTION SERVICES LTD"</f>
        <v>FIRE PROTECTION SERVICES LTD</v>
      </c>
      <c r="C7917" s="1" t="s">
        <v>9169</v>
      </c>
      <c r="D7917" s="1" t="s">
        <v>2623</v>
      </c>
      <c r="F7917" s="1" t="s">
        <v>65</v>
      </c>
      <c r="H7917" s="1" t="s">
        <v>9170</v>
      </c>
      <c r="I7917" s="1" t="s">
        <v>19</v>
      </c>
      <c r="J7917" s="1" t="s">
        <v>6</v>
      </c>
      <c r="K7917" s="1" t="s">
        <v>34</v>
      </c>
      <c r="L7917" s="1">
        <v>5737572</v>
      </c>
      <c r="M7917" s="2">
        <v>42455</v>
      </c>
      <c r="N7917" s="1" t="s">
        <v>8</v>
      </c>
      <c r="O7917" s="2">
        <v>43550</v>
      </c>
    </row>
    <row r="7918" spans="1:15" ht="28.8" x14ac:dyDescent="0.3">
      <c r="A7918" s="1" t="s">
        <v>9171</v>
      </c>
      <c r="B7918" s="1" t="str">
        <f>"Crispnclear Ltd"</f>
        <v>Crispnclear Ltd</v>
      </c>
      <c r="C7918" s="1" t="s">
        <v>9172</v>
      </c>
      <c r="F7918" s="1" t="s">
        <v>37</v>
      </c>
      <c r="H7918" s="1" t="s">
        <v>9173</v>
      </c>
      <c r="I7918" s="1" t="s">
        <v>19</v>
      </c>
      <c r="J7918" s="1" t="s">
        <v>6</v>
      </c>
      <c r="K7918" s="1" t="s">
        <v>24</v>
      </c>
      <c r="L7918" s="1">
        <v>7106665</v>
      </c>
      <c r="M7918" s="2">
        <v>42455</v>
      </c>
      <c r="N7918" s="1" t="s">
        <v>8</v>
      </c>
      <c r="O7918" s="2">
        <v>43550</v>
      </c>
    </row>
    <row r="7919" spans="1:15" ht="43.2" x14ac:dyDescent="0.3">
      <c r="A7919" s="1" t="s">
        <v>9174</v>
      </c>
      <c r="B7919" s="1" t="str">
        <f>"A D Griffiths"</f>
        <v>A D Griffiths</v>
      </c>
      <c r="C7919" s="1" t="s">
        <v>9175</v>
      </c>
      <c r="F7919" s="1" t="s">
        <v>119</v>
      </c>
      <c r="H7919" s="1" t="s">
        <v>9176</v>
      </c>
      <c r="I7919" s="1" t="s">
        <v>125</v>
      </c>
      <c r="J7919" s="1" t="s">
        <v>67</v>
      </c>
      <c r="K7919" s="1" t="s">
        <v>14</v>
      </c>
      <c r="M7919" s="2">
        <v>42455</v>
      </c>
      <c r="N7919" s="1" t="s">
        <v>8</v>
      </c>
      <c r="O7919" s="1" t="s">
        <v>68</v>
      </c>
    </row>
    <row r="7920" spans="1:15" ht="43.2" x14ac:dyDescent="0.3">
      <c r="A7920" s="1" t="s">
        <v>22745</v>
      </c>
      <c r="B7920" s="1" t="str">
        <f>"Stephen  Roderick"</f>
        <v>Stephen  Roderick</v>
      </c>
      <c r="C7920" s="1" t="s">
        <v>22746</v>
      </c>
      <c r="D7920" s="1" t="s">
        <v>42</v>
      </c>
      <c r="F7920" s="1" t="s">
        <v>666</v>
      </c>
      <c r="H7920" s="1" t="s">
        <v>22747</v>
      </c>
      <c r="I7920" s="1" t="s">
        <v>5</v>
      </c>
      <c r="J7920" s="1" t="s">
        <v>67</v>
      </c>
      <c r="K7920" s="1" t="s">
        <v>14</v>
      </c>
      <c r="M7920" s="2">
        <v>42455</v>
      </c>
      <c r="N7920" s="1" t="s">
        <v>8</v>
      </c>
      <c r="O7920" s="1" t="s">
        <v>68</v>
      </c>
    </row>
    <row r="7921" spans="1:15" ht="43.2" x14ac:dyDescent="0.3">
      <c r="A7921" s="1" t="s">
        <v>22748</v>
      </c>
      <c r="B7921" s="1" t="str">
        <f>"David May"</f>
        <v>David May</v>
      </c>
      <c r="C7921" s="1" t="s">
        <v>22749</v>
      </c>
      <c r="F7921" s="1" t="s">
        <v>15303</v>
      </c>
      <c r="H7921" s="1" t="s">
        <v>22750</v>
      </c>
      <c r="I7921" s="1" t="s">
        <v>5</v>
      </c>
      <c r="J7921" s="1" t="s">
        <v>67</v>
      </c>
      <c r="K7921" s="1" t="s">
        <v>24</v>
      </c>
      <c r="M7921" s="2">
        <v>42455</v>
      </c>
      <c r="N7921" s="1" t="s">
        <v>8</v>
      </c>
      <c r="O7921" s="1" t="s">
        <v>68</v>
      </c>
    </row>
    <row r="7922" spans="1:15" ht="28.8" x14ac:dyDescent="0.3">
      <c r="A7922" s="1" t="s">
        <v>493</v>
      </c>
      <c r="B7922" s="1" t="str">
        <f>"MON MAINTENANCE SERVICES LIMITED"</f>
        <v>MON MAINTENANCE SERVICES LIMITED</v>
      </c>
      <c r="C7922" s="1" t="s">
        <v>494</v>
      </c>
      <c r="D7922" s="1" t="s">
        <v>495</v>
      </c>
      <c r="E7922" s="1" t="s">
        <v>496</v>
      </c>
      <c r="F7922" s="1" t="s">
        <v>328</v>
      </c>
      <c r="H7922" s="1" t="s">
        <v>497</v>
      </c>
      <c r="I7922" s="1" t="s">
        <v>19</v>
      </c>
      <c r="J7922" s="1" t="s">
        <v>6</v>
      </c>
      <c r="K7922" s="1" t="s">
        <v>34</v>
      </c>
      <c r="L7922" s="1">
        <v>7020805</v>
      </c>
      <c r="M7922" s="2">
        <v>42453</v>
      </c>
      <c r="N7922" s="1" t="s">
        <v>8</v>
      </c>
      <c r="O7922" s="2">
        <v>44644</v>
      </c>
    </row>
    <row r="7923" spans="1:15" ht="28.8" x14ac:dyDescent="0.3">
      <c r="A7923" s="1" t="s">
        <v>784</v>
      </c>
      <c r="B7923" s="1" t="str">
        <f>"Pauletts Transport Ltd."</f>
        <v>Pauletts Transport Ltd.</v>
      </c>
      <c r="C7923" s="1" t="s">
        <v>785</v>
      </c>
      <c r="F7923" s="1" t="s">
        <v>786</v>
      </c>
      <c r="H7923" s="1" t="s">
        <v>787</v>
      </c>
      <c r="I7923" s="1" t="s">
        <v>19</v>
      </c>
      <c r="J7923" s="1" t="s">
        <v>6</v>
      </c>
      <c r="K7923" s="1" t="s">
        <v>24</v>
      </c>
      <c r="L7923" s="1">
        <v>1651142</v>
      </c>
      <c r="M7923" s="2">
        <v>42453</v>
      </c>
      <c r="N7923" s="1" t="s">
        <v>8</v>
      </c>
      <c r="O7923" s="2">
        <v>44644</v>
      </c>
    </row>
    <row r="7924" spans="1:15" ht="28.8" x14ac:dyDescent="0.3">
      <c r="A7924" s="1" t="s">
        <v>863</v>
      </c>
      <c r="B7924" s="1" t="str">
        <f>"Martin Williams"</f>
        <v>Martin Williams</v>
      </c>
      <c r="C7924" s="1" t="s">
        <v>864</v>
      </c>
      <c r="F7924" s="1" t="s">
        <v>865</v>
      </c>
      <c r="H7924" s="1" t="s">
        <v>866</v>
      </c>
      <c r="I7924" s="1" t="s">
        <v>5</v>
      </c>
      <c r="J7924" s="1" t="s">
        <v>6</v>
      </c>
      <c r="K7924" s="1" t="s">
        <v>34</v>
      </c>
      <c r="M7924" s="2">
        <v>42453</v>
      </c>
      <c r="N7924" s="1" t="s">
        <v>8</v>
      </c>
      <c r="O7924" s="2">
        <v>44644</v>
      </c>
    </row>
    <row r="7925" spans="1:15" ht="43.2" x14ac:dyDescent="0.3">
      <c r="A7925" s="1" t="s">
        <v>7976</v>
      </c>
      <c r="B7925" s="1" t="str">
        <f>"W &amp; BA CARPETS &amp; BLINDS LTD"</f>
        <v>W &amp; BA CARPETS &amp; BLINDS LTD</v>
      </c>
      <c r="C7925" s="1" t="s">
        <v>7977</v>
      </c>
      <c r="F7925" s="1" t="s">
        <v>65</v>
      </c>
      <c r="H7925" s="1" t="s">
        <v>7978</v>
      </c>
      <c r="I7925" s="1" t="s">
        <v>19</v>
      </c>
      <c r="J7925" s="1" t="s">
        <v>67</v>
      </c>
      <c r="K7925" s="1" t="s">
        <v>24</v>
      </c>
      <c r="L7925" s="1">
        <v>4588636</v>
      </c>
      <c r="M7925" s="2">
        <v>42453</v>
      </c>
      <c r="N7925" s="1" t="s">
        <v>8</v>
      </c>
      <c r="O7925" s="1" t="s">
        <v>68</v>
      </c>
    </row>
    <row r="7926" spans="1:15" ht="43.2" x14ac:dyDescent="0.3">
      <c r="A7926" s="1" t="s">
        <v>7979</v>
      </c>
      <c r="B7926" s="1" t="str">
        <f>"Darlow Lloyd &amp; Sons Ltd."</f>
        <v>Darlow Lloyd &amp; Sons Ltd.</v>
      </c>
      <c r="C7926" s="1" t="s">
        <v>7980</v>
      </c>
      <c r="F7926" s="1" t="s">
        <v>865</v>
      </c>
      <c r="H7926" s="1" t="s">
        <v>7981</v>
      </c>
      <c r="I7926" s="1" t="s">
        <v>19</v>
      </c>
      <c r="J7926" s="1" t="s">
        <v>67</v>
      </c>
      <c r="K7926" s="1" t="s">
        <v>24</v>
      </c>
      <c r="L7926" s="1">
        <v>1132524</v>
      </c>
      <c r="M7926" s="2">
        <v>42453</v>
      </c>
      <c r="N7926" s="1" t="s">
        <v>8</v>
      </c>
      <c r="O7926" s="1" t="s">
        <v>68</v>
      </c>
    </row>
    <row r="7927" spans="1:15" ht="43.2" x14ac:dyDescent="0.3">
      <c r="A7927" s="1" t="s">
        <v>22742</v>
      </c>
      <c r="B7927" s="1" t="str">
        <f>"julian  aggus"</f>
        <v>julian  aggus</v>
      </c>
      <c r="C7927" s="1" t="s">
        <v>22743</v>
      </c>
      <c r="F7927" s="1" t="s">
        <v>9179</v>
      </c>
      <c r="H7927" s="1" t="s">
        <v>22744</v>
      </c>
      <c r="I7927" s="1" t="s">
        <v>5</v>
      </c>
      <c r="J7927" s="1" t="s">
        <v>67</v>
      </c>
      <c r="K7927" s="1" t="s">
        <v>14</v>
      </c>
      <c r="M7927" s="2">
        <v>42453</v>
      </c>
      <c r="N7927" s="1" t="s">
        <v>8</v>
      </c>
      <c r="O7927" s="1" t="s">
        <v>68</v>
      </c>
    </row>
    <row r="7928" spans="1:15" x14ac:dyDescent="0.3">
      <c r="A7928" s="1" t="s">
        <v>752</v>
      </c>
      <c r="B7928" s="1" t="str">
        <f>"Pic-Up Spares Ltd."</f>
        <v>Pic-Up Spares Ltd.</v>
      </c>
      <c r="C7928" s="1" t="s">
        <v>753</v>
      </c>
      <c r="F7928" s="1" t="s">
        <v>65</v>
      </c>
      <c r="H7928" s="1" t="s">
        <v>754</v>
      </c>
      <c r="I7928" s="1" t="s">
        <v>19</v>
      </c>
      <c r="J7928" s="1" t="s">
        <v>6</v>
      </c>
      <c r="K7928" s="1" t="s">
        <v>24</v>
      </c>
      <c r="L7928" s="1">
        <v>1183310</v>
      </c>
      <c r="M7928" s="2">
        <v>42452</v>
      </c>
      <c r="N7928" s="1" t="s">
        <v>8</v>
      </c>
      <c r="O7928" s="2">
        <v>44643</v>
      </c>
    </row>
    <row r="7929" spans="1:15" ht="28.8" x14ac:dyDescent="0.3">
      <c r="A7929" s="1" t="s">
        <v>1120</v>
      </c>
      <c r="B7929" s="1" t="str">
        <f>"G. P. ELLIS &amp; A.R. HUGHES LTD"</f>
        <v>G. P. ELLIS &amp; A.R. HUGHES LTD</v>
      </c>
      <c r="C7929" s="1" t="s">
        <v>1121</v>
      </c>
      <c r="F7929" s="1" t="s">
        <v>161</v>
      </c>
      <c r="H7929" s="1" t="s">
        <v>1122</v>
      </c>
      <c r="I7929" s="1" t="s">
        <v>19</v>
      </c>
      <c r="J7929" s="1" t="s">
        <v>6</v>
      </c>
      <c r="K7929" s="1" t="s">
        <v>24</v>
      </c>
      <c r="L7929" s="1">
        <v>8578337</v>
      </c>
      <c r="M7929" s="2">
        <v>42452</v>
      </c>
      <c r="N7929" s="1" t="s">
        <v>8</v>
      </c>
      <c r="O7929" s="2">
        <v>44643</v>
      </c>
    </row>
    <row r="7930" spans="1:15" ht="28.8" x14ac:dyDescent="0.3">
      <c r="A7930" s="1" t="s">
        <v>1424</v>
      </c>
      <c r="B7930" s="1" t="str">
        <f>"Neil  Massey Neil Massey Pallet Services"</f>
        <v>Neil  Massey Neil Massey Pallet Services</v>
      </c>
      <c r="C7930" s="1" t="s">
        <v>1425</v>
      </c>
      <c r="F7930" s="1" t="s">
        <v>1278</v>
      </c>
      <c r="H7930" s="1" t="s">
        <v>1426</v>
      </c>
      <c r="I7930" s="1" t="s">
        <v>5</v>
      </c>
      <c r="J7930" s="1" t="s">
        <v>6</v>
      </c>
      <c r="K7930" s="1" t="s">
        <v>24</v>
      </c>
      <c r="M7930" s="2">
        <v>42452</v>
      </c>
      <c r="N7930" s="1" t="s">
        <v>8</v>
      </c>
      <c r="O7930" s="2">
        <v>44643</v>
      </c>
    </row>
    <row r="7931" spans="1:15" x14ac:dyDescent="0.3">
      <c r="A7931" s="1" t="s">
        <v>1509</v>
      </c>
      <c r="B7931" s="1" t="str">
        <f>"Jamson Estates Ltd."</f>
        <v>Jamson Estates Ltd.</v>
      </c>
      <c r="C7931" s="1" t="s">
        <v>1510</v>
      </c>
      <c r="F7931" s="1" t="s">
        <v>1511</v>
      </c>
      <c r="H7931" s="1" t="s">
        <v>1512</v>
      </c>
      <c r="I7931" s="1" t="s">
        <v>19</v>
      </c>
      <c r="J7931" s="1" t="s">
        <v>6</v>
      </c>
      <c r="K7931" s="1" t="s">
        <v>24</v>
      </c>
      <c r="L7931" s="1">
        <v>609202</v>
      </c>
      <c r="M7931" s="2">
        <v>42452</v>
      </c>
      <c r="N7931" s="1" t="s">
        <v>8</v>
      </c>
      <c r="O7931" s="2">
        <v>44657</v>
      </c>
    </row>
    <row r="7932" spans="1:15" ht="28.8" x14ac:dyDescent="0.3">
      <c r="A7932" s="1" t="s">
        <v>1707</v>
      </c>
      <c r="B7932" s="1" t="str">
        <f>"W  Jerman &amp; Son Ltd."</f>
        <v>W  Jerman &amp; Son Ltd.</v>
      </c>
      <c r="C7932" s="1" t="s">
        <v>1708</v>
      </c>
      <c r="F7932" s="1" t="s">
        <v>91</v>
      </c>
      <c r="H7932" s="1" t="s">
        <v>1709</v>
      </c>
      <c r="I7932" s="1" t="s">
        <v>19</v>
      </c>
      <c r="J7932" s="1" t="s">
        <v>6</v>
      </c>
      <c r="K7932" s="1" t="s">
        <v>34</v>
      </c>
      <c r="L7932" s="1">
        <v>484283</v>
      </c>
      <c r="M7932" s="2">
        <v>42452</v>
      </c>
      <c r="N7932" s="1" t="s">
        <v>8</v>
      </c>
      <c r="O7932" s="2">
        <v>44643</v>
      </c>
    </row>
    <row r="7933" spans="1:15" ht="28.8" x14ac:dyDescent="0.3">
      <c r="A7933" s="1" t="s">
        <v>1939</v>
      </c>
      <c r="B7933" s="1" t="str">
        <f>"N W P S  Construction Ltd."</f>
        <v>N W P S  Construction Ltd.</v>
      </c>
      <c r="C7933" s="1" t="s">
        <v>1940</v>
      </c>
      <c r="D7933" s="1" t="s">
        <v>82</v>
      </c>
      <c r="F7933" s="1" t="s">
        <v>83</v>
      </c>
      <c r="H7933" s="1" t="s">
        <v>84</v>
      </c>
      <c r="I7933" s="1" t="s">
        <v>19</v>
      </c>
      <c r="J7933" s="1" t="s">
        <v>6</v>
      </c>
      <c r="K7933" s="1" t="s">
        <v>24</v>
      </c>
      <c r="L7933" s="1">
        <v>4393099</v>
      </c>
      <c r="M7933" s="2">
        <v>42452</v>
      </c>
      <c r="N7933" s="1" t="s">
        <v>8</v>
      </c>
      <c r="O7933" s="2">
        <v>44643</v>
      </c>
    </row>
    <row r="7934" spans="1:15" ht="43.2" x14ac:dyDescent="0.3">
      <c r="A7934" s="1" t="s">
        <v>6920</v>
      </c>
      <c r="B7934" s="1" t="str">
        <f>"Carmarthenshire Tyre services Ltd"</f>
        <v>Carmarthenshire Tyre services Ltd</v>
      </c>
      <c r="C7934" s="1" t="s">
        <v>6921</v>
      </c>
      <c r="F7934" s="1" t="s">
        <v>96</v>
      </c>
      <c r="H7934" s="1" t="s">
        <v>6922</v>
      </c>
      <c r="I7934" s="1" t="s">
        <v>19</v>
      </c>
      <c r="J7934" s="1" t="s">
        <v>67</v>
      </c>
      <c r="K7934" s="1" t="s">
        <v>14</v>
      </c>
      <c r="M7934" s="2">
        <v>42452</v>
      </c>
      <c r="N7934" s="1" t="s">
        <v>8</v>
      </c>
      <c r="O7934" s="1" t="s">
        <v>68</v>
      </c>
    </row>
    <row r="7935" spans="1:15" ht="43.2" x14ac:dyDescent="0.3">
      <c r="A7935" s="1" t="s">
        <v>6923</v>
      </c>
      <c r="B7935" s="1" t="str">
        <f>"country rovers taunton ltd"</f>
        <v>country rovers taunton ltd</v>
      </c>
      <c r="C7935" s="1" t="s">
        <v>6924</v>
      </c>
      <c r="F7935" s="1" t="s">
        <v>3834</v>
      </c>
      <c r="H7935" s="1" t="s">
        <v>6925</v>
      </c>
      <c r="I7935" s="1" t="s">
        <v>19</v>
      </c>
      <c r="J7935" s="1" t="s">
        <v>67</v>
      </c>
      <c r="K7935" s="1" t="s">
        <v>14</v>
      </c>
      <c r="M7935" s="2">
        <v>42452</v>
      </c>
      <c r="N7935" s="1" t="s">
        <v>8</v>
      </c>
      <c r="O7935" s="1" t="s">
        <v>68</v>
      </c>
    </row>
    <row r="7936" spans="1:15" ht="28.8" x14ac:dyDescent="0.3">
      <c r="A7936" s="1" t="s">
        <v>6926</v>
      </c>
      <c r="B7936" s="1" t="str">
        <f>"Pontypridd Roofing Ltd."</f>
        <v>Pontypridd Roofing Ltd.</v>
      </c>
      <c r="C7936" s="1" t="s">
        <v>6927</v>
      </c>
      <c r="F7936" s="1" t="s">
        <v>277</v>
      </c>
      <c r="H7936" s="1" t="s">
        <v>6928</v>
      </c>
      <c r="I7936" s="1" t="s">
        <v>19</v>
      </c>
      <c r="J7936" s="1" t="s">
        <v>6</v>
      </c>
      <c r="K7936" s="1" t="s">
        <v>34</v>
      </c>
      <c r="L7936" s="1">
        <v>3016541</v>
      </c>
      <c r="M7936" s="2">
        <v>42452</v>
      </c>
      <c r="N7936" s="1" t="s">
        <v>8</v>
      </c>
      <c r="O7936" s="2">
        <v>43609</v>
      </c>
    </row>
    <row r="7937" spans="1:15" ht="43.2" x14ac:dyDescent="0.3">
      <c r="A7937" s="1" t="s">
        <v>6929</v>
      </c>
      <c r="B7937" s="1" t="str">
        <f>"sai shriyan ltd"</f>
        <v>sai shriyan ltd</v>
      </c>
      <c r="C7937" s="1" t="s">
        <v>6930</v>
      </c>
      <c r="F7937" s="1" t="s">
        <v>5904</v>
      </c>
      <c r="H7937" s="1" t="s">
        <v>6931</v>
      </c>
      <c r="I7937" s="1" t="s">
        <v>19</v>
      </c>
      <c r="J7937" s="1" t="s">
        <v>67</v>
      </c>
      <c r="K7937" s="1" t="s">
        <v>14</v>
      </c>
      <c r="M7937" s="2">
        <v>42452</v>
      </c>
      <c r="N7937" s="1" t="s">
        <v>8</v>
      </c>
      <c r="O7937" s="1" t="s">
        <v>68</v>
      </c>
    </row>
    <row r="7938" spans="1:15" ht="43.2" x14ac:dyDescent="0.3">
      <c r="A7938" s="1" t="s">
        <v>7969</v>
      </c>
      <c r="B7938" s="1" t="str">
        <f>"Gorseinon Eye Centre"</f>
        <v>Gorseinon Eye Centre</v>
      </c>
      <c r="C7938" s="1" t="s">
        <v>7970</v>
      </c>
      <c r="F7938" s="1" t="s">
        <v>65</v>
      </c>
      <c r="H7938" s="1" t="s">
        <v>7971</v>
      </c>
      <c r="I7938" s="1" t="s">
        <v>125</v>
      </c>
      <c r="J7938" s="1" t="s">
        <v>67</v>
      </c>
      <c r="K7938" s="1" t="s">
        <v>14</v>
      </c>
      <c r="M7938" s="2">
        <v>42452</v>
      </c>
      <c r="N7938" s="1" t="s">
        <v>8</v>
      </c>
      <c r="O7938" s="1" t="s">
        <v>68</v>
      </c>
    </row>
    <row r="7939" spans="1:15" ht="43.2" x14ac:dyDescent="0.3">
      <c r="A7939" s="1" t="s">
        <v>7972</v>
      </c>
      <c r="B7939" s="1" t="str">
        <f>"Jones and evans"</f>
        <v>Jones and evans</v>
      </c>
      <c r="C7939" s="1" t="s">
        <v>7973</v>
      </c>
      <c r="F7939" s="1" t="s">
        <v>7974</v>
      </c>
      <c r="H7939" s="1" t="s">
        <v>7975</v>
      </c>
      <c r="I7939" s="1" t="s">
        <v>125</v>
      </c>
      <c r="J7939" s="1" t="s">
        <v>67</v>
      </c>
      <c r="K7939" s="1" t="s">
        <v>14</v>
      </c>
      <c r="M7939" s="2">
        <v>42452</v>
      </c>
      <c r="N7939" s="1" t="s">
        <v>8</v>
      </c>
      <c r="O7939" s="1" t="s">
        <v>68</v>
      </c>
    </row>
    <row r="7940" spans="1:15" ht="28.8" x14ac:dyDescent="0.3">
      <c r="A7940" s="1" t="s">
        <v>518</v>
      </c>
      <c r="B7940" s="1" t="str">
        <f>"Drainrod Limited"</f>
        <v>Drainrod Limited</v>
      </c>
      <c r="C7940" s="1" t="s">
        <v>519</v>
      </c>
      <c r="F7940" s="1" t="s">
        <v>91</v>
      </c>
      <c r="H7940" s="1" t="s">
        <v>520</v>
      </c>
      <c r="I7940" s="1" t="s">
        <v>19</v>
      </c>
      <c r="J7940" s="1" t="s">
        <v>6</v>
      </c>
      <c r="K7940" s="1" t="s">
        <v>24</v>
      </c>
      <c r="L7940" s="1">
        <v>1346411</v>
      </c>
      <c r="M7940" s="2">
        <v>42451</v>
      </c>
      <c r="N7940" s="1" t="s">
        <v>8</v>
      </c>
      <c r="O7940" s="2">
        <v>44642</v>
      </c>
    </row>
    <row r="7941" spans="1:15" ht="28.8" x14ac:dyDescent="0.3">
      <c r="A7941" s="1" t="s">
        <v>741</v>
      </c>
      <c r="B7941" s="1" t="str">
        <f>"L.H. SNOW &amp; SON LTD"</f>
        <v>L.H. SNOW &amp; SON LTD</v>
      </c>
      <c r="C7941" s="1" t="s">
        <v>742</v>
      </c>
      <c r="F7941" s="1" t="s">
        <v>174</v>
      </c>
      <c r="H7941" s="1" t="s">
        <v>743</v>
      </c>
      <c r="I7941" s="1" t="s">
        <v>19</v>
      </c>
      <c r="J7941" s="1" t="s">
        <v>6</v>
      </c>
      <c r="K7941" s="1" t="s">
        <v>34</v>
      </c>
      <c r="L7941" s="1">
        <v>2324363</v>
      </c>
      <c r="M7941" s="2">
        <v>42451</v>
      </c>
      <c r="N7941" s="1" t="s">
        <v>8</v>
      </c>
      <c r="O7941" s="2">
        <v>44642</v>
      </c>
    </row>
    <row r="7942" spans="1:15" ht="28.8" x14ac:dyDescent="0.3">
      <c r="A7942" s="1" t="s">
        <v>804</v>
      </c>
      <c r="B7942" s="1" t="str">
        <f>"Rees Brothers (Swansea) Ltd."</f>
        <v>Rees Brothers (Swansea) Ltd.</v>
      </c>
      <c r="C7942" s="1" t="s">
        <v>805</v>
      </c>
      <c r="D7942" s="1" t="s">
        <v>806</v>
      </c>
      <c r="F7942" s="1" t="s">
        <v>64</v>
      </c>
      <c r="H7942" s="1" t="s">
        <v>807</v>
      </c>
      <c r="I7942" s="1" t="s">
        <v>19</v>
      </c>
      <c r="J7942" s="1" t="s">
        <v>6</v>
      </c>
      <c r="K7942" s="1" t="s">
        <v>34</v>
      </c>
      <c r="L7942" s="1">
        <v>1791140</v>
      </c>
      <c r="M7942" s="2">
        <v>42451</v>
      </c>
      <c r="N7942" s="1" t="s">
        <v>8</v>
      </c>
      <c r="O7942" s="2">
        <v>44642</v>
      </c>
    </row>
    <row r="7943" spans="1:15" x14ac:dyDescent="0.3">
      <c r="A7943" s="1" t="s">
        <v>871</v>
      </c>
      <c r="B7943" s="1" t="str">
        <f>"K W LANDSCAPES LTD"</f>
        <v>K W LANDSCAPES LTD</v>
      </c>
      <c r="C7943" s="1" t="s">
        <v>872</v>
      </c>
      <c r="F7943" s="1" t="s">
        <v>873</v>
      </c>
      <c r="H7943" s="1" t="s">
        <v>874</v>
      </c>
      <c r="I7943" s="1" t="s">
        <v>19</v>
      </c>
      <c r="J7943" s="1" t="s">
        <v>6</v>
      </c>
      <c r="K7943" s="1" t="s">
        <v>24</v>
      </c>
      <c r="L7943" s="1">
        <v>4703826</v>
      </c>
      <c r="M7943" s="2">
        <v>42451</v>
      </c>
      <c r="N7943" s="1" t="s">
        <v>8</v>
      </c>
      <c r="O7943" s="2">
        <v>44642</v>
      </c>
    </row>
    <row r="7944" spans="1:15" ht="57.6" x14ac:dyDescent="0.3">
      <c r="A7944" s="1" t="s">
        <v>1268</v>
      </c>
      <c r="B7944" s="1" t="str">
        <f>"CARMARTHENSHIRE RECYCLING &amp; ENVIRONMENTAL SERVICES LTD"</f>
        <v>CARMARTHENSHIRE RECYCLING &amp; ENVIRONMENTAL SERVICES LTD</v>
      </c>
      <c r="C7944" s="1" t="s">
        <v>1269</v>
      </c>
      <c r="F7944" s="1" t="s">
        <v>96</v>
      </c>
      <c r="H7944" s="1" t="s">
        <v>1270</v>
      </c>
      <c r="I7944" s="1" t="s">
        <v>19</v>
      </c>
      <c r="J7944" s="1" t="s">
        <v>6</v>
      </c>
      <c r="K7944" s="1" t="s">
        <v>34</v>
      </c>
      <c r="L7944" s="1">
        <v>3629750</v>
      </c>
      <c r="M7944" s="2">
        <v>42451</v>
      </c>
      <c r="N7944" s="1" t="s">
        <v>8</v>
      </c>
      <c r="O7944" s="2">
        <v>44642</v>
      </c>
    </row>
    <row r="7945" spans="1:15" ht="28.8" x14ac:dyDescent="0.3">
      <c r="A7945" s="1" t="s">
        <v>1698</v>
      </c>
      <c r="B7945" s="1" t="str">
        <f>"CARROLL LTD"</f>
        <v>CARROLL LTD</v>
      </c>
      <c r="C7945" s="1" t="s">
        <v>1699</v>
      </c>
      <c r="F7945" s="1" t="s">
        <v>1700</v>
      </c>
      <c r="H7945" s="1" t="s">
        <v>1701</v>
      </c>
      <c r="I7945" s="1" t="s">
        <v>19</v>
      </c>
      <c r="J7945" s="1" t="s">
        <v>6</v>
      </c>
      <c r="K7945" s="1" t="s">
        <v>24</v>
      </c>
      <c r="L7945" s="1">
        <v>3353858</v>
      </c>
      <c r="M7945" s="2">
        <v>42451</v>
      </c>
      <c r="N7945" s="1" t="s">
        <v>8</v>
      </c>
      <c r="O7945" s="2">
        <v>44642</v>
      </c>
    </row>
    <row r="7946" spans="1:15" ht="28.8" x14ac:dyDescent="0.3">
      <c r="A7946" s="1" t="s">
        <v>1811</v>
      </c>
      <c r="B7946" s="1" t="str">
        <f>"Garry Short MASONWISE"</f>
        <v>Garry Short MASONWISE</v>
      </c>
      <c r="C7946" s="1" t="s">
        <v>1812</v>
      </c>
      <c r="F7946" s="1" t="s">
        <v>298</v>
      </c>
      <c r="H7946" s="1" t="s">
        <v>1813</v>
      </c>
      <c r="I7946" s="1" t="s">
        <v>5</v>
      </c>
      <c r="J7946" s="1" t="s">
        <v>6</v>
      </c>
      <c r="K7946" s="1" t="s">
        <v>24</v>
      </c>
      <c r="M7946" s="2">
        <v>42451</v>
      </c>
      <c r="N7946" s="1" t="s">
        <v>8</v>
      </c>
      <c r="O7946" s="2">
        <v>44642</v>
      </c>
    </row>
    <row r="7947" spans="1:15" ht="43.2" x14ac:dyDescent="0.3">
      <c r="A7947" s="1" t="s">
        <v>4582</v>
      </c>
      <c r="B7947" s="1" t="str">
        <f>"H. DAvies &amp; Sons"</f>
        <v>H. DAvies &amp; Sons</v>
      </c>
      <c r="C7947" s="1" t="s">
        <v>4583</v>
      </c>
      <c r="F7947" s="1" t="s">
        <v>198</v>
      </c>
      <c r="H7947" s="1" t="s">
        <v>4584</v>
      </c>
      <c r="I7947" s="1" t="s">
        <v>125</v>
      </c>
      <c r="J7947" s="1" t="s">
        <v>67</v>
      </c>
      <c r="K7947" s="1" t="s">
        <v>14</v>
      </c>
      <c r="M7947" s="2">
        <v>42451</v>
      </c>
      <c r="N7947" s="1" t="s">
        <v>8</v>
      </c>
      <c r="O7947" s="1" t="s">
        <v>68</v>
      </c>
    </row>
    <row r="7948" spans="1:15" ht="43.2" x14ac:dyDescent="0.3">
      <c r="A7948" s="1" t="s">
        <v>5756</v>
      </c>
      <c r="B7948" s="1" t="str">
        <f>"williams"</f>
        <v>williams</v>
      </c>
      <c r="C7948" s="1" t="s">
        <v>5757</v>
      </c>
      <c r="F7948" s="1" t="s">
        <v>42</v>
      </c>
      <c r="H7948" s="1" t="s">
        <v>5758</v>
      </c>
      <c r="I7948" s="1" t="s">
        <v>188</v>
      </c>
      <c r="J7948" s="1" t="s">
        <v>67</v>
      </c>
      <c r="K7948" s="1" t="s">
        <v>14</v>
      </c>
      <c r="M7948" s="2">
        <v>42451</v>
      </c>
      <c r="N7948" s="1" t="s">
        <v>8</v>
      </c>
      <c r="O7948" s="1" t="s">
        <v>68</v>
      </c>
    </row>
    <row r="7949" spans="1:15" ht="43.2" x14ac:dyDescent="0.3">
      <c r="A7949" s="1" t="s">
        <v>5759</v>
      </c>
      <c r="B7949" s="1" t="str">
        <f>"Drainforce Limited"</f>
        <v>Drainforce Limited</v>
      </c>
      <c r="C7949" s="1" t="s">
        <v>5760</v>
      </c>
      <c r="D7949" s="1" t="s">
        <v>5761</v>
      </c>
      <c r="F7949" s="1" t="s">
        <v>865</v>
      </c>
      <c r="H7949" s="1" t="s">
        <v>5762</v>
      </c>
      <c r="I7949" s="1" t="s">
        <v>19</v>
      </c>
      <c r="J7949" s="1" t="s">
        <v>67</v>
      </c>
      <c r="K7949" s="1" t="s">
        <v>24</v>
      </c>
      <c r="L7949" s="1">
        <v>6885525</v>
      </c>
      <c r="M7949" s="2">
        <v>42451</v>
      </c>
      <c r="N7949" s="1" t="s">
        <v>8</v>
      </c>
      <c r="O7949" s="1" t="s">
        <v>68</v>
      </c>
    </row>
    <row r="7950" spans="1:15" ht="43.2" x14ac:dyDescent="0.3">
      <c r="A7950" s="1" t="s">
        <v>19621</v>
      </c>
      <c r="B7950" s="1" t="str">
        <f>"THOMAS DAVIES"</f>
        <v>THOMAS DAVIES</v>
      </c>
      <c r="C7950" s="1" t="s">
        <v>19622</v>
      </c>
      <c r="F7950" s="1" t="s">
        <v>17</v>
      </c>
      <c r="H7950" s="1" t="s">
        <v>19623</v>
      </c>
      <c r="I7950" s="1" t="s">
        <v>5</v>
      </c>
      <c r="J7950" s="1" t="s">
        <v>67</v>
      </c>
      <c r="K7950" s="1" t="s">
        <v>14</v>
      </c>
      <c r="M7950" s="2">
        <v>42451</v>
      </c>
      <c r="N7950" s="1" t="s">
        <v>8</v>
      </c>
      <c r="O7950" s="1" t="s">
        <v>68</v>
      </c>
    </row>
    <row r="7951" spans="1:15" ht="28.8" x14ac:dyDescent="0.3">
      <c r="A7951" s="1" t="s">
        <v>93</v>
      </c>
      <c r="B7951" s="1" t="str">
        <f>"Mekatek Ltd"</f>
        <v>Mekatek Ltd</v>
      </c>
      <c r="C7951" s="1" t="s">
        <v>94</v>
      </c>
      <c r="D7951" s="1" t="s">
        <v>95</v>
      </c>
      <c r="F7951" s="1" t="s">
        <v>96</v>
      </c>
      <c r="H7951" s="1" t="s">
        <v>97</v>
      </c>
      <c r="I7951" s="1" t="s">
        <v>19</v>
      </c>
      <c r="J7951" s="1" t="s">
        <v>6</v>
      </c>
      <c r="K7951" s="1" t="s">
        <v>34</v>
      </c>
      <c r="L7951" s="1">
        <v>1905259</v>
      </c>
      <c r="M7951" s="2">
        <v>42450</v>
      </c>
      <c r="N7951" s="1" t="s">
        <v>8</v>
      </c>
      <c r="O7951" s="2">
        <v>44641</v>
      </c>
    </row>
    <row r="7952" spans="1:15" ht="43.2" x14ac:dyDescent="0.3">
      <c r="A7952" s="1" t="s">
        <v>98</v>
      </c>
      <c r="B7952" s="1" t="str">
        <f>"ECO TECHNOLOGY LTD"</f>
        <v>ECO TECHNOLOGY LTD</v>
      </c>
      <c r="C7952" s="1" t="s">
        <v>99</v>
      </c>
      <c r="D7952" s="1" t="s">
        <v>100</v>
      </c>
      <c r="E7952" s="1" t="s">
        <v>101</v>
      </c>
      <c r="F7952" s="1" t="s">
        <v>102</v>
      </c>
      <c r="G7952" s="1" t="s">
        <v>103</v>
      </c>
      <c r="H7952" s="1" t="s">
        <v>104</v>
      </c>
      <c r="I7952" s="1" t="s">
        <v>19</v>
      </c>
      <c r="J7952" s="1" t="s">
        <v>6</v>
      </c>
      <c r="K7952" s="1" t="s">
        <v>34</v>
      </c>
      <c r="L7952" s="1">
        <v>2832828</v>
      </c>
      <c r="M7952" s="2">
        <v>42450</v>
      </c>
      <c r="N7952" s="1" t="s">
        <v>8</v>
      </c>
      <c r="O7952" s="2">
        <v>44641</v>
      </c>
    </row>
    <row r="7953" spans="1:15" x14ac:dyDescent="0.3">
      <c r="A7953" s="1" t="s">
        <v>236</v>
      </c>
      <c r="B7953" s="1" t="str">
        <f>"T&amp;M Group Ltd."</f>
        <v>T&amp;M Group Ltd.</v>
      </c>
      <c r="C7953" s="1" t="s">
        <v>237</v>
      </c>
      <c r="D7953" s="1" t="s">
        <v>238</v>
      </c>
      <c r="F7953" s="1" t="s">
        <v>42</v>
      </c>
      <c r="H7953" s="1" t="s">
        <v>239</v>
      </c>
      <c r="I7953" s="1" t="s">
        <v>19</v>
      </c>
      <c r="J7953" s="1" t="s">
        <v>6</v>
      </c>
      <c r="K7953" s="1" t="s">
        <v>24</v>
      </c>
      <c r="L7953" s="1">
        <v>6393733</v>
      </c>
      <c r="M7953" s="2">
        <v>42450</v>
      </c>
      <c r="N7953" s="1" t="s">
        <v>8</v>
      </c>
      <c r="O7953" s="2">
        <v>44641</v>
      </c>
    </row>
    <row r="7954" spans="1:15" ht="28.8" x14ac:dyDescent="0.3">
      <c r="A7954" s="1" t="s">
        <v>498</v>
      </c>
      <c r="B7954" s="1" t="str">
        <f>"Neal Environmental Ltd."</f>
        <v>Neal Environmental Ltd.</v>
      </c>
      <c r="C7954" s="1" t="s">
        <v>499</v>
      </c>
      <c r="D7954" s="1" t="s">
        <v>500</v>
      </c>
      <c r="F7954" s="1" t="s">
        <v>27</v>
      </c>
      <c r="H7954" s="1" t="s">
        <v>501</v>
      </c>
      <c r="I7954" s="1" t="s">
        <v>19</v>
      </c>
      <c r="J7954" s="1" t="s">
        <v>6</v>
      </c>
      <c r="K7954" s="1" t="s">
        <v>34</v>
      </c>
      <c r="L7954" s="1">
        <v>3358985</v>
      </c>
      <c r="M7954" s="2">
        <v>42450</v>
      </c>
      <c r="N7954" s="1" t="s">
        <v>8</v>
      </c>
      <c r="O7954" s="2">
        <v>44641</v>
      </c>
    </row>
    <row r="7955" spans="1:15" ht="28.8" x14ac:dyDescent="0.3">
      <c r="A7955" s="1" t="s">
        <v>1084</v>
      </c>
      <c r="B7955" s="1" t="str">
        <f>"Dee Plant Ltd."</f>
        <v>Dee Plant Ltd.</v>
      </c>
      <c r="C7955" s="1" t="s">
        <v>1085</v>
      </c>
      <c r="F7955" s="1" t="s">
        <v>277</v>
      </c>
      <c r="H7955" s="1" t="s">
        <v>1086</v>
      </c>
      <c r="I7955" s="1" t="s">
        <v>19</v>
      </c>
      <c r="J7955" s="1" t="s">
        <v>6</v>
      </c>
      <c r="K7955" s="1" t="s">
        <v>14</v>
      </c>
      <c r="L7955" s="1">
        <v>5304063</v>
      </c>
      <c r="M7955" s="2">
        <v>42450</v>
      </c>
      <c r="N7955" s="1" t="s">
        <v>8</v>
      </c>
      <c r="O7955" s="2">
        <v>44641</v>
      </c>
    </row>
    <row r="7956" spans="1:15" ht="28.8" x14ac:dyDescent="0.3">
      <c r="A7956" s="1" t="s">
        <v>1177</v>
      </c>
      <c r="B7956" s="1" t="str">
        <f>"R &amp; R Jackson"</f>
        <v>R &amp; R Jackson</v>
      </c>
      <c r="C7956" s="1" t="s">
        <v>1178</v>
      </c>
      <c r="D7956" s="1" t="s">
        <v>1179</v>
      </c>
      <c r="F7956" s="1" t="s">
        <v>1180</v>
      </c>
      <c r="H7956" s="1" t="s">
        <v>1181</v>
      </c>
      <c r="I7956" s="1" t="s">
        <v>125</v>
      </c>
      <c r="J7956" s="1" t="s">
        <v>6</v>
      </c>
      <c r="K7956" s="1" t="s">
        <v>24</v>
      </c>
      <c r="M7956" s="2">
        <v>42450</v>
      </c>
      <c r="N7956" s="1" t="s">
        <v>8</v>
      </c>
      <c r="O7956" s="2">
        <v>44641</v>
      </c>
    </row>
    <row r="7957" spans="1:15" ht="28.8" x14ac:dyDescent="0.3">
      <c r="A7957" s="1" t="s">
        <v>1391</v>
      </c>
      <c r="B7957" s="1" t="str">
        <f>"Mid Glam Construction Ltd."</f>
        <v>Mid Glam Construction Ltd.</v>
      </c>
      <c r="C7957" s="1" t="s">
        <v>1392</v>
      </c>
      <c r="F7957" s="1" t="s">
        <v>873</v>
      </c>
      <c r="H7957" s="1" t="s">
        <v>1393</v>
      </c>
      <c r="I7957" s="1" t="s">
        <v>19</v>
      </c>
      <c r="J7957" s="1" t="s">
        <v>6</v>
      </c>
      <c r="K7957" s="1" t="s">
        <v>34</v>
      </c>
      <c r="L7957" s="1">
        <v>1391724</v>
      </c>
      <c r="M7957" s="2">
        <v>42450</v>
      </c>
      <c r="N7957" s="1" t="s">
        <v>8</v>
      </c>
      <c r="O7957" s="2">
        <v>44641</v>
      </c>
    </row>
    <row r="7958" spans="1:15" ht="28.8" x14ac:dyDescent="0.3">
      <c r="A7958" s="1" t="s">
        <v>1406</v>
      </c>
      <c r="B7958" s="1" t="str">
        <f>"Par Contractors Ltd."</f>
        <v>Par Contractors Ltd.</v>
      </c>
      <c r="C7958" s="1" t="s">
        <v>1407</v>
      </c>
      <c r="F7958" s="1" t="s">
        <v>1408</v>
      </c>
      <c r="H7958" s="1" t="s">
        <v>1409</v>
      </c>
      <c r="I7958" s="1" t="s">
        <v>19</v>
      </c>
      <c r="J7958" s="1" t="s">
        <v>6</v>
      </c>
      <c r="K7958" s="1" t="s">
        <v>24</v>
      </c>
      <c r="L7958" s="1">
        <v>2562301</v>
      </c>
      <c r="M7958" s="2">
        <v>42450</v>
      </c>
      <c r="N7958" s="1" t="s">
        <v>8</v>
      </c>
      <c r="O7958" s="2">
        <v>44641</v>
      </c>
    </row>
    <row r="7959" spans="1:15" ht="28.8" x14ac:dyDescent="0.3">
      <c r="A7959" s="1" t="s">
        <v>1427</v>
      </c>
      <c r="B7959" s="1" t="str">
        <f>"BROUGHSHIRE LTD"</f>
        <v>BROUGHSHIRE LTD</v>
      </c>
      <c r="C7959" s="1" t="s">
        <v>1428</v>
      </c>
      <c r="D7959" s="1" t="s">
        <v>1429</v>
      </c>
      <c r="F7959" s="1" t="s">
        <v>179</v>
      </c>
      <c r="G7959" s="1" t="s">
        <v>180</v>
      </c>
      <c r="H7959" s="1" t="s">
        <v>1430</v>
      </c>
      <c r="I7959" s="1" t="s">
        <v>19</v>
      </c>
      <c r="J7959" s="1" t="s">
        <v>6</v>
      </c>
      <c r="K7959" s="1" t="s">
        <v>34</v>
      </c>
      <c r="L7959" s="1">
        <v>1455703</v>
      </c>
      <c r="M7959" s="2">
        <v>42450</v>
      </c>
      <c r="N7959" s="1" t="s">
        <v>8</v>
      </c>
      <c r="O7959" s="2">
        <v>44641</v>
      </c>
    </row>
    <row r="7960" spans="1:15" x14ac:dyDescent="0.3">
      <c r="A7960" s="1" t="s">
        <v>1694</v>
      </c>
      <c r="B7960" s="1" t="str">
        <f>"W E Jones &amp; Sons Ltd."</f>
        <v>W E Jones &amp; Sons Ltd.</v>
      </c>
      <c r="C7960" s="1" t="s">
        <v>1695</v>
      </c>
      <c r="D7960" s="1" t="s">
        <v>1010</v>
      </c>
      <c r="F7960" s="1" t="s">
        <v>1696</v>
      </c>
      <c r="G7960" s="1" t="s">
        <v>679</v>
      </c>
      <c r="H7960" s="1" t="s">
        <v>1697</v>
      </c>
      <c r="I7960" s="1" t="s">
        <v>19</v>
      </c>
      <c r="J7960" s="1" t="s">
        <v>6</v>
      </c>
      <c r="K7960" s="1" t="s">
        <v>24</v>
      </c>
      <c r="L7960" s="1">
        <v>5421884</v>
      </c>
      <c r="M7960" s="2">
        <v>42450</v>
      </c>
      <c r="N7960" s="1" t="s">
        <v>8</v>
      </c>
      <c r="O7960" s="2">
        <v>44641</v>
      </c>
    </row>
    <row r="7961" spans="1:15" x14ac:dyDescent="0.3">
      <c r="A7961" s="1" t="s">
        <v>1921</v>
      </c>
      <c r="B7961" s="1" t="str">
        <f>"Carpets 'N' Carpets Ltd."</f>
        <v>Carpets 'N' Carpets Ltd.</v>
      </c>
      <c r="C7961" s="1" t="s">
        <v>1922</v>
      </c>
      <c r="F7961" s="1" t="s">
        <v>1115</v>
      </c>
      <c r="H7961" s="1" t="s">
        <v>1923</v>
      </c>
      <c r="I7961" s="1" t="s">
        <v>19</v>
      </c>
      <c r="J7961" s="1" t="s">
        <v>6</v>
      </c>
      <c r="K7961" s="1" t="s">
        <v>24</v>
      </c>
      <c r="L7961" s="1">
        <v>4304010</v>
      </c>
      <c r="M7961" s="2">
        <v>42450</v>
      </c>
      <c r="N7961" s="1" t="s">
        <v>8</v>
      </c>
      <c r="O7961" s="2">
        <v>44641</v>
      </c>
    </row>
    <row r="7962" spans="1:15" ht="43.2" x14ac:dyDescent="0.3">
      <c r="A7962" s="1" t="s">
        <v>3482</v>
      </c>
      <c r="B7962" s="1" t="str">
        <f>"Williams waste deposal "</f>
        <v xml:space="preserve">Williams waste deposal </v>
      </c>
      <c r="C7962" s="1" t="s">
        <v>3483</v>
      </c>
      <c r="F7962" s="1" t="s">
        <v>1230</v>
      </c>
      <c r="H7962" s="1" t="s">
        <v>3484</v>
      </c>
      <c r="I7962" s="1" t="s">
        <v>188</v>
      </c>
      <c r="J7962" s="1" t="s">
        <v>67</v>
      </c>
      <c r="K7962" s="1" t="s">
        <v>24</v>
      </c>
      <c r="M7962" s="2">
        <v>42450</v>
      </c>
      <c r="N7962" s="1" t="s">
        <v>8</v>
      </c>
      <c r="O7962" s="1" t="s">
        <v>68</v>
      </c>
    </row>
    <row r="7963" spans="1:15" ht="43.2" x14ac:dyDescent="0.3">
      <c r="A7963" s="1" t="s">
        <v>3485</v>
      </c>
      <c r="B7963" s="1" t="str">
        <f>"Carpets 'N' Carpets Ltd."</f>
        <v>Carpets 'N' Carpets Ltd.</v>
      </c>
      <c r="C7963" s="1" t="s">
        <v>1922</v>
      </c>
      <c r="F7963" s="1" t="s">
        <v>1115</v>
      </c>
      <c r="H7963" s="1" t="s">
        <v>1923</v>
      </c>
      <c r="I7963" s="1" t="s">
        <v>19</v>
      </c>
      <c r="J7963" s="1" t="s">
        <v>67</v>
      </c>
      <c r="K7963" s="1" t="s">
        <v>24</v>
      </c>
      <c r="L7963" s="1">
        <v>4304010</v>
      </c>
      <c r="M7963" s="2">
        <v>42450</v>
      </c>
      <c r="N7963" s="1" t="s">
        <v>8</v>
      </c>
      <c r="O7963" s="1" t="s">
        <v>68</v>
      </c>
    </row>
    <row r="7964" spans="1:15" ht="43.2" x14ac:dyDescent="0.3">
      <c r="A7964" s="1" t="s">
        <v>4579</v>
      </c>
      <c r="B7964" s="1" t="str">
        <f>"Countrywide Lawns"</f>
        <v>Countrywide Lawns</v>
      </c>
      <c r="C7964" s="1" t="s">
        <v>4580</v>
      </c>
      <c r="F7964" s="1" t="s">
        <v>607</v>
      </c>
      <c r="H7964" s="1" t="s">
        <v>4581</v>
      </c>
      <c r="I7964" s="1" t="s">
        <v>125</v>
      </c>
      <c r="J7964" s="1" t="s">
        <v>67</v>
      </c>
      <c r="K7964" s="1" t="s">
        <v>24</v>
      </c>
      <c r="M7964" s="2">
        <v>42450</v>
      </c>
      <c r="N7964" s="1" t="s">
        <v>8</v>
      </c>
      <c r="O7964" s="1" t="s">
        <v>68</v>
      </c>
    </row>
    <row r="7965" spans="1:15" ht="28.8" x14ac:dyDescent="0.3">
      <c r="A7965" s="1" t="s">
        <v>19615</v>
      </c>
      <c r="B7965" s="1" t="str">
        <f>"Kevin Geach llandaff building services"</f>
        <v>Kevin Geach llandaff building services</v>
      </c>
      <c r="C7965" s="1" t="s">
        <v>19616</v>
      </c>
      <c r="F7965" s="1" t="s">
        <v>27</v>
      </c>
      <c r="H7965" s="1" t="s">
        <v>19617</v>
      </c>
      <c r="I7965" s="1" t="s">
        <v>5</v>
      </c>
      <c r="J7965" s="1" t="s">
        <v>6</v>
      </c>
      <c r="K7965" s="1" t="s">
        <v>34</v>
      </c>
      <c r="M7965" s="2">
        <v>42450</v>
      </c>
      <c r="N7965" s="1" t="s">
        <v>8</v>
      </c>
      <c r="O7965" s="2">
        <v>43629</v>
      </c>
    </row>
    <row r="7966" spans="1:15" ht="43.2" x14ac:dyDescent="0.3">
      <c r="A7966" s="1" t="s">
        <v>19618</v>
      </c>
      <c r="B7966" s="1" t="str">
        <f>"Richard hill"</f>
        <v>Richard hill</v>
      </c>
      <c r="C7966" s="1" t="s">
        <v>19619</v>
      </c>
      <c r="F7966" s="1" t="s">
        <v>865</v>
      </c>
      <c r="H7966" s="1" t="s">
        <v>19620</v>
      </c>
      <c r="I7966" s="1" t="s">
        <v>5</v>
      </c>
      <c r="J7966" s="1" t="s">
        <v>67</v>
      </c>
      <c r="K7966" s="1" t="s">
        <v>14</v>
      </c>
      <c r="M7966" s="2">
        <v>42450</v>
      </c>
      <c r="N7966" s="1" t="s">
        <v>8</v>
      </c>
      <c r="O7966" s="1" t="s">
        <v>68</v>
      </c>
    </row>
    <row r="7967" spans="1:15" ht="28.8" x14ac:dyDescent="0.3">
      <c r="A7967" s="1" t="s">
        <v>33182</v>
      </c>
      <c r="B7967" s="1" t="str">
        <f>"Douglas Brothers Ltd."</f>
        <v>Douglas Brothers Ltd.</v>
      </c>
      <c r="C7967" s="1" t="s">
        <v>33183</v>
      </c>
      <c r="F7967" s="1" t="s">
        <v>17</v>
      </c>
      <c r="H7967" s="1" t="s">
        <v>12465</v>
      </c>
      <c r="I7967" s="1" t="s">
        <v>19</v>
      </c>
      <c r="J7967" s="1" t="s">
        <v>6</v>
      </c>
      <c r="K7967" s="1" t="s">
        <v>34</v>
      </c>
      <c r="L7967" s="1">
        <v>3316595</v>
      </c>
      <c r="M7967" s="2">
        <v>42450</v>
      </c>
      <c r="N7967" s="1" t="s">
        <v>8</v>
      </c>
      <c r="O7967" s="2">
        <v>44641</v>
      </c>
    </row>
    <row r="7968" spans="1:15" ht="28.8" x14ac:dyDescent="0.3">
      <c r="A7968" s="1" t="s">
        <v>1410</v>
      </c>
      <c r="B7968" s="1" t="str">
        <f>"newport land reclamation ltd"</f>
        <v>newport land reclamation ltd</v>
      </c>
      <c r="C7968" s="1" t="s">
        <v>1411</v>
      </c>
      <c r="F7968" s="1" t="s">
        <v>27</v>
      </c>
      <c r="H7968" s="1" t="s">
        <v>1412</v>
      </c>
      <c r="I7968" s="1" t="s">
        <v>19</v>
      </c>
      <c r="J7968" s="1" t="s">
        <v>6</v>
      </c>
      <c r="K7968" s="1" t="s">
        <v>24</v>
      </c>
      <c r="L7968" s="1">
        <v>7492883</v>
      </c>
      <c r="M7968" s="2">
        <v>42449</v>
      </c>
      <c r="N7968" s="1" t="s">
        <v>8</v>
      </c>
      <c r="O7968" s="2">
        <v>44640</v>
      </c>
    </row>
    <row r="7969" spans="1:15" ht="28.8" x14ac:dyDescent="0.3">
      <c r="A7969" s="1" t="s">
        <v>1551</v>
      </c>
      <c r="B7969" s="1" t="str">
        <f>"Briton Ferry Salvage Ltd"</f>
        <v>Briton Ferry Salvage Ltd</v>
      </c>
      <c r="C7969" s="1" t="s">
        <v>1552</v>
      </c>
      <c r="F7969" s="1" t="s">
        <v>174</v>
      </c>
      <c r="H7969" s="1" t="s">
        <v>1553</v>
      </c>
      <c r="I7969" s="1" t="s">
        <v>19</v>
      </c>
      <c r="J7969" s="1" t="s">
        <v>6</v>
      </c>
      <c r="K7969" s="1" t="s">
        <v>34</v>
      </c>
      <c r="L7969" s="1">
        <v>7017098</v>
      </c>
      <c r="M7969" s="2">
        <v>42449</v>
      </c>
      <c r="N7969" s="1" t="s">
        <v>8</v>
      </c>
      <c r="O7969" s="2">
        <v>44640</v>
      </c>
    </row>
    <row r="7970" spans="1:15" ht="28.8" x14ac:dyDescent="0.3">
      <c r="A7970" s="1" t="s">
        <v>1746</v>
      </c>
      <c r="B7970" s="1" t="str">
        <f>"LONERGAN PLUMBING &amp; HEATING LTD"</f>
        <v>LONERGAN PLUMBING &amp; HEATING LTD</v>
      </c>
      <c r="C7970" s="1" t="s">
        <v>1747</v>
      </c>
      <c r="F7970" s="1" t="s">
        <v>91</v>
      </c>
      <c r="H7970" s="1" t="s">
        <v>1748</v>
      </c>
      <c r="I7970" s="1" t="s">
        <v>19</v>
      </c>
      <c r="J7970" s="1" t="s">
        <v>6</v>
      </c>
      <c r="K7970" s="1" t="s">
        <v>24</v>
      </c>
      <c r="L7970" s="1">
        <v>4449200</v>
      </c>
      <c r="M7970" s="2">
        <v>42449</v>
      </c>
      <c r="N7970" s="1" t="s">
        <v>8</v>
      </c>
      <c r="O7970" s="2">
        <v>44640</v>
      </c>
    </row>
    <row r="7971" spans="1:15" ht="43.2" x14ac:dyDescent="0.3">
      <c r="A7971" s="1" t="s">
        <v>29865</v>
      </c>
      <c r="B7971" s="1" t="str">
        <f>"David Parry"</f>
        <v>David Parry</v>
      </c>
      <c r="C7971" s="1" t="s">
        <v>29866</v>
      </c>
      <c r="F7971" s="1" t="s">
        <v>328</v>
      </c>
      <c r="H7971" s="1" t="s">
        <v>19764</v>
      </c>
      <c r="I7971" s="1" t="s">
        <v>5</v>
      </c>
      <c r="J7971" s="1" t="s">
        <v>67</v>
      </c>
      <c r="K7971" s="1" t="s">
        <v>24</v>
      </c>
      <c r="M7971" s="2">
        <v>42448</v>
      </c>
      <c r="N7971" s="1" t="s">
        <v>8</v>
      </c>
      <c r="O7971" s="1" t="s">
        <v>68</v>
      </c>
    </row>
    <row r="7972" spans="1:15" ht="43.2" x14ac:dyDescent="0.3">
      <c r="A7972" s="1" t="s">
        <v>132</v>
      </c>
      <c r="B7972" s="1" t="str">
        <f>"Christopher Ralph CJR Home and Garden Maintenance"</f>
        <v>Christopher Ralph CJR Home and Garden Maintenance</v>
      </c>
      <c r="C7972" s="1" t="s">
        <v>133</v>
      </c>
      <c r="F7972" s="1" t="s">
        <v>134</v>
      </c>
      <c r="H7972" s="1" t="s">
        <v>135</v>
      </c>
      <c r="I7972" s="1" t="s">
        <v>5</v>
      </c>
      <c r="J7972" s="1" t="s">
        <v>6</v>
      </c>
      <c r="K7972" s="1" t="s">
        <v>24</v>
      </c>
      <c r="M7972" s="2">
        <v>42447</v>
      </c>
      <c r="N7972" s="1" t="s">
        <v>8</v>
      </c>
      <c r="O7972" s="2">
        <v>44638</v>
      </c>
    </row>
    <row r="7973" spans="1:15" ht="28.8" x14ac:dyDescent="0.3">
      <c r="A7973" s="1" t="s">
        <v>502</v>
      </c>
      <c r="B7973" s="1" t="str">
        <f>"Richie Builders Ltd."</f>
        <v>Richie Builders Ltd.</v>
      </c>
      <c r="C7973" s="1" t="s">
        <v>503</v>
      </c>
      <c r="F7973" s="1" t="s">
        <v>504</v>
      </c>
      <c r="H7973" s="1" t="s">
        <v>505</v>
      </c>
      <c r="I7973" s="1" t="s">
        <v>19</v>
      </c>
      <c r="J7973" s="1" t="s">
        <v>6</v>
      </c>
      <c r="K7973" s="1" t="s">
        <v>34</v>
      </c>
      <c r="L7973" s="1">
        <v>3413932</v>
      </c>
      <c r="M7973" s="2">
        <v>42447</v>
      </c>
      <c r="N7973" s="1" t="s">
        <v>8</v>
      </c>
      <c r="O7973" s="2">
        <v>44638</v>
      </c>
    </row>
    <row r="7974" spans="1:15" ht="28.8" x14ac:dyDescent="0.3">
      <c r="A7974" s="1" t="s">
        <v>660</v>
      </c>
      <c r="B7974" s="1" t="str">
        <f>"PLYNLIMON WASTE SERVICES LTD"</f>
        <v>PLYNLIMON WASTE SERVICES LTD</v>
      </c>
      <c r="C7974" s="1" t="s">
        <v>661</v>
      </c>
      <c r="F7974" s="1" t="s">
        <v>37</v>
      </c>
      <c r="H7974" s="1" t="s">
        <v>662</v>
      </c>
      <c r="I7974" s="1" t="s">
        <v>19</v>
      </c>
      <c r="J7974" s="1" t="s">
        <v>6</v>
      </c>
      <c r="K7974" s="1" t="s">
        <v>24</v>
      </c>
      <c r="L7974" s="1">
        <v>9627856</v>
      </c>
      <c r="M7974" s="2">
        <v>42447</v>
      </c>
      <c r="N7974" s="1" t="s">
        <v>8</v>
      </c>
      <c r="O7974" s="2">
        <v>44638</v>
      </c>
    </row>
    <row r="7975" spans="1:15" ht="28.8" x14ac:dyDescent="0.3">
      <c r="A7975" s="1" t="s">
        <v>867</v>
      </c>
      <c r="B7975" s="1" t="str">
        <f>"Ivor Owen &amp; Sons LTD"</f>
        <v>Ivor Owen &amp; Sons LTD</v>
      </c>
      <c r="C7975" s="1" t="s">
        <v>868</v>
      </c>
      <c r="D7975" s="1" t="s">
        <v>869</v>
      </c>
      <c r="F7975" s="1" t="s">
        <v>532</v>
      </c>
      <c r="H7975" s="1" t="s">
        <v>870</v>
      </c>
      <c r="I7975" s="1" t="s">
        <v>19</v>
      </c>
      <c r="J7975" s="1" t="s">
        <v>6</v>
      </c>
      <c r="K7975" s="1" t="s">
        <v>34</v>
      </c>
      <c r="L7975" s="1">
        <v>5823866</v>
      </c>
      <c r="M7975" s="2">
        <v>42447</v>
      </c>
      <c r="N7975" s="1" t="s">
        <v>8</v>
      </c>
      <c r="O7975" s="2">
        <v>44638</v>
      </c>
    </row>
    <row r="7976" spans="1:15" ht="28.8" x14ac:dyDescent="0.3">
      <c r="A7976" s="1" t="s">
        <v>1501</v>
      </c>
      <c r="B7976" s="1" t="str">
        <f>"RAPIDGRID LTD"</f>
        <v>RAPIDGRID LTD</v>
      </c>
      <c r="C7976" s="1" t="s">
        <v>1502</v>
      </c>
      <c r="D7976" s="1" t="s">
        <v>1503</v>
      </c>
      <c r="F7976" s="1" t="s">
        <v>996</v>
      </c>
      <c r="H7976" s="1" t="s">
        <v>1504</v>
      </c>
      <c r="I7976" s="1" t="s">
        <v>19</v>
      </c>
      <c r="J7976" s="1" t="s">
        <v>6</v>
      </c>
      <c r="K7976" s="1" t="s">
        <v>24</v>
      </c>
      <c r="L7976" s="1">
        <v>2464305</v>
      </c>
      <c r="M7976" s="2">
        <v>42447</v>
      </c>
      <c r="N7976" s="1" t="s">
        <v>8</v>
      </c>
      <c r="O7976" s="2">
        <v>44638</v>
      </c>
    </row>
    <row r="7977" spans="1:15" ht="43.2" x14ac:dyDescent="0.3">
      <c r="A7977" s="1" t="s">
        <v>17216</v>
      </c>
      <c r="B7977" s="1" t="str">
        <f>"Dragon Tree Services"</f>
        <v>Dragon Tree Services</v>
      </c>
      <c r="C7977" s="1" t="s">
        <v>17217</v>
      </c>
      <c r="F7977" s="1" t="s">
        <v>710</v>
      </c>
      <c r="H7977" s="1" t="s">
        <v>17218</v>
      </c>
      <c r="I7977" s="1" t="s">
        <v>125</v>
      </c>
      <c r="J7977" s="1" t="s">
        <v>67</v>
      </c>
      <c r="K7977" s="1" t="s">
        <v>14</v>
      </c>
      <c r="M7977" s="2">
        <v>42447</v>
      </c>
      <c r="N7977" s="1" t="s">
        <v>8</v>
      </c>
      <c r="O7977" s="1" t="s">
        <v>68</v>
      </c>
    </row>
    <row r="7978" spans="1:15" ht="43.2" x14ac:dyDescent="0.3">
      <c r="A7978" s="1" t="s">
        <v>29101</v>
      </c>
      <c r="B7978" s="1" t="str">
        <f>"William Stone"</f>
        <v>William Stone</v>
      </c>
      <c r="C7978" s="1" t="s">
        <v>29102</v>
      </c>
      <c r="D7978" s="1" t="s">
        <v>322</v>
      </c>
      <c r="F7978" s="1" t="s">
        <v>1346</v>
      </c>
      <c r="H7978" s="1" t="s">
        <v>29103</v>
      </c>
      <c r="I7978" s="1" t="s">
        <v>5</v>
      </c>
      <c r="J7978" s="1" t="s">
        <v>67</v>
      </c>
      <c r="K7978" s="1" t="s">
        <v>24</v>
      </c>
      <c r="M7978" s="2">
        <v>42447</v>
      </c>
      <c r="N7978" s="1" t="s">
        <v>8</v>
      </c>
      <c r="O7978" s="1" t="s">
        <v>68</v>
      </c>
    </row>
    <row r="7979" spans="1:15" ht="43.2" x14ac:dyDescent="0.3">
      <c r="A7979" s="1" t="s">
        <v>435</v>
      </c>
      <c r="B7979" s="1" t="str">
        <f>"Evan Pritchard Contractors Ltd."</f>
        <v>Evan Pritchard Contractors Ltd.</v>
      </c>
      <c r="C7979" s="1" t="s">
        <v>436</v>
      </c>
      <c r="D7979" s="1" t="s">
        <v>437</v>
      </c>
      <c r="F7979" s="1" t="s">
        <v>438</v>
      </c>
      <c r="H7979" s="1" t="s">
        <v>439</v>
      </c>
      <c r="I7979" s="1" t="s">
        <v>19</v>
      </c>
      <c r="J7979" s="1" t="s">
        <v>6</v>
      </c>
      <c r="K7979" s="1" t="s">
        <v>24</v>
      </c>
      <c r="L7979" s="1">
        <v>2404776</v>
      </c>
      <c r="M7979" s="2">
        <v>42446</v>
      </c>
      <c r="N7979" s="1" t="s">
        <v>8</v>
      </c>
      <c r="O7979" s="2">
        <v>44637</v>
      </c>
    </row>
    <row r="7980" spans="1:15" ht="28.8" x14ac:dyDescent="0.3">
      <c r="A7980" s="1" t="s">
        <v>506</v>
      </c>
      <c r="B7980" s="1" t="str">
        <f>"Chilton Bulk Transport Ltd"</f>
        <v>Chilton Bulk Transport Ltd</v>
      </c>
      <c r="C7980" s="1" t="s">
        <v>507</v>
      </c>
      <c r="F7980" s="1" t="s">
        <v>508</v>
      </c>
      <c r="H7980" s="1" t="s">
        <v>509</v>
      </c>
      <c r="I7980" s="1" t="s">
        <v>19</v>
      </c>
      <c r="J7980" s="1" t="s">
        <v>6</v>
      </c>
      <c r="K7980" s="1" t="s">
        <v>24</v>
      </c>
      <c r="L7980" s="1">
        <v>7163933</v>
      </c>
      <c r="M7980" s="2">
        <v>42446</v>
      </c>
      <c r="N7980" s="1" t="s">
        <v>8</v>
      </c>
      <c r="O7980" s="2">
        <v>44637</v>
      </c>
    </row>
    <row r="7981" spans="1:15" ht="28.8" x14ac:dyDescent="0.3">
      <c r="A7981" s="1" t="s">
        <v>819</v>
      </c>
      <c r="B7981" s="1" t="str">
        <f>"G  H  James Cyfyngedig"</f>
        <v>G  H  James Cyfyngedig</v>
      </c>
      <c r="C7981" s="1" t="s">
        <v>820</v>
      </c>
      <c r="D7981" s="1" t="s">
        <v>821</v>
      </c>
      <c r="F7981" s="1" t="s">
        <v>370</v>
      </c>
      <c r="H7981" s="1" t="s">
        <v>822</v>
      </c>
      <c r="I7981" s="1" t="s">
        <v>19</v>
      </c>
      <c r="J7981" s="1" t="s">
        <v>6</v>
      </c>
      <c r="K7981" s="1" t="s">
        <v>34</v>
      </c>
      <c r="L7981" s="1">
        <v>4044159</v>
      </c>
      <c r="M7981" s="2">
        <v>42446</v>
      </c>
      <c r="N7981" s="1" t="s">
        <v>8</v>
      </c>
      <c r="O7981" s="2">
        <v>44637</v>
      </c>
    </row>
    <row r="7982" spans="1:15" ht="28.8" x14ac:dyDescent="0.3">
      <c r="A7982" s="1" t="s">
        <v>1135</v>
      </c>
      <c r="B7982" s="1" t="str">
        <f>"Major Motor Services Ltd."</f>
        <v>Major Motor Services Ltd.</v>
      </c>
      <c r="C7982" s="1" t="s">
        <v>1136</v>
      </c>
      <c r="F7982" s="1" t="s">
        <v>1137</v>
      </c>
      <c r="H7982" s="1" t="s">
        <v>1138</v>
      </c>
      <c r="I7982" s="1" t="s">
        <v>19</v>
      </c>
      <c r="J7982" s="1" t="s">
        <v>6</v>
      </c>
      <c r="K7982" s="1" t="s">
        <v>34</v>
      </c>
      <c r="L7982" s="1">
        <v>2525083</v>
      </c>
      <c r="M7982" s="2">
        <v>42446</v>
      </c>
      <c r="N7982" s="1" t="s">
        <v>8</v>
      </c>
      <c r="O7982" s="2">
        <v>44637</v>
      </c>
    </row>
    <row r="7983" spans="1:15" ht="28.8" x14ac:dyDescent="0.3">
      <c r="A7983" s="1" t="s">
        <v>1662</v>
      </c>
      <c r="B7983" s="1" t="str">
        <f>"N G Reynolds Builders "</f>
        <v xml:space="preserve">N G Reynolds Builders </v>
      </c>
      <c r="C7983" s="1" t="s">
        <v>1663</v>
      </c>
      <c r="F7983" s="1" t="s">
        <v>930</v>
      </c>
      <c r="H7983" s="1" t="s">
        <v>1664</v>
      </c>
      <c r="I7983" s="1" t="s">
        <v>19</v>
      </c>
      <c r="J7983" s="1" t="s">
        <v>6</v>
      </c>
      <c r="K7983" s="1" t="s">
        <v>24</v>
      </c>
      <c r="L7983" s="1">
        <v>2039361</v>
      </c>
      <c r="M7983" s="2">
        <v>42446</v>
      </c>
      <c r="N7983" s="1" t="s">
        <v>8</v>
      </c>
      <c r="O7983" s="2">
        <v>44637</v>
      </c>
    </row>
    <row r="7984" spans="1:15" ht="43.2" x14ac:dyDescent="0.3">
      <c r="A7984" s="1" t="s">
        <v>16197</v>
      </c>
      <c r="B7984" s="1" t="str">
        <f>"ENVIRO-TECH PEST CONTROL LTD"</f>
        <v>ENVIRO-TECH PEST CONTROL LTD</v>
      </c>
      <c r="C7984" s="1" t="s">
        <v>16198</v>
      </c>
      <c r="F7984" s="1" t="s">
        <v>3242</v>
      </c>
      <c r="H7984" s="1" t="s">
        <v>7048</v>
      </c>
      <c r="I7984" s="1" t="s">
        <v>19</v>
      </c>
      <c r="J7984" s="1" t="s">
        <v>67</v>
      </c>
      <c r="K7984" s="1" t="s">
        <v>24</v>
      </c>
      <c r="L7984" s="1">
        <v>7501588</v>
      </c>
      <c r="M7984" s="2">
        <v>42446</v>
      </c>
      <c r="N7984" s="1" t="s">
        <v>8</v>
      </c>
      <c r="O7984" s="1" t="s">
        <v>68</v>
      </c>
    </row>
    <row r="7985" spans="1:15" ht="43.2" x14ac:dyDescent="0.3">
      <c r="A7985" s="1" t="s">
        <v>16199</v>
      </c>
      <c r="B7985" s="1" t="str">
        <f>"Meddygfa Teilo"</f>
        <v>Meddygfa Teilo</v>
      </c>
      <c r="C7985" s="1" t="s">
        <v>16200</v>
      </c>
      <c r="F7985" s="1" t="s">
        <v>2200</v>
      </c>
      <c r="H7985" s="1" t="s">
        <v>16201</v>
      </c>
      <c r="I7985" s="1" t="s">
        <v>125</v>
      </c>
      <c r="J7985" s="1" t="s">
        <v>67</v>
      </c>
      <c r="K7985" s="1" t="s">
        <v>14</v>
      </c>
      <c r="M7985" s="2">
        <v>42446</v>
      </c>
      <c r="N7985" s="1" t="s">
        <v>8</v>
      </c>
      <c r="O7985" s="1" t="s">
        <v>68</v>
      </c>
    </row>
    <row r="7986" spans="1:15" ht="43.2" x14ac:dyDescent="0.3">
      <c r="A7986" s="1" t="s">
        <v>16252</v>
      </c>
      <c r="B7986" s="1" t="str">
        <f>"Mount Thomas Property Management Ltd "</f>
        <v xml:space="preserve">Mount Thomas Property Management Ltd </v>
      </c>
      <c r="C7986" s="1" t="s">
        <v>6190</v>
      </c>
      <c r="D7986" s="1" t="s">
        <v>6191</v>
      </c>
      <c r="F7986" s="1" t="s">
        <v>65</v>
      </c>
      <c r="H7986" s="1" t="s">
        <v>6192</v>
      </c>
      <c r="I7986" s="1" t="s">
        <v>19</v>
      </c>
      <c r="J7986" s="1" t="s">
        <v>67</v>
      </c>
      <c r="K7986" s="1" t="s">
        <v>34</v>
      </c>
      <c r="L7986" s="1" t="s">
        <v>16253</v>
      </c>
      <c r="M7986" s="2">
        <v>42446</v>
      </c>
      <c r="N7986" s="1" t="s">
        <v>8</v>
      </c>
      <c r="O7986" s="1" t="s">
        <v>68</v>
      </c>
    </row>
    <row r="7987" spans="1:15" ht="43.2" x14ac:dyDescent="0.3">
      <c r="A7987" s="1" t="s">
        <v>16254</v>
      </c>
      <c r="B7987" s="1" t="str">
        <f>"Carmarthenshire County Council "</f>
        <v xml:space="preserve">Carmarthenshire County Council </v>
      </c>
      <c r="C7987" s="1" t="s">
        <v>16255</v>
      </c>
      <c r="F7987" s="1" t="s">
        <v>16256</v>
      </c>
      <c r="H7987" s="1" t="s">
        <v>16257</v>
      </c>
      <c r="I7987" s="1" t="s">
        <v>188</v>
      </c>
      <c r="J7987" s="1" t="s">
        <v>67</v>
      </c>
      <c r="K7987" s="1" t="s">
        <v>14</v>
      </c>
      <c r="M7987" s="2">
        <v>42446</v>
      </c>
      <c r="N7987" s="1" t="s">
        <v>8</v>
      </c>
      <c r="O7987" s="1" t="s">
        <v>68</v>
      </c>
    </row>
    <row r="7988" spans="1:15" ht="43.2" x14ac:dyDescent="0.3">
      <c r="A7988" s="1" t="s">
        <v>16258</v>
      </c>
      <c r="B7988" s="1" t="str">
        <f>"Billrick Ltd."</f>
        <v>Billrick Ltd.</v>
      </c>
      <c r="C7988" s="1" t="s">
        <v>16259</v>
      </c>
      <c r="F7988" s="1" t="s">
        <v>1278</v>
      </c>
      <c r="H7988" s="1" t="s">
        <v>16260</v>
      </c>
      <c r="I7988" s="1" t="s">
        <v>19</v>
      </c>
      <c r="J7988" s="1" t="s">
        <v>67</v>
      </c>
      <c r="K7988" s="1" t="s">
        <v>24</v>
      </c>
      <c r="L7988" s="1">
        <v>1718185</v>
      </c>
      <c r="M7988" s="2">
        <v>42446</v>
      </c>
      <c r="N7988" s="1" t="s">
        <v>8</v>
      </c>
      <c r="O7988" s="1" t="s">
        <v>68</v>
      </c>
    </row>
    <row r="7989" spans="1:15" ht="43.2" x14ac:dyDescent="0.3">
      <c r="A7989" s="1" t="s">
        <v>17159</v>
      </c>
      <c r="B7989" s="1" t="str">
        <f>"The Battery Centre Ltd."</f>
        <v>The Battery Centre Ltd.</v>
      </c>
      <c r="C7989" s="1" t="s">
        <v>17160</v>
      </c>
      <c r="F7989" s="1" t="s">
        <v>65</v>
      </c>
      <c r="H7989" s="1" t="s">
        <v>14947</v>
      </c>
      <c r="I7989" s="1" t="s">
        <v>19</v>
      </c>
      <c r="J7989" s="1" t="s">
        <v>67</v>
      </c>
      <c r="K7989" s="1" t="s">
        <v>34</v>
      </c>
      <c r="L7989" s="1">
        <v>1530408</v>
      </c>
      <c r="M7989" s="2">
        <v>42446</v>
      </c>
      <c r="N7989" s="1" t="s">
        <v>8</v>
      </c>
      <c r="O7989" s="1" t="s">
        <v>68</v>
      </c>
    </row>
    <row r="7990" spans="1:15" ht="43.2" x14ac:dyDescent="0.3">
      <c r="A7990" s="1" t="s">
        <v>17213</v>
      </c>
      <c r="B7990" s="1" t="str">
        <f>"ROB THOMAS LTD"</f>
        <v>ROB THOMAS LTD</v>
      </c>
      <c r="C7990" s="1" t="s">
        <v>17214</v>
      </c>
      <c r="D7990" s="1" t="s">
        <v>2847</v>
      </c>
      <c r="F7990" s="1" t="s">
        <v>96</v>
      </c>
      <c r="H7990" s="1" t="s">
        <v>17215</v>
      </c>
      <c r="I7990" s="1" t="s">
        <v>19</v>
      </c>
      <c r="J7990" s="1" t="s">
        <v>67</v>
      </c>
      <c r="K7990" s="1" t="s">
        <v>24</v>
      </c>
      <c r="M7990" s="2">
        <v>42446</v>
      </c>
      <c r="N7990" s="1" t="s">
        <v>8</v>
      </c>
      <c r="O7990" s="1" t="s">
        <v>68</v>
      </c>
    </row>
    <row r="7991" spans="1:15" ht="43.2" x14ac:dyDescent="0.3">
      <c r="A7991" s="1" t="s">
        <v>28357</v>
      </c>
      <c r="B7991" s="1" t="str">
        <f>"David Codd"</f>
        <v>David Codd</v>
      </c>
      <c r="C7991" s="1" t="s">
        <v>28358</v>
      </c>
      <c r="F7991" s="1" t="s">
        <v>438</v>
      </c>
      <c r="H7991" s="1" t="s">
        <v>28359</v>
      </c>
      <c r="I7991" s="1" t="s">
        <v>5</v>
      </c>
      <c r="J7991" s="1" t="s">
        <v>67</v>
      </c>
      <c r="K7991" s="1" t="s">
        <v>14</v>
      </c>
      <c r="M7991" s="2">
        <v>42446</v>
      </c>
      <c r="N7991" s="1" t="s">
        <v>8</v>
      </c>
      <c r="O7991" s="1" t="s">
        <v>68</v>
      </c>
    </row>
    <row r="7992" spans="1:15" ht="28.8" x14ac:dyDescent="0.3">
      <c r="A7992" s="1" t="s">
        <v>338</v>
      </c>
      <c r="B7992" s="1" t="str">
        <f>"S Jones &amp; sons"</f>
        <v>S Jones &amp; sons</v>
      </c>
      <c r="C7992" s="1" t="s">
        <v>339</v>
      </c>
      <c r="F7992" s="1" t="s">
        <v>340</v>
      </c>
      <c r="H7992" s="1" t="s">
        <v>341</v>
      </c>
      <c r="I7992" s="1" t="s">
        <v>125</v>
      </c>
      <c r="J7992" s="1" t="s">
        <v>6</v>
      </c>
      <c r="K7992" s="1" t="s">
        <v>34</v>
      </c>
      <c r="M7992" s="2">
        <v>42445</v>
      </c>
      <c r="N7992" s="1" t="s">
        <v>8</v>
      </c>
      <c r="O7992" s="2">
        <v>44636</v>
      </c>
    </row>
    <row r="7993" spans="1:15" ht="28.8" x14ac:dyDescent="0.3">
      <c r="A7993" s="1" t="s">
        <v>811</v>
      </c>
      <c r="B7993" s="1" t="str">
        <f>"Reginald thomas Roderick A1 SKIPS"</f>
        <v>Reginald thomas Roderick A1 SKIPS</v>
      </c>
      <c r="C7993" s="1" t="s">
        <v>812</v>
      </c>
      <c r="F7993" s="1" t="s">
        <v>91</v>
      </c>
      <c r="H7993" s="1" t="s">
        <v>813</v>
      </c>
      <c r="I7993" s="1" t="s">
        <v>5</v>
      </c>
      <c r="J7993" s="1" t="s">
        <v>6</v>
      </c>
      <c r="K7993" s="1" t="s">
        <v>14</v>
      </c>
      <c r="M7993" s="2">
        <v>42445</v>
      </c>
      <c r="N7993" s="1" t="s">
        <v>8</v>
      </c>
      <c r="O7993" s="2">
        <v>44636</v>
      </c>
    </row>
    <row r="7994" spans="1:15" ht="43.2" x14ac:dyDescent="0.3">
      <c r="A7994" s="1" t="s">
        <v>1690</v>
      </c>
      <c r="B7994" s="1" t="str">
        <f>"Property Building Maintenance (Wales) Ltd."</f>
        <v>Property Building Maintenance (Wales) Ltd.</v>
      </c>
      <c r="C7994" s="1" t="s">
        <v>1691</v>
      </c>
      <c r="D7994" s="1" t="s">
        <v>1692</v>
      </c>
      <c r="F7994" s="1" t="s">
        <v>865</v>
      </c>
      <c r="H7994" s="1" t="s">
        <v>1693</v>
      </c>
      <c r="I7994" s="1" t="s">
        <v>19</v>
      </c>
      <c r="J7994" s="1" t="s">
        <v>6</v>
      </c>
      <c r="K7994" s="1" t="s">
        <v>34</v>
      </c>
      <c r="L7994" s="1">
        <v>3295098</v>
      </c>
      <c r="M7994" s="2">
        <v>42445</v>
      </c>
      <c r="N7994" s="1" t="s">
        <v>8</v>
      </c>
      <c r="O7994" s="2">
        <v>44636</v>
      </c>
    </row>
    <row r="7995" spans="1:15" ht="43.2" x14ac:dyDescent="0.3">
      <c r="A7995" s="1" t="s">
        <v>15198</v>
      </c>
      <c r="B7995" s="1" t="str">
        <f>"Adana Management Group Ltd"</f>
        <v>Adana Management Group Ltd</v>
      </c>
      <c r="C7995" s="1" t="s">
        <v>15199</v>
      </c>
      <c r="D7995" s="1" t="s">
        <v>15200</v>
      </c>
      <c r="F7995" s="1" t="s">
        <v>15201</v>
      </c>
      <c r="H7995" s="1" t="s">
        <v>15202</v>
      </c>
      <c r="I7995" s="1" t="s">
        <v>19</v>
      </c>
      <c r="J7995" s="1" t="s">
        <v>67</v>
      </c>
      <c r="K7995" s="1" t="s">
        <v>14</v>
      </c>
      <c r="M7995" s="2">
        <v>42445</v>
      </c>
      <c r="N7995" s="1" t="s">
        <v>8</v>
      </c>
      <c r="O7995" s="1" t="s">
        <v>68</v>
      </c>
    </row>
    <row r="7996" spans="1:15" ht="43.2" x14ac:dyDescent="0.3">
      <c r="A7996" s="1" t="s">
        <v>15203</v>
      </c>
      <c r="B7996" s="1" t="str">
        <f>"THOMAS REES &amp; SON LTD"</f>
        <v>THOMAS REES &amp; SON LTD</v>
      </c>
      <c r="C7996" s="1" t="s">
        <v>15204</v>
      </c>
      <c r="F7996" s="1" t="s">
        <v>541</v>
      </c>
      <c r="H7996" s="1" t="s">
        <v>15205</v>
      </c>
      <c r="I7996" s="1" t="s">
        <v>19</v>
      </c>
      <c r="J7996" s="1" t="s">
        <v>67</v>
      </c>
      <c r="K7996" s="1" t="s">
        <v>24</v>
      </c>
      <c r="L7996" s="1">
        <v>4757291</v>
      </c>
      <c r="M7996" s="2">
        <v>42445</v>
      </c>
      <c r="N7996" s="1" t="s">
        <v>8</v>
      </c>
      <c r="O7996" s="1" t="s">
        <v>68</v>
      </c>
    </row>
    <row r="7997" spans="1:15" ht="43.2" x14ac:dyDescent="0.3">
      <c r="A7997" s="1" t="s">
        <v>15206</v>
      </c>
      <c r="B7997" s="1" t="str">
        <f>"Elmpark Electrical Ltd "</f>
        <v xml:space="preserve">Elmpark Electrical Ltd </v>
      </c>
      <c r="C7997" s="1" t="s">
        <v>15207</v>
      </c>
      <c r="F7997" s="1" t="s">
        <v>12217</v>
      </c>
      <c r="H7997" s="1" t="s">
        <v>15208</v>
      </c>
      <c r="I7997" s="1" t="s">
        <v>19</v>
      </c>
      <c r="J7997" s="1" t="s">
        <v>67</v>
      </c>
      <c r="K7997" s="1" t="s">
        <v>14</v>
      </c>
      <c r="M7997" s="2">
        <v>42445</v>
      </c>
      <c r="N7997" s="1" t="s">
        <v>8</v>
      </c>
      <c r="O7997" s="1" t="s">
        <v>68</v>
      </c>
    </row>
    <row r="7998" spans="1:15" ht="43.2" x14ac:dyDescent="0.3">
      <c r="A7998" s="1" t="s">
        <v>15209</v>
      </c>
      <c r="B7998" s="1" t="str">
        <f>"Ken's Tipper Hire Ltd."</f>
        <v>Ken's Tipper Hire Ltd.</v>
      </c>
      <c r="C7998" s="1" t="s">
        <v>15210</v>
      </c>
      <c r="F7998" s="1" t="s">
        <v>15211</v>
      </c>
      <c r="H7998" s="1" t="s">
        <v>15212</v>
      </c>
      <c r="I7998" s="1" t="s">
        <v>19</v>
      </c>
      <c r="J7998" s="1" t="s">
        <v>67</v>
      </c>
      <c r="K7998" s="1" t="s">
        <v>24</v>
      </c>
      <c r="L7998" s="1">
        <v>3736006</v>
      </c>
      <c r="M7998" s="2">
        <v>42445</v>
      </c>
      <c r="N7998" s="1" t="s">
        <v>8</v>
      </c>
      <c r="O7998" s="1" t="s">
        <v>68</v>
      </c>
    </row>
    <row r="7999" spans="1:15" ht="43.2" x14ac:dyDescent="0.3">
      <c r="A7999" s="1" t="s">
        <v>15213</v>
      </c>
      <c r="B7999" s="1" t="str">
        <f>"Wecori Ltd"</f>
        <v>Wecori Ltd</v>
      </c>
      <c r="C7999" s="1" t="s">
        <v>10951</v>
      </c>
      <c r="D7999" s="1" t="s">
        <v>10952</v>
      </c>
      <c r="E7999" s="1" t="s">
        <v>6825</v>
      </c>
      <c r="F7999" s="1" t="s">
        <v>65</v>
      </c>
      <c r="H7999" s="1" t="s">
        <v>10953</v>
      </c>
      <c r="I7999" s="1" t="s">
        <v>19</v>
      </c>
      <c r="J7999" s="1" t="s">
        <v>67</v>
      </c>
      <c r="K7999" s="1" t="s">
        <v>14</v>
      </c>
      <c r="M7999" s="2">
        <v>42445</v>
      </c>
      <c r="N7999" s="1" t="s">
        <v>8</v>
      </c>
      <c r="O7999" s="1" t="s">
        <v>68</v>
      </c>
    </row>
    <row r="8000" spans="1:15" ht="28.8" x14ac:dyDescent="0.3">
      <c r="A8000" s="1" t="s">
        <v>15214</v>
      </c>
      <c r="B8000" s="1" t="str">
        <f>"Williams Plant Hire Ltd."</f>
        <v>Williams Plant Hire Ltd.</v>
      </c>
      <c r="C8000" s="1" t="s">
        <v>15215</v>
      </c>
      <c r="F8000" s="1" t="s">
        <v>445</v>
      </c>
      <c r="H8000" s="1" t="s">
        <v>15216</v>
      </c>
      <c r="I8000" s="1" t="s">
        <v>19</v>
      </c>
      <c r="J8000" s="1" t="s">
        <v>6</v>
      </c>
      <c r="K8000" s="1" t="s">
        <v>34</v>
      </c>
      <c r="L8000" s="1">
        <v>2215717</v>
      </c>
      <c r="M8000" s="2">
        <v>42445</v>
      </c>
      <c r="N8000" s="1" t="s">
        <v>8</v>
      </c>
      <c r="O8000" s="2">
        <v>43560</v>
      </c>
    </row>
    <row r="8001" spans="1:15" ht="43.2" x14ac:dyDescent="0.3">
      <c r="A8001" s="1" t="s">
        <v>15217</v>
      </c>
      <c r="B8001" s="1" t="str">
        <f>"Red Dragon Cleaning &amp; Restoration "</f>
        <v xml:space="preserve">Red Dragon Cleaning &amp; Restoration </v>
      </c>
      <c r="C8001" s="1" t="s">
        <v>15218</v>
      </c>
      <c r="D8001" s="1" t="s">
        <v>15219</v>
      </c>
      <c r="F8001" s="1" t="s">
        <v>42</v>
      </c>
      <c r="H8001" s="1" t="s">
        <v>15220</v>
      </c>
      <c r="I8001" s="1" t="s">
        <v>19</v>
      </c>
      <c r="J8001" s="1" t="s">
        <v>67</v>
      </c>
      <c r="K8001" s="1" t="s">
        <v>24</v>
      </c>
      <c r="L8001" s="1">
        <v>3273244</v>
      </c>
      <c r="M8001" s="2">
        <v>42445</v>
      </c>
      <c r="N8001" s="1" t="s">
        <v>8</v>
      </c>
      <c r="O8001" s="1" t="s">
        <v>68</v>
      </c>
    </row>
    <row r="8002" spans="1:15" ht="43.2" x14ac:dyDescent="0.3">
      <c r="A8002" s="1" t="s">
        <v>15221</v>
      </c>
      <c r="B8002" s="1" t="str">
        <f>"Llantrisant Community Council"</f>
        <v>Llantrisant Community Council</v>
      </c>
      <c r="C8002" s="1" t="s">
        <v>15222</v>
      </c>
      <c r="D8002" s="1" t="s">
        <v>733</v>
      </c>
      <c r="F8002" s="1" t="s">
        <v>873</v>
      </c>
      <c r="H8002" s="1" t="s">
        <v>15223</v>
      </c>
      <c r="I8002" s="1" t="s">
        <v>188</v>
      </c>
      <c r="J8002" s="1" t="s">
        <v>67</v>
      </c>
      <c r="K8002" s="1" t="s">
        <v>24</v>
      </c>
      <c r="M8002" s="2">
        <v>42445</v>
      </c>
      <c r="N8002" s="1" t="s">
        <v>8</v>
      </c>
      <c r="O8002" s="1" t="s">
        <v>68</v>
      </c>
    </row>
    <row r="8003" spans="1:15" ht="28.8" x14ac:dyDescent="0.3">
      <c r="A8003" s="1" t="s">
        <v>443</v>
      </c>
      <c r="B8003" s="1" t="str">
        <f>"PHILLIP DAVIES CONSTRUCTION LTD"</f>
        <v>PHILLIP DAVIES CONSTRUCTION LTD</v>
      </c>
      <c r="C8003" s="1" t="s">
        <v>444</v>
      </c>
      <c r="F8003" s="1" t="s">
        <v>445</v>
      </c>
      <c r="H8003" s="1" t="s">
        <v>446</v>
      </c>
      <c r="I8003" s="1" t="s">
        <v>19</v>
      </c>
      <c r="J8003" s="1" t="s">
        <v>6</v>
      </c>
      <c r="K8003" s="1" t="s">
        <v>24</v>
      </c>
      <c r="L8003" s="1">
        <v>4878699</v>
      </c>
      <c r="M8003" s="2">
        <v>42444</v>
      </c>
      <c r="N8003" s="1" t="s">
        <v>8</v>
      </c>
      <c r="O8003" s="2">
        <v>44635</v>
      </c>
    </row>
    <row r="8004" spans="1:15" ht="28.8" x14ac:dyDescent="0.3">
      <c r="A8004" s="1" t="s">
        <v>723</v>
      </c>
      <c r="B8004" s="1" t="str">
        <f>"Principality Landscaping LTD"</f>
        <v>Principality Landscaping LTD</v>
      </c>
      <c r="C8004" s="1" t="s">
        <v>724</v>
      </c>
      <c r="D8004" s="1" t="s">
        <v>725</v>
      </c>
      <c r="E8004" s="1" t="s">
        <v>726</v>
      </c>
      <c r="F8004" s="1" t="s">
        <v>174</v>
      </c>
      <c r="H8004" s="1" t="s">
        <v>727</v>
      </c>
      <c r="I8004" s="1" t="s">
        <v>19</v>
      </c>
      <c r="J8004" s="1" t="s">
        <v>6</v>
      </c>
      <c r="K8004" s="1" t="s">
        <v>34</v>
      </c>
      <c r="L8004" s="1">
        <v>4515056</v>
      </c>
      <c r="M8004" s="2">
        <v>42444</v>
      </c>
      <c r="N8004" s="1" t="s">
        <v>8</v>
      </c>
      <c r="O8004" s="2">
        <v>44635</v>
      </c>
    </row>
    <row r="8005" spans="1:15" ht="28.8" x14ac:dyDescent="0.3">
      <c r="A8005" s="1" t="s">
        <v>924</v>
      </c>
      <c r="B8005" s="1" t="str">
        <f>"Noel Fitzpatrick Ltd."</f>
        <v>Noel Fitzpatrick Ltd.</v>
      </c>
      <c r="C8005" s="1" t="s">
        <v>925</v>
      </c>
      <c r="F8005" s="1" t="s">
        <v>91</v>
      </c>
      <c r="H8005" s="1" t="s">
        <v>926</v>
      </c>
      <c r="I8005" s="1" t="s">
        <v>19</v>
      </c>
      <c r="J8005" s="1" t="s">
        <v>6</v>
      </c>
      <c r="K8005" s="1" t="s">
        <v>34</v>
      </c>
      <c r="L8005" s="1">
        <v>1388562</v>
      </c>
      <c r="M8005" s="2">
        <v>42444</v>
      </c>
      <c r="N8005" s="1" t="s">
        <v>8</v>
      </c>
      <c r="O8005" s="2">
        <v>44635</v>
      </c>
    </row>
    <row r="8006" spans="1:15" ht="28.8" x14ac:dyDescent="0.3">
      <c r="A8006" s="1" t="s">
        <v>932</v>
      </c>
      <c r="B8006" s="1" t="str">
        <f>"P J  Saunders Ltd."</f>
        <v>P J  Saunders Ltd.</v>
      </c>
      <c r="C8006" s="1" t="s">
        <v>933</v>
      </c>
      <c r="D8006" s="1" t="s">
        <v>934</v>
      </c>
      <c r="F8006" s="1" t="s">
        <v>873</v>
      </c>
      <c r="H8006" s="1" t="s">
        <v>935</v>
      </c>
      <c r="I8006" s="1" t="s">
        <v>19</v>
      </c>
      <c r="J8006" s="1" t="s">
        <v>6</v>
      </c>
      <c r="K8006" s="1" t="s">
        <v>34</v>
      </c>
      <c r="L8006" s="1">
        <v>1828027</v>
      </c>
      <c r="M8006" s="2">
        <v>42444</v>
      </c>
      <c r="N8006" s="1" t="s">
        <v>8</v>
      </c>
      <c r="O8006" s="2">
        <v>44635</v>
      </c>
    </row>
    <row r="8007" spans="1:15" ht="28.8" x14ac:dyDescent="0.3">
      <c r="A8007" s="1" t="s">
        <v>964</v>
      </c>
      <c r="B8007" s="1" t="str">
        <f>"J S BOWSHER LTD"</f>
        <v>J S BOWSHER LTD</v>
      </c>
      <c r="C8007" s="1" t="s">
        <v>965</v>
      </c>
      <c r="F8007" s="1" t="s">
        <v>298</v>
      </c>
      <c r="H8007" s="1" t="s">
        <v>966</v>
      </c>
      <c r="I8007" s="1" t="s">
        <v>19</v>
      </c>
      <c r="J8007" s="1" t="s">
        <v>6</v>
      </c>
      <c r="K8007" s="1" t="s">
        <v>34</v>
      </c>
      <c r="L8007" s="1">
        <v>2275171</v>
      </c>
      <c r="M8007" s="2">
        <v>42444</v>
      </c>
      <c r="N8007" s="1" t="s">
        <v>8</v>
      </c>
      <c r="O8007" s="2">
        <v>44635</v>
      </c>
    </row>
    <row r="8008" spans="1:15" ht="28.8" x14ac:dyDescent="0.3">
      <c r="A8008" s="1" t="s">
        <v>1069</v>
      </c>
      <c r="B8008" s="1" t="str">
        <f>"Vaughan Transport Systems Ltd."</f>
        <v>Vaughan Transport Systems Ltd.</v>
      </c>
      <c r="C8008" s="1" t="s">
        <v>1070</v>
      </c>
      <c r="F8008" s="1" t="s">
        <v>298</v>
      </c>
      <c r="H8008" s="1" t="s">
        <v>1071</v>
      </c>
      <c r="I8008" s="1" t="s">
        <v>19</v>
      </c>
      <c r="J8008" s="1" t="s">
        <v>6</v>
      </c>
      <c r="K8008" s="1" t="s">
        <v>24</v>
      </c>
      <c r="L8008" s="1">
        <v>674069</v>
      </c>
      <c r="M8008" s="2">
        <v>42444</v>
      </c>
      <c r="N8008" s="1" t="s">
        <v>8</v>
      </c>
      <c r="O8008" s="2">
        <v>44635</v>
      </c>
    </row>
    <row r="8009" spans="1:15" ht="28.8" x14ac:dyDescent="0.3">
      <c r="A8009" s="1" t="s">
        <v>1113</v>
      </c>
      <c r="B8009" s="1" t="str">
        <f>"HUNT H &amp; SONS LTD"</f>
        <v>HUNT H &amp; SONS LTD</v>
      </c>
      <c r="C8009" s="1" t="s">
        <v>1114</v>
      </c>
      <c r="F8009" s="1" t="s">
        <v>1115</v>
      </c>
      <c r="H8009" s="1" t="s">
        <v>1116</v>
      </c>
      <c r="I8009" s="1" t="s">
        <v>19</v>
      </c>
      <c r="J8009" s="1" t="s">
        <v>6</v>
      </c>
      <c r="K8009" s="1" t="s">
        <v>24</v>
      </c>
      <c r="L8009" s="1">
        <v>2924307</v>
      </c>
      <c r="M8009" s="2">
        <v>42444</v>
      </c>
      <c r="N8009" s="1" t="s">
        <v>8</v>
      </c>
      <c r="O8009" s="2">
        <v>44635</v>
      </c>
    </row>
    <row r="8010" spans="1:15" ht="28.8" x14ac:dyDescent="0.3">
      <c r="A8010" s="1" t="s">
        <v>1130</v>
      </c>
      <c r="B8010" s="1" t="str">
        <f>"DHG Civil Engineering Ltd"</f>
        <v>DHG Civil Engineering Ltd</v>
      </c>
      <c r="C8010" s="1" t="s">
        <v>1131</v>
      </c>
      <c r="D8010" s="1" t="s">
        <v>1132</v>
      </c>
      <c r="F8010" s="1" t="s">
        <v>1133</v>
      </c>
      <c r="H8010" s="1" t="s">
        <v>1134</v>
      </c>
      <c r="I8010" s="1" t="s">
        <v>19</v>
      </c>
      <c r="J8010" s="1" t="s">
        <v>6</v>
      </c>
      <c r="K8010" s="1" t="s">
        <v>34</v>
      </c>
      <c r="L8010" s="1">
        <v>8442648</v>
      </c>
      <c r="M8010" s="2">
        <v>42444</v>
      </c>
      <c r="N8010" s="1" t="s">
        <v>8</v>
      </c>
      <c r="O8010" s="2">
        <v>44635</v>
      </c>
    </row>
    <row r="8011" spans="1:15" x14ac:dyDescent="0.3">
      <c r="A8011" s="1" t="s">
        <v>1142</v>
      </c>
      <c r="B8011" s="1" t="str">
        <f>"S Lewis Transport Ltd."</f>
        <v>S Lewis Transport Ltd.</v>
      </c>
      <c r="C8011" s="1" t="s">
        <v>1143</v>
      </c>
      <c r="F8011" s="1" t="s">
        <v>179</v>
      </c>
      <c r="H8011" s="1" t="s">
        <v>1144</v>
      </c>
      <c r="I8011" s="1" t="s">
        <v>19</v>
      </c>
      <c r="J8011" s="1" t="s">
        <v>6</v>
      </c>
      <c r="K8011" s="1" t="s">
        <v>24</v>
      </c>
      <c r="L8011" s="1">
        <v>4544263</v>
      </c>
      <c r="M8011" s="2">
        <v>42444</v>
      </c>
      <c r="N8011" s="1" t="s">
        <v>8</v>
      </c>
      <c r="O8011" s="2">
        <v>44635</v>
      </c>
    </row>
    <row r="8012" spans="1:15" ht="28.8" x14ac:dyDescent="0.3">
      <c r="A8012" s="1" t="s">
        <v>1208</v>
      </c>
      <c r="B8012" s="1" t="str">
        <f>"MARSHALLSEA SKIP HIRE"</f>
        <v>MARSHALLSEA SKIP HIRE</v>
      </c>
      <c r="C8012" s="1" t="s">
        <v>1209</v>
      </c>
      <c r="F8012" s="1" t="s">
        <v>277</v>
      </c>
      <c r="H8012" s="1" t="s">
        <v>1210</v>
      </c>
      <c r="I8012" s="1" t="s">
        <v>125</v>
      </c>
      <c r="J8012" s="1" t="s">
        <v>6</v>
      </c>
      <c r="K8012" s="1" t="s">
        <v>34</v>
      </c>
      <c r="M8012" s="2">
        <v>42444</v>
      </c>
      <c r="N8012" s="1" t="s">
        <v>8</v>
      </c>
      <c r="O8012" s="2">
        <v>44635</v>
      </c>
    </row>
    <row r="8013" spans="1:15" ht="28.8" x14ac:dyDescent="0.3">
      <c r="A8013" s="1" t="s">
        <v>1288</v>
      </c>
      <c r="B8013" s="1" t="str">
        <f>"Mark Grist m a grist"</f>
        <v>Mark Grist m a grist</v>
      </c>
      <c r="C8013" s="1" t="s">
        <v>1289</v>
      </c>
      <c r="F8013" s="1" t="s">
        <v>621</v>
      </c>
      <c r="H8013" s="1" t="s">
        <v>1290</v>
      </c>
      <c r="I8013" s="1" t="s">
        <v>5</v>
      </c>
      <c r="J8013" s="1" t="s">
        <v>6</v>
      </c>
      <c r="K8013" s="1" t="s">
        <v>34</v>
      </c>
      <c r="M8013" s="2">
        <v>42444</v>
      </c>
      <c r="N8013" s="1" t="s">
        <v>8</v>
      </c>
      <c r="O8013" s="2">
        <v>44635</v>
      </c>
    </row>
    <row r="8014" spans="1:15" ht="43.2" x14ac:dyDescent="0.3">
      <c r="A8014" s="1" t="s">
        <v>1387</v>
      </c>
      <c r="B8014" s="1" t="str">
        <f>"Pipework Mechanics Ltd."</f>
        <v>Pipework Mechanics Ltd.</v>
      </c>
      <c r="C8014" s="1" t="s">
        <v>1388</v>
      </c>
      <c r="D8014" s="1" t="s">
        <v>1389</v>
      </c>
      <c r="F8014" s="1" t="s">
        <v>865</v>
      </c>
      <c r="H8014" s="1" t="s">
        <v>1390</v>
      </c>
      <c r="I8014" s="1" t="s">
        <v>19</v>
      </c>
      <c r="J8014" s="1" t="s">
        <v>6</v>
      </c>
      <c r="K8014" s="1" t="s">
        <v>24</v>
      </c>
      <c r="L8014" s="1">
        <v>1793654</v>
      </c>
      <c r="M8014" s="2">
        <v>42444</v>
      </c>
      <c r="N8014" s="1" t="s">
        <v>8</v>
      </c>
      <c r="O8014" s="2">
        <v>44635</v>
      </c>
    </row>
    <row r="8015" spans="1:15" ht="28.8" x14ac:dyDescent="0.3">
      <c r="A8015" s="1" t="s">
        <v>1547</v>
      </c>
      <c r="B8015" s="1" t="str">
        <f>"erika thornton ETB haulage"</f>
        <v>erika thornton ETB haulage</v>
      </c>
      <c r="C8015" s="1" t="s">
        <v>1548</v>
      </c>
      <c r="D8015" s="1" t="s">
        <v>1549</v>
      </c>
      <c r="F8015" s="1" t="s">
        <v>198</v>
      </c>
      <c r="H8015" s="1" t="s">
        <v>1550</v>
      </c>
      <c r="I8015" s="1" t="s">
        <v>5</v>
      </c>
      <c r="J8015" s="1" t="s">
        <v>6</v>
      </c>
      <c r="K8015" s="1" t="s">
        <v>24</v>
      </c>
      <c r="M8015" s="2">
        <v>42444</v>
      </c>
      <c r="N8015" s="1" t="s">
        <v>8</v>
      </c>
      <c r="O8015" s="2">
        <v>44635</v>
      </c>
    </row>
    <row r="8016" spans="1:15" ht="28.8" x14ac:dyDescent="0.3">
      <c r="A8016" s="1" t="s">
        <v>1717</v>
      </c>
      <c r="B8016" s="1" t="str">
        <f>"R.E. PLANT HIRE LTD"</f>
        <v>R.E. PLANT HIRE LTD</v>
      </c>
      <c r="C8016" s="1" t="s">
        <v>1718</v>
      </c>
      <c r="D8016" s="1" t="s">
        <v>1719</v>
      </c>
      <c r="F8016" s="1" t="s">
        <v>1720</v>
      </c>
      <c r="H8016" s="1" t="s">
        <v>1721</v>
      </c>
      <c r="I8016" s="1" t="s">
        <v>19</v>
      </c>
      <c r="J8016" s="1" t="s">
        <v>6</v>
      </c>
      <c r="K8016" s="1" t="s">
        <v>24</v>
      </c>
      <c r="L8016" s="1">
        <v>1185210</v>
      </c>
      <c r="M8016" s="2">
        <v>42444</v>
      </c>
      <c r="N8016" s="1" t="s">
        <v>8</v>
      </c>
      <c r="O8016" s="2">
        <v>44635</v>
      </c>
    </row>
    <row r="8017" spans="1:15" ht="28.8" x14ac:dyDescent="0.3">
      <c r="A8017" s="1" t="s">
        <v>1771</v>
      </c>
      <c r="B8017" s="1" t="str">
        <f>"Andrew Webb Webbs Landscapes"</f>
        <v>Andrew Webb Webbs Landscapes</v>
      </c>
      <c r="C8017" s="1" t="s">
        <v>1772</v>
      </c>
      <c r="F8017" s="1" t="s">
        <v>27</v>
      </c>
      <c r="H8017" s="1" t="s">
        <v>1773</v>
      </c>
      <c r="I8017" s="1" t="s">
        <v>5</v>
      </c>
      <c r="J8017" s="1" t="s">
        <v>6</v>
      </c>
      <c r="K8017" s="1" t="s">
        <v>24</v>
      </c>
      <c r="M8017" s="2">
        <v>42444</v>
      </c>
      <c r="N8017" s="1" t="s">
        <v>8</v>
      </c>
      <c r="O8017" s="2">
        <v>44635</v>
      </c>
    </row>
    <row r="8018" spans="1:15" ht="43.2" x14ac:dyDescent="0.3">
      <c r="A8018" s="1" t="s">
        <v>12265</v>
      </c>
      <c r="B8018" s="1" t="str">
        <f>"AA Home Emergency Services  AAISLtd"</f>
        <v>AA Home Emergency Services  AAISLtd</v>
      </c>
      <c r="C8018" s="1" t="s">
        <v>12266</v>
      </c>
      <c r="F8018" s="1" t="s">
        <v>5841</v>
      </c>
      <c r="H8018" s="1" t="s">
        <v>12267</v>
      </c>
      <c r="I8018" s="1" t="s">
        <v>19</v>
      </c>
      <c r="J8018" s="1" t="s">
        <v>67</v>
      </c>
      <c r="K8018" s="1" t="s">
        <v>14</v>
      </c>
      <c r="M8018" s="2">
        <v>42444</v>
      </c>
      <c r="N8018" s="1" t="s">
        <v>8</v>
      </c>
      <c r="O8018" s="1" t="s">
        <v>68</v>
      </c>
    </row>
    <row r="8019" spans="1:15" ht="43.2" x14ac:dyDescent="0.3">
      <c r="A8019" s="1" t="s">
        <v>12268</v>
      </c>
      <c r="B8019" s="1" t="str">
        <f>"Riverside Industrial Equipment Ltd."</f>
        <v>Riverside Industrial Equipment Ltd.</v>
      </c>
      <c r="C8019" s="1" t="s">
        <v>12269</v>
      </c>
      <c r="D8019" s="1" t="s">
        <v>179</v>
      </c>
      <c r="F8019" s="1" t="s">
        <v>179</v>
      </c>
      <c r="H8019" s="1" t="s">
        <v>10752</v>
      </c>
      <c r="I8019" s="1" t="s">
        <v>19</v>
      </c>
      <c r="J8019" s="1" t="s">
        <v>67</v>
      </c>
      <c r="K8019" s="1" t="s">
        <v>24</v>
      </c>
      <c r="L8019" s="1">
        <v>1711968</v>
      </c>
      <c r="M8019" s="2">
        <v>42444</v>
      </c>
      <c r="N8019" s="1" t="s">
        <v>8</v>
      </c>
      <c r="O8019" s="1" t="s">
        <v>68</v>
      </c>
    </row>
    <row r="8020" spans="1:15" ht="43.2" x14ac:dyDescent="0.3">
      <c r="A8020" s="1" t="s">
        <v>12270</v>
      </c>
      <c r="B8020" s="1" t="str">
        <f>"J G W Glover and Sons"</f>
        <v>J G W Glover and Sons</v>
      </c>
      <c r="C8020" s="1" t="s">
        <v>12271</v>
      </c>
      <c r="D8020" s="1" t="s">
        <v>12272</v>
      </c>
      <c r="F8020" s="1" t="s">
        <v>198</v>
      </c>
      <c r="H8020" s="1" t="s">
        <v>12273</v>
      </c>
      <c r="I8020" s="1" t="s">
        <v>125</v>
      </c>
      <c r="J8020" s="1" t="s">
        <v>67</v>
      </c>
      <c r="K8020" s="1" t="s">
        <v>24</v>
      </c>
      <c r="M8020" s="2">
        <v>42444</v>
      </c>
      <c r="N8020" s="1" t="s">
        <v>8</v>
      </c>
      <c r="O8020" s="1" t="s">
        <v>68</v>
      </c>
    </row>
    <row r="8021" spans="1:15" ht="43.2" x14ac:dyDescent="0.3">
      <c r="A8021" s="1" t="s">
        <v>12274</v>
      </c>
      <c r="B8021" s="1" t="str">
        <f>"SIT DENIS"</f>
        <v>SIT DENIS</v>
      </c>
      <c r="C8021" s="1" t="s">
        <v>12275</v>
      </c>
      <c r="G8021" s="1" t="s">
        <v>8073</v>
      </c>
      <c r="I8021" s="1" t="s">
        <v>19</v>
      </c>
      <c r="J8021" s="1" t="s">
        <v>67</v>
      </c>
      <c r="K8021" s="1" t="s">
        <v>14</v>
      </c>
      <c r="M8021" s="2">
        <v>42444</v>
      </c>
      <c r="N8021" s="1" t="s">
        <v>8</v>
      </c>
      <c r="O8021" s="1" t="s">
        <v>68</v>
      </c>
    </row>
    <row r="8022" spans="1:15" ht="43.2" x14ac:dyDescent="0.3">
      <c r="A8022" s="1" t="s">
        <v>13409</v>
      </c>
      <c r="B8022" s="1" t="str">
        <f>"Wales Environmental Ltd."</f>
        <v>Wales Environmental Ltd.</v>
      </c>
      <c r="C8022" s="1" t="s">
        <v>222</v>
      </c>
      <c r="F8022" s="1" t="s">
        <v>223</v>
      </c>
      <c r="H8022" s="1" t="s">
        <v>224</v>
      </c>
      <c r="I8022" s="1" t="s">
        <v>19</v>
      </c>
      <c r="J8022" s="1" t="s">
        <v>67</v>
      </c>
      <c r="K8022" s="1" t="s">
        <v>34</v>
      </c>
      <c r="L8022" s="1">
        <v>2530769</v>
      </c>
      <c r="M8022" s="2">
        <v>42444</v>
      </c>
      <c r="N8022" s="1" t="s">
        <v>8</v>
      </c>
      <c r="O8022" s="1" t="s">
        <v>68</v>
      </c>
    </row>
    <row r="8023" spans="1:15" ht="43.2" x14ac:dyDescent="0.3">
      <c r="A8023" s="1" t="s">
        <v>14303</v>
      </c>
      <c r="B8023" s="1" t="str">
        <f>"Kitchen Genie(Swansea) Ltd"</f>
        <v>Kitchen Genie(Swansea) Ltd</v>
      </c>
      <c r="C8023" s="1" t="s">
        <v>14304</v>
      </c>
      <c r="D8023" s="1" t="s">
        <v>14305</v>
      </c>
      <c r="F8023" s="1" t="s">
        <v>1351</v>
      </c>
      <c r="H8023" s="1" t="s">
        <v>14306</v>
      </c>
      <c r="I8023" s="1" t="s">
        <v>19</v>
      </c>
      <c r="J8023" s="1" t="s">
        <v>67</v>
      </c>
      <c r="K8023" s="1" t="s">
        <v>14</v>
      </c>
      <c r="M8023" s="2">
        <v>42444</v>
      </c>
      <c r="N8023" s="1" t="s">
        <v>8</v>
      </c>
      <c r="O8023" s="1" t="s">
        <v>68</v>
      </c>
    </row>
    <row r="8024" spans="1:15" ht="28.8" x14ac:dyDescent="0.3">
      <c r="A8024" s="1" t="s">
        <v>85</v>
      </c>
      <c r="B8024" s="1" t="str">
        <f>"Philip Jordan Barrett Timber"</f>
        <v>Philip Jordan Barrett Timber</v>
      </c>
      <c r="C8024" s="1" t="s">
        <v>86</v>
      </c>
      <c r="D8024" s="1" t="s">
        <v>87</v>
      </c>
      <c r="F8024" s="1" t="s">
        <v>56</v>
      </c>
      <c r="G8024" s="1" t="s">
        <v>51</v>
      </c>
      <c r="H8024" s="1" t="s">
        <v>88</v>
      </c>
      <c r="I8024" s="1" t="s">
        <v>5</v>
      </c>
      <c r="J8024" s="1" t="s">
        <v>6</v>
      </c>
      <c r="K8024" s="1" t="s">
        <v>34</v>
      </c>
      <c r="M8024" s="2">
        <v>42443</v>
      </c>
      <c r="N8024" s="1" t="s">
        <v>8</v>
      </c>
      <c r="O8024" s="2">
        <v>44634</v>
      </c>
    </row>
    <row r="8025" spans="1:15" ht="28.8" x14ac:dyDescent="0.3">
      <c r="A8025" s="1" t="s">
        <v>418</v>
      </c>
      <c r="B8025" s="1" t="str">
        <f>"Warmplan Heating Engineers LTD"</f>
        <v>Warmplan Heating Engineers LTD</v>
      </c>
      <c r="C8025" s="1" t="s">
        <v>419</v>
      </c>
      <c r="D8025" s="1" t="s">
        <v>420</v>
      </c>
      <c r="F8025" s="1" t="s">
        <v>27</v>
      </c>
      <c r="H8025" s="1" t="s">
        <v>421</v>
      </c>
      <c r="I8025" s="1" t="s">
        <v>19</v>
      </c>
      <c r="J8025" s="1" t="s">
        <v>6</v>
      </c>
      <c r="K8025" s="1" t="s">
        <v>24</v>
      </c>
      <c r="L8025" s="1">
        <v>1219788</v>
      </c>
      <c r="M8025" s="2">
        <v>42443</v>
      </c>
      <c r="N8025" s="1" t="s">
        <v>8</v>
      </c>
      <c r="O8025" s="2">
        <v>44634</v>
      </c>
    </row>
    <row r="8026" spans="1:15" ht="28.8" x14ac:dyDescent="0.3">
      <c r="A8026" s="1" t="s">
        <v>604</v>
      </c>
      <c r="B8026" s="1" t="str">
        <f>"Brian Davies Ltd."</f>
        <v>Brian Davies Ltd.</v>
      </c>
      <c r="C8026" s="1" t="s">
        <v>605</v>
      </c>
      <c r="D8026" s="1" t="s">
        <v>606</v>
      </c>
      <c r="F8026" s="1" t="s">
        <v>607</v>
      </c>
      <c r="H8026" s="1" t="s">
        <v>608</v>
      </c>
      <c r="I8026" s="1" t="s">
        <v>19</v>
      </c>
      <c r="J8026" s="1" t="s">
        <v>6</v>
      </c>
      <c r="K8026" s="1" t="s">
        <v>34</v>
      </c>
      <c r="L8026" s="1">
        <v>6632669</v>
      </c>
      <c r="M8026" s="2">
        <v>42443</v>
      </c>
      <c r="N8026" s="1" t="s">
        <v>8</v>
      </c>
      <c r="O8026" s="2">
        <v>44634</v>
      </c>
    </row>
    <row r="8027" spans="1:15" ht="28.8" x14ac:dyDescent="0.3">
      <c r="A8027" s="1" t="s">
        <v>763</v>
      </c>
      <c r="B8027" s="1" t="str">
        <f>"Andrew Griffiths AL Griffiths"</f>
        <v>Andrew Griffiths AL Griffiths</v>
      </c>
      <c r="C8027" s="1" t="s">
        <v>764</v>
      </c>
      <c r="D8027" s="1" t="s">
        <v>765</v>
      </c>
      <c r="E8027" s="1" t="s">
        <v>766</v>
      </c>
      <c r="F8027" s="1" t="s">
        <v>767</v>
      </c>
      <c r="G8027" s="1" t="s">
        <v>141</v>
      </c>
      <c r="H8027" s="1" t="s">
        <v>768</v>
      </c>
      <c r="I8027" s="1" t="s">
        <v>5</v>
      </c>
      <c r="J8027" s="1" t="s">
        <v>6</v>
      </c>
      <c r="K8027" s="1" t="s">
        <v>24</v>
      </c>
      <c r="M8027" s="2">
        <v>42443</v>
      </c>
      <c r="N8027" s="1" t="s">
        <v>8</v>
      </c>
      <c r="O8027" s="2">
        <v>44634</v>
      </c>
    </row>
    <row r="8028" spans="1:15" ht="28.8" x14ac:dyDescent="0.3">
      <c r="A8028" s="1" t="s">
        <v>927</v>
      </c>
      <c r="B8028" s="1" t="str">
        <f>"M Camilleri &amp; Sons Roofing Ltd."</f>
        <v>M Camilleri &amp; Sons Roofing Ltd.</v>
      </c>
      <c r="C8028" s="1" t="s">
        <v>928</v>
      </c>
      <c r="D8028" s="1" t="s">
        <v>929</v>
      </c>
      <c r="F8028" s="1" t="s">
        <v>930</v>
      </c>
      <c r="H8028" s="1" t="s">
        <v>931</v>
      </c>
      <c r="I8028" s="1" t="s">
        <v>19</v>
      </c>
      <c r="J8028" s="1" t="s">
        <v>6</v>
      </c>
      <c r="K8028" s="1" t="s">
        <v>34</v>
      </c>
      <c r="L8028" s="1">
        <v>2070270</v>
      </c>
      <c r="M8028" s="2">
        <v>42443</v>
      </c>
      <c r="N8028" s="1" t="s">
        <v>8</v>
      </c>
      <c r="O8028" s="2">
        <v>44634</v>
      </c>
    </row>
    <row r="8029" spans="1:15" ht="28.8" x14ac:dyDescent="0.3">
      <c r="A8029" s="1" t="s">
        <v>940</v>
      </c>
      <c r="B8029" s="1" t="str">
        <f>"GAB Building Contractors Ltd"</f>
        <v>GAB Building Contractors Ltd</v>
      </c>
      <c r="C8029" s="1" t="s">
        <v>941</v>
      </c>
      <c r="D8029" s="1" t="s">
        <v>942</v>
      </c>
      <c r="F8029" s="1" t="s">
        <v>12</v>
      </c>
      <c r="H8029" s="1" t="s">
        <v>943</v>
      </c>
      <c r="I8029" s="1" t="s">
        <v>19</v>
      </c>
      <c r="J8029" s="1" t="s">
        <v>6</v>
      </c>
      <c r="K8029" s="1" t="s">
        <v>34</v>
      </c>
      <c r="L8029" s="1">
        <v>6719549</v>
      </c>
      <c r="M8029" s="2">
        <v>42443</v>
      </c>
      <c r="N8029" s="1" t="s">
        <v>8</v>
      </c>
      <c r="O8029" s="2">
        <v>44634</v>
      </c>
    </row>
    <row r="8030" spans="1:15" ht="43.2" x14ac:dyDescent="0.3">
      <c r="A8030" s="1" t="s">
        <v>967</v>
      </c>
      <c r="B8030" s="1" t="str">
        <f>"Anstee Landscape &amp; Tree Felling Contractors Ltd."</f>
        <v>Anstee Landscape &amp; Tree Felling Contractors Ltd.</v>
      </c>
      <c r="C8030" s="1" t="s">
        <v>968</v>
      </c>
      <c r="F8030" s="1" t="s">
        <v>865</v>
      </c>
      <c r="H8030" s="1" t="s">
        <v>969</v>
      </c>
      <c r="I8030" s="1" t="s">
        <v>19</v>
      </c>
      <c r="J8030" s="1" t="s">
        <v>6</v>
      </c>
      <c r="K8030" s="1" t="s">
        <v>34</v>
      </c>
      <c r="L8030" s="1">
        <v>4435862</v>
      </c>
      <c r="M8030" s="2">
        <v>42443</v>
      </c>
      <c r="N8030" s="1" t="s">
        <v>8</v>
      </c>
      <c r="O8030" s="2">
        <v>44634</v>
      </c>
    </row>
    <row r="8031" spans="1:15" ht="28.8" x14ac:dyDescent="0.3">
      <c r="A8031" s="1" t="s">
        <v>991</v>
      </c>
      <c r="B8031" s="1" t="str">
        <f>"DS Smith Recycling UK Ltd"</f>
        <v>DS Smith Recycling UK Ltd</v>
      </c>
      <c r="C8031" s="1" t="s">
        <v>992</v>
      </c>
      <c r="F8031" s="1" t="s">
        <v>103</v>
      </c>
      <c r="H8031" s="1" t="s">
        <v>993</v>
      </c>
      <c r="I8031" s="1" t="s">
        <v>19</v>
      </c>
      <c r="J8031" s="1" t="s">
        <v>6</v>
      </c>
      <c r="K8031" s="1" t="s">
        <v>34</v>
      </c>
      <c r="L8031" s="1">
        <v>58614</v>
      </c>
      <c r="M8031" s="2">
        <v>42443</v>
      </c>
      <c r="N8031" s="1" t="s">
        <v>8</v>
      </c>
      <c r="O8031" s="2">
        <v>44634</v>
      </c>
    </row>
    <row r="8032" spans="1:15" ht="28.8" x14ac:dyDescent="0.3">
      <c r="A8032" s="1" t="s">
        <v>1023</v>
      </c>
      <c r="B8032" s="1" t="str">
        <f>"Storeglove Ltd."</f>
        <v>Storeglove Ltd.</v>
      </c>
      <c r="C8032" s="1" t="s">
        <v>1024</v>
      </c>
      <c r="D8032" s="1" t="s">
        <v>1025</v>
      </c>
      <c r="F8032" s="1" t="s">
        <v>27</v>
      </c>
      <c r="H8032" s="1" t="s">
        <v>1026</v>
      </c>
      <c r="I8032" s="1" t="s">
        <v>19</v>
      </c>
      <c r="J8032" s="1" t="s">
        <v>6</v>
      </c>
      <c r="K8032" s="1" t="s">
        <v>34</v>
      </c>
      <c r="L8032" s="1">
        <v>1890498</v>
      </c>
      <c r="M8032" s="2">
        <v>42443</v>
      </c>
      <c r="N8032" s="1" t="s">
        <v>8</v>
      </c>
      <c r="O8032" s="2">
        <v>44634</v>
      </c>
    </row>
    <row r="8033" spans="1:15" ht="28.8" x14ac:dyDescent="0.3">
      <c r="A8033" s="1" t="s">
        <v>1421</v>
      </c>
      <c r="B8033" s="1" t="str">
        <f>"Knox &amp; Wells Ltd."</f>
        <v>Knox &amp; Wells Ltd.</v>
      </c>
      <c r="C8033" s="1" t="s">
        <v>1422</v>
      </c>
      <c r="F8033" s="1" t="s">
        <v>27</v>
      </c>
      <c r="H8033" s="1" t="s">
        <v>1423</v>
      </c>
      <c r="I8033" s="1" t="s">
        <v>19</v>
      </c>
      <c r="J8033" s="1" t="s">
        <v>6</v>
      </c>
      <c r="K8033" s="1" t="s">
        <v>34</v>
      </c>
      <c r="L8033" s="1">
        <v>306681</v>
      </c>
      <c r="M8033" s="2">
        <v>42443</v>
      </c>
      <c r="N8033" s="1" t="s">
        <v>8</v>
      </c>
      <c r="O8033" s="2">
        <v>44634</v>
      </c>
    </row>
    <row r="8034" spans="1:15" ht="28.8" x14ac:dyDescent="0.3">
      <c r="A8034" s="1" t="s">
        <v>1437</v>
      </c>
      <c r="B8034" s="1" t="str">
        <f>"Leighton Carter Insulation Co.  Ltd."</f>
        <v>Leighton Carter Insulation Co.  Ltd.</v>
      </c>
      <c r="C8034" s="1" t="s">
        <v>1438</v>
      </c>
      <c r="F8034" s="1" t="s">
        <v>91</v>
      </c>
      <c r="H8034" s="1" t="s">
        <v>1439</v>
      </c>
      <c r="I8034" s="1" t="s">
        <v>19</v>
      </c>
      <c r="J8034" s="1" t="s">
        <v>6</v>
      </c>
      <c r="K8034" s="1" t="s">
        <v>34</v>
      </c>
      <c r="L8034" s="1">
        <v>1104526</v>
      </c>
      <c r="M8034" s="2">
        <v>42443</v>
      </c>
      <c r="N8034" s="1" t="s">
        <v>8</v>
      </c>
      <c r="O8034" s="2">
        <v>44634</v>
      </c>
    </row>
    <row r="8035" spans="1:15" ht="28.8" x14ac:dyDescent="0.3">
      <c r="A8035" s="1" t="s">
        <v>1470</v>
      </c>
      <c r="B8035" s="1" t="str">
        <f>"T A Roden Ltd."</f>
        <v>T A Roden Ltd.</v>
      </c>
      <c r="C8035" s="1" t="s">
        <v>1471</v>
      </c>
      <c r="D8035" s="1" t="s">
        <v>1472</v>
      </c>
      <c r="F8035" s="1" t="s">
        <v>91</v>
      </c>
      <c r="H8035" s="1" t="s">
        <v>1473</v>
      </c>
      <c r="I8035" s="1" t="s">
        <v>19</v>
      </c>
      <c r="J8035" s="1" t="s">
        <v>6</v>
      </c>
      <c r="K8035" s="1" t="s">
        <v>34</v>
      </c>
      <c r="L8035" s="1">
        <v>3674494</v>
      </c>
      <c r="M8035" s="2">
        <v>42443</v>
      </c>
      <c r="N8035" s="1" t="s">
        <v>8</v>
      </c>
      <c r="O8035" s="2">
        <v>44634</v>
      </c>
    </row>
    <row r="8036" spans="1:15" ht="28.8" x14ac:dyDescent="0.3">
      <c r="A8036" s="1" t="s">
        <v>1488</v>
      </c>
      <c r="B8036" s="1" t="str">
        <f>"David Lloyd owen DAVID LLOYD OWEN"</f>
        <v>David Lloyd owen DAVID LLOYD OWEN</v>
      </c>
      <c r="C8036" s="1" t="s">
        <v>1489</v>
      </c>
      <c r="F8036" s="1" t="s">
        <v>710</v>
      </c>
      <c r="H8036" s="1" t="s">
        <v>1490</v>
      </c>
      <c r="I8036" s="1" t="s">
        <v>5</v>
      </c>
      <c r="J8036" s="1" t="s">
        <v>6</v>
      </c>
      <c r="K8036" s="1" t="s">
        <v>34</v>
      </c>
      <c r="M8036" s="2">
        <v>42443</v>
      </c>
      <c r="N8036" s="1" t="s">
        <v>8</v>
      </c>
      <c r="O8036" s="2">
        <v>44634</v>
      </c>
    </row>
    <row r="8037" spans="1:15" x14ac:dyDescent="0.3">
      <c r="A8037" s="1" t="s">
        <v>1710</v>
      </c>
      <c r="B8037" s="1" t="str">
        <f>"J.OWEN&amp;SONS"</f>
        <v>J.OWEN&amp;SONS</v>
      </c>
      <c r="C8037" s="1" t="s">
        <v>1711</v>
      </c>
      <c r="F8037" s="1" t="s">
        <v>1400</v>
      </c>
      <c r="H8037" s="1" t="s">
        <v>1712</v>
      </c>
      <c r="I8037" s="1" t="s">
        <v>125</v>
      </c>
      <c r="J8037" s="1" t="s">
        <v>6</v>
      </c>
      <c r="K8037" s="1" t="s">
        <v>24</v>
      </c>
      <c r="M8037" s="2">
        <v>42443</v>
      </c>
      <c r="N8037" s="1" t="s">
        <v>8</v>
      </c>
      <c r="O8037" s="2">
        <v>44634</v>
      </c>
    </row>
    <row r="8038" spans="1:15" x14ac:dyDescent="0.3">
      <c r="A8038" s="1" t="s">
        <v>1909</v>
      </c>
      <c r="B8038" s="1" t="str">
        <f>"Supacleen Ltd."</f>
        <v>Supacleen Ltd.</v>
      </c>
      <c r="C8038" s="1" t="s">
        <v>1910</v>
      </c>
      <c r="F8038" s="1" t="s">
        <v>27</v>
      </c>
      <c r="H8038" s="1" t="s">
        <v>281</v>
      </c>
      <c r="I8038" s="1" t="s">
        <v>19</v>
      </c>
      <c r="J8038" s="1" t="s">
        <v>6</v>
      </c>
      <c r="K8038" s="1" t="s">
        <v>24</v>
      </c>
      <c r="L8038" s="1">
        <v>2038165</v>
      </c>
      <c r="M8038" s="2">
        <v>42443</v>
      </c>
      <c r="N8038" s="1" t="s">
        <v>8</v>
      </c>
      <c r="O8038" s="2">
        <v>44634</v>
      </c>
    </row>
    <row r="8039" spans="1:15" ht="43.2" x14ac:dyDescent="0.3">
      <c r="A8039" s="1" t="s">
        <v>11313</v>
      </c>
      <c r="B8039" s="1" t="str">
        <f>"W  H  Way &amp; Son Ltd."</f>
        <v>W  H  Way &amp; Son Ltd.</v>
      </c>
      <c r="C8039" s="1" t="s">
        <v>11314</v>
      </c>
      <c r="F8039" s="1" t="s">
        <v>277</v>
      </c>
      <c r="H8039" s="1" t="s">
        <v>11315</v>
      </c>
      <c r="I8039" s="1" t="s">
        <v>19</v>
      </c>
      <c r="J8039" s="1" t="s">
        <v>67</v>
      </c>
      <c r="K8039" s="1" t="s">
        <v>24</v>
      </c>
      <c r="L8039" s="1">
        <v>4442521</v>
      </c>
      <c r="M8039" s="2">
        <v>42443</v>
      </c>
      <c r="N8039" s="1" t="s">
        <v>8</v>
      </c>
      <c r="O8039" s="1" t="s">
        <v>68</v>
      </c>
    </row>
    <row r="8040" spans="1:15" ht="43.2" x14ac:dyDescent="0.3">
      <c r="A8040" s="1" t="s">
        <v>11316</v>
      </c>
      <c r="B8040" s="1" t="str">
        <f>"Hunter Heating Services Limited"</f>
        <v>Hunter Heating Services Limited</v>
      </c>
      <c r="C8040" s="1" t="s">
        <v>11317</v>
      </c>
      <c r="F8040" s="1" t="s">
        <v>2711</v>
      </c>
      <c r="H8040" s="1" t="s">
        <v>11318</v>
      </c>
      <c r="I8040" s="1" t="s">
        <v>19</v>
      </c>
      <c r="J8040" s="1" t="s">
        <v>67</v>
      </c>
      <c r="K8040" s="1" t="s">
        <v>14</v>
      </c>
      <c r="M8040" s="2">
        <v>42443</v>
      </c>
      <c r="N8040" s="1" t="s">
        <v>8</v>
      </c>
      <c r="O8040" s="1" t="s">
        <v>68</v>
      </c>
    </row>
    <row r="8041" spans="1:15" ht="43.2" x14ac:dyDescent="0.3">
      <c r="A8041" s="1" t="s">
        <v>11319</v>
      </c>
      <c r="B8041" s="1" t="str">
        <f>"Merlin Fire Limited"</f>
        <v>Merlin Fire Limited</v>
      </c>
      <c r="C8041" s="1" t="s">
        <v>11320</v>
      </c>
      <c r="D8041" s="1" t="s">
        <v>578</v>
      </c>
      <c r="F8041" s="1" t="s">
        <v>65</v>
      </c>
      <c r="H8041" s="1" t="s">
        <v>11321</v>
      </c>
      <c r="I8041" s="1" t="s">
        <v>19</v>
      </c>
      <c r="J8041" s="1" t="s">
        <v>67</v>
      </c>
      <c r="K8041" s="1" t="s">
        <v>14</v>
      </c>
      <c r="M8041" s="2">
        <v>42443</v>
      </c>
      <c r="N8041" s="1" t="s">
        <v>8</v>
      </c>
      <c r="O8041" s="1" t="s">
        <v>68</v>
      </c>
    </row>
    <row r="8042" spans="1:15" ht="43.2" x14ac:dyDescent="0.3">
      <c r="A8042" s="1" t="s">
        <v>23504</v>
      </c>
      <c r="B8042" s="1" t="str">
        <f>"Simon Leighton"</f>
        <v>Simon Leighton</v>
      </c>
      <c r="C8042" s="1" t="s">
        <v>23505</v>
      </c>
      <c r="F8042" s="1" t="s">
        <v>416</v>
      </c>
      <c r="H8042" s="1" t="s">
        <v>13408</v>
      </c>
      <c r="I8042" s="1" t="s">
        <v>5</v>
      </c>
      <c r="J8042" s="1" t="s">
        <v>67</v>
      </c>
      <c r="K8042" s="1" t="s">
        <v>14</v>
      </c>
      <c r="M8042" s="2">
        <v>42443</v>
      </c>
      <c r="N8042" s="1" t="s">
        <v>8</v>
      </c>
      <c r="O8042" s="1" t="s">
        <v>68</v>
      </c>
    </row>
    <row r="8043" spans="1:15" ht="43.2" x14ac:dyDescent="0.3">
      <c r="A8043" s="1" t="s">
        <v>23506</v>
      </c>
      <c r="B8043" s="1" t="str">
        <f>"DAVE HARDING"</f>
        <v>DAVE HARDING</v>
      </c>
      <c r="C8043" s="1" t="s">
        <v>23507</v>
      </c>
      <c r="D8043" s="1" t="s">
        <v>1472</v>
      </c>
      <c r="F8043" s="1" t="s">
        <v>91</v>
      </c>
      <c r="H8043" s="1" t="s">
        <v>1473</v>
      </c>
      <c r="I8043" s="1" t="s">
        <v>5</v>
      </c>
      <c r="J8043" s="1" t="s">
        <v>67</v>
      </c>
      <c r="K8043" s="1" t="s">
        <v>14</v>
      </c>
      <c r="M8043" s="2">
        <v>42443</v>
      </c>
      <c r="N8043" s="1" t="s">
        <v>8</v>
      </c>
      <c r="O8043" s="1" t="s">
        <v>68</v>
      </c>
    </row>
    <row r="8044" spans="1:15" ht="43.2" x14ac:dyDescent="0.3">
      <c r="A8044" s="1" t="s">
        <v>656</v>
      </c>
      <c r="B8044" s="1" t="str">
        <f>"Robert Leyshon Thomas Robert &amp; Son Gardening Services"</f>
        <v>Robert Leyshon Thomas Robert &amp; Son Gardening Services</v>
      </c>
      <c r="C8044" s="1" t="s">
        <v>657</v>
      </c>
      <c r="D8044" s="1" t="s">
        <v>658</v>
      </c>
      <c r="F8044" s="1" t="s">
        <v>12</v>
      </c>
      <c r="H8044" s="1" t="s">
        <v>659</v>
      </c>
      <c r="I8044" s="1" t="s">
        <v>5</v>
      </c>
      <c r="J8044" s="1" t="s">
        <v>6</v>
      </c>
      <c r="K8044" s="1" t="s">
        <v>24</v>
      </c>
      <c r="M8044" s="2">
        <v>42442</v>
      </c>
      <c r="N8044" s="1" t="s">
        <v>8</v>
      </c>
      <c r="O8044" s="2">
        <v>44633</v>
      </c>
    </row>
    <row r="8045" spans="1:15" x14ac:dyDescent="0.3">
      <c r="A8045" s="1" t="s">
        <v>1164</v>
      </c>
      <c r="B8045" s="1" t="str">
        <f>"ROBERT  LEWIS"</f>
        <v>ROBERT  LEWIS</v>
      </c>
      <c r="C8045" s="1" t="s">
        <v>1165</v>
      </c>
      <c r="F8045" s="1" t="s">
        <v>42</v>
      </c>
      <c r="H8045" s="1" t="s">
        <v>1166</v>
      </c>
      <c r="I8045" s="1" t="s">
        <v>5</v>
      </c>
      <c r="J8045" s="1" t="s">
        <v>6</v>
      </c>
      <c r="K8045" s="1" t="s">
        <v>24</v>
      </c>
      <c r="M8045" s="2">
        <v>42442</v>
      </c>
      <c r="N8045" s="1" t="s">
        <v>8</v>
      </c>
      <c r="O8045" s="2">
        <v>44633</v>
      </c>
    </row>
    <row r="8046" spans="1:15" ht="43.2" x14ac:dyDescent="0.3">
      <c r="A8046" s="1" t="s">
        <v>23501</v>
      </c>
      <c r="B8046" s="1" t="str">
        <f>"royston paul white"</f>
        <v>royston paul white</v>
      </c>
      <c r="C8046" s="1" t="s">
        <v>23502</v>
      </c>
      <c r="F8046" s="1" t="s">
        <v>91</v>
      </c>
      <c r="H8046" s="1" t="s">
        <v>23503</v>
      </c>
      <c r="I8046" s="1" t="s">
        <v>5</v>
      </c>
      <c r="J8046" s="1" t="s">
        <v>67</v>
      </c>
      <c r="K8046" s="1" t="s">
        <v>24</v>
      </c>
      <c r="M8046" s="2">
        <v>42442</v>
      </c>
      <c r="N8046" s="1" t="s">
        <v>8</v>
      </c>
      <c r="O8046" s="1" t="s">
        <v>68</v>
      </c>
    </row>
    <row r="8047" spans="1:15" ht="43.2" x14ac:dyDescent="0.3">
      <c r="A8047" s="1" t="s">
        <v>9164</v>
      </c>
      <c r="B8047" s="1" t="str">
        <f>"TMA HAULAGE LTD"</f>
        <v>TMA HAULAGE LTD</v>
      </c>
      <c r="C8047" s="1" t="s">
        <v>9165</v>
      </c>
      <c r="F8047" s="1" t="s">
        <v>9166</v>
      </c>
      <c r="H8047" s="1" t="s">
        <v>9167</v>
      </c>
      <c r="I8047" s="1" t="s">
        <v>19</v>
      </c>
      <c r="J8047" s="1" t="s">
        <v>67</v>
      </c>
      <c r="K8047" s="1" t="s">
        <v>14</v>
      </c>
      <c r="M8047" s="2">
        <v>42441</v>
      </c>
      <c r="N8047" s="1" t="s">
        <v>8</v>
      </c>
      <c r="O8047" s="1" t="s">
        <v>68</v>
      </c>
    </row>
    <row r="8048" spans="1:15" ht="43.2" x14ac:dyDescent="0.3">
      <c r="A8048" s="1" t="s">
        <v>23499</v>
      </c>
      <c r="B8048" s="1" t="str">
        <f>"Thomas Florence"</f>
        <v>Thomas Florence</v>
      </c>
      <c r="C8048" s="1" t="s">
        <v>23500</v>
      </c>
      <c r="F8048" s="1" t="s">
        <v>10970</v>
      </c>
      <c r="H8048" s="1" t="s">
        <v>10971</v>
      </c>
      <c r="I8048" s="1" t="s">
        <v>5</v>
      </c>
      <c r="J8048" s="1" t="s">
        <v>67</v>
      </c>
      <c r="K8048" s="1" t="s">
        <v>24</v>
      </c>
      <c r="M8048" s="2">
        <v>42441</v>
      </c>
      <c r="N8048" s="1" t="s">
        <v>8</v>
      </c>
      <c r="O8048" s="1" t="s">
        <v>68</v>
      </c>
    </row>
    <row r="8049" spans="1:15" ht="28.8" x14ac:dyDescent="0.3">
      <c r="A8049" s="1" t="s">
        <v>548</v>
      </c>
      <c r="B8049" s="1" t="str">
        <f>"Tycroes Group Ltd."</f>
        <v>Tycroes Group Ltd.</v>
      </c>
      <c r="C8049" s="1" t="s">
        <v>549</v>
      </c>
      <c r="D8049" s="1" t="s">
        <v>550</v>
      </c>
      <c r="E8049" s="1" t="s">
        <v>551</v>
      </c>
      <c r="F8049" s="1" t="s">
        <v>42</v>
      </c>
      <c r="H8049" s="1" t="s">
        <v>552</v>
      </c>
      <c r="I8049" s="1" t="s">
        <v>19</v>
      </c>
      <c r="J8049" s="1" t="s">
        <v>6</v>
      </c>
      <c r="K8049" s="1" t="s">
        <v>24</v>
      </c>
      <c r="L8049" s="1">
        <v>1194839</v>
      </c>
      <c r="M8049" s="2">
        <v>42440</v>
      </c>
      <c r="N8049" s="1" t="s">
        <v>8</v>
      </c>
      <c r="O8049" s="2">
        <v>44631</v>
      </c>
    </row>
    <row r="8050" spans="1:15" ht="28.8" x14ac:dyDescent="0.3">
      <c r="A8050" s="1" t="s">
        <v>573</v>
      </c>
      <c r="B8050" s="1" t="str">
        <f>"GLAMORGAN BRICKWORK LTD"</f>
        <v>GLAMORGAN BRICKWORK LTD</v>
      </c>
      <c r="C8050" s="1" t="s">
        <v>574</v>
      </c>
      <c r="F8050" s="1" t="s">
        <v>174</v>
      </c>
      <c r="H8050" s="1" t="s">
        <v>575</v>
      </c>
      <c r="I8050" s="1" t="s">
        <v>19</v>
      </c>
      <c r="J8050" s="1" t="s">
        <v>6</v>
      </c>
      <c r="K8050" s="1" t="s">
        <v>24</v>
      </c>
      <c r="L8050" s="1">
        <v>7724118</v>
      </c>
      <c r="M8050" s="2">
        <v>42440</v>
      </c>
      <c r="N8050" s="1" t="s">
        <v>8</v>
      </c>
      <c r="O8050" s="2">
        <v>44631</v>
      </c>
    </row>
    <row r="8051" spans="1:15" x14ac:dyDescent="0.3">
      <c r="A8051" s="1" t="s">
        <v>1519</v>
      </c>
      <c r="B8051" s="1" t="str">
        <f>"JOHN EVANS"</f>
        <v>JOHN EVANS</v>
      </c>
      <c r="C8051" s="1" t="s">
        <v>1520</v>
      </c>
      <c r="F8051" s="1" t="s">
        <v>56</v>
      </c>
      <c r="G8051" s="1" t="s">
        <v>51</v>
      </c>
      <c r="H8051" s="1" t="s">
        <v>1521</v>
      </c>
      <c r="I8051" s="1" t="s">
        <v>5</v>
      </c>
      <c r="J8051" s="1" t="s">
        <v>6</v>
      </c>
      <c r="K8051" s="1" t="s">
        <v>24</v>
      </c>
      <c r="M8051" s="2">
        <v>42440</v>
      </c>
      <c r="N8051" s="1" t="s">
        <v>8</v>
      </c>
      <c r="O8051" s="2">
        <v>44630</v>
      </c>
    </row>
    <row r="8052" spans="1:15" ht="28.8" x14ac:dyDescent="0.3">
      <c r="A8052" s="1" t="s">
        <v>1606</v>
      </c>
      <c r="B8052" s="1" t="str">
        <f>"C Ryan &amp; Son"</f>
        <v>C Ryan &amp; Son</v>
      </c>
      <c r="C8052" s="1" t="s">
        <v>1607</v>
      </c>
      <c r="D8052" s="1" t="s">
        <v>1608</v>
      </c>
      <c r="E8052" s="1" t="s">
        <v>1609</v>
      </c>
      <c r="F8052" s="1" t="s">
        <v>1610</v>
      </c>
      <c r="H8052" s="1" t="s">
        <v>1611</v>
      </c>
      <c r="I8052" s="1" t="s">
        <v>125</v>
      </c>
      <c r="J8052" s="1" t="s">
        <v>6</v>
      </c>
      <c r="K8052" s="1" t="s">
        <v>34</v>
      </c>
      <c r="M8052" s="2">
        <v>42440</v>
      </c>
      <c r="N8052" s="1" t="s">
        <v>8</v>
      </c>
      <c r="O8052" s="2">
        <v>44631</v>
      </c>
    </row>
    <row r="8053" spans="1:15" ht="43.2" x14ac:dyDescent="0.3">
      <c r="A8053" s="1" t="s">
        <v>9161</v>
      </c>
      <c r="B8053" s="1" t="str">
        <f>"Caerphilly Car Clinic LTD"</f>
        <v>Caerphilly Car Clinic LTD</v>
      </c>
      <c r="C8053" s="1" t="s">
        <v>9162</v>
      </c>
      <c r="F8053" s="1" t="s">
        <v>103</v>
      </c>
      <c r="H8053" s="1" t="s">
        <v>9163</v>
      </c>
      <c r="I8053" s="1" t="s">
        <v>19</v>
      </c>
      <c r="J8053" s="1" t="s">
        <v>67</v>
      </c>
      <c r="K8053" s="1" t="s">
        <v>14</v>
      </c>
      <c r="M8053" s="2">
        <v>42440</v>
      </c>
      <c r="N8053" s="1" t="s">
        <v>8</v>
      </c>
      <c r="O8053" s="1" t="s">
        <v>68</v>
      </c>
    </row>
    <row r="8054" spans="1:15" ht="43.2" x14ac:dyDescent="0.3">
      <c r="A8054" s="1" t="s">
        <v>22736</v>
      </c>
      <c r="B8054" s="1" t="str">
        <f>"janet wells"</f>
        <v>janet wells</v>
      </c>
      <c r="C8054" s="1" t="s">
        <v>22737</v>
      </c>
      <c r="D8054" s="1" t="s">
        <v>20827</v>
      </c>
      <c r="F8054" s="1" t="s">
        <v>277</v>
      </c>
      <c r="H8054" s="1" t="s">
        <v>22738</v>
      </c>
      <c r="I8054" s="1" t="s">
        <v>5</v>
      </c>
      <c r="J8054" s="1" t="s">
        <v>67</v>
      </c>
      <c r="K8054" s="1" t="s">
        <v>14</v>
      </c>
      <c r="M8054" s="2">
        <v>42440</v>
      </c>
      <c r="N8054" s="1" t="s">
        <v>8</v>
      </c>
      <c r="O8054" s="1" t="s">
        <v>68</v>
      </c>
    </row>
    <row r="8055" spans="1:15" ht="43.2" x14ac:dyDescent="0.3">
      <c r="A8055" s="1" t="s">
        <v>22739</v>
      </c>
      <c r="B8055" s="1" t="str">
        <f>"Liz Owen"</f>
        <v>Liz Owen</v>
      </c>
      <c r="C8055" s="1" t="s">
        <v>22740</v>
      </c>
      <c r="F8055" s="1" t="s">
        <v>3415</v>
      </c>
      <c r="H8055" s="1" t="s">
        <v>22741</v>
      </c>
      <c r="I8055" s="1" t="s">
        <v>5</v>
      </c>
      <c r="J8055" s="1" t="s">
        <v>67</v>
      </c>
      <c r="K8055" s="1" t="s">
        <v>14</v>
      </c>
      <c r="M8055" s="2">
        <v>42440</v>
      </c>
      <c r="N8055" s="1" t="s">
        <v>8</v>
      </c>
      <c r="O8055" s="1" t="s">
        <v>68</v>
      </c>
    </row>
    <row r="8056" spans="1:15" ht="28.8" x14ac:dyDescent="0.3">
      <c r="A8056" s="1" t="s">
        <v>882</v>
      </c>
      <c r="B8056" s="1" t="str">
        <f>"Emyr  Williams E W &amp; H Williams &amp; Sons"</f>
        <v>Emyr  Williams E W &amp; H Williams &amp; Sons</v>
      </c>
      <c r="C8056" s="1" t="s">
        <v>883</v>
      </c>
      <c r="F8056" s="1" t="s">
        <v>710</v>
      </c>
      <c r="H8056" s="1" t="s">
        <v>884</v>
      </c>
      <c r="I8056" s="1" t="s">
        <v>5</v>
      </c>
      <c r="J8056" s="1" t="s">
        <v>6</v>
      </c>
      <c r="K8056" s="1" t="s">
        <v>14</v>
      </c>
      <c r="M8056" s="2">
        <v>42439</v>
      </c>
      <c r="N8056" s="1" t="s">
        <v>8</v>
      </c>
      <c r="O8056" s="2">
        <v>44630</v>
      </c>
    </row>
    <row r="8057" spans="1:15" ht="28.8" x14ac:dyDescent="0.3">
      <c r="A8057" s="1" t="s">
        <v>1431</v>
      </c>
      <c r="B8057" s="1" t="str">
        <f>"John Ford &amp; Sons Ltd."</f>
        <v>John Ford &amp; Sons Ltd.</v>
      </c>
      <c r="C8057" s="1" t="s">
        <v>1432</v>
      </c>
      <c r="F8057" s="1" t="s">
        <v>27</v>
      </c>
      <c r="H8057" s="1" t="s">
        <v>1433</v>
      </c>
      <c r="I8057" s="1" t="s">
        <v>19</v>
      </c>
      <c r="J8057" s="1" t="s">
        <v>6</v>
      </c>
      <c r="K8057" s="1" t="s">
        <v>34</v>
      </c>
      <c r="L8057" s="1">
        <v>166656</v>
      </c>
      <c r="M8057" s="2">
        <v>42439</v>
      </c>
      <c r="N8057" s="1" t="s">
        <v>8</v>
      </c>
      <c r="O8057" s="2">
        <v>44630</v>
      </c>
    </row>
    <row r="8058" spans="1:15" ht="43.2" x14ac:dyDescent="0.3">
      <c r="A8058" s="1" t="s">
        <v>7966</v>
      </c>
      <c r="B8058" s="1" t="str">
        <f>"AMMAN CENTRE COMMUNITY VENTURE"</f>
        <v>AMMAN CENTRE COMMUNITY VENTURE</v>
      </c>
      <c r="C8058" s="1" t="s">
        <v>7967</v>
      </c>
      <c r="F8058" s="1" t="s">
        <v>12</v>
      </c>
      <c r="H8058" s="1" t="s">
        <v>7968</v>
      </c>
      <c r="I8058" s="1" t="s">
        <v>1872</v>
      </c>
      <c r="J8058" s="1" t="s">
        <v>67</v>
      </c>
      <c r="K8058" s="1" t="s">
        <v>14</v>
      </c>
      <c r="M8058" s="2">
        <v>42439</v>
      </c>
      <c r="N8058" s="1" t="s">
        <v>8</v>
      </c>
      <c r="O8058" s="1" t="s">
        <v>68</v>
      </c>
    </row>
    <row r="8059" spans="1:15" ht="43.2" x14ac:dyDescent="0.3">
      <c r="A8059" s="1" t="s">
        <v>22733</v>
      </c>
      <c r="B8059" s="1" t="str">
        <f>"Jim Jam"</f>
        <v>Jim Jam</v>
      </c>
      <c r="C8059" s="1" t="s">
        <v>22734</v>
      </c>
      <c r="F8059" s="1" t="s">
        <v>27</v>
      </c>
      <c r="H8059" s="1" t="s">
        <v>22735</v>
      </c>
      <c r="I8059" s="1" t="s">
        <v>5</v>
      </c>
      <c r="J8059" s="1" t="s">
        <v>67</v>
      </c>
      <c r="K8059" s="1" t="s">
        <v>14</v>
      </c>
      <c r="M8059" s="2">
        <v>42439</v>
      </c>
      <c r="N8059" s="1" t="s">
        <v>8</v>
      </c>
      <c r="O8059" s="1" t="s">
        <v>68</v>
      </c>
    </row>
    <row r="8060" spans="1:15" ht="28.8" x14ac:dyDescent="0.3">
      <c r="A8060" s="1" t="s">
        <v>25</v>
      </c>
      <c r="B8060" s="1" t="str">
        <f>"Warren  Roberts A and T Waste Management"</f>
        <v>Warren  Roberts A and T Waste Management</v>
      </c>
      <c r="C8060" s="1" t="s">
        <v>26</v>
      </c>
      <c r="F8060" s="1" t="s">
        <v>27</v>
      </c>
      <c r="H8060" s="1" t="s">
        <v>28</v>
      </c>
      <c r="I8060" s="1" t="s">
        <v>5</v>
      </c>
      <c r="J8060" s="1" t="s">
        <v>6</v>
      </c>
      <c r="K8060" s="1" t="s">
        <v>24</v>
      </c>
      <c r="M8060" s="2">
        <v>42438</v>
      </c>
      <c r="N8060" s="1" t="s">
        <v>8</v>
      </c>
      <c r="O8060" s="2">
        <v>44629</v>
      </c>
    </row>
    <row r="8061" spans="1:15" x14ac:dyDescent="0.3">
      <c r="A8061" s="1" t="s">
        <v>623</v>
      </c>
      <c r="B8061" s="1" t="str">
        <f>"MVR Solutions Ltd"</f>
        <v>MVR Solutions Ltd</v>
      </c>
      <c r="C8061" s="1" t="s">
        <v>624</v>
      </c>
      <c r="D8061" s="1" t="s">
        <v>625</v>
      </c>
      <c r="E8061" s="1" t="s">
        <v>626</v>
      </c>
      <c r="F8061" s="1" t="s">
        <v>91</v>
      </c>
      <c r="H8061" s="1" t="s">
        <v>627</v>
      </c>
      <c r="I8061" s="1" t="s">
        <v>19</v>
      </c>
      <c r="J8061" s="1" t="s">
        <v>6</v>
      </c>
      <c r="K8061" s="1" t="s">
        <v>24</v>
      </c>
      <c r="L8061" s="1">
        <v>7911495</v>
      </c>
      <c r="M8061" s="2">
        <v>42438</v>
      </c>
      <c r="N8061" s="1" t="s">
        <v>8</v>
      </c>
      <c r="O8061" s="2">
        <v>44629</v>
      </c>
    </row>
    <row r="8062" spans="1:15" ht="28.8" x14ac:dyDescent="0.3">
      <c r="A8062" s="1" t="s">
        <v>1262</v>
      </c>
      <c r="B8062" s="1" t="str">
        <f>"Raynes Scaffolding &amp; Groundworks Lt"</f>
        <v>Raynes Scaffolding &amp; Groundworks Lt</v>
      </c>
      <c r="C8062" s="1" t="s">
        <v>1263</v>
      </c>
      <c r="D8062" s="1" t="s">
        <v>1264</v>
      </c>
      <c r="F8062" s="1" t="s">
        <v>556</v>
      </c>
      <c r="H8062" s="1" t="s">
        <v>220</v>
      </c>
      <c r="I8062" s="1" t="s">
        <v>19</v>
      </c>
      <c r="J8062" s="1" t="s">
        <v>6</v>
      </c>
      <c r="K8062" s="1" t="s">
        <v>24</v>
      </c>
      <c r="L8062" s="1">
        <v>9092550</v>
      </c>
      <c r="M8062" s="2">
        <v>42438</v>
      </c>
      <c r="N8062" s="1" t="s">
        <v>8</v>
      </c>
      <c r="O8062" s="2">
        <v>44629</v>
      </c>
    </row>
    <row r="8063" spans="1:15" ht="43.2" x14ac:dyDescent="0.3">
      <c r="A8063" s="1" t="s">
        <v>1844</v>
      </c>
      <c r="B8063" s="1" t="str">
        <f>"ERH Communications Ltd."</f>
        <v>ERH Communications Ltd.</v>
      </c>
      <c r="C8063" s="1" t="s">
        <v>1845</v>
      </c>
      <c r="F8063" s="1" t="s">
        <v>380</v>
      </c>
      <c r="H8063" s="1" t="s">
        <v>1846</v>
      </c>
      <c r="I8063" s="1" t="s">
        <v>19</v>
      </c>
      <c r="J8063" s="1" t="s">
        <v>6</v>
      </c>
      <c r="K8063" s="1" t="s">
        <v>34</v>
      </c>
      <c r="L8063" s="1">
        <v>2697046</v>
      </c>
      <c r="M8063" s="2">
        <v>42438</v>
      </c>
      <c r="N8063" s="1" t="s">
        <v>8</v>
      </c>
      <c r="O8063" s="2">
        <v>44641</v>
      </c>
    </row>
    <row r="8064" spans="1:15" x14ac:dyDescent="0.3">
      <c r="A8064" s="1" t="s">
        <v>1860</v>
      </c>
      <c r="B8064" s="1" t="str">
        <f>"CYBI CYFYNGEDIG"</f>
        <v>CYBI CYFYNGEDIG</v>
      </c>
      <c r="C8064" s="1" t="s">
        <v>1861</v>
      </c>
      <c r="F8064" s="1" t="s">
        <v>790</v>
      </c>
      <c r="H8064" s="1" t="s">
        <v>1862</v>
      </c>
      <c r="I8064" s="1" t="s">
        <v>19</v>
      </c>
      <c r="J8064" s="1" t="s">
        <v>6</v>
      </c>
      <c r="K8064" s="1" t="s">
        <v>24</v>
      </c>
      <c r="L8064" s="1">
        <v>6074014</v>
      </c>
      <c r="M8064" s="2">
        <v>42438</v>
      </c>
      <c r="N8064" s="1" t="s">
        <v>8</v>
      </c>
      <c r="O8064" s="2">
        <v>44629</v>
      </c>
    </row>
    <row r="8065" spans="1:15" ht="43.2" x14ac:dyDescent="0.3">
      <c r="A8065" s="1" t="s">
        <v>6917</v>
      </c>
      <c r="B8065" s="1" t="str">
        <f>"greenthumb"</f>
        <v>greenthumb</v>
      </c>
      <c r="C8065" s="1" t="s">
        <v>6918</v>
      </c>
      <c r="D8065" s="1" t="s">
        <v>2209</v>
      </c>
      <c r="F8065" s="1" t="s">
        <v>607</v>
      </c>
      <c r="H8065" s="1" t="s">
        <v>6919</v>
      </c>
      <c r="I8065" s="1" t="s">
        <v>19</v>
      </c>
      <c r="J8065" s="1" t="s">
        <v>67</v>
      </c>
      <c r="K8065" s="1" t="s">
        <v>14</v>
      </c>
      <c r="M8065" s="2">
        <v>42438</v>
      </c>
      <c r="N8065" s="1" t="s">
        <v>8</v>
      </c>
      <c r="O8065" s="1" t="s">
        <v>68</v>
      </c>
    </row>
    <row r="8066" spans="1:15" ht="43.2" x14ac:dyDescent="0.3">
      <c r="A8066" s="1" t="s">
        <v>21182</v>
      </c>
      <c r="B8066" s="1" t="str">
        <f>"Jamie Jones"</f>
        <v>Jamie Jones</v>
      </c>
      <c r="C8066" s="1" t="s">
        <v>21183</v>
      </c>
      <c r="F8066" s="1" t="s">
        <v>146</v>
      </c>
      <c r="H8066" s="1" t="s">
        <v>21184</v>
      </c>
      <c r="I8066" s="1" t="s">
        <v>5</v>
      </c>
      <c r="J8066" s="1" t="s">
        <v>67</v>
      </c>
      <c r="K8066" s="1" t="s">
        <v>14</v>
      </c>
      <c r="M8066" s="2">
        <v>42438</v>
      </c>
      <c r="N8066" s="1" t="s">
        <v>8</v>
      </c>
      <c r="O8066" s="1" t="s">
        <v>68</v>
      </c>
    </row>
    <row r="8067" spans="1:15" ht="43.2" x14ac:dyDescent="0.3">
      <c r="A8067" s="1" t="s">
        <v>21953</v>
      </c>
      <c r="B8067" s="1" t="str">
        <f>"Martin Grundy-chalmers Martec"</f>
        <v>Martin Grundy-chalmers Martec</v>
      </c>
      <c r="C8067" s="1" t="s">
        <v>21954</v>
      </c>
      <c r="F8067" s="1" t="s">
        <v>10335</v>
      </c>
      <c r="H8067" s="1" t="s">
        <v>21955</v>
      </c>
      <c r="I8067" s="1" t="s">
        <v>5</v>
      </c>
      <c r="J8067" s="1" t="s">
        <v>67</v>
      </c>
      <c r="K8067" s="1" t="s">
        <v>24</v>
      </c>
      <c r="M8067" s="2">
        <v>42438</v>
      </c>
      <c r="N8067" s="1" t="s">
        <v>8</v>
      </c>
      <c r="O8067" s="1" t="s">
        <v>68</v>
      </c>
    </row>
    <row r="8068" spans="1:15" ht="28.8" x14ac:dyDescent="0.3">
      <c r="A8068" s="1" t="s">
        <v>117</v>
      </c>
      <c r="B8068" s="1" t="str">
        <f>"William Evans &amp; Sons (Pentreberw) Ltd."</f>
        <v>William Evans &amp; Sons (Pentreberw) Ltd.</v>
      </c>
      <c r="C8068" s="1" t="s">
        <v>118</v>
      </c>
      <c r="F8068" s="1" t="s">
        <v>119</v>
      </c>
      <c r="H8068" s="1" t="s">
        <v>120</v>
      </c>
      <c r="I8068" s="1" t="s">
        <v>19</v>
      </c>
      <c r="J8068" s="1" t="s">
        <v>6</v>
      </c>
      <c r="K8068" s="1" t="s">
        <v>34</v>
      </c>
      <c r="L8068" s="1">
        <v>3731314</v>
      </c>
      <c r="M8068" s="2">
        <v>42437</v>
      </c>
      <c r="N8068" s="1" t="s">
        <v>8</v>
      </c>
      <c r="O8068" s="2">
        <v>44628</v>
      </c>
    </row>
    <row r="8069" spans="1:15" x14ac:dyDescent="0.3">
      <c r="A8069" s="1" t="s">
        <v>1323</v>
      </c>
      <c r="B8069" s="1" t="str">
        <f>"J Cherry"</f>
        <v>J Cherry</v>
      </c>
      <c r="C8069" s="1" t="s">
        <v>1324</v>
      </c>
      <c r="F8069" s="1" t="s">
        <v>445</v>
      </c>
      <c r="H8069" s="1" t="s">
        <v>1325</v>
      </c>
      <c r="I8069" s="1" t="s">
        <v>125</v>
      </c>
      <c r="J8069" s="1" t="s">
        <v>6</v>
      </c>
      <c r="K8069" s="1" t="s">
        <v>24</v>
      </c>
      <c r="M8069" s="2">
        <v>42437</v>
      </c>
      <c r="N8069" s="1" t="s">
        <v>8</v>
      </c>
      <c r="O8069" s="2">
        <v>44628</v>
      </c>
    </row>
    <row r="8070" spans="1:15" ht="43.2" x14ac:dyDescent="0.3">
      <c r="A8070" s="1" t="s">
        <v>6914</v>
      </c>
      <c r="B8070" s="1" t="str">
        <f>"Varleys Of Newtown Ltd"</f>
        <v>Varleys Of Newtown Ltd</v>
      </c>
      <c r="C8070" s="1" t="s">
        <v>6915</v>
      </c>
      <c r="D8070" s="1" t="s">
        <v>2014</v>
      </c>
      <c r="F8070" s="1" t="s">
        <v>3465</v>
      </c>
      <c r="H8070" s="1" t="s">
        <v>6916</v>
      </c>
      <c r="I8070" s="1" t="s">
        <v>19</v>
      </c>
      <c r="J8070" s="1" t="s">
        <v>67</v>
      </c>
      <c r="K8070" s="1" t="s">
        <v>14</v>
      </c>
      <c r="M8070" s="2">
        <v>42437</v>
      </c>
      <c r="N8070" s="1" t="s">
        <v>8</v>
      </c>
      <c r="O8070" s="1" t="s">
        <v>68</v>
      </c>
    </row>
    <row r="8071" spans="1:15" ht="43.2" x14ac:dyDescent="0.3">
      <c r="A8071" s="1" t="s">
        <v>20394</v>
      </c>
      <c r="B8071" s="1" t="str">
        <f>"Shaun  Evans "</f>
        <v xml:space="preserve">Shaun  Evans </v>
      </c>
      <c r="C8071" s="1" t="s">
        <v>20395</v>
      </c>
      <c r="F8071" s="1" t="s">
        <v>1321</v>
      </c>
      <c r="H8071" s="1" t="s">
        <v>20396</v>
      </c>
      <c r="I8071" s="1" t="s">
        <v>5</v>
      </c>
      <c r="J8071" s="1" t="s">
        <v>67</v>
      </c>
      <c r="K8071" s="1" t="s">
        <v>14</v>
      </c>
      <c r="M8071" s="2">
        <v>42437</v>
      </c>
      <c r="N8071" s="1" t="s">
        <v>8</v>
      </c>
      <c r="O8071" s="1" t="s">
        <v>68</v>
      </c>
    </row>
    <row r="8072" spans="1:15" ht="43.2" x14ac:dyDescent="0.3">
      <c r="A8072" s="1" t="s">
        <v>21179</v>
      </c>
      <c r="B8072" s="1" t="str">
        <f>"SAM LILLIE"</f>
        <v>SAM LILLIE</v>
      </c>
      <c r="C8072" s="1" t="s">
        <v>21180</v>
      </c>
      <c r="F8072" s="1" t="s">
        <v>401</v>
      </c>
      <c r="H8072" s="1" t="s">
        <v>21181</v>
      </c>
      <c r="I8072" s="1" t="s">
        <v>5</v>
      </c>
      <c r="J8072" s="1" t="s">
        <v>67</v>
      </c>
      <c r="K8072" s="1" t="s">
        <v>14</v>
      </c>
      <c r="M8072" s="2">
        <v>42437</v>
      </c>
      <c r="N8072" s="1" t="s">
        <v>8</v>
      </c>
      <c r="O8072" s="1" t="s">
        <v>68</v>
      </c>
    </row>
    <row r="8073" spans="1:15" ht="28.8" x14ac:dyDescent="0.3">
      <c r="A8073" s="1" t="s">
        <v>203</v>
      </c>
      <c r="B8073" s="1" t="str">
        <f>"ALD Plant Hire"</f>
        <v>ALD Plant Hire</v>
      </c>
      <c r="C8073" s="1" t="s">
        <v>204</v>
      </c>
      <c r="F8073" s="1" t="s">
        <v>205</v>
      </c>
      <c r="H8073" s="1" t="s">
        <v>206</v>
      </c>
      <c r="I8073" s="1" t="s">
        <v>125</v>
      </c>
      <c r="J8073" s="1" t="s">
        <v>6</v>
      </c>
      <c r="K8073" s="1" t="s">
        <v>24</v>
      </c>
      <c r="M8073" s="2">
        <v>42436</v>
      </c>
      <c r="N8073" s="1" t="s">
        <v>8</v>
      </c>
      <c r="O8073" s="2">
        <v>44627</v>
      </c>
    </row>
    <row r="8074" spans="1:15" ht="43.2" x14ac:dyDescent="0.3">
      <c r="A8074" s="1" t="s">
        <v>367</v>
      </c>
      <c r="B8074" s="1" t="str">
        <f>"Tom James Construction Services Ltd"</f>
        <v>Tom James Construction Services Ltd</v>
      </c>
      <c r="C8074" s="1" t="s">
        <v>368</v>
      </c>
      <c r="D8074" s="1" t="s">
        <v>369</v>
      </c>
      <c r="F8074" s="1" t="s">
        <v>370</v>
      </c>
      <c r="H8074" s="1" t="s">
        <v>371</v>
      </c>
      <c r="I8074" s="1" t="s">
        <v>19</v>
      </c>
      <c r="J8074" s="1" t="s">
        <v>6</v>
      </c>
      <c r="K8074" s="1" t="s">
        <v>34</v>
      </c>
      <c r="L8074" s="1">
        <v>9939299</v>
      </c>
      <c r="M8074" s="2">
        <v>42436</v>
      </c>
      <c r="N8074" s="1" t="s">
        <v>8</v>
      </c>
      <c r="O8074" s="2">
        <v>44627</v>
      </c>
    </row>
    <row r="8075" spans="1:15" ht="28.8" x14ac:dyDescent="0.3">
      <c r="A8075" s="1" t="s">
        <v>387</v>
      </c>
      <c r="B8075" s="1" t="str">
        <f>"Hazrem Environmental Ltd."</f>
        <v>Hazrem Environmental Ltd.</v>
      </c>
      <c r="C8075" s="1" t="s">
        <v>388</v>
      </c>
      <c r="D8075" s="1" t="s">
        <v>389</v>
      </c>
      <c r="F8075" s="1" t="s">
        <v>91</v>
      </c>
      <c r="H8075" s="1" t="s">
        <v>390</v>
      </c>
      <c r="I8075" s="1" t="s">
        <v>19</v>
      </c>
      <c r="J8075" s="1" t="s">
        <v>6</v>
      </c>
      <c r="K8075" s="1" t="s">
        <v>34</v>
      </c>
      <c r="L8075" s="1">
        <v>5064100</v>
      </c>
      <c r="M8075" s="2">
        <v>42436</v>
      </c>
      <c r="N8075" s="1" t="s">
        <v>8</v>
      </c>
      <c r="O8075" s="2">
        <v>44627</v>
      </c>
    </row>
    <row r="8076" spans="1:15" ht="28.8" x14ac:dyDescent="0.3">
      <c r="A8076" s="1" t="s">
        <v>814</v>
      </c>
      <c r="B8076" s="1" t="str">
        <f>"ALM Group Facility Services"</f>
        <v>ALM Group Facility Services</v>
      </c>
      <c r="C8076" s="1" t="s">
        <v>815</v>
      </c>
      <c r="D8076" s="1" t="s">
        <v>816</v>
      </c>
      <c r="E8076" s="1" t="s">
        <v>817</v>
      </c>
      <c r="F8076" s="1" t="s">
        <v>64</v>
      </c>
      <c r="G8076" s="1" t="s">
        <v>65</v>
      </c>
      <c r="H8076" s="1" t="s">
        <v>818</v>
      </c>
      <c r="I8076" s="1" t="s">
        <v>19</v>
      </c>
      <c r="J8076" s="1" t="s">
        <v>6</v>
      </c>
      <c r="K8076" s="1" t="s">
        <v>34</v>
      </c>
      <c r="L8076" s="1">
        <v>8308875</v>
      </c>
      <c r="M8076" s="2">
        <v>42436</v>
      </c>
      <c r="N8076" s="1" t="s">
        <v>8</v>
      </c>
      <c r="O8076" s="2">
        <v>44627</v>
      </c>
    </row>
    <row r="8077" spans="1:15" ht="28.8" x14ac:dyDescent="0.3">
      <c r="A8077" s="1" t="s">
        <v>1072</v>
      </c>
      <c r="B8077" s="1" t="str">
        <f>"S  &amp; K  Haulage (Glamorgan) Ltd."</f>
        <v>S  &amp; K  Haulage (Glamorgan) Ltd.</v>
      </c>
      <c r="C8077" s="1" t="s">
        <v>1073</v>
      </c>
      <c r="D8077" s="1" t="s">
        <v>1074</v>
      </c>
      <c r="F8077" s="1" t="s">
        <v>706</v>
      </c>
      <c r="H8077" s="1" t="s">
        <v>1075</v>
      </c>
      <c r="I8077" s="1" t="s">
        <v>19</v>
      </c>
      <c r="J8077" s="1" t="s">
        <v>6</v>
      </c>
      <c r="K8077" s="1" t="s">
        <v>34</v>
      </c>
      <c r="L8077" s="1">
        <v>1031022</v>
      </c>
      <c r="M8077" s="2">
        <v>42436</v>
      </c>
      <c r="N8077" s="1" t="s">
        <v>8</v>
      </c>
      <c r="O8077" s="2">
        <v>44627</v>
      </c>
    </row>
    <row r="8078" spans="1:15" ht="28.8" x14ac:dyDescent="0.3">
      <c r="A8078" s="1" t="s">
        <v>1364</v>
      </c>
      <c r="B8078" s="1" t="str">
        <f>"Lovatt Brothers"</f>
        <v>Lovatt Brothers</v>
      </c>
      <c r="C8078" s="1" t="s">
        <v>1365</v>
      </c>
      <c r="F8078" s="1" t="s">
        <v>1366</v>
      </c>
      <c r="H8078" s="1" t="s">
        <v>1367</v>
      </c>
      <c r="I8078" s="1" t="s">
        <v>125</v>
      </c>
      <c r="J8078" s="1" t="s">
        <v>6</v>
      </c>
      <c r="K8078" s="1" t="s">
        <v>34</v>
      </c>
      <c r="M8078" s="2">
        <v>42436</v>
      </c>
      <c r="N8078" s="1" t="s">
        <v>8</v>
      </c>
      <c r="O8078" s="2">
        <v>44627</v>
      </c>
    </row>
    <row r="8079" spans="1:15" ht="43.2" x14ac:dyDescent="0.3">
      <c r="A8079" s="1" t="s">
        <v>4571</v>
      </c>
      <c r="B8079" s="1" t="str">
        <f>"Carrob Controls Ltd"</f>
        <v>Carrob Controls Ltd</v>
      </c>
      <c r="C8079" s="1" t="s">
        <v>4572</v>
      </c>
      <c r="F8079" s="1" t="s">
        <v>4573</v>
      </c>
      <c r="H8079" s="1" t="s">
        <v>4574</v>
      </c>
      <c r="I8079" s="1" t="s">
        <v>19</v>
      </c>
      <c r="J8079" s="1" t="s">
        <v>67</v>
      </c>
      <c r="K8079" s="1" t="s">
        <v>14</v>
      </c>
      <c r="M8079" s="2">
        <v>42436</v>
      </c>
      <c r="N8079" s="1" t="s">
        <v>8</v>
      </c>
      <c r="O8079" s="1" t="s">
        <v>68</v>
      </c>
    </row>
    <row r="8080" spans="1:15" ht="43.2" x14ac:dyDescent="0.3">
      <c r="A8080" s="1" t="s">
        <v>4575</v>
      </c>
      <c r="B8080" s="1" t="str">
        <f>"ANOVO UK Ltd"</f>
        <v>ANOVO UK Ltd</v>
      </c>
      <c r="C8080" s="1" t="s">
        <v>4576</v>
      </c>
      <c r="F8080" s="1" t="s">
        <v>4577</v>
      </c>
      <c r="H8080" s="1" t="s">
        <v>4578</v>
      </c>
      <c r="I8080" s="1" t="s">
        <v>19</v>
      </c>
      <c r="J8080" s="1" t="s">
        <v>67</v>
      </c>
      <c r="K8080" s="1" t="s">
        <v>14</v>
      </c>
      <c r="M8080" s="2">
        <v>42436</v>
      </c>
      <c r="N8080" s="1" t="s">
        <v>8</v>
      </c>
      <c r="O8080" s="1" t="s">
        <v>68</v>
      </c>
    </row>
    <row r="8081" spans="1:15" ht="28.8" x14ac:dyDescent="0.3">
      <c r="A8081" s="1" t="s">
        <v>769</v>
      </c>
      <c r="B8081" s="1" t="str">
        <f>"NPT WASTE SOLUTIONS LTD"</f>
        <v>NPT WASTE SOLUTIONS LTD</v>
      </c>
      <c r="C8081" s="1" t="s">
        <v>770</v>
      </c>
      <c r="F8081" s="1" t="s">
        <v>380</v>
      </c>
      <c r="H8081" s="1" t="s">
        <v>771</v>
      </c>
      <c r="I8081" s="1" t="s">
        <v>19</v>
      </c>
      <c r="J8081" s="1" t="s">
        <v>6</v>
      </c>
      <c r="K8081" s="1" t="s">
        <v>24</v>
      </c>
      <c r="L8081" s="1">
        <v>7174445</v>
      </c>
      <c r="M8081" s="2">
        <v>42435</v>
      </c>
      <c r="N8081" s="1" t="s">
        <v>8</v>
      </c>
      <c r="O8081" s="2">
        <v>44626</v>
      </c>
    </row>
    <row r="8082" spans="1:15" ht="28.8" x14ac:dyDescent="0.3">
      <c r="A8082" s="1" t="s">
        <v>1237</v>
      </c>
      <c r="B8082" s="1" t="str">
        <f>"Lock Hancocks (Properties) Ltd."</f>
        <v>Lock Hancocks (Properties) Ltd.</v>
      </c>
      <c r="C8082" s="1" t="s">
        <v>1238</v>
      </c>
      <c r="F8082" s="1" t="s">
        <v>1239</v>
      </c>
      <c r="G8082" s="1" t="s">
        <v>1240</v>
      </c>
      <c r="H8082" s="1" t="s">
        <v>1241</v>
      </c>
      <c r="I8082" s="1" t="s">
        <v>19</v>
      </c>
      <c r="J8082" s="1" t="s">
        <v>6</v>
      </c>
      <c r="K8082" s="1" t="s">
        <v>24</v>
      </c>
      <c r="L8082" s="1">
        <v>1957692</v>
      </c>
      <c r="M8082" s="2">
        <v>42435</v>
      </c>
      <c r="N8082" s="1" t="s">
        <v>8</v>
      </c>
      <c r="O8082" s="2">
        <v>44626</v>
      </c>
    </row>
    <row r="8083" spans="1:15" ht="43.2" x14ac:dyDescent="0.3">
      <c r="A8083" s="1" t="s">
        <v>18764</v>
      </c>
      <c r="B8083" s="1" t="str">
        <f>"Neil Alec Humphreys"</f>
        <v>Neil Alec Humphreys</v>
      </c>
      <c r="C8083" s="1" t="s">
        <v>18765</v>
      </c>
      <c r="F8083" s="1" t="s">
        <v>103</v>
      </c>
      <c r="H8083" s="1" t="s">
        <v>18766</v>
      </c>
      <c r="I8083" s="1" t="s">
        <v>5</v>
      </c>
      <c r="J8083" s="1" t="s">
        <v>67</v>
      </c>
      <c r="K8083" s="1" t="s">
        <v>24</v>
      </c>
      <c r="M8083" s="2">
        <v>42435</v>
      </c>
      <c r="N8083" s="1" t="s">
        <v>8</v>
      </c>
      <c r="O8083" s="1" t="s">
        <v>68</v>
      </c>
    </row>
    <row r="8084" spans="1:15" ht="43.2" x14ac:dyDescent="0.3">
      <c r="A8084" s="1" t="s">
        <v>18761</v>
      </c>
      <c r="B8084" s="1" t="str">
        <f>"Nicholas Jones"</f>
        <v>Nicholas Jones</v>
      </c>
      <c r="C8084" s="1" t="s">
        <v>18762</v>
      </c>
      <c r="F8084" s="1" t="s">
        <v>205</v>
      </c>
      <c r="H8084" s="1" t="s">
        <v>18763</v>
      </c>
      <c r="I8084" s="1" t="s">
        <v>5</v>
      </c>
      <c r="J8084" s="1" t="s">
        <v>67</v>
      </c>
      <c r="K8084" s="1" t="s">
        <v>14</v>
      </c>
      <c r="M8084" s="2">
        <v>42434</v>
      </c>
      <c r="N8084" s="1" t="s">
        <v>8</v>
      </c>
      <c r="O8084" s="1" t="s">
        <v>68</v>
      </c>
    </row>
    <row r="8085" spans="1:15" ht="28.8" x14ac:dyDescent="0.3">
      <c r="A8085" s="1" t="s">
        <v>3148</v>
      </c>
      <c r="B8085" s="1" t="str">
        <f>"J N Williams Ground Maintenance Ltd"</f>
        <v>J N Williams Ground Maintenance Ltd</v>
      </c>
      <c r="C8085" s="1" t="s">
        <v>3149</v>
      </c>
      <c r="D8085" s="1" t="s">
        <v>3150</v>
      </c>
      <c r="F8085" s="1" t="s">
        <v>96</v>
      </c>
      <c r="H8085" s="1" t="s">
        <v>3151</v>
      </c>
      <c r="I8085" s="1" t="s">
        <v>19</v>
      </c>
      <c r="J8085" s="1" t="s">
        <v>6</v>
      </c>
      <c r="K8085" s="1" t="s">
        <v>14</v>
      </c>
      <c r="L8085" s="1">
        <v>4186859</v>
      </c>
      <c r="M8085" s="2">
        <v>42433</v>
      </c>
      <c r="N8085" s="1" t="s">
        <v>8</v>
      </c>
      <c r="O8085" s="2">
        <v>44624</v>
      </c>
    </row>
    <row r="8086" spans="1:15" ht="43.2" x14ac:dyDescent="0.3">
      <c r="A8086" s="1" t="s">
        <v>3479</v>
      </c>
      <c r="B8086" s="1" t="str">
        <f>"Barrier Services Ltd."</f>
        <v>Barrier Services Ltd.</v>
      </c>
      <c r="C8086" s="1" t="s">
        <v>3480</v>
      </c>
      <c r="F8086" s="1" t="s">
        <v>401</v>
      </c>
      <c r="H8086" s="1" t="s">
        <v>3481</v>
      </c>
      <c r="I8086" s="1" t="s">
        <v>19</v>
      </c>
      <c r="J8086" s="1" t="s">
        <v>67</v>
      </c>
      <c r="K8086" s="1" t="s">
        <v>24</v>
      </c>
      <c r="L8086" s="1">
        <v>1696393</v>
      </c>
      <c r="M8086" s="2">
        <v>42433</v>
      </c>
      <c r="N8086" s="1" t="s">
        <v>8</v>
      </c>
      <c r="O8086" s="1" t="s">
        <v>68</v>
      </c>
    </row>
    <row r="8087" spans="1:15" ht="43.2" x14ac:dyDescent="0.3">
      <c r="A8087" s="1" t="s">
        <v>18172</v>
      </c>
      <c r="B8087" s="1" t="str">
        <f>"Tip a Skip Limited "</f>
        <v xml:space="preserve">Tip a Skip Limited </v>
      </c>
      <c r="C8087" s="1" t="s">
        <v>18173</v>
      </c>
      <c r="F8087" s="1" t="s">
        <v>18174</v>
      </c>
      <c r="H8087" s="1" t="s">
        <v>18175</v>
      </c>
      <c r="I8087" s="1" t="s">
        <v>19</v>
      </c>
      <c r="J8087" s="1" t="s">
        <v>67</v>
      </c>
      <c r="K8087" s="1" t="s">
        <v>14</v>
      </c>
      <c r="M8087" s="2">
        <v>42433</v>
      </c>
      <c r="N8087" s="1" t="s">
        <v>8</v>
      </c>
      <c r="O8087" s="1" t="s">
        <v>68</v>
      </c>
    </row>
    <row r="8088" spans="1:15" ht="43.2" x14ac:dyDescent="0.3">
      <c r="A8088" s="1" t="s">
        <v>18755</v>
      </c>
      <c r="B8088" s="1" t="str">
        <f>"Michael Woodward"</f>
        <v>Michael Woodward</v>
      </c>
      <c r="C8088" s="1" t="s">
        <v>18756</v>
      </c>
      <c r="F8088" s="1" t="s">
        <v>27</v>
      </c>
      <c r="H8088" s="1" t="s">
        <v>618</v>
      </c>
      <c r="I8088" s="1" t="s">
        <v>5</v>
      </c>
      <c r="J8088" s="1" t="s">
        <v>67</v>
      </c>
      <c r="K8088" s="1" t="s">
        <v>24</v>
      </c>
      <c r="M8088" s="2">
        <v>42433</v>
      </c>
      <c r="N8088" s="1" t="s">
        <v>8</v>
      </c>
      <c r="O8088" s="1" t="s">
        <v>68</v>
      </c>
    </row>
    <row r="8089" spans="1:15" ht="43.2" x14ac:dyDescent="0.3">
      <c r="A8089" s="1" t="s">
        <v>18757</v>
      </c>
      <c r="B8089" s="1" t="str">
        <f>"Ken Henry"</f>
        <v>Ken Henry</v>
      </c>
      <c r="C8089" s="1" t="s">
        <v>18758</v>
      </c>
      <c r="F8089" s="1" t="s">
        <v>18759</v>
      </c>
      <c r="H8089" s="1" t="s">
        <v>18760</v>
      </c>
      <c r="I8089" s="1" t="s">
        <v>5</v>
      </c>
      <c r="J8089" s="1" t="s">
        <v>67</v>
      </c>
      <c r="K8089" s="1" t="s">
        <v>14</v>
      </c>
      <c r="M8089" s="2">
        <v>42433</v>
      </c>
      <c r="N8089" s="1" t="s">
        <v>8</v>
      </c>
      <c r="O8089" s="1" t="s">
        <v>68</v>
      </c>
    </row>
    <row r="8090" spans="1:15" ht="28.8" x14ac:dyDescent="0.3">
      <c r="A8090" s="1" t="s">
        <v>616</v>
      </c>
      <c r="B8090" s="1" t="str">
        <f>"WAYNES LTD"</f>
        <v>WAYNES LTD</v>
      </c>
      <c r="C8090" s="1" t="s">
        <v>617</v>
      </c>
      <c r="F8090" s="1" t="s">
        <v>27</v>
      </c>
      <c r="H8090" s="1" t="s">
        <v>618</v>
      </c>
      <c r="I8090" s="1" t="s">
        <v>19</v>
      </c>
      <c r="J8090" s="1" t="s">
        <v>6</v>
      </c>
      <c r="K8090" s="1" t="s">
        <v>14</v>
      </c>
      <c r="L8090" s="1">
        <v>4812346</v>
      </c>
      <c r="M8090" s="2">
        <v>42432</v>
      </c>
      <c r="N8090" s="1" t="s">
        <v>8</v>
      </c>
      <c r="O8090" s="2">
        <v>44623</v>
      </c>
    </row>
    <row r="8091" spans="1:15" ht="43.2" x14ac:dyDescent="0.3">
      <c r="A8091" s="1" t="s">
        <v>792</v>
      </c>
      <c r="B8091" s="1" t="str">
        <f>"David Abbott Daves Tree and Gardening Services"</f>
        <v>David Abbott Daves Tree and Gardening Services</v>
      </c>
      <c r="C8091" s="1" t="s">
        <v>793</v>
      </c>
      <c r="F8091" s="1" t="s">
        <v>174</v>
      </c>
      <c r="H8091" s="1" t="s">
        <v>794</v>
      </c>
      <c r="I8091" s="1" t="s">
        <v>5</v>
      </c>
      <c r="J8091" s="1" t="s">
        <v>6</v>
      </c>
      <c r="K8091" s="1" t="s">
        <v>24</v>
      </c>
      <c r="M8091" s="2">
        <v>42432</v>
      </c>
      <c r="N8091" s="1" t="s">
        <v>8</v>
      </c>
      <c r="O8091" s="2">
        <v>44623</v>
      </c>
    </row>
    <row r="8092" spans="1:15" ht="28.8" x14ac:dyDescent="0.3">
      <c r="A8092" s="1" t="s">
        <v>830</v>
      </c>
      <c r="B8092" s="1" t="str">
        <f>"Columbus McCormack CMC Clearance"</f>
        <v>Columbus McCormack CMC Clearance</v>
      </c>
      <c r="C8092" s="1" t="s">
        <v>831</v>
      </c>
      <c r="F8092" s="1" t="s">
        <v>83</v>
      </c>
      <c r="H8092" s="1" t="s">
        <v>832</v>
      </c>
      <c r="I8092" s="1" t="s">
        <v>5</v>
      </c>
      <c r="J8092" s="1" t="s">
        <v>6</v>
      </c>
      <c r="K8092" s="1" t="s">
        <v>24</v>
      </c>
      <c r="M8092" s="2">
        <v>42432</v>
      </c>
      <c r="N8092" s="1" t="s">
        <v>8</v>
      </c>
      <c r="O8092" s="2">
        <v>44623</v>
      </c>
    </row>
    <row r="8093" spans="1:15" ht="28.8" x14ac:dyDescent="0.3">
      <c r="A8093" s="1" t="s">
        <v>1019</v>
      </c>
      <c r="B8093" s="1" t="str">
        <f>"D. I.  Evans Cyf"</f>
        <v>D. I.  Evans Cyf</v>
      </c>
      <c r="C8093" s="1" t="s">
        <v>1020</v>
      </c>
      <c r="F8093" s="1" t="s">
        <v>1021</v>
      </c>
      <c r="H8093" s="1" t="s">
        <v>1022</v>
      </c>
      <c r="I8093" s="1" t="s">
        <v>19</v>
      </c>
      <c r="J8093" s="1" t="s">
        <v>6</v>
      </c>
      <c r="K8093" s="1" t="s">
        <v>34</v>
      </c>
      <c r="L8093" s="1">
        <v>4326012</v>
      </c>
      <c r="M8093" s="2">
        <v>42432</v>
      </c>
      <c r="N8093" s="1" t="s">
        <v>8</v>
      </c>
      <c r="O8093" s="2">
        <v>44623</v>
      </c>
    </row>
    <row r="8094" spans="1:15" ht="43.2" x14ac:dyDescent="0.3">
      <c r="A8094" s="1" t="s">
        <v>18165</v>
      </c>
      <c r="B8094" s="1" t="str">
        <f>"The Computer Station"</f>
        <v>The Computer Station</v>
      </c>
      <c r="C8094" s="1" t="s">
        <v>18166</v>
      </c>
      <c r="F8094" s="1" t="s">
        <v>42</v>
      </c>
      <c r="H8094" s="1" t="s">
        <v>16793</v>
      </c>
      <c r="I8094" s="1" t="s">
        <v>19</v>
      </c>
      <c r="J8094" s="1" t="s">
        <v>67</v>
      </c>
      <c r="K8094" s="1" t="s">
        <v>14</v>
      </c>
      <c r="M8094" s="2">
        <v>42432</v>
      </c>
      <c r="N8094" s="1" t="s">
        <v>8</v>
      </c>
      <c r="O8094" s="1" t="s">
        <v>68</v>
      </c>
    </row>
    <row r="8095" spans="1:15" ht="43.2" x14ac:dyDescent="0.3">
      <c r="A8095" s="1" t="s">
        <v>18167</v>
      </c>
      <c r="B8095" s="1" t="str">
        <f>"CETMA"</f>
        <v>CETMA</v>
      </c>
      <c r="C8095" s="1" t="s">
        <v>18168</v>
      </c>
      <c r="F8095" s="1" t="s">
        <v>42</v>
      </c>
      <c r="H8095" s="1" t="s">
        <v>3420</v>
      </c>
      <c r="I8095" s="1" t="s">
        <v>1872</v>
      </c>
      <c r="J8095" s="1" t="s">
        <v>67</v>
      </c>
      <c r="K8095" s="1" t="s">
        <v>14</v>
      </c>
      <c r="M8095" s="2">
        <v>42432</v>
      </c>
      <c r="N8095" s="1" t="s">
        <v>8</v>
      </c>
      <c r="O8095" s="1" t="s">
        <v>68</v>
      </c>
    </row>
    <row r="8096" spans="1:15" ht="43.2" x14ac:dyDescent="0.3">
      <c r="A8096" s="1" t="s">
        <v>18169</v>
      </c>
      <c r="B8096" s="1" t="str">
        <f>"quantum heating services limited"</f>
        <v>quantum heating services limited</v>
      </c>
      <c r="C8096" s="1" t="s">
        <v>18170</v>
      </c>
      <c r="F8096" s="1" t="s">
        <v>5350</v>
      </c>
      <c r="H8096" s="1" t="s">
        <v>18171</v>
      </c>
      <c r="I8096" s="1" t="s">
        <v>19</v>
      </c>
      <c r="J8096" s="1" t="s">
        <v>67</v>
      </c>
      <c r="K8096" s="1" t="s">
        <v>14</v>
      </c>
      <c r="M8096" s="2">
        <v>42432</v>
      </c>
      <c r="N8096" s="1" t="s">
        <v>8</v>
      </c>
      <c r="O8096" s="1" t="s">
        <v>68</v>
      </c>
    </row>
    <row r="8097" spans="1:15" ht="28.8" x14ac:dyDescent="0.3">
      <c r="A8097" s="1" t="s">
        <v>628</v>
      </c>
      <c r="B8097" s="1" t="str">
        <f>"jeffrey robinson"</f>
        <v>jeffrey robinson</v>
      </c>
      <c r="C8097" s="1" t="s">
        <v>629</v>
      </c>
      <c r="D8097" s="1" t="s">
        <v>630</v>
      </c>
      <c r="F8097" s="1" t="s">
        <v>65</v>
      </c>
      <c r="H8097" s="1" t="s">
        <v>631</v>
      </c>
      <c r="I8097" s="1" t="s">
        <v>5</v>
      </c>
      <c r="J8097" s="1" t="s">
        <v>6</v>
      </c>
      <c r="K8097" s="1" t="s">
        <v>24</v>
      </c>
      <c r="M8097" s="2">
        <v>42431</v>
      </c>
      <c r="N8097" s="1" t="s">
        <v>8</v>
      </c>
      <c r="O8097" s="2">
        <v>44622</v>
      </c>
    </row>
    <row r="8098" spans="1:15" ht="43.2" x14ac:dyDescent="0.3">
      <c r="A8098" s="1" t="s">
        <v>16176</v>
      </c>
      <c r="B8098" s="1" t="str">
        <f>"VRI Electrical Limited"</f>
        <v>VRI Electrical Limited</v>
      </c>
      <c r="C8098" s="1" t="s">
        <v>16177</v>
      </c>
      <c r="F8098" s="1" t="s">
        <v>91</v>
      </c>
      <c r="H8098" s="1" t="s">
        <v>16178</v>
      </c>
      <c r="I8098" s="1" t="s">
        <v>19</v>
      </c>
      <c r="J8098" s="1" t="s">
        <v>67</v>
      </c>
      <c r="K8098" s="1" t="s">
        <v>24</v>
      </c>
      <c r="L8098" s="1">
        <v>8392280</v>
      </c>
      <c r="M8098" s="2">
        <v>42431</v>
      </c>
      <c r="N8098" s="1" t="s">
        <v>8</v>
      </c>
      <c r="O8098" s="1" t="s">
        <v>68</v>
      </c>
    </row>
    <row r="8099" spans="1:15" ht="43.2" x14ac:dyDescent="0.3">
      <c r="A8099" s="1" t="s">
        <v>16179</v>
      </c>
      <c r="B8099" s="1" t="str">
        <f>"storm aviation limited"</f>
        <v>storm aviation limited</v>
      </c>
      <c r="C8099" s="1" t="s">
        <v>16180</v>
      </c>
      <c r="D8099" s="1" t="s">
        <v>16181</v>
      </c>
      <c r="F8099" s="1" t="s">
        <v>16182</v>
      </c>
      <c r="H8099" s="1" t="s">
        <v>16183</v>
      </c>
      <c r="I8099" s="1" t="s">
        <v>19</v>
      </c>
      <c r="J8099" s="1" t="s">
        <v>67</v>
      </c>
      <c r="K8099" s="1" t="s">
        <v>14</v>
      </c>
      <c r="M8099" s="2">
        <v>42431</v>
      </c>
      <c r="N8099" s="1" t="s">
        <v>8</v>
      </c>
      <c r="O8099" s="1" t="s">
        <v>68</v>
      </c>
    </row>
    <row r="8100" spans="1:15" ht="43.2" x14ac:dyDescent="0.3">
      <c r="A8100" s="1" t="s">
        <v>17142</v>
      </c>
      <c r="B8100" s="1" t="str">
        <f>"GreenThumb"</f>
        <v>GreenThumb</v>
      </c>
      <c r="C8100" s="1" t="s">
        <v>17143</v>
      </c>
      <c r="D8100" s="1" t="s">
        <v>1834</v>
      </c>
      <c r="F8100" s="1" t="s">
        <v>27</v>
      </c>
      <c r="H8100" s="1" t="s">
        <v>17144</v>
      </c>
      <c r="I8100" s="1" t="s">
        <v>19</v>
      </c>
      <c r="J8100" s="1" t="s">
        <v>67</v>
      </c>
      <c r="K8100" s="1" t="s">
        <v>14</v>
      </c>
      <c r="M8100" s="2">
        <v>42431</v>
      </c>
      <c r="N8100" s="1" t="s">
        <v>8</v>
      </c>
      <c r="O8100" s="1" t="s">
        <v>68</v>
      </c>
    </row>
    <row r="8101" spans="1:15" ht="43.2" x14ac:dyDescent="0.3">
      <c r="A8101" s="1" t="s">
        <v>17145</v>
      </c>
      <c r="B8101" s="1" t="str">
        <f>"TOTAL FORWARDING LTD"</f>
        <v>TOTAL FORWARDING LTD</v>
      </c>
      <c r="C8101" s="1" t="s">
        <v>17146</v>
      </c>
      <c r="D8101" s="1" t="s">
        <v>17147</v>
      </c>
      <c r="F8101" s="1" t="s">
        <v>17148</v>
      </c>
      <c r="H8101" s="1" t="s">
        <v>17149</v>
      </c>
      <c r="I8101" s="1" t="s">
        <v>19</v>
      </c>
      <c r="J8101" s="1" t="s">
        <v>67</v>
      </c>
      <c r="K8101" s="1" t="s">
        <v>14</v>
      </c>
      <c r="M8101" s="2">
        <v>42431</v>
      </c>
      <c r="N8101" s="1" t="s">
        <v>8</v>
      </c>
      <c r="O8101" s="1" t="s">
        <v>68</v>
      </c>
    </row>
    <row r="8102" spans="1:15" ht="43.2" x14ac:dyDescent="0.3">
      <c r="A8102" s="1" t="s">
        <v>28307</v>
      </c>
      <c r="B8102" s="1" t="str">
        <f>"MILES CAINE"</f>
        <v>MILES CAINE</v>
      </c>
      <c r="C8102" s="1" t="s">
        <v>28308</v>
      </c>
      <c r="F8102" s="1" t="s">
        <v>374</v>
      </c>
      <c r="H8102" s="1" t="s">
        <v>28309</v>
      </c>
      <c r="I8102" s="1" t="s">
        <v>5</v>
      </c>
      <c r="J8102" s="1" t="s">
        <v>67</v>
      </c>
      <c r="K8102" s="1" t="s">
        <v>14</v>
      </c>
      <c r="M8102" s="2">
        <v>42431</v>
      </c>
      <c r="N8102" s="1" t="s">
        <v>8</v>
      </c>
      <c r="O8102" s="1" t="s">
        <v>68</v>
      </c>
    </row>
    <row r="8103" spans="1:15" ht="43.2" x14ac:dyDescent="0.3">
      <c r="A8103" s="1" t="s">
        <v>29068</v>
      </c>
      <c r="B8103" s="1" t="str">
        <f>"jeffrey robinson"</f>
        <v>jeffrey robinson</v>
      </c>
      <c r="C8103" s="1" t="s">
        <v>629</v>
      </c>
      <c r="D8103" s="1" t="s">
        <v>630</v>
      </c>
      <c r="F8103" s="1" t="s">
        <v>65</v>
      </c>
      <c r="H8103" s="1" t="s">
        <v>631</v>
      </c>
      <c r="I8103" s="1" t="s">
        <v>5</v>
      </c>
      <c r="J8103" s="1" t="s">
        <v>67</v>
      </c>
      <c r="K8103" s="1" t="s">
        <v>24</v>
      </c>
      <c r="M8103" s="2">
        <v>42431</v>
      </c>
      <c r="N8103" s="1" t="s">
        <v>8</v>
      </c>
      <c r="O8103" s="1" t="s">
        <v>68</v>
      </c>
    </row>
    <row r="8104" spans="1:15" ht="43.2" x14ac:dyDescent="0.3">
      <c r="A8104" s="1" t="s">
        <v>29069</v>
      </c>
      <c r="B8104" s="1" t="str">
        <f>"Robert Carter-Millis"</f>
        <v>Robert Carter-Millis</v>
      </c>
      <c r="C8104" s="1" t="s">
        <v>29070</v>
      </c>
      <c r="F8104" s="1" t="s">
        <v>3337</v>
      </c>
      <c r="H8104" s="1" t="s">
        <v>29071</v>
      </c>
      <c r="I8104" s="1" t="s">
        <v>5</v>
      </c>
      <c r="J8104" s="1" t="s">
        <v>67</v>
      </c>
      <c r="K8104" s="1" t="s">
        <v>14</v>
      </c>
      <c r="M8104" s="2">
        <v>42431</v>
      </c>
      <c r="N8104" s="1" t="s">
        <v>8</v>
      </c>
      <c r="O8104" s="1" t="s">
        <v>68</v>
      </c>
    </row>
    <row r="8105" spans="1:15" ht="28.8" x14ac:dyDescent="0.3">
      <c r="A8105" s="1" t="s">
        <v>31330</v>
      </c>
      <c r="B8105" s="1" t="str">
        <f>"Chris Allen Plumbing &amp; Heating Ltd"</f>
        <v>Chris Allen Plumbing &amp; Heating Ltd</v>
      </c>
      <c r="C8105" s="1" t="s">
        <v>31331</v>
      </c>
      <c r="F8105" s="1" t="s">
        <v>2434</v>
      </c>
      <c r="H8105" s="1" t="s">
        <v>31332</v>
      </c>
      <c r="I8105" s="1" t="s">
        <v>19</v>
      </c>
      <c r="J8105" s="1" t="s">
        <v>6</v>
      </c>
      <c r="K8105" s="1" t="s">
        <v>14</v>
      </c>
      <c r="L8105" s="1">
        <v>8464909</v>
      </c>
      <c r="M8105" s="2">
        <v>42431</v>
      </c>
      <c r="N8105" s="1" t="s">
        <v>8</v>
      </c>
      <c r="O8105" s="2">
        <v>44622</v>
      </c>
    </row>
    <row r="8106" spans="1:15" ht="28.8" x14ac:dyDescent="0.3">
      <c r="A8106" s="1" t="s">
        <v>885</v>
      </c>
      <c r="B8106" s="1" t="str">
        <f>"SWANSEA LAPTOPS LIMITED"</f>
        <v>SWANSEA LAPTOPS LIMITED</v>
      </c>
      <c r="C8106" s="1" t="s">
        <v>886</v>
      </c>
      <c r="D8106" s="1" t="s">
        <v>887</v>
      </c>
      <c r="F8106" s="1" t="s">
        <v>888</v>
      </c>
      <c r="H8106" s="1" t="s">
        <v>889</v>
      </c>
      <c r="I8106" s="1" t="s">
        <v>19</v>
      </c>
      <c r="J8106" s="1" t="s">
        <v>6</v>
      </c>
      <c r="K8106" s="1" t="s">
        <v>34</v>
      </c>
      <c r="L8106" s="1">
        <v>8875644</v>
      </c>
      <c r="M8106" s="2">
        <v>42430</v>
      </c>
      <c r="N8106" s="1" t="s">
        <v>8</v>
      </c>
      <c r="O8106" s="2">
        <v>44621</v>
      </c>
    </row>
    <row r="8107" spans="1:15" ht="43.2" x14ac:dyDescent="0.3">
      <c r="A8107" s="1" t="s">
        <v>1186</v>
      </c>
      <c r="B8107" s="1" t="str">
        <f>"Tynewydd Developments(Llanelli) Ltd"</f>
        <v>Tynewydd Developments(Llanelli) Ltd</v>
      </c>
      <c r="C8107" s="1" t="s">
        <v>1187</v>
      </c>
      <c r="F8107" s="1" t="s">
        <v>42</v>
      </c>
      <c r="H8107" s="1" t="s">
        <v>1188</v>
      </c>
      <c r="I8107" s="1" t="s">
        <v>19</v>
      </c>
      <c r="J8107" s="1" t="s">
        <v>6</v>
      </c>
      <c r="K8107" s="1" t="s">
        <v>24</v>
      </c>
      <c r="L8107" s="1">
        <v>4783389</v>
      </c>
      <c r="M8107" s="2">
        <v>42430</v>
      </c>
      <c r="N8107" s="1" t="s">
        <v>8</v>
      </c>
      <c r="O8107" s="2">
        <v>44621</v>
      </c>
    </row>
    <row r="8108" spans="1:15" ht="28.8" x14ac:dyDescent="0.3">
      <c r="A8108" s="1" t="s">
        <v>1644</v>
      </c>
      <c r="B8108" s="1" t="str">
        <f>"Craftsman Flooring Ltd."</f>
        <v>Craftsman Flooring Ltd.</v>
      </c>
      <c r="C8108" s="1" t="s">
        <v>1645</v>
      </c>
      <c r="F8108" s="1" t="s">
        <v>1351</v>
      </c>
      <c r="H8108" s="1" t="s">
        <v>1352</v>
      </c>
      <c r="I8108" s="1" t="s">
        <v>19</v>
      </c>
      <c r="J8108" s="1" t="s">
        <v>6</v>
      </c>
      <c r="K8108" s="1" t="s">
        <v>24</v>
      </c>
      <c r="L8108" s="1">
        <v>1526612</v>
      </c>
      <c r="M8108" s="2">
        <v>42430</v>
      </c>
      <c r="N8108" s="1" t="s">
        <v>8</v>
      </c>
      <c r="O8108" s="2">
        <v>44621</v>
      </c>
    </row>
    <row r="8109" spans="1:15" ht="28.8" x14ac:dyDescent="0.3">
      <c r="A8109" s="1" t="s">
        <v>1877</v>
      </c>
      <c r="B8109" s="1" t="str">
        <f>"C &amp; A Asbestos Removal Ltd."</f>
        <v>C &amp; A Asbestos Removal Ltd.</v>
      </c>
      <c r="C8109" s="1" t="s">
        <v>1878</v>
      </c>
      <c r="D8109" s="1" t="s">
        <v>1879</v>
      </c>
      <c r="F8109" s="1" t="s">
        <v>1880</v>
      </c>
      <c r="G8109" s="1" t="s">
        <v>3</v>
      </c>
      <c r="H8109" s="1" t="s">
        <v>1881</v>
      </c>
      <c r="I8109" s="1" t="s">
        <v>19</v>
      </c>
      <c r="J8109" s="1" t="s">
        <v>6</v>
      </c>
      <c r="K8109" s="1" t="s">
        <v>24</v>
      </c>
      <c r="L8109" s="1">
        <v>5236058</v>
      </c>
      <c r="M8109" s="2">
        <v>42430</v>
      </c>
      <c r="N8109" s="1" t="s">
        <v>8</v>
      </c>
      <c r="O8109" s="2">
        <v>44621</v>
      </c>
    </row>
    <row r="8110" spans="1:15" ht="28.8" x14ac:dyDescent="0.3">
      <c r="A8110" s="1" t="s">
        <v>3119</v>
      </c>
      <c r="B8110" s="1" t="str">
        <f>"F P Hurley &amp; Sons Ltd."</f>
        <v>F P Hurley &amp; Sons Ltd.</v>
      </c>
      <c r="C8110" s="1" t="s">
        <v>3120</v>
      </c>
      <c r="F8110" s="1" t="s">
        <v>179</v>
      </c>
      <c r="H8110" s="1" t="s">
        <v>3121</v>
      </c>
      <c r="I8110" s="1" t="s">
        <v>19</v>
      </c>
      <c r="J8110" s="1" t="s">
        <v>6</v>
      </c>
      <c r="K8110" s="1" t="s">
        <v>24</v>
      </c>
      <c r="L8110" s="1">
        <v>463912</v>
      </c>
      <c r="M8110" s="2">
        <v>42430</v>
      </c>
      <c r="N8110" s="1" t="s">
        <v>8</v>
      </c>
      <c r="O8110" s="2">
        <v>44621</v>
      </c>
    </row>
    <row r="8111" spans="1:15" ht="43.2" x14ac:dyDescent="0.3">
      <c r="A8111" s="1" t="s">
        <v>15182</v>
      </c>
      <c r="B8111" s="1" t="str">
        <f>"brownhill caravan park"</f>
        <v>brownhill caravan park</v>
      </c>
      <c r="C8111" s="1" t="s">
        <v>15183</v>
      </c>
      <c r="F8111" s="1" t="s">
        <v>2961</v>
      </c>
      <c r="H8111" s="1" t="s">
        <v>15184</v>
      </c>
      <c r="I8111" s="1" t="s">
        <v>125</v>
      </c>
      <c r="J8111" s="1" t="s">
        <v>67</v>
      </c>
      <c r="K8111" s="1" t="s">
        <v>14</v>
      </c>
      <c r="M8111" s="2">
        <v>42430</v>
      </c>
      <c r="N8111" s="1" t="s">
        <v>8</v>
      </c>
      <c r="O8111" s="1" t="s">
        <v>68</v>
      </c>
    </row>
    <row r="8112" spans="1:15" ht="43.2" x14ac:dyDescent="0.3">
      <c r="A8112" s="1" t="s">
        <v>15185</v>
      </c>
      <c r="B8112" s="1" t="str">
        <f>"power range ltd"</f>
        <v>power range ltd</v>
      </c>
      <c r="C8112" s="1" t="s">
        <v>15186</v>
      </c>
      <c r="D8112" s="1" t="s">
        <v>14738</v>
      </c>
      <c r="F8112" s="1" t="s">
        <v>1169</v>
      </c>
      <c r="H8112" s="1" t="s">
        <v>15187</v>
      </c>
      <c r="I8112" s="1" t="s">
        <v>19</v>
      </c>
      <c r="J8112" s="1" t="s">
        <v>67</v>
      </c>
      <c r="K8112" s="1" t="s">
        <v>14</v>
      </c>
      <c r="M8112" s="2">
        <v>42430</v>
      </c>
      <c r="N8112" s="1" t="s">
        <v>8</v>
      </c>
      <c r="O8112" s="1" t="s">
        <v>68</v>
      </c>
    </row>
    <row r="8113" spans="1:15" ht="43.2" x14ac:dyDescent="0.3">
      <c r="A8113" s="1" t="s">
        <v>27533</v>
      </c>
      <c r="B8113" s="1" t="str">
        <f>"Christopher Bradbury"</f>
        <v>Christopher Bradbury</v>
      </c>
      <c r="C8113" s="1" t="s">
        <v>27534</v>
      </c>
      <c r="F8113" s="1" t="s">
        <v>3884</v>
      </c>
      <c r="H8113" s="1" t="s">
        <v>27535</v>
      </c>
      <c r="I8113" s="1" t="s">
        <v>5</v>
      </c>
      <c r="J8113" s="1" t="s">
        <v>67</v>
      </c>
      <c r="K8113" s="1" t="s">
        <v>24</v>
      </c>
      <c r="M8113" s="2">
        <v>42430</v>
      </c>
      <c r="N8113" s="1" t="s">
        <v>8</v>
      </c>
      <c r="O8113" s="1" t="s">
        <v>68</v>
      </c>
    </row>
    <row r="8114" spans="1:15" ht="28.8" x14ac:dyDescent="0.3">
      <c r="A8114" s="1" t="s">
        <v>407</v>
      </c>
      <c r="B8114" s="1" t="str">
        <f>"G.L.BREESE(Tarmacadam)Ltd"</f>
        <v>G.L.BREESE(Tarmacadam)Ltd</v>
      </c>
      <c r="C8114" s="1" t="s">
        <v>408</v>
      </c>
      <c r="F8114" s="1" t="s">
        <v>409</v>
      </c>
      <c r="H8114" s="1" t="s">
        <v>410</v>
      </c>
      <c r="I8114" s="1" t="s">
        <v>19</v>
      </c>
      <c r="J8114" s="1" t="s">
        <v>6</v>
      </c>
      <c r="K8114" s="1" t="s">
        <v>24</v>
      </c>
      <c r="L8114" s="1">
        <v>1329279</v>
      </c>
      <c r="M8114" s="2">
        <v>42429</v>
      </c>
      <c r="N8114" s="1" t="s">
        <v>8</v>
      </c>
      <c r="O8114" s="2">
        <v>44620</v>
      </c>
    </row>
    <row r="8115" spans="1:15" ht="28.8" x14ac:dyDescent="0.3">
      <c r="A8115" s="1" t="s">
        <v>451</v>
      </c>
      <c r="B8115" s="1" t="str">
        <f>"KEVIN CAHILL LTD"</f>
        <v>KEVIN CAHILL LTD</v>
      </c>
      <c r="C8115" s="1" t="s">
        <v>452</v>
      </c>
      <c r="F8115" s="1" t="s">
        <v>91</v>
      </c>
      <c r="H8115" s="1" t="s">
        <v>453</v>
      </c>
      <c r="I8115" s="1" t="s">
        <v>19</v>
      </c>
      <c r="J8115" s="1" t="s">
        <v>6</v>
      </c>
      <c r="K8115" s="1" t="s">
        <v>34</v>
      </c>
      <c r="L8115" s="1">
        <v>5274984</v>
      </c>
      <c r="M8115" s="2">
        <v>42429</v>
      </c>
      <c r="N8115" s="1" t="s">
        <v>8</v>
      </c>
      <c r="O8115" s="2">
        <v>44620</v>
      </c>
    </row>
    <row r="8116" spans="1:15" ht="43.2" x14ac:dyDescent="0.3">
      <c r="A8116" s="1" t="s">
        <v>15181</v>
      </c>
      <c r="B8116" s="1" t="str">
        <f>"Eco-Enviro (Llandysul) Ltd"</f>
        <v>Eco-Enviro (Llandysul) Ltd</v>
      </c>
      <c r="C8116" s="1" t="s">
        <v>14800</v>
      </c>
      <c r="F8116" s="1" t="s">
        <v>2961</v>
      </c>
      <c r="H8116" s="1" t="s">
        <v>7602</v>
      </c>
      <c r="I8116" s="1" t="s">
        <v>19</v>
      </c>
      <c r="J8116" s="1" t="s">
        <v>67</v>
      </c>
      <c r="K8116" s="1" t="s">
        <v>24</v>
      </c>
      <c r="M8116" s="2">
        <v>42429</v>
      </c>
      <c r="N8116" s="1" t="s">
        <v>8</v>
      </c>
      <c r="O8116" s="1" t="s">
        <v>68</v>
      </c>
    </row>
    <row r="8117" spans="1:15" ht="28.8" x14ac:dyDescent="0.3">
      <c r="A8117" s="1" t="s">
        <v>31274</v>
      </c>
      <c r="B8117" s="1" t="str">
        <f>"Robert C Green"</f>
        <v>Robert C Green</v>
      </c>
      <c r="C8117" s="1" t="s">
        <v>31275</v>
      </c>
      <c r="F8117" s="1" t="s">
        <v>380</v>
      </c>
      <c r="H8117" s="1" t="s">
        <v>31276</v>
      </c>
      <c r="I8117" s="1" t="s">
        <v>125</v>
      </c>
      <c r="J8117" s="1" t="s">
        <v>6</v>
      </c>
      <c r="K8117" s="1" t="s">
        <v>7</v>
      </c>
      <c r="M8117" s="2">
        <v>42429</v>
      </c>
      <c r="N8117" s="1" t="s">
        <v>8</v>
      </c>
      <c r="O8117" s="2">
        <v>44620</v>
      </c>
    </row>
    <row r="8118" spans="1:15" x14ac:dyDescent="0.3">
      <c r="A8118" s="1" t="s">
        <v>1491</v>
      </c>
      <c r="B8118" s="1" t="str">
        <f>"D G  Jones Ltd."</f>
        <v>D G  Jones Ltd.</v>
      </c>
      <c r="C8118" s="1" t="s">
        <v>1492</v>
      </c>
      <c r="D8118" s="1" t="s">
        <v>710</v>
      </c>
      <c r="F8118" s="1" t="s">
        <v>1493</v>
      </c>
      <c r="H8118" s="1" t="s">
        <v>1494</v>
      </c>
      <c r="I8118" s="1" t="s">
        <v>19</v>
      </c>
      <c r="J8118" s="1" t="s">
        <v>6</v>
      </c>
      <c r="K8118" s="1" t="s">
        <v>24</v>
      </c>
      <c r="L8118" s="1">
        <v>4604189</v>
      </c>
      <c r="M8118" s="2">
        <v>42427</v>
      </c>
      <c r="N8118" s="1" t="s">
        <v>8</v>
      </c>
      <c r="O8118" s="2">
        <v>44619</v>
      </c>
    </row>
    <row r="8119" spans="1:15" ht="43.2" x14ac:dyDescent="0.3">
      <c r="A8119" s="1" t="s">
        <v>788</v>
      </c>
      <c r="B8119" s="1" t="str">
        <f>"Robat Williams Robat Wyn Williams agri contractor"</f>
        <v>Robat Williams Robat Wyn Williams agri contractor</v>
      </c>
      <c r="C8119" s="1" t="s">
        <v>789</v>
      </c>
      <c r="F8119" s="1" t="s">
        <v>790</v>
      </c>
      <c r="H8119" s="1" t="s">
        <v>791</v>
      </c>
      <c r="I8119" s="1" t="s">
        <v>5</v>
      </c>
      <c r="J8119" s="1" t="s">
        <v>6</v>
      </c>
      <c r="K8119" s="1" t="s">
        <v>24</v>
      </c>
      <c r="M8119" s="2">
        <v>42426</v>
      </c>
      <c r="N8119" s="1" t="s">
        <v>8</v>
      </c>
      <c r="O8119" s="2">
        <v>44618</v>
      </c>
    </row>
    <row r="8120" spans="1:15" ht="28.8" x14ac:dyDescent="0.3">
      <c r="A8120" s="1" t="s">
        <v>1788</v>
      </c>
      <c r="B8120" s="1" t="str">
        <f>"Allan Morris Transport Ltd."</f>
        <v>Allan Morris Transport Ltd.</v>
      </c>
      <c r="C8120" s="1" t="s">
        <v>1789</v>
      </c>
      <c r="D8120" s="1" t="s">
        <v>1790</v>
      </c>
      <c r="E8120" s="1" t="s">
        <v>746</v>
      </c>
      <c r="F8120" s="1" t="s">
        <v>1346</v>
      </c>
      <c r="H8120" s="1" t="s">
        <v>1791</v>
      </c>
      <c r="I8120" s="1" t="s">
        <v>19</v>
      </c>
      <c r="J8120" s="1" t="s">
        <v>6</v>
      </c>
      <c r="K8120" s="1" t="s">
        <v>34</v>
      </c>
      <c r="L8120" s="1">
        <v>1672709</v>
      </c>
      <c r="M8120" s="2">
        <v>42426</v>
      </c>
      <c r="N8120" s="1" t="s">
        <v>8</v>
      </c>
      <c r="O8120" s="2">
        <v>44618</v>
      </c>
    </row>
    <row r="8121" spans="1:15" ht="28.8" x14ac:dyDescent="0.3">
      <c r="A8121" s="1" t="s">
        <v>1792</v>
      </c>
      <c r="B8121" s="1" t="str">
        <f>"Mark Bamford Mark Bamford"</f>
        <v>Mark Bamford Mark Bamford</v>
      </c>
      <c r="C8121" s="1" t="s">
        <v>1793</v>
      </c>
      <c r="F8121" s="1" t="s">
        <v>1351</v>
      </c>
      <c r="H8121" s="1" t="s">
        <v>1794</v>
      </c>
      <c r="I8121" s="1" t="s">
        <v>5</v>
      </c>
      <c r="J8121" s="1" t="s">
        <v>6</v>
      </c>
      <c r="K8121" s="1" t="s">
        <v>24</v>
      </c>
      <c r="M8121" s="2">
        <v>42426</v>
      </c>
      <c r="N8121" s="1" t="s">
        <v>8</v>
      </c>
      <c r="O8121" s="2">
        <v>44618</v>
      </c>
    </row>
    <row r="8122" spans="1:15" ht="43.2" x14ac:dyDescent="0.3">
      <c r="A8122" s="1" t="s">
        <v>14280</v>
      </c>
      <c r="B8122" s="1" t="str">
        <f>"Commons Vision Ltd."</f>
        <v>Commons Vision Ltd.</v>
      </c>
      <c r="C8122" s="1" t="s">
        <v>14281</v>
      </c>
      <c r="F8122" s="1" t="s">
        <v>65</v>
      </c>
      <c r="H8122" s="1" t="s">
        <v>14282</v>
      </c>
      <c r="I8122" s="1" t="s">
        <v>19</v>
      </c>
      <c r="J8122" s="1" t="s">
        <v>67</v>
      </c>
      <c r="K8122" s="1" t="s">
        <v>24</v>
      </c>
      <c r="L8122" s="1">
        <v>6755777</v>
      </c>
      <c r="M8122" s="2">
        <v>42426</v>
      </c>
      <c r="N8122" s="1" t="s">
        <v>8</v>
      </c>
      <c r="O8122" s="1" t="s">
        <v>68</v>
      </c>
    </row>
    <row r="8123" spans="1:15" ht="43.2" x14ac:dyDescent="0.3">
      <c r="A8123" s="1" t="s">
        <v>14283</v>
      </c>
      <c r="B8123" s="1" t="str">
        <f>"Oxford Garden Clearance"</f>
        <v>Oxford Garden Clearance</v>
      </c>
      <c r="C8123" s="1" t="s">
        <v>14284</v>
      </c>
      <c r="F8123" s="1" t="s">
        <v>12860</v>
      </c>
      <c r="H8123" s="1" t="s">
        <v>14285</v>
      </c>
      <c r="I8123" s="1" t="s">
        <v>188</v>
      </c>
      <c r="J8123" s="1" t="s">
        <v>67</v>
      </c>
      <c r="K8123" s="1" t="s">
        <v>34</v>
      </c>
      <c r="M8123" s="2">
        <v>42426</v>
      </c>
      <c r="N8123" s="1" t="s">
        <v>8</v>
      </c>
      <c r="O8123" s="1" t="s">
        <v>68</v>
      </c>
    </row>
    <row r="8124" spans="1:15" ht="43.2" x14ac:dyDescent="0.3">
      <c r="A8124" s="1" t="s">
        <v>14286</v>
      </c>
      <c r="B8124" s="1" t="str">
        <f>"D J Rowlands &amp; Son"</f>
        <v>D J Rowlands &amp; Son</v>
      </c>
      <c r="C8124" s="1" t="s">
        <v>14287</v>
      </c>
      <c r="F8124" s="1" t="s">
        <v>37</v>
      </c>
      <c r="H8124" s="1" t="s">
        <v>13705</v>
      </c>
      <c r="I8124" s="1" t="s">
        <v>125</v>
      </c>
      <c r="J8124" s="1" t="s">
        <v>67</v>
      </c>
      <c r="K8124" s="1" t="s">
        <v>14</v>
      </c>
      <c r="M8124" s="2">
        <v>42426</v>
      </c>
      <c r="N8124" s="1" t="s">
        <v>8</v>
      </c>
      <c r="O8124" s="1" t="s">
        <v>68</v>
      </c>
    </row>
    <row r="8125" spans="1:15" ht="28.8" x14ac:dyDescent="0.3">
      <c r="A8125" s="1" t="s">
        <v>279</v>
      </c>
      <c r="B8125" s="1" t="str">
        <f>"Setup Displays Cardiff Ltd."</f>
        <v>Setup Displays Cardiff Ltd.</v>
      </c>
      <c r="C8125" s="1" t="s">
        <v>280</v>
      </c>
      <c r="F8125" s="1" t="s">
        <v>27</v>
      </c>
      <c r="H8125" s="1" t="s">
        <v>281</v>
      </c>
      <c r="I8125" s="1" t="s">
        <v>19</v>
      </c>
      <c r="J8125" s="1" t="s">
        <v>6</v>
      </c>
      <c r="K8125" s="1" t="s">
        <v>34</v>
      </c>
      <c r="L8125" s="1">
        <v>3694691</v>
      </c>
      <c r="M8125" s="2">
        <v>42425</v>
      </c>
      <c r="N8125" s="1" t="s">
        <v>8</v>
      </c>
      <c r="O8125" s="2">
        <v>44617</v>
      </c>
    </row>
    <row r="8126" spans="1:15" ht="28.8" x14ac:dyDescent="0.3">
      <c r="A8126" s="1" t="s">
        <v>671</v>
      </c>
      <c r="B8126" s="1" t="str">
        <f>"Braceys Limited"</f>
        <v>Braceys Limited</v>
      </c>
      <c r="C8126" s="1" t="s">
        <v>672</v>
      </c>
      <c r="D8126" s="1" t="s">
        <v>564</v>
      </c>
      <c r="F8126" s="1" t="s">
        <v>179</v>
      </c>
      <c r="H8126" s="1" t="s">
        <v>673</v>
      </c>
      <c r="I8126" s="1" t="s">
        <v>19</v>
      </c>
      <c r="J8126" s="1" t="s">
        <v>6</v>
      </c>
      <c r="K8126" s="1" t="s">
        <v>24</v>
      </c>
      <c r="L8126" s="1">
        <v>3942650</v>
      </c>
      <c r="M8126" s="2">
        <v>42425</v>
      </c>
      <c r="N8126" s="1" t="s">
        <v>8</v>
      </c>
      <c r="O8126" s="2">
        <v>44617</v>
      </c>
    </row>
    <row r="8127" spans="1:15" x14ac:dyDescent="0.3">
      <c r="A8127" s="1" t="s">
        <v>948</v>
      </c>
      <c r="B8127" s="1" t="str">
        <f>"M &amp; J Evans"</f>
        <v>M &amp; J Evans</v>
      </c>
      <c r="C8127" s="1" t="s">
        <v>949</v>
      </c>
      <c r="F8127" s="1" t="s">
        <v>950</v>
      </c>
      <c r="H8127" s="1" t="s">
        <v>951</v>
      </c>
      <c r="I8127" s="1" t="s">
        <v>125</v>
      </c>
      <c r="J8127" s="1" t="s">
        <v>6</v>
      </c>
      <c r="K8127" s="1" t="s">
        <v>24</v>
      </c>
      <c r="M8127" s="2">
        <v>42425</v>
      </c>
      <c r="N8127" s="1" t="s">
        <v>8</v>
      </c>
      <c r="O8127" s="2">
        <v>44617</v>
      </c>
    </row>
    <row r="8128" spans="1:15" ht="43.2" x14ac:dyDescent="0.3">
      <c r="A8128" s="1" t="s">
        <v>13383</v>
      </c>
      <c r="B8128" s="1" t="str">
        <f>"Teddington Engineered Solutions"</f>
        <v>Teddington Engineered Solutions</v>
      </c>
      <c r="C8128" s="1" t="s">
        <v>13384</v>
      </c>
      <c r="D8128" s="1" t="s">
        <v>13385</v>
      </c>
      <c r="E8128" s="1" t="s">
        <v>2130</v>
      </c>
      <c r="F8128" s="1" t="s">
        <v>42</v>
      </c>
      <c r="H8128" s="1" t="s">
        <v>13386</v>
      </c>
      <c r="I8128" s="1" t="s">
        <v>19</v>
      </c>
      <c r="J8128" s="1" t="s">
        <v>67</v>
      </c>
      <c r="K8128" s="1" t="s">
        <v>14</v>
      </c>
      <c r="M8128" s="2">
        <v>42425</v>
      </c>
      <c r="N8128" s="1" t="s">
        <v>8</v>
      </c>
      <c r="O8128" s="1" t="s">
        <v>68</v>
      </c>
    </row>
    <row r="8129" spans="1:15" ht="43.2" x14ac:dyDescent="0.3">
      <c r="A8129" s="1" t="s">
        <v>13387</v>
      </c>
      <c r="B8129" s="1" t="str">
        <f>"Garej Bowydd Garage Ltd"</f>
        <v>Garej Bowydd Garage Ltd</v>
      </c>
      <c r="C8129" s="1" t="s">
        <v>13388</v>
      </c>
      <c r="D8129" s="1" t="s">
        <v>4954</v>
      </c>
      <c r="F8129" s="1" t="s">
        <v>3</v>
      </c>
      <c r="H8129" s="1" t="s">
        <v>4955</v>
      </c>
      <c r="I8129" s="1" t="s">
        <v>19</v>
      </c>
      <c r="J8129" s="1" t="s">
        <v>67</v>
      </c>
      <c r="K8129" s="1" t="s">
        <v>24</v>
      </c>
      <c r="L8129" s="1">
        <v>8283553</v>
      </c>
      <c r="M8129" s="2">
        <v>42425</v>
      </c>
      <c r="N8129" s="1" t="s">
        <v>8</v>
      </c>
      <c r="O8129" s="1" t="s">
        <v>68</v>
      </c>
    </row>
    <row r="8130" spans="1:15" ht="43.2" x14ac:dyDescent="0.3">
      <c r="A8130" s="1" t="s">
        <v>25919</v>
      </c>
      <c r="B8130" s="1" t="str">
        <f>"Kevin Spencer"</f>
        <v>Kevin Spencer</v>
      </c>
      <c r="C8130" s="1" t="s">
        <v>25920</v>
      </c>
      <c r="F8130" s="1" t="s">
        <v>996</v>
      </c>
      <c r="H8130" s="1" t="s">
        <v>25921</v>
      </c>
      <c r="I8130" s="1" t="s">
        <v>5</v>
      </c>
      <c r="J8130" s="1" t="s">
        <v>67</v>
      </c>
      <c r="K8130" s="1" t="s">
        <v>14</v>
      </c>
      <c r="M8130" s="2">
        <v>42425</v>
      </c>
      <c r="N8130" s="1" t="s">
        <v>8</v>
      </c>
      <c r="O8130" s="1" t="s">
        <v>68</v>
      </c>
    </row>
    <row r="8131" spans="1:15" x14ac:dyDescent="0.3">
      <c r="A8131" s="1" t="s">
        <v>31241</v>
      </c>
      <c r="B8131" s="1" t="str">
        <f>"Williams A Williams Cyf"</f>
        <v>Williams A Williams Cyf</v>
      </c>
      <c r="C8131" s="1" t="s">
        <v>31242</v>
      </c>
      <c r="F8131" s="1" t="s">
        <v>790</v>
      </c>
      <c r="H8131" s="1" t="s">
        <v>31243</v>
      </c>
      <c r="I8131" s="1" t="s">
        <v>19</v>
      </c>
      <c r="J8131" s="1" t="s">
        <v>6</v>
      </c>
      <c r="K8131" s="1" t="s">
        <v>14</v>
      </c>
      <c r="L8131" s="1">
        <v>4777511</v>
      </c>
      <c r="M8131" s="2">
        <v>42425</v>
      </c>
      <c r="N8131" s="1" t="s">
        <v>8</v>
      </c>
      <c r="O8131" s="2">
        <v>44617</v>
      </c>
    </row>
    <row r="8132" spans="1:15" ht="43.2" x14ac:dyDescent="0.3">
      <c r="A8132" s="1" t="s">
        <v>1375</v>
      </c>
      <c r="B8132" s="1" t="str">
        <f>"Adrian Rothero Demolition &amp; Garden Services"</f>
        <v>Adrian Rothero Demolition &amp; Garden Services</v>
      </c>
      <c r="C8132" s="1" t="s">
        <v>1376</v>
      </c>
      <c r="F8132" s="1" t="s">
        <v>65</v>
      </c>
      <c r="H8132" s="1" t="s">
        <v>1377</v>
      </c>
      <c r="I8132" s="1" t="s">
        <v>5</v>
      </c>
      <c r="J8132" s="1" t="s">
        <v>6</v>
      </c>
      <c r="K8132" s="1" t="s">
        <v>24</v>
      </c>
      <c r="M8132" s="2">
        <v>42424</v>
      </c>
      <c r="N8132" s="1" t="s">
        <v>8</v>
      </c>
      <c r="O8132" s="2">
        <v>44616</v>
      </c>
    </row>
    <row r="8133" spans="1:15" x14ac:dyDescent="0.3">
      <c r="A8133" s="1" t="s">
        <v>1378</v>
      </c>
      <c r="B8133" s="1" t="str">
        <f>"John Janes John Janes"</f>
        <v>John Janes John Janes</v>
      </c>
      <c r="C8133" s="1" t="s">
        <v>1379</v>
      </c>
      <c r="F8133" s="1" t="s">
        <v>42</v>
      </c>
      <c r="H8133" s="1" t="s">
        <v>1380</v>
      </c>
      <c r="I8133" s="1" t="s">
        <v>5</v>
      </c>
      <c r="J8133" s="1" t="s">
        <v>6</v>
      </c>
      <c r="K8133" s="1" t="s">
        <v>24</v>
      </c>
      <c r="M8133" s="2">
        <v>42424</v>
      </c>
      <c r="N8133" s="1" t="s">
        <v>8</v>
      </c>
      <c r="O8133" s="2">
        <v>44616</v>
      </c>
    </row>
    <row r="8134" spans="1:15" ht="28.8" x14ac:dyDescent="0.3">
      <c r="A8134" s="1" t="s">
        <v>1678</v>
      </c>
      <c r="B8134" s="1" t="str">
        <f>"R &amp; M Williams Ltd."</f>
        <v>R &amp; M Williams Ltd.</v>
      </c>
      <c r="C8134" s="1" t="s">
        <v>1679</v>
      </c>
      <c r="D8134" s="1" t="s">
        <v>1025</v>
      </c>
      <c r="F8134" s="1" t="s">
        <v>27</v>
      </c>
      <c r="H8134" s="1" t="s">
        <v>1026</v>
      </c>
      <c r="I8134" s="1" t="s">
        <v>19</v>
      </c>
      <c r="J8134" s="1" t="s">
        <v>6</v>
      </c>
      <c r="K8134" s="1" t="s">
        <v>24</v>
      </c>
      <c r="L8134" s="1">
        <v>1382857</v>
      </c>
      <c r="M8134" s="2">
        <v>42424</v>
      </c>
      <c r="N8134" s="1" t="s">
        <v>8</v>
      </c>
      <c r="O8134" s="2">
        <v>44616</v>
      </c>
    </row>
    <row r="8135" spans="1:15" ht="28.8" x14ac:dyDescent="0.3">
      <c r="A8135" s="1" t="s">
        <v>1840</v>
      </c>
      <c r="B8135" s="1" t="str">
        <f>"NUAIRE LTD"</f>
        <v>NUAIRE LTD</v>
      </c>
      <c r="C8135" s="1" t="s">
        <v>1841</v>
      </c>
      <c r="D8135" s="1" t="s">
        <v>1842</v>
      </c>
      <c r="F8135" s="1" t="s">
        <v>103</v>
      </c>
      <c r="H8135" s="1" t="s">
        <v>1843</v>
      </c>
      <c r="I8135" s="1" t="s">
        <v>19</v>
      </c>
      <c r="J8135" s="1" t="s">
        <v>6</v>
      </c>
      <c r="K8135" s="1" t="s">
        <v>24</v>
      </c>
      <c r="L8135" s="1">
        <v>877308</v>
      </c>
      <c r="M8135" s="2">
        <v>42424</v>
      </c>
      <c r="N8135" s="1" t="s">
        <v>8</v>
      </c>
      <c r="O8135" s="2">
        <v>44616</v>
      </c>
    </row>
    <row r="8136" spans="1:15" ht="43.2" x14ac:dyDescent="0.3">
      <c r="A8136" s="1" t="s">
        <v>11306</v>
      </c>
      <c r="B8136" s="1" t="str">
        <f>"NUAIRE LTD"</f>
        <v>NUAIRE LTD</v>
      </c>
      <c r="C8136" s="1" t="s">
        <v>1841</v>
      </c>
      <c r="D8136" s="1" t="s">
        <v>1842</v>
      </c>
      <c r="F8136" s="1" t="s">
        <v>103</v>
      </c>
      <c r="H8136" s="1" t="s">
        <v>1843</v>
      </c>
      <c r="I8136" s="1" t="s">
        <v>19</v>
      </c>
      <c r="J8136" s="1" t="s">
        <v>67</v>
      </c>
      <c r="K8136" s="1" t="s">
        <v>24</v>
      </c>
      <c r="L8136" s="1">
        <v>877308</v>
      </c>
      <c r="M8136" s="2">
        <v>42424</v>
      </c>
      <c r="N8136" s="1" t="s">
        <v>8</v>
      </c>
      <c r="O8136" s="1" t="s">
        <v>68</v>
      </c>
    </row>
    <row r="8137" spans="1:15" ht="43.2" x14ac:dyDescent="0.3">
      <c r="A8137" s="1" t="s">
        <v>25190</v>
      </c>
      <c r="B8137" s="1" t="str">
        <f>"Edward Doherty "</f>
        <v xml:space="preserve">Edward Doherty </v>
      </c>
      <c r="C8137" s="1" t="s">
        <v>25191</v>
      </c>
      <c r="D8137" s="1" t="s">
        <v>25192</v>
      </c>
      <c r="F8137" s="1" t="s">
        <v>4831</v>
      </c>
      <c r="H8137" s="1" t="s">
        <v>25193</v>
      </c>
      <c r="I8137" s="1" t="s">
        <v>5</v>
      </c>
      <c r="J8137" s="1" t="s">
        <v>67</v>
      </c>
      <c r="K8137" s="1" t="s">
        <v>14</v>
      </c>
      <c r="M8137" s="2">
        <v>42424</v>
      </c>
      <c r="N8137" s="1" t="s">
        <v>8</v>
      </c>
      <c r="O8137" s="1" t="s">
        <v>68</v>
      </c>
    </row>
    <row r="8138" spans="1:15" ht="43.2" x14ac:dyDescent="0.3">
      <c r="A8138" s="1" t="s">
        <v>25194</v>
      </c>
      <c r="B8138" s="1" t="str">
        <f>"saif khan carmacs"</f>
        <v>saif khan carmacs</v>
      </c>
      <c r="C8138" s="1" t="s">
        <v>25195</v>
      </c>
      <c r="F8138" s="1" t="s">
        <v>27</v>
      </c>
      <c r="H8138" s="1" t="s">
        <v>21599</v>
      </c>
      <c r="I8138" s="1" t="s">
        <v>5</v>
      </c>
      <c r="J8138" s="1" t="s">
        <v>67</v>
      </c>
      <c r="K8138" s="1" t="s">
        <v>34</v>
      </c>
      <c r="M8138" s="2">
        <v>42424</v>
      </c>
      <c r="N8138" s="1" t="s">
        <v>8</v>
      </c>
      <c r="O8138" s="1" t="s">
        <v>68</v>
      </c>
    </row>
    <row r="8139" spans="1:15" ht="43.2" x14ac:dyDescent="0.3">
      <c r="A8139" s="1" t="s">
        <v>25196</v>
      </c>
      <c r="B8139" s="1" t="str">
        <f>"Daniel Stone"</f>
        <v>Daniel Stone</v>
      </c>
      <c r="C8139" s="1" t="s">
        <v>25197</v>
      </c>
      <c r="F8139" s="1" t="s">
        <v>865</v>
      </c>
      <c r="H8139" s="1" t="s">
        <v>25198</v>
      </c>
      <c r="I8139" s="1" t="s">
        <v>5</v>
      </c>
      <c r="J8139" s="1" t="s">
        <v>67</v>
      </c>
      <c r="K8139" s="1" t="s">
        <v>14</v>
      </c>
      <c r="M8139" s="2">
        <v>42424</v>
      </c>
      <c r="N8139" s="1" t="s">
        <v>8</v>
      </c>
      <c r="O8139" s="1" t="s">
        <v>68</v>
      </c>
    </row>
    <row r="8140" spans="1:15" ht="43.2" x14ac:dyDescent="0.3">
      <c r="A8140" s="1" t="s">
        <v>25199</v>
      </c>
      <c r="B8140" s="1" t="str">
        <f>"shaun ayres"</f>
        <v>shaun ayres</v>
      </c>
      <c r="C8140" s="1" t="s">
        <v>25200</v>
      </c>
      <c r="F8140" s="1" t="s">
        <v>25201</v>
      </c>
      <c r="H8140" s="1" t="s">
        <v>25202</v>
      </c>
      <c r="I8140" s="1" t="s">
        <v>5</v>
      </c>
      <c r="J8140" s="1" t="s">
        <v>67</v>
      </c>
      <c r="K8140" s="1" t="s">
        <v>14</v>
      </c>
      <c r="M8140" s="2">
        <v>42424</v>
      </c>
      <c r="N8140" s="1" t="s">
        <v>8</v>
      </c>
      <c r="O8140" s="1" t="s">
        <v>68</v>
      </c>
    </row>
    <row r="8141" spans="1:15" ht="28.8" x14ac:dyDescent="0.3">
      <c r="A8141" s="1" t="s">
        <v>33337</v>
      </c>
      <c r="B8141" s="1" t="str">
        <f>"Jim Davies Civil Engineering Ltd."</f>
        <v>Jim Davies Civil Engineering Ltd.</v>
      </c>
      <c r="C8141" s="1" t="s">
        <v>33338</v>
      </c>
      <c r="D8141" s="1" t="s">
        <v>23957</v>
      </c>
      <c r="F8141" s="1" t="s">
        <v>621</v>
      </c>
      <c r="H8141" s="1" t="s">
        <v>33339</v>
      </c>
      <c r="I8141" s="1" t="s">
        <v>19</v>
      </c>
      <c r="J8141" s="1" t="s">
        <v>6</v>
      </c>
      <c r="K8141" s="1" t="s">
        <v>34</v>
      </c>
      <c r="L8141" s="1">
        <v>1249053</v>
      </c>
      <c r="M8141" s="2">
        <v>42424</v>
      </c>
      <c r="N8141" s="1" t="s">
        <v>8</v>
      </c>
      <c r="O8141" s="2">
        <v>44616</v>
      </c>
    </row>
    <row r="8142" spans="1:15" ht="43.2" x14ac:dyDescent="0.3">
      <c r="A8142" s="1" t="s">
        <v>482</v>
      </c>
      <c r="B8142" s="1" t="str">
        <f>"FIRST GRADE FURNITURE LTD"</f>
        <v>FIRST GRADE FURNITURE LTD</v>
      </c>
      <c r="C8142" s="1" t="s">
        <v>483</v>
      </c>
      <c r="F8142" s="1" t="s">
        <v>123</v>
      </c>
      <c r="H8142" s="1" t="s">
        <v>484</v>
      </c>
      <c r="I8142" s="1" t="s">
        <v>19</v>
      </c>
      <c r="J8142" s="1" t="s">
        <v>6</v>
      </c>
      <c r="K8142" s="1" t="s">
        <v>24</v>
      </c>
      <c r="L8142" s="1">
        <v>5216356</v>
      </c>
      <c r="M8142" s="2">
        <v>42423</v>
      </c>
      <c r="N8142" s="1" t="s">
        <v>8</v>
      </c>
      <c r="O8142" s="2">
        <v>44615</v>
      </c>
    </row>
    <row r="8143" spans="1:15" ht="28.8" x14ac:dyDescent="0.3">
      <c r="A8143" s="1" t="s">
        <v>1783</v>
      </c>
      <c r="B8143" s="1" t="str">
        <f>"Hefin Thomas Agri Contractors Ltd."</f>
        <v>Hefin Thomas Agri Contractors Ltd.</v>
      </c>
      <c r="C8143" s="1" t="s">
        <v>1784</v>
      </c>
      <c r="D8143" s="1" t="s">
        <v>1785</v>
      </c>
      <c r="F8143" s="1" t="s">
        <v>1786</v>
      </c>
      <c r="H8143" s="1" t="s">
        <v>1787</v>
      </c>
      <c r="I8143" s="1" t="s">
        <v>19</v>
      </c>
      <c r="J8143" s="1" t="s">
        <v>6</v>
      </c>
      <c r="K8143" s="1" t="s">
        <v>34</v>
      </c>
      <c r="L8143" s="1">
        <v>5358765</v>
      </c>
      <c r="M8143" s="2">
        <v>42423</v>
      </c>
      <c r="N8143" s="1" t="s">
        <v>8</v>
      </c>
      <c r="O8143" s="2">
        <v>44615</v>
      </c>
    </row>
    <row r="8144" spans="1:15" ht="43.2" x14ac:dyDescent="0.3">
      <c r="A8144" s="1" t="s">
        <v>11297</v>
      </c>
      <c r="B8144" s="1" t="str">
        <f>"Auto Garage Limited"</f>
        <v>Auto Garage Limited</v>
      </c>
      <c r="C8144" s="1" t="s">
        <v>11298</v>
      </c>
      <c r="D8144" s="1" t="s">
        <v>934</v>
      </c>
      <c r="F8144" s="1" t="s">
        <v>873</v>
      </c>
      <c r="H8144" s="1" t="s">
        <v>11299</v>
      </c>
      <c r="I8144" s="1" t="s">
        <v>19</v>
      </c>
      <c r="J8144" s="1" t="s">
        <v>67</v>
      </c>
      <c r="K8144" s="1" t="s">
        <v>14</v>
      </c>
      <c r="M8144" s="2">
        <v>42423</v>
      </c>
      <c r="N8144" s="1" t="s">
        <v>8</v>
      </c>
      <c r="O8144" s="1" t="s">
        <v>68</v>
      </c>
    </row>
    <row r="8145" spans="1:15" ht="43.2" x14ac:dyDescent="0.3">
      <c r="A8145" s="1" t="s">
        <v>11300</v>
      </c>
      <c r="B8145" s="1" t="str">
        <f>"THORNLEY LEISURE PARKS"</f>
        <v>THORNLEY LEISURE PARKS</v>
      </c>
      <c r="C8145" s="1" t="s">
        <v>11301</v>
      </c>
      <c r="D8145" s="1" t="s">
        <v>11302</v>
      </c>
      <c r="F8145" s="1" t="s">
        <v>1184</v>
      </c>
      <c r="H8145" s="1" t="s">
        <v>11303</v>
      </c>
      <c r="I8145" s="1" t="s">
        <v>19</v>
      </c>
      <c r="J8145" s="1" t="s">
        <v>67</v>
      </c>
      <c r="K8145" s="1" t="s">
        <v>14</v>
      </c>
      <c r="M8145" s="2">
        <v>42423</v>
      </c>
      <c r="N8145" s="1" t="s">
        <v>8</v>
      </c>
      <c r="O8145" s="1" t="s">
        <v>68</v>
      </c>
    </row>
    <row r="8146" spans="1:15" ht="43.2" x14ac:dyDescent="0.3">
      <c r="A8146" s="1" t="s">
        <v>11304</v>
      </c>
      <c r="B8146" s="1" t="str">
        <f>"NOLAN RECYCLING LTD"</f>
        <v>NOLAN RECYCLING LTD</v>
      </c>
      <c r="C8146" s="1" t="s">
        <v>11305</v>
      </c>
      <c r="D8146" s="1" t="s">
        <v>10870</v>
      </c>
      <c r="E8146" s="1" t="s">
        <v>1389</v>
      </c>
      <c r="F8146" s="1" t="s">
        <v>865</v>
      </c>
      <c r="H8146" s="1" t="s">
        <v>10871</v>
      </c>
      <c r="I8146" s="1" t="s">
        <v>19</v>
      </c>
      <c r="J8146" s="1" t="s">
        <v>67</v>
      </c>
      <c r="K8146" s="1" t="s">
        <v>24</v>
      </c>
      <c r="L8146" s="1">
        <v>4215419</v>
      </c>
      <c r="M8146" s="2">
        <v>42423</v>
      </c>
      <c r="N8146" s="1" t="s">
        <v>8</v>
      </c>
      <c r="O8146" s="1" t="s">
        <v>68</v>
      </c>
    </row>
    <row r="8147" spans="1:15" ht="43.2" x14ac:dyDescent="0.3">
      <c r="A8147" s="1" t="s">
        <v>24352</v>
      </c>
      <c r="B8147" s="1" t="str">
        <f>"David Davies"</f>
        <v>David Davies</v>
      </c>
      <c r="C8147" s="1" t="s">
        <v>24353</v>
      </c>
      <c r="F8147" s="1" t="s">
        <v>2</v>
      </c>
      <c r="H8147" s="1" t="s">
        <v>24354</v>
      </c>
      <c r="I8147" s="1" t="s">
        <v>5</v>
      </c>
      <c r="J8147" s="1" t="s">
        <v>67</v>
      </c>
      <c r="K8147" s="1" t="s">
        <v>14</v>
      </c>
      <c r="M8147" s="2">
        <v>42423</v>
      </c>
      <c r="N8147" s="1" t="s">
        <v>8</v>
      </c>
      <c r="O8147" s="1" t="s">
        <v>68</v>
      </c>
    </row>
    <row r="8148" spans="1:15" ht="43.2" x14ac:dyDescent="0.3">
      <c r="A8148" s="1" t="s">
        <v>24355</v>
      </c>
      <c r="B8148" s="1" t="str">
        <f>"robert maddock"</f>
        <v>robert maddock</v>
      </c>
      <c r="C8148" s="1" t="s">
        <v>24356</v>
      </c>
      <c r="D8148" s="1" t="s">
        <v>24357</v>
      </c>
      <c r="F8148" s="1" t="s">
        <v>198</v>
      </c>
      <c r="H8148" s="1" t="s">
        <v>24358</v>
      </c>
      <c r="I8148" s="1" t="s">
        <v>5</v>
      </c>
      <c r="J8148" s="1" t="s">
        <v>67</v>
      </c>
      <c r="K8148" s="1" t="s">
        <v>14</v>
      </c>
      <c r="M8148" s="2">
        <v>42423</v>
      </c>
      <c r="N8148" s="1" t="s">
        <v>8</v>
      </c>
      <c r="O8148" s="1" t="s">
        <v>68</v>
      </c>
    </row>
    <row r="8149" spans="1:15" ht="28.8" x14ac:dyDescent="0.3">
      <c r="A8149" s="1" t="s">
        <v>31345</v>
      </c>
      <c r="B8149" s="1" t="str">
        <f>"David Jones Building Contractors"</f>
        <v>David Jones Building Contractors</v>
      </c>
      <c r="C8149" s="1" t="s">
        <v>31346</v>
      </c>
      <c r="F8149" s="1" t="s">
        <v>4536</v>
      </c>
      <c r="H8149" s="1" t="s">
        <v>31347</v>
      </c>
      <c r="I8149" s="1" t="s">
        <v>125</v>
      </c>
      <c r="J8149" s="1" t="s">
        <v>6</v>
      </c>
      <c r="K8149" s="1" t="s">
        <v>24</v>
      </c>
      <c r="M8149" s="2">
        <v>42423</v>
      </c>
      <c r="N8149" s="1" t="s">
        <v>8</v>
      </c>
      <c r="O8149" s="2">
        <v>44615</v>
      </c>
    </row>
    <row r="8150" spans="1:15" ht="28.8" x14ac:dyDescent="0.3">
      <c r="A8150" s="1" t="s">
        <v>459</v>
      </c>
      <c r="B8150" s="1" t="str">
        <f>"Rhys Davies &amp; Sons Ltd"</f>
        <v>Rhys Davies &amp; Sons Ltd</v>
      </c>
      <c r="C8150" s="1" t="s">
        <v>460</v>
      </c>
      <c r="F8150" s="1" t="s">
        <v>27</v>
      </c>
      <c r="H8150" s="1" t="s">
        <v>461</v>
      </c>
      <c r="I8150" s="1" t="s">
        <v>19</v>
      </c>
      <c r="J8150" s="1" t="s">
        <v>6</v>
      </c>
      <c r="K8150" s="1" t="s">
        <v>34</v>
      </c>
      <c r="L8150" s="1">
        <v>1718283</v>
      </c>
      <c r="M8150" s="2">
        <v>42422</v>
      </c>
      <c r="N8150" s="1" t="s">
        <v>8</v>
      </c>
      <c r="O8150" s="2">
        <v>44614</v>
      </c>
    </row>
    <row r="8151" spans="1:15" ht="28.8" x14ac:dyDescent="0.3">
      <c r="A8151" s="1" t="s">
        <v>668</v>
      </c>
      <c r="B8151" s="1" t="str">
        <f>"Duo Skip Hire Ltd."</f>
        <v>Duo Skip Hire Ltd.</v>
      </c>
      <c r="C8151" s="1" t="s">
        <v>669</v>
      </c>
      <c r="F8151" s="1" t="s">
        <v>37</v>
      </c>
      <c r="H8151" s="1" t="s">
        <v>670</v>
      </c>
      <c r="I8151" s="1" t="s">
        <v>19</v>
      </c>
      <c r="J8151" s="1" t="s">
        <v>6</v>
      </c>
      <c r="K8151" s="1" t="s">
        <v>24</v>
      </c>
      <c r="L8151" s="1">
        <v>5102499</v>
      </c>
      <c r="M8151" s="2">
        <v>42422</v>
      </c>
      <c r="N8151" s="1" t="s">
        <v>8</v>
      </c>
      <c r="O8151" s="2">
        <v>44614</v>
      </c>
    </row>
    <row r="8152" spans="1:15" ht="28.8" x14ac:dyDescent="0.3">
      <c r="A8152" s="1" t="s">
        <v>1633</v>
      </c>
      <c r="B8152" s="1" t="str">
        <f>"Andrew Lane A L Recycling"</f>
        <v>Andrew Lane A L Recycling</v>
      </c>
      <c r="C8152" s="1" t="s">
        <v>1634</v>
      </c>
      <c r="F8152" s="1" t="s">
        <v>27</v>
      </c>
      <c r="H8152" s="1" t="s">
        <v>1635</v>
      </c>
      <c r="I8152" s="1" t="s">
        <v>5</v>
      </c>
      <c r="J8152" s="1" t="s">
        <v>6</v>
      </c>
      <c r="K8152" s="1" t="s">
        <v>14</v>
      </c>
      <c r="M8152" s="2">
        <v>42422</v>
      </c>
      <c r="N8152" s="1" t="s">
        <v>8</v>
      </c>
      <c r="O8152" s="2">
        <v>44614</v>
      </c>
    </row>
    <row r="8153" spans="1:15" ht="43.2" x14ac:dyDescent="0.3">
      <c r="A8153" s="1" t="s">
        <v>3125</v>
      </c>
      <c r="B8153" s="1" t="str">
        <f>"Brian Goodwin Brian Goodwin Building Services"</f>
        <v>Brian Goodwin Brian Goodwin Building Services</v>
      </c>
      <c r="C8153" s="1" t="s">
        <v>3126</v>
      </c>
      <c r="D8153" s="1" t="s">
        <v>3127</v>
      </c>
      <c r="E8153" s="1" t="s">
        <v>3128</v>
      </c>
      <c r="F8153" s="1" t="s">
        <v>156</v>
      </c>
      <c r="G8153" s="1" t="s">
        <v>103</v>
      </c>
      <c r="H8153" s="1" t="s">
        <v>3129</v>
      </c>
      <c r="I8153" s="1" t="s">
        <v>5</v>
      </c>
      <c r="J8153" s="1" t="s">
        <v>6</v>
      </c>
      <c r="K8153" s="1" t="s">
        <v>34</v>
      </c>
      <c r="M8153" s="2">
        <v>42422</v>
      </c>
      <c r="N8153" s="1" t="s">
        <v>8</v>
      </c>
      <c r="O8153" s="2">
        <v>44614</v>
      </c>
    </row>
    <row r="8154" spans="1:15" ht="43.2" x14ac:dyDescent="0.3">
      <c r="A8154" s="1" t="s">
        <v>10288</v>
      </c>
      <c r="B8154" s="1" t="str">
        <f>"Connected Security Limited"</f>
        <v>Connected Security Limited</v>
      </c>
      <c r="C8154" s="1" t="s">
        <v>10289</v>
      </c>
      <c r="D8154" s="1" t="s">
        <v>10290</v>
      </c>
      <c r="F8154" s="1" t="s">
        <v>532</v>
      </c>
      <c r="H8154" s="1" t="s">
        <v>10291</v>
      </c>
      <c r="I8154" s="1" t="s">
        <v>19</v>
      </c>
      <c r="J8154" s="1" t="s">
        <v>67</v>
      </c>
      <c r="K8154" s="1" t="s">
        <v>14</v>
      </c>
      <c r="M8154" s="2">
        <v>42422</v>
      </c>
      <c r="N8154" s="1" t="s">
        <v>8</v>
      </c>
      <c r="O8154" s="1" t="s">
        <v>68</v>
      </c>
    </row>
    <row r="8155" spans="1:15" ht="43.2" x14ac:dyDescent="0.3">
      <c r="A8155" s="1" t="s">
        <v>31254</v>
      </c>
      <c r="B8155" s="1" t="str">
        <f>"A  N  Supplies (Wholesale Electrical Distributors) Ltd."</f>
        <v>A  N  Supplies (Wholesale Electrical Distributors) Ltd.</v>
      </c>
      <c r="C8155" s="1" t="s">
        <v>13069</v>
      </c>
      <c r="F8155" s="1" t="s">
        <v>865</v>
      </c>
      <c r="H8155" s="1" t="s">
        <v>13070</v>
      </c>
      <c r="I8155" s="1" t="s">
        <v>19</v>
      </c>
      <c r="J8155" s="1" t="s">
        <v>6</v>
      </c>
      <c r="K8155" s="1" t="s">
        <v>24</v>
      </c>
      <c r="L8155" s="1">
        <v>1258993</v>
      </c>
      <c r="M8155" s="2">
        <v>42422</v>
      </c>
      <c r="N8155" s="1" t="s">
        <v>8</v>
      </c>
      <c r="O8155" s="2">
        <v>44614</v>
      </c>
    </row>
    <row r="8156" spans="1:15" ht="28.8" x14ac:dyDescent="0.3">
      <c r="A8156" s="1" t="s">
        <v>383</v>
      </c>
      <c r="B8156" s="1" t="str">
        <f>"Gareth Morse Gareth Morse Transport"</f>
        <v>Gareth Morse Gareth Morse Transport</v>
      </c>
      <c r="C8156" s="1" t="s">
        <v>384</v>
      </c>
      <c r="F8156" s="1" t="s">
        <v>385</v>
      </c>
      <c r="H8156" s="1" t="s">
        <v>386</v>
      </c>
      <c r="I8156" s="1" t="s">
        <v>5</v>
      </c>
      <c r="J8156" s="1" t="s">
        <v>6</v>
      </c>
      <c r="K8156" s="1" t="s">
        <v>14</v>
      </c>
      <c r="M8156" s="2">
        <v>42421</v>
      </c>
      <c r="N8156" s="1" t="s">
        <v>8</v>
      </c>
      <c r="O8156" s="2">
        <v>44613</v>
      </c>
    </row>
    <row r="8157" spans="1:15" ht="43.2" x14ac:dyDescent="0.3">
      <c r="A8157" s="1" t="s">
        <v>391</v>
      </c>
      <c r="B8157" s="1" t="str">
        <f>"Michael Gilpin mike gilpin garden maintenance"</f>
        <v>Michael Gilpin mike gilpin garden maintenance</v>
      </c>
      <c r="C8157" s="1" t="s">
        <v>392</v>
      </c>
      <c r="F8157" s="1" t="s">
        <v>65</v>
      </c>
      <c r="H8157" s="1" t="s">
        <v>393</v>
      </c>
      <c r="I8157" s="1" t="s">
        <v>5</v>
      </c>
      <c r="J8157" s="1" t="s">
        <v>6</v>
      </c>
      <c r="K8157" s="1" t="s">
        <v>24</v>
      </c>
      <c r="M8157" s="2">
        <v>42421</v>
      </c>
      <c r="N8157" s="1" t="s">
        <v>8</v>
      </c>
      <c r="O8157" s="2">
        <v>44613</v>
      </c>
    </row>
    <row r="8158" spans="1:15" ht="28.8" x14ac:dyDescent="0.3">
      <c r="A8158" s="1" t="s">
        <v>1684</v>
      </c>
      <c r="B8158" s="1" t="str">
        <f>"HUGH DOLBEN HDR DOLBEN HAULAGE"</f>
        <v>HUGH DOLBEN HDR DOLBEN HAULAGE</v>
      </c>
      <c r="C8158" s="1" t="s">
        <v>1685</v>
      </c>
      <c r="F8158" s="1" t="s">
        <v>72</v>
      </c>
      <c r="G8158" s="1" t="s">
        <v>73</v>
      </c>
      <c r="H8158" s="1" t="s">
        <v>1686</v>
      </c>
      <c r="I8158" s="1" t="s">
        <v>5</v>
      </c>
      <c r="J8158" s="1" t="s">
        <v>6</v>
      </c>
      <c r="K8158" s="1" t="s">
        <v>24</v>
      </c>
      <c r="M8158" s="2">
        <v>42421</v>
      </c>
      <c r="N8158" s="1" t="s">
        <v>8</v>
      </c>
      <c r="O8158" s="2">
        <v>44613</v>
      </c>
    </row>
    <row r="8159" spans="1:15" ht="28.8" x14ac:dyDescent="0.3">
      <c r="A8159" s="1" t="s">
        <v>1640</v>
      </c>
      <c r="B8159" s="1" t="str">
        <f>"Alun Griffiths (Contractors) Ltd"</f>
        <v>Alun Griffiths (Contractors) Ltd</v>
      </c>
      <c r="C8159" s="1" t="s">
        <v>1641</v>
      </c>
      <c r="D8159" s="1" t="s">
        <v>230</v>
      </c>
      <c r="F8159" s="1" t="s">
        <v>1642</v>
      </c>
      <c r="H8159" s="1" t="s">
        <v>1643</v>
      </c>
      <c r="I8159" s="1" t="s">
        <v>19</v>
      </c>
      <c r="J8159" s="1" t="s">
        <v>6</v>
      </c>
      <c r="K8159" s="1" t="s">
        <v>34</v>
      </c>
      <c r="L8159" s="1">
        <v>1493003</v>
      </c>
      <c r="M8159" s="2">
        <v>42420</v>
      </c>
      <c r="N8159" s="1" t="s">
        <v>8</v>
      </c>
      <c r="O8159" s="2">
        <v>44612</v>
      </c>
    </row>
    <row r="8160" spans="1:15" ht="28.8" x14ac:dyDescent="0.3">
      <c r="A8160" s="1" t="s">
        <v>489</v>
      </c>
      <c r="B8160" s="1" t="str">
        <f>"Clive Griffiths Simply Landscaping"</f>
        <v>Clive Griffiths Simply Landscaping</v>
      </c>
      <c r="C8160" s="1" t="s">
        <v>490</v>
      </c>
      <c r="F8160" s="1" t="s">
        <v>491</v>
      </c>
      <c r="G8160" s="1" t="s">
        <v>115</v>
      </c>
      <c r="H8160" s="1" t="s">
        <v>492</v>
      </c>
      <c r="I8160" s="1" t="s">
        <v>5</v>
      </c>
      <c r="J8160" s="1" t="s">
        <v>6</v>
      </c>
      <c r="K8160" s="1" t="s">
        <v>34</v>
      </c>
      <c r="M8160" s="2">
        <v>42419</v>
      </c>
      <c r="N8160" s="1" t="s">
        <v>8</v>
      </c>
      <c r="O8160" s="2">
        <v>44611</v>
      </c>
    </row>
    <row r="8161" spans="1:15" ht="28.8" x14ac:dyDescent="0.3">
      <c r="A8161" s="1" t="s">
        <v>3026</v>
      </c>
      <c r="B8161" s="1" t="str">
        <f>"Hazelwood Carpentry Contractors Ltd"</f>
        <v>Hazelwood Carpentry Contractors Ltd</v>
      </c>
      <c r="C8161" s="1" t="s">
        <v>3027</v>
      </c>
      <c r="D8161" s="1" t="s">
        <v>3028</v>
      </c>
      <c r="E8161" s="1" t="s">
        <v>3029</v>
      </c>
      <c r="F8161" s="1" t="s">
        <v>277</v>
      </c>
      <c r="H8161" s="1" t="s">
        <v>3030</v>
      </c>
      <c r="I8161" s="1" t="s">
        <v>19</v>
      </c>
      <c r="J8161" s="1" t="s">
        <v>6</v>
      </c>
      <c r="K8161" s="1" t="s">
        <v>34</v>
      </c>
      <c r="L8161" s="1">
        <v>7177532</v>
      </c>
      <c r="M8161" s="2">
        <v>42419</v>
      </c>
      <c r="N8161" s="1" t="s">
        <v>8</v>
      </c>
      <c r="O8161" s="2">
        <v>44611</v>
      </c>
    </row>
    <row r="8162" spans="1:15" x14ac:dyDescent="0.3">
      <c r="A8162" s="1" t="s">
        <v>3130</v>
      </c>
      <c r="B8162" s="1" t="str">
        <f>"Caprice (Bangor) Ltd."</f>
        <v>Caprice (Bangor) Ltd.</v>
      </c>
      <c r="C8162" s="1" t="s">
        <v>3131</v>
      </c>
      <c r="F8162" s="1" t="s">
        <v>1321</v>
      </c>
      <c r="H8162" s="1" t="s">
        <v>3132</v>
      </c>
      <c r="I8162" s="1" t="s">
        <v>19</v>
      </c>
      <c r="J8162" s="1" t="s">
        <v>6</v>
      </c>
      <c r="K8162" s="1" t="s">
        <v>14</v>
      </c>
      <c r="L8162" s="1">
        <v>1759432</v>
      </c>
      <c r="M8162" s="2">
        <v>42419</v>
      </c>
      <c r="N8162" s="1" t="s">
        <v>8</v>
      </c>
      <c r="O8162" s="2">
        <v>44611</v>
      </c>
    </row>
    <row r="8163" spans="1:15" ht="43.2" x14ac:dyDescent="0.3">
      <c r="A8163" s="1" t="s">
        <v>7959</v>
      </c>
      <c r="B8163" s="1" t="str">
        <f>"Fronheulog Caravan Park"</f>
        <v>Fronheulog Caravan Park</v>
      </c>
      <c r="C8163" s="1" t="s">
        <v>7960</v>
      </c>
      <c r="F8163" s="1" t="s">
        <v>7961</v>
      </c>
      <c r="H8163" s="1" t="s">
        <v>7962</v>
      </c>
      <c r="I8163" s="1" t="s">
        <v>125</v>
      </c>
      <c r="J8163" s="1" t="s">
        <v>67</v>
      </c>
      <c r="K8163" s="1" t="s">
        <v>14</v>
      </c>
      <c r="M8163" s="2">
        <v>42419</v>
      </c>
      <c r="N8163" s="1" t="s">
        <v>8</v>
      </c>
      <c r="O8163" s="1" t="s">
        <v>68</v>
      </c>
    </row>
    <row r="8164" spans="1:15" ht="43.2" x14ac:dyDescent="0.3">
      <c r="A8164" s="1" t="s">
        <v>7963</v>
      </c>
      <c r="B8164" s="1" t="str">
        <f>"GFS Blinds"</f>
        <v>GFS Blinds</v>
      </c>
      <c r="C8164" s="1" t="s">
        <v>7964</v>
      </c>
      <c r="F8164" s="1" t="s">
        <v>198</v>
      </c>
      <c r="H8164" s="1" t="s">
        <v>7965</v>
      </c>
      <c r="I8164" s="1" t="s">
        <v>19</v>
      </c>
      <c r="J8164" s="1" t="s">
        <v>67</v>
      </c>
      <c r="K8164" s="1" t="s">
        <v>14</v>
      </c>
      <c r="M8164" s="2">
        <v>42419</v>
      </c>
      <c r="N8164" s="1" t="s">
        <v>8</v>
      </c>
      <c r="O8164" s="1" t="s">
        <v>68</v>
      </c>
    </row>
    <row r="8165" spans="1:15" ht="43.2" x14ac:dyDescent="0.3">
      <c r="A8165" s="1" t="s">
        <v>9157</v>
      </c>
      <c r="B8165" s="1" t="str">
        <f>"THE WINE COMPANY"</f>
        <v>THE WINE COMPANY</v>
      </c>
      <c r="C8165" s="1" t="s">
        <v>9158</v>
      </c>
      <c r="F8165" s="1" t="s">
        <v>9159</v>
      </c>
      <c r="H8165" s="1" t="s">
        <v>9160</v>
      </c>
      <c r="I8165" s="1" t="s">
        <v>125</v>
      </c>
      <c r="J8165" s="1" t="s">
        <v>67</v>
      </c>
      <c r="K8165" s="1" t="s">
        <v>24</v>
      </c>
      <c r="M8165" s="2">
        <v>42419</v>
      </c>
      <c r="N8165" s="1" t="s">
        <v>8</v>
      </c>
      <c r="O8165" s="1" t="s">
        <v>68</v>
      </c>
    </row>
    <row r="8166" spans="1:15" ht="43.2" x14ac:dyDescent="0.3">
      <c r="A8166" s="1" t="s">
        <v>22727</v>
      </c>
      <c r="B8166" s="1" t="str">
        <f>"Anthony Hartnoll"</f>
        <v>Anthony Hartnoll</v>
      </c>
      <c r="C8166" s="1" t="s">
        <v>22728</v>
      </c>
      <c r="F8166" s="1" t="s">
        <v>65</v>
      </c>
      <c r="H8166" s="1" t="s">
        <v>22729</v>
      </c>
      <c r="I8166" s="1" t="s">
        <v>5</v>
      </c>
      <c r="J8166" s="1" t="s">
        <v>67</v>
      </c>
      <c r="K8166" s="1" t="s">
        <v>14</v>
      </c>
      <c r="M8166" s="2">
        <v>42419</v>
      </c>
      <c r="N8166" s="1" t="s">
        <v>8</v>
      </c>
      <c r="O8166" s="1" t="s">
        <v>68</v>
      </c>
    </row>
    <row r="8167" spans="1:15" ht="43.2" x14ac:dyDescent="0.3">
      <c r="A8167" s="1" t="s">
        <v>22730</v>
      </c>
      <c r="B8167" s="1" t="str">
        <f>"Llewellyn Hughes L J HUGHES"</f>
        <v>Llewellyn Hughes L J HUGHES</v>
      </c>
      <c r="C8167" s="1" t="s">
        <v>22731</v>
      </c>
      <c r="F8167" s="1" t="s">
        <v>15211</v>
      </c>
      <c r="H8167" s="1" t="s">
        <v>22732</v>
      </c>
      <c r="I8167" s="1" t="s">
        <v>5</v>
      </c>
      <c r="J8167" s="1" t="s">
        <v>67</v>
      </c>
      <c r="K8167" s="1" t="s">
        <v>24</v>
      </c>
      <c r="M8167" s="2">
        <v>42419</v>
      </c>
      <c r="N8167" s="1" t="s">
        <v>8</v>
      </c>
      <c r="O8167" s="1" t="s">
        <v>68</v>
      </c>
    </row>
    <row r="8168" spans="1:15" ht="28.8" x14ac:dyDescent="0.3">
      <c r="A8168" s="1" t="s">
        <v>31197</v>
      </c>
      <c r="B8168" s="1" t="str">
        <f>"Roger Collingbourne"</f>
        <v>Roger Collingbourne</v>
      </c>
      <c r="C8168" s="1" t="s">
        <v>31198</v>
      </c>
      <c r="D8168" s="1" t="s">
        <v>8540</v>
      </c>
      <c r="F8168" s="1" t="s">
        <v>380</v>
      </c>
      <c r="H8168" s="1" t="s">
        <v>8541</v>
      </c>
      <c r="I8168" s="1" t="s">
        <v>5</v>
      </c>
      <c r="J8168" s="1" t="s">
        <v>6</v>
      </c>
      <c r="K8168" s="1" t="s">
        <v>14</v>
      </c>
      <c r="M8168" s="2">
        <v>42419</v>
      </c>
      <c r="N8168" s="1" t="s">
        <v>8</v>
      </c>
      <c r="O8168" s="2">
        <v>44611</v>
      </c>
    </row>
    <row r="8169" spans="1:15" ht="28.8" x14ac:dyDescent="0.3">
      <c r="A8169" s="1" t="s">
        <v>31199</v>
      </c>
      <c r="B8169" s="1" t="str">
        <f>"HALOMARK LTD"</f>
        <v>HALOMARK LTD</v>
      </c>
      <c r="C8169" s="1" t="s">
        <v>31198</v>
      </c>
      <c r="D8169" s="1" t="s">
        <v>8540</v>
      </c>
      <c r="F8169" s="1" t="s">
        <v>380</v>
      </c>
      <c r="H8169" s="1" t="s">
        <v>8541</v>
      </c>
      <c r="I8169" s="1" t="s">
        <v>19</v>
      </c>
      <c r="J8169" s="1" t="s">
        <v>6</v>
      </c>
      <c r="K8169" s="1" t="s">
        <v>14</v>
      </c>
      <c r="L8169" s="1">
        <v>1975114</v>
      </c>
      <c r="M8169" s="2">
        <v>42419</v>
      </c>
      <c r="N8169" s="1" t="s">
        <v>8</v>
      </c>
      <c r="O8169" s="2">
        <v>44611</v>
      </c>
    </row>
    <row r="8170" spans="1:15" x14ac:dyDescent="0.3">
      <c r="A8170" s="1" t="s">
        <v>32281</v>
      </c>
      <c r="B8170" s="1" t="str">
        <f>"Paul Lally Pegasus"</f>
        <v>Paul Lally Pegasus</v>
      </c>
      <c r="C8170" s="1" t="s">
        <v>32282</v>
      </c>
      <c r="F8170" s="1" t="s">
        <v>5640</v>
      </c>
      <c r="H8170" s="1" t="s">
        <v>32283</v>
      </c>
      <c r="I8170" s="1" t="s">
        <v>5</v>
      </c>
      <c r="J8170" s="1" t="s">
        <v>6</v>
      </c>
      <c r="K8170" s="1" t="s">
        <v>14</v>
      </c>
      <c r="M8170" s="2">
        <v>42419</v>
      </c>
      <c r="N8170" s="1" t="s">
        <v>8</v>
      </c>
      <c r="O8170" s="2">
        <v>44611</v>
      </c>
    </row>
    <row r="8171" spans="1:15" ht="28.8" x14ac:dyDescent="0.3">
      <c r="A8171" s="1" t="s">
        <v>1126</v>
      </c>
      <c r="B8171" s="1" t="str">
        <f>"Vanguard Roofing Ltd"</f>
        <v>Vanguard Roofing Ltd</v>
      </c>
      <c r="C8171" s="1" t="s">
        <v>1127</v>
      </c>
      <c r="D8171" s="1" t="s">
        <v>1128</v>
      </c>
      <c r="E8171" s="1" t="s">
        <v>258</v>
      </c>
      <c r="F8171" s="1" t="s">
        <v>64</v>
      </c>
      <c r="G8171" s="1" t="s">
        <v>65</v>
      </c>
      <c r="H8171" s="1" t="s">
        <v>1129</v>
      </c>
      <c r="I8171" s="1" t="s">
        <v>19</v>
      </c>
      <c r="J8171" s="1" t="s">
        <v>6</v>
      </c>
      <c r="K8171" s="1" t="s">
        <v>34</v>
      </c>
      <c r="L8171" s="1">
        <v>9866917</v>
      </c>
      <c r="M8171" s="2">
        <v>42418</v>
      </c>
      <c r="N8171" s="1" t="s">
        <v>8</v>
      </c>
      <c r="O8171" s="2">
        <v>44609</v>
      </c>
    </row>
    <row r="8172" spans="1:15" ht="43.2" x14ac:dyDescent="0.3">
      <c r="A8172" s="1" t="s">
        <v>7956</v>
      </c>
      <c r="B8172" s="1" t="str">
        <f>"Bennetts Gardening Services"</f>
        <v>Bennetts Gardening Services</v>
      </c>
      <c r="C8172" s="1" t="s">
        <v>7957</v>
      </c>
      <c r="F8172" s="1" t="s">
        <v>27</v>
      </c>
      <c r="H8172" s="1" t="s">
        <v>7958</v>
      </c>
      <c r="I8172" s="1" t="s">
        <v>125</v>
      </c>
      <c r="J8172" s="1" t="s">
        <v>67</v>
      </c>
      <c r="K8172" s="1" t="s">
        <v>24</v>
      </c>
      <c r="M8172" s="2">
        <v>42418</v>
      </c>
      <c r="N8172" s="1" t="s">
        <v>8</v>
      </c>
      <c r="O8172" s="1" t="s">
        <v>68</v>
      </c>
    </row>
    <row r="8173" spans="1:15" ht="43.2" x14ac:dyDescent="0.3">
      <c r="A8173" s="1" t="s">
        <v>21950</v>
      </c>
      <c r="B8173" s="1" t="str">
        <f>"Gerald  Davies "</f>
        <v xml:space="preserve">Gerald  Davies </v>
      </c>
      <c r="C8173" s="1" t="s">
        <v>21951</v>
      </c>
      <c r="F8173" s="1" t="s">
        <v>96</v>
      </c>
      <c r="H8173" s="1" t="s">
        <v>21952</v>
      </c>
      <c r="I8173" s="1" t="s">
        <v>5</v>
      </c>
      <c r="J8173" s="1" t="s">
        <v>67</v>
      </c>
      <c r="K8173" s="1" t="s">
        <v>14</v>
      </c>
      <c r="M8173" s="2">
        <v>42418</v>
      </c>
      <c r="N8173" s="1" t="s">
        <v>8</v>
      </c>
      <c r="O8173" s="1" t="s">
        <v>68</v>
      </c>
    </row>
    <row r="8174" spans="1:15" ht="28.8" x14ac:dyDescent="0.3">
      <c r="A8174" s="1" t="s">
        <v>31263</v>
      </c>
      <c r="B8174" s="1" t="str">
        <f>"Delwyn Jones Delwyn Jones"</f>
        <v>Delwyn Jones Delwyn Jones</v>
      </c>
      <c r="C8174" s="1" t="s">
        <v>31264</v>
      </c>
      <c r="D8174" s="1" t="s">
        <v>4645</v>
      </c>
      <c r="F8174" s="1" t="s">
        <v>31265</v>
      </c>
      <c r="H8174" s="1" t="s">
        <v>31266</v>
      </c>
      <c r="I8174" s="1" t="s">
        <v>5</v>
      </c>
      <c r="J8174" s="1" t="s">
        <v>6</v>
      </c>
      <c r="K8174" s="1" t="s">
        <v>24</v>
      </c>
      <c r="M8174" s="2">
        <v>42418</v>
      </c>
      <c r="N8174" s="1" t="s">
        <v>8</v>
      </c>
      <c r="O8174" s="2">
        <v>44610</v>
      </c>
    </row>
    <row r="8175" spans="1:15" ht="28.8" x14ac:dyDescent="0.3">
      <c r="A8175" s="1" t="s">
        <v>32263</v>
      </c>
      <c r="B8175" s="1" t="str">
        <f>"Jacqueline Davies"</f>
        <v>Jacqueline Davies</v>
      </c>
      <c r="C8175" s="1" t="s">
        <v>32264</v>
      </c>
      <c r="F8175" s="1" t="s">
        <v>1700</v>
      </c>
      <c r="H8175" s="1" t="s">
        <v>32265</v>
      </c>
      <c r="I8175" s="1" t="s">
        <v>5</v>
      </c>
      <c r="J8175" s="1" t="s">
        <v>6</v>
      </c>
      <c r="K8175" s="1" t="s">
        <v>24</v>
      </c>
      <c r="M8175" s="2">
        <v>42418</v>
      </c>
      <c r="N8175" s="1" t="s">
        <v>8</v>
      </c>
      <c r="O8175" s="2">
        <v>44610</v>
      </c>
    </row>
    <row r="8176" spans="1:15" ht="28.8" x14ac:dyDescent="0.3">
      <c r="A8176" s="1" t="s">
        <v>1217</v>
      </c>
      <c r="B8176" s="1" t="str">
        <f>"Brynbuild Limited"</f>
        <v>Brynbuild Limited</v>
      </c>
      <c r="C8176" s="1" t="s">
        <v>1218</v>
      </c>
      <c r="D8176" s="1" t="s">
        <v>1219</v>
      </c>
      <c r="F8176" s="1" t="s">
        <v>607</v>
      </c>
      <c r="H8176" s="1" t="s">
        <v>1220</v>
      </c>
      <c r="I8176" s="1" t="s">
        <v>19</v>
      </c>
      <c r="J8176" s="1" t="s">
        <v>6</v>
      </c>
      <c r="K8176" s="1" t="s">
        <v>34</v>
      </c>
      <c r="L8176" s="1">
        <v>7817669</v>
      </c>
      <c r="M8176" s="2">
        <v>42417</v>
      </c>
      <c r="N8176" s="1" t="s">
        <v>8</v>
      </c>
      <c r="O8176" s="2">
        <v>44609</v>
      </c>
    </row>
    <row r="8177" spans="1:15" ht="43.2" x14ac:dyDescent="0.3">
      <c r="A8177" s="1" t="s">
        <v>7949</v>
      </c>
      <c r="B8177" s="1" t="str">
        <f>"RWSF Ltd"</f>
        <v>RWSF Ltd</v>
      </c>
      <c r="C8177" s="1" t="s">
        <v>2280</v>
      </c>
      <c r="F8177" s="1" t="s">
        <v>2281</v>
      </c>
      <c r="H8177" s="1" t="s">
        <v>2282</v>
      </c>
      <c r="I8177" s="1" t="s">
        <v>19</v>
      </c>
      <c r="J8177" s="1" t="s">
        <v>67</v>
      </c>
      <c r="K8177" s="1" t="s">
        <v>14</v>
      </c>
      <c r="M8177" s="2">
        <v>42417</v>
      </c>
      <c r="N8177" s="1" t="s">
        <v>8</v>
      </c>
      <c r="O8177" s="1" t="s">
        <v>68</v>
      </c>
    </row>
    <row r="8178" spans="1:15" ht="43.2" x14ac:dyDescent="0.3">
      <c r="A8178" s="1" t="s">
        <v>7950</v>
      </c>
      <c r="B8178" s="1" t="str">
        <f>"Green Valley Arts"</f>
        <v>Green Valley Arts</v>
      </c>
      <c r="C8178" s="1" t="s">
        <v>7951</v>
      </c>
      <c r="F8178" s="1" t="s">
        <v>12</v>
      </c>
      <c r="H8178" s="1" t="s">
        <v>7952</v>
      </c>
      <c r="I8178" s="1" t="s">
        <v>1872</v>
      </c>
      <c r="J8178" s="1" t="s">
        <v>67</v>
      </c>
      <c r="K8178" s="1" t="s">
        <v>14</v>
      </c>
      <c r="M8178" s="2">
        <v>42417</v>
      </c>
      <c r="N8178" s="1" t="s">
        <v>8</v>
      </c>
      <c r="O8178" s="1" t="s">
        <v>68</v>
      </c>
    </row>
    <row r="8179" spans="1:15" ht="43.2" x14ac:dyDescent="0.3">
      <c r="A8179" s="1" t="s">
        <v>7953</v>
      </c>
      <c r="B8179" s="1" t="str">
        <f>"Seren Fire &amp; Security Solutions Ltd"</f>
        <v>Seren Fire &amp; Security Solutions Ltd</v>
      </c>
      <c r="C8179" s="1" t="s">
        <v>7954</v>
      </c>
      <c r="D8179" s="1" t="s">
        <v>7025</v>
      </c>
      <c r="F8179" s="1" t="s">
        <v>1093</v>
      </c>
      <c r="H8179" s="1" t="s">
        <v>7955</v>
      </c>
      <c r="I8179" s="1" t="s">
        <v>19</v>
      </c>
      <c r="J8179" s="1" t="s">
        <v>67</v>
      </c>
      <c r="K8179" s="1" t="s">
        <v>14</v>
      </c>
      <c r="M8179" s="2">
        <v>42417</v>
      </c>
      <c r="N8179" s="1" t="s">
        <v>8</v>
      </c>
      <c r="O8179" s="1" t="s">
        <v>68</v>
      </c>
    </row>
    <row r="8180" spans="1:15" ht="43.2" x14ac:dyDescent="0.3">
      <c r="A8180" s="1" t="s">
        <v>21947</v>
      </c>
      <c r="B8180" s="1" t="str">
        <f>"Emyr Roberts"</f>
        <v>Emyr Roberts</v>
      </c>
      <c r="C8180" s="1" t="s">
        <v>21948</v>
      </c>
      <c r="F8180" s="1" t="s">
        <v>1169</v>
      </c>
      <c r="H8180" s="1" t="s">
        <v>21949</v>
      </c>
      <c r="I8180" s="1" t="s">
        <v>5</v>
      </c>
      <c r="J8180" s="1" t="s">
        <v>67</v>
      </c>
      <c r="K8180" s="1" t="s">
        <v>14</v>
      </c>
      <c r="M8180" s="2">
        <v>42417</v>
      </c>
      <c r="N8180" s="1" t="s">
        <v>8</v>
      </c>
      <c r="O8180" s="1" t="s">
        <v>68</v>
      </c>
    </row>
    <row r="8181" spans="1:15" ht="28.8" x14ac:dyDescent="0.3">
      <c r="A8181" s="1" t="s">
        <v>566</v>
      </c>
      <c r="B8181" s="1" t="str">
        <f>"Craig Redmond REDCON"</f>
        <v>Craig Redmond REDCON</v>
      </c>
      <c r="C8181" s="1" t="s">
        <v>567</v>
      </c>
      <c r="F8181" s="1" t="s">
        <v>328</v>
      </c>
      <c r="H8181" s="1" t="s">
        <v>568</v>
      </c>
      <c r="I8181" s="1" t="s">
        <v>5</v>
      </c>
      <c r="J8181" s="1" t="s">
        <v>6</v>
      </c>
      <c r="K8181" s="1" t="s">
        <v>14</v>
      </c>
      <c r="M8181" s="2">
        <v>42416</v>
      </c>
      <c r="N8181" s="1" t="s">
        <v>8</v>
      </c>
      <c r="O8181" s="2">
        <v>44608</v>
      </c>
    </row>
    <row r="8182" spans="1:15" ht="28.8" x14ac:dyDescent="0.3">
      <c r="A8182" s="1" t="s">
        <v>613</v>
      </c>
      <c r="B8182" s="1" t="str">
        <f>"Lawrence Garnett G.T.S."</f>
        <v>Lawrence Garnett G.T.S.</v>
      </c>
      <c r="C8182" s="1" t="s">
        <v>614</v>
      </c>
      <c r="F8182" s="1" t="s">
        <v>83</v>
      </c>
      <c r="H8182" s="1" t="s">
        <v>615</v>
      </c>
      <c r="I8182" s="1" t="s">
        <v>5</v>
      </c>
      <c r="J8182" s="1" t="s">
        <v>6</v>
      </c>
      <c r="K8182" s="1" t="s">
        <v>14</v>
      </c>
      <c r="M8182" s="2">
        <v>42416</v>
      </c>
      <c r="N8182" s="1" t="s">
        <v>8</v>
      </c>
      <c r="O8182" s="2">
        <v>44609</v>
      </c>
    </row>
    <row r="8183" spans="1:15" x14ac:dyDescent="0.3">
      <c r="A8183" s="1" t="s">
        <v>1271</v>
      </c>
      <c r="B8183" s="1" t="str">
        <f>"Rr Davies Ltd."</f>
        <v>Rr Davies Ltd.</v>
      </c>
      <c r="C8183" s="1" t="s">
        <v>1272</v>
      </c>
      <c r="D8183" s="1" t="s">
        <v>1273</v>
      </c>
      <c r="F8183" s="1" t="s">
        <v>1274</v>
      </c>
      <c r="H8183" s="1" t="s">
        <v>1275</v>
      </c>
      <c r="I8183" s="1" t="s">
        <v>19</v>
      </c>
      <c r="J8183" s="1" t="s">
        <v>6</v>
      </c>
      <c r="K8183" s="1" t="s">
        <v>14</v>
      </c>
      <c r="L8183" s="1">
        <v>5989319</v>
      </c>
      <c r="M8183" s="2">
        <v>42416</v>
      </c>
      <c r="N8183" s="1" t="s">
        <v>8</v>
      </c>
      <c r="O8183" s="2">
        <v>44608</v>
      </c>
    </row>
    <row r="8184" spans="1:15" ht="43.2" x14ac:dyDescent="0.3">
      <c r="A8184" s="1" t="s">
        <v>5753</v>
      </c>
      <c r="B8184" s="1" t="str">
        <f>"KEN JONES TRANSPORT (GOLDCLIFF) LTD"</f>
        <v>KEN JONES TRANSPORT (GOLDCLIFF) LTD</v>
      </c>
      <c r="C8184" s="1" t="s">
        <v>5754</v>
      </c>
      <c r="D8184" s="1" t="s">
        <v>626</v>
      </c>
      <c r="F8184" s="1" t="s">
        <v>91</v>
      </c>
      <c r="H8184" s="1" t="s">
        <v>5755</v>
      </c>
      <c r="I8184" s="1" t="s">
        <v>19</v>
      </c>
      <c r="J8184" s="1" t="s">
        <v>67</v>
      </c>
      <c r="K8184" s="1" t="s">
        <v>14</v>
      </c>
      <c r="M8184" s="2">
        <v>42416</v>
      </c>
      <c r="N8184" s="1" t="s">
        <v>8</v>
      </c>
      <c r="O8184" s="1" t="s">
        <v>68</v>
      </c>
    </row>
    <row r="8185" spans="1:15" ht="43.2" x14ac:dyDescent="0.3">
      <c r="A8185" s="1" t="s">
        <v>6906</v>
      </c>
      <c r="B8185" s="1" t="str">
        <f>"High Court Enforcement"</f>
        <v>High Court Enforcement</v>
      </c>
      <c r="C8185" s="1" t="s">
        <v>6907</v>
      </c>
      <c r="F8185" s="1" t="s">
        <v>1184</v>
      </c>
      <c r="H8185" s="1" t="s">
        <v>6908</v>
      </c>
      <c r="I8185" s="1" t="s">
        <v>19</v>
      </c>
      <c r="J8185" s="1" t="s">
        <v>67</v>
      </c>
      <c r="K8185" s="1" t="s">
        <v>14</v>
      </c>
      <c r="M8185" s="2">
        <v>42416</v>
      </c>
      <c r="N8185" s="1" t="s">
        <v>8</v>
      </c>
      <c r="O8185" s="1" t="s">
        <v>68</v>
      </c>
    </row>
    <row r="8186" spans="1:15" ht="43.2" x14ac:dyDescent="0.3">
      <c r="A8186" s="1" t="s">
        <v>6909</v>
      </c>
      <c r="B8186" s="1" t="str">
        <f>"Lam's catering"</f>
        <v>Lam's catering</v>
      </c>
      <c r="C8186" s="1" t="s">
        <v>6910</v>
      </c>
      <c r="F8186" s="1" t="s">
        <v>6911</v>
      </c>
      <c r="H8186" s="1" t="s">
        <v>6912</v>
      </c>
      <c r="I8186" s="1" t="s">
        <v>125</v>
      </c>
      <c r="J8186" s="1" t="s">
        <v>67</v>
      </c>
      <c r="K8186" s="1" t="s">
        <v>24</v>
      </c>
      <c r="M8186" s="2">
        <v>42416</v>
      </c>
      <c r="N8186" s="1" t="s">
        <v>8</v>
      </c>
      <c r="O8186" s="1" t="s">
        <v>68</v>
      </c>
    </row>
    <row r="8187" spans="1:15" ht="43.2" x14ac:dyDescent="0.3">
      <c r="A8187" s="1" t="s">
        <v>6913</v>
      </c>
      <c r="B8187" s="1" t="str">
        <f>"MVR SOLUTIONS LIMITED"</f>
        <v>MVR SOLUTIONS LIMITED</v>
      </c>
      <c r="C8187" s="1" t="s">
        <v>624</v>
      </c>
      <c r="D8187" s="1" t="s">
        <v>625</v>
      </c>
      <c r="E8187" s="1" t="s">
        <v>626</v>
      </c>
      <c r="F8187" s="1" t="s">
        <v>91</v>
      </c>
      <c r="H8187" s="1" t="s">
        <v>627</v>
      </c>
      <c r="I8187" s="1" t="s">
        <v>19</v>
      </c>
      <c r="J8187" s="1" t="s">
        <v>67</v>
      </c>
      <c r="K8187" s="1" t="s">
        <v>34</v>
      </c>
      <c r="L8187" s="1">
        <v>7911495</v>
      </c>
      <c r="M8187" s="2">
        <v>42416</v>
      </c>
      <c r="N8187" s="1" t="s">
        <v>8</v>
      </c>
      <c r="O8187" s="1" t="s">
        <v>68</v>
      </c>
    </row>
    <row r="8188" spans="1:15" ht="43.2" x14ac:dyDescent="0.3">
      <c r="A8188" s="1" t="s">
        <v>21176</v>
      </c>
      <c r="B8188" s="1" t="str">
        <f>"Brian Prosser"</f>
        <v>Brian Prosser</v>
      </c>
      <c r="C8188" s="1" t="s">
        <v>21177</v>
      </c>
      <c r="F8188" s="1" t="s">
        <v>18573</v>
      </c>
      <c r="H8188" s="1" t="s">
        <v>21178</v>
      </c>
      <c r="I8188" s="1" t="s">
        <v>5</v>
      </c>
      <c r="J8188" s="1" t="s">
        <v>67</v>
      </c>
      <c r="K8188" s="1" t="s">
        <v>14</v>
      </c>
      <c r="M8188" s="2">
        <v>42416</v>
      </c>
      <c r="N8188" s="1" t="s">
        <v>8</v>
      </c>
      <c r="O8188" s="1" t="s">
        <v>68</v>
      </c>
    </row>
    <row r="8189" spans="1:15" ht="43.2" x14ac:dyDescent="0.3">
      <c r="A8189" s="1" t="s">
        <v>21944</v>
      </c>
      <c r="B8189" s="1" t="str">
        <f>"Robert Evans"</f>
        <v>Robert Evans</v>
      </c>
      <c r="C8189" s="1" t="s">
        <v>21945</v>
      </c>
      <c r="F8189" s="1" t="s">
        <v>96</v>
      </c>
      <c r="H8189" s="1" t="s">
        <v>21946</v>
      </c>
      <c r="I8189" s="1" t="s">
        <v>5</v>
      </c>
      <c r="J8189" s="1" t="s">
        <v>67</v>
      </c>
      <c r="K8189" s="1" t="s">
        <v>14</v>
      </c>
      <c r="M8189" s="2">
        <v>42416</v>
      </c>
      <c r="N8189" s="1" t="s">
        <v>8</v>
      </c>
      <c r="O8189" s="1" t="s">
        <v>68</v>
      </c>
    </row>
    <row r="8190" spans="1:15" ht="28.8" x14ac:dyDescent="0.3">
      <c r="A8190" s="1" t="s">
        <v>32256</v>
      </c>
      <c r="B8190" s="1" t="str">
        <f>"Achnashean Fencing Ltd."</f>
        <v>Achnashean Fencing Ltd.</v>
      </c>
      <c r="C8190" s="1" t="s">
        <v>32257</v>
      </c>
      <c r="F8190" s="1" t="s">
        <v>1321</v>
      </c>
      <c r="H8190" s="1" t="s">
        <v>32258</v>
      </c>
      <c r="I8190" s="1" t="s">
        <v>19</v>
      </c>
      <c r="J8190" s="1" t="s">
        <v>6</v>
      </c>
      <c r="K8190" s="1" t="s">
        <v>34</v>
      </c>
      <c r="L8190" s="1">
        <v>3772307</v>
      </c>
      <c r="M8190" s="2">
        <v>42416</v>
      </c>
      <c r="N8190" s="1" t="s">
        <v>8</v>
      </c>
      <c r="O8190" s="2">
        <v>44608</v>
      </c>
    </row>
    <row r="8191" spans="1:15" ht="28.8" x14ac:dyDescent="0.3">
      <c r="A8191" s="1" t="s">
        <v>32287</v>
      </c>
      <c r="B8191" s="1" t="str">
        <f>"Norman Jones Taff Container Services"</f>
        <v>Norman Jones Taff Container Services</v>
      </c>
      <c r="C8191" s="1" t="s">
        <v>32288</v>
      </c>
      <c r="F8191" s="1" t="s">
        <v>555</v>
      </c>
      <c r="H8191" s="1" t="s">
        <v>32289</v>
      </c>
      <c r="I8191" s="1" t="s">
        <v>5</v>
      </c>
      <c r="J8191" s="1" t="s">
        <v>6</v>
      </c>
      <c r="K8191" s="1" t="s">
        <v>24</v>
      </c>
      <c r="M8191" s="2">
        <v>42416</v>
      </c>
      <c r="N8191" s="1" t="s">
        <v>8</v>
      </c>
      <c r="O8191" s="2">
        <v>44608</v>
      </c>
    </row>
    <row r="8192" spans="1:15" ht="28.8" x14ac:dyDescent="0.3">
      <c r="A8192" s="1" t="s">
        <v>296</v>
      </c>
      <c r="B8192" s="1" t="str">
        <f>"Ceri  Williams"</f>
        <v>Ceri  Williams</v>
      </c>
      <c r="C8192" s="1" t="s">
        <v>297</v>
      </c>
      <c r="F8192" s="1" t="s">
        <v>298</v>
      </c>
      <c r="H8192" s="1" t="s">
        <v>299</v>
      </c>
      <c r="I8192" s="1" t="s">
        <v>5</v>
      </c>
      <c r="J8192" s="1" t="s">
        <v>6</v>
      </c>
      <c r="K8192" s="1" t="s">
        <v>34</v>
      </c>
      <c r="M8192" s="2">
        <v>42415</v>
      </c>
      <c r="N8192" s="1" t="s">
        <v>8</v>
      </c>
      <c r="O8192" s="2">
        <v>44607</v>
      </c>
    </row>
    <row r="8193" spans="1:15" ht="43.2" x14ac:dyDescent="0.3">
      <c r="A8193" s="1" t="s">
        <v>5739</v>
      </c>
      <c r="B8193" s="1" t="str">
        <f>"gravells ltd"</f>
        <v>gravells ltd</v>
      </c>
      <c r="C8193" s="1" t="s">
        <v>5740</v>
      </c>
      <c r="D8193" s="1" t="s">
        <v>2041</v>
      </c>
      <c r="F8193" s="1" t="s">
        <v>65</v>
      </c>
      <c r="H8193" s="1" t="s">
        <v>5741</v>
      </c>
      <c r="I8193" s="1" t="s">
        <v>19</v>
      </c>
      <c r="J8193" s="1" t="s">
        <v>67</v>
      </c>
      <c r="K8193" s="1" t="s">
        <v>14</v>
      </c>
      <c r="M8193" s="2">
        <v>42415</v>
      </c>
      <c r="N8193" s="1" t="s">
        <v>8</v>
      </c>
      <c r="O8193" s="1" t="s">
        <v>68</v>
      </c>
    </row>
    <row r="8194" spans="1:15" ht="43.2" x14ac:dyDescent="0.3">
      <c r="A8194" s="1" t="s">
        <v>5742</v>
      </c>
      <c r="B8194" s="1" t="str">
        <f>"GRAVELLS LTD"</f>
        <v>GRAVELLS LTD</v>
      </c>
      <c r="C8194" s="1" t="s">
        <v>5743</v>
      </c>
      <c r="F8194" s="1" t="s">
        <v>865</v>
      </c>
      <c r="H8194" s="1" t="s">
        <v>5744</v>
      </c>
      <c r="I8194" s="1" t="s">
        <v>19</v>
      </c>
      <c r="J8194" s="1" t="s">
        <v>67</v>
      </c>
      <c r="K8194" s="1" t="s">
        <v>14</v>
      </c>
      <c r="M8194" s="2">
        <v>42415</v>
      </c>
      <c r="N8194" s="1" t="s">
        <v>8</v>
      </c>
      <c r="O8194" s="1" t="s">
        <v>68</v>
      </c>
    </row>
    <row r="8195" spans="1:15" ht="43.2" x14ac:dyDescent="0.3">
      <c r="A8195" s="1" t="s">
        <v>5745</v>
      </c>
      <c r="B8195" s="1" t="str">
        <f>"GRAVELLS LTD"</f>
        <v>GRAVELLS LTD</v>
      </c>
      <c r="C8195" s="1" t="s">
        <v>5746</v>
      </c>
      <c r="F8195" s="1" t="s">
        <v>223</v>
      </c>
      <c r="H8195" s="1" t="s">
        <v>5747</v>
      </c>
      <c r="I8195" s="1" t="s">
        <v>19</v>
      </c>
      <c r="J8195" s="1" t="s">
        <v>67</v>
      </c>
      <c r="K8195" s="1" t="s">
        <v>14</v>
      </c>
      <c r="M8195" s="2">
        <v>42415</v>
      </c>
      <c r="N8195" s="1" t="s">
        <v>8</v>
      </c>
      <c r="O8195" s="1" t="s">
        <v>68</v>
      </c>
    </row>
    <row r="8196" spans="1:15" ht="43.2" x14ac:dyDescent="0.3">
      <c r="A8196" s="1" t="s">
        <v>5748</v>
      </c>
      <c r="B8196" s="1" t="str">
        <f>"Cunningham Lindsey"</f>
        <v>Cunningham Lindsey</v>
      </c>
      <c r="C8196" s="1" t="s">
        <v>5749</v>
      </c>
      <c r="F8196" s="1" t="s">
        <v>3452</v>
      </c>
      <c r="H8196" s="1" t="s">
        <v>5750</v>
      </c>
      <c r="I8196" s="1" t="s">
        <v>19</v>
      </c>
      <c r="J8196" s="1" t="s">
        <v>67</v>
      </c>
      <c r="K8196" s="1" t="s">
        <v>14</v>
      </c>
      <c r="M8196" s="2">
        <v>42415</v>
      </c>
      <c r="N8196" s="1" t="s">
        <v>8</v>
      </c>
      <c r="O8196" s="1" t="s">
        <v>68</v>
      </c>
    </row>
    <row r="8197" spans="1:15" ht="43.2" x14ac:dyDescent="0.3">
      <c r="A8197" s="1" t="s">
        <v>5751</v>
      </c>
      <c r="B8197" s="1" t="str">
        <f>"CARMARTHEN DEMOLITIONS LTD"</f>
        <v>CARMARTHEN DEMOLITIONS LTD</v>
      </c>
      <c r="C8197" s="1" t="s">
        <v>5752</v>
      </c>
      <c r="F8197" s="1" t="s">
        <v>96</v>
      </c>
      <c r="H8197" s="1" t="s">
        <v>88</v>
      </c>
      <c r="I8197" s="1" t="s">
        <v>19</v>
      </c>
      <c r="J8197" s="1" t="s">
        <v>67</v>
      </c>
      <c r="K8197" s="1" t="s">
        <v>24</v>
      </c>
      <c r="L8197" s="1">
        <v>2614718</v>
      </c>
      <c r="M8197" s="2">
        <v>42415</v>
      </c>
      <c r="N8197" s="1" t="s">
        <v>8</v>
      </c>
      <c r="O8197" s="1" t="s">
        <v>68</v>
      </c>
    </row>
    <row r="8198" spans="1:15" ht="43.2" x14ac:dyDescent="0.3">
      <c r="A8198" s="1" t="s">
        <v>20390</v>
      </c>
      <c r="B8198" s="1" t="str">
        <f>"David Windle"</f>
        <v>David Windle</v>
      </c>
      <c r="C8198" s="1" t="s">
        <v>20391</v>
      </c>
      <c r="D8198" s="1" t="s">
        <v>20392</v>
      </c>
      <c r="F8198" s="1" t="s">
        <v>20320</v>
      </c>
      <c r="H8198" s="1" t="s">
        <v>20393</v>
      </c>
      <c r="I8198" s="1" t="s">
        <v>5</v>
      </c>
      <c r="J8198" s="1" t="s">
        <v>67</v>
      </c>
      <c r="K8198" s="1" t="s">
        <v>14</v>
      </c>
      <c r="M8198" s="2">
        <v>42415</v>
      </c>
      <c r="N8198" s="1" t="s">
        <v>8</v>
      </c>
      <c r="O8198" s="1" t="s">
        <v>68</v>
      </c>
    </row>
    <row r="8199" spans="1:15" ht="28.8" x14ac:dyDescent="0.3">
      <c r="A8199" s="1" t="s">
        <v>33351</v>
      </c>
      <c r="B8199" s="1" t="str">
        <f>"Green Skips (Environmental) Ltd."</f>
        <v>Green Skips (Environmental) Ltd.</v>
      </c>
      <c r="C8199" s="1" t="s">
        <v>3058</v>
      </c>
      <c r="F8199" s="1" t="s">
        <v>119</v>
      </c>
      <c r="H8199" s="1" t="s">
        <v>3059</v>
      </c>
      <c r="I8199" s="1" t="s">
        <v>19</v>
      </c>
      <c r="J8199" s="1" t="s">
        <v>6</v>
      </c>
      <c r="K8199" s="1" t="s">
        <v>24</v>
      </c>
      <c r="L8199" s="1">
        <v>2896195</v>
      </c>
      <c r="M8199" s="2">
        <v>42415</v>
      </c>
      <c r="N8199" s="1" t="s">
        <v>8</v>
      </c>
      <c r="O8199" s="2">
        <v>44607</v>
      </c>
    </row>
    <row r="8200" spans="1:15" ht="43.2" x14ac:dyDescent="0.3">
      <c r="A8200" s="1" t="s">
        <v>19612</v>
      </c>
      <c r="B8200" s="1" t="str">
        <f>"Lucy Mooney"</f>
        <v>Lucy Mooney</v>
      </c>
      <c r="C8200" s="1" t="s">
        <v>19613</v>
      </c>
      <c r="F8200" s="1" t="s">
        <v>438</v>
      </c>
      <c r="H8200" s="1" t="s">
        <v>19614</v>
      </c>
      <c r="I8200" s="1" t="s">
        <v>5</v>
      </c>
      <c r="J8200" s="1" t="s">
        <v>67</v>
      </c>
      <c r="K8200" s="1" t="s">
        <v>14</v>
      </c>
      <c r="M8200" s="2">
        <v>42414</v>
      </c>
      <c r="N8200" s="1" t="s">
        <v>8</v>
      </c>
      <c r="O8200" s="1" t="s">
        <v>68</v>
      </c>
    </row>
    <row r="8201" spans="1:15" ht="28.8" x14ac:dyDescent="0.3">
      <c r="A8201" s="1" t="s">
        <v>33342</v>
      </c>
      <c r="B8201" s="1" t="str">
        <f>"E.F And E.O Williams &amp; Sons"</f>
        <v>E.F And E.O Williams &amp; Sons</v>
      </c>
      <c r="C8201" s="1" t="s">
        <v>33343</v>
      </c>
      <c r="D8201" s="1" t="s">
        <v>26941</v>
      </c>
      <c r="F8201" s="1" t="s">
        <v>790</v>
      </c>
      <c r="H8201" s="1" t="s">
        <v>33344</v>
      </c>
      <c r="I8201" s="1" t="s">
        <v>125</v>
      </c>
      <c r="J8201" s="1" t="s">
        <v>6</v>
      </c>
      <c r="K8201" s="1" t="s">
        <v>14</v>
      </c>
      <c r="M8201" s="2">
        <v>42413</v>
      </c>
      <c r="N8201" s="1" t="s">
        <v>8</v>
      </c>
      <c r="O8201" s="2">
        <v>44605</v>
      </c>
    </row>
    <row r="8202" spans="1:15" ht="28.8" x14ac:dyDescent="0.3">
      <c r="A8202" s="1" t="s">
        <v>663</v>
      </c>
      <c r="B8202" s="1" t="str">
        <f>"The Carpet and Rug Centre LLP"</f>
        <v>The Carpet and Rug Centre LLP</v>
      </c>
      <c r="C8202" s="1" t="s">
        <v>664</v>
      </c>
      <c r="D8202" s="1" t="s">
        <v>665</v>
      </c>
      <c r="F8202" s="1" t="s">
        <v>666</v>
      </c>
      <c r="H8202" s="1" t="s">
        <v>667</v>
      </c>
      <c r="I8202" s="1" t="s">
        <v>125</v>
      </c>
      <c r="J8202" s="1" t="s">
        <v>6</v>
      </c>
      <c r="K8202" s="1" t="s">
        <v>34</v>
      </c>
      <c r="M8202" s="2">
        <v>42412</v>
      </c>
      <c r="N8202" s="1" t="s">
        <v>8</v>
      </c>
      <c r="O8202" s="2">
        <v>44604</v>
      </c>
    </row>
    <row r="8203" spans="1:15" ht="28.8" x14ac:dyDescent="0.3">
      <c r="A8203" s="1" t="s">
        <v>744</v>
      </c>
      <c r="B8203" s="1" t="str">
        <f>"Northwest Transport Solutions Ltd"</f>
        <v>Northwest Transport Solutions Ltd</v>
      </c>
      <c r="C8203" s="1" t="s">
        <v>745</v>
      </c>
      <c r="D8203" s="1" t="s">
        <v>746</v>
      </c>
      <c r="F8203" s="1" t="s">
        <v>323</v>
      </c>
      <c r="G8203" s="1" t="s">
        <v>324</v>
      </c>
      <c r="H8203" s="1" t="s">
        <v>747</v>
      </c>
      <c r="I8203" s="1" t="s">
        <v>19</v>
      </c>
      <c r="J8203" s="1" t="s">
        <v>6</v>
      </c>
      <c r="K8203" s="1" t="s">
        <v>34</v>
      </c>
      <c r="L8203" s="1">
        <v>7892087</v>
      </c>
      <c r="M8203" s="2">
        <v>42412</v>
      </c>
      <c r="N8203" s="1" t="s">
        <v>8</v>
      </c>
      <c r="O8203" s="2">
        <v>44604</v>
      </c>
    </row>
    <row r="8204" spans="1:15" ht="28.8" x14ac:dyDescent="0.3">
      <c r="A8204" s="1" t="s">
        <v>994</v>
      </c>
      <c r="B8204" s="1" t="str">
        <f>"David Demery David Demery"</f>
        <v>David Demery David Demery</v>
      </c>
      <c r="C8204" s="1" t="s">
        <v>995</v>
      </c>
      <c r="F8204" s="1" t="s">
        <v>996</v>
      </c>
      <c r="H8204" s="1" t="s">
        <v>997</v>
      </c>
      <c r="I8204" s="1" t="s">
        <v>5</v>
      </c>
      <c r="J8204" s="1" t="s">
        <v>6</v>
      </c>
      <c r="K8204" s="1" t="s">
        <v>24</v>
      </c>
      <c r="M8204" s="2">
        <v>42412</v>
      </c>
      <c r="N8204" s="1" t="s">
        <v>8</v>
      </c>
      <c r="O8204" s="2">
        <v>44604</v>
      </c>
    </row>
    <row r="8205" spans="1:15" ht="28.8" x14ac:dyDescent="0.3">
      <c r="A8205" s="1" t="s">
        <v>33262</v>
      </c>
      <c r="B8205" s="1" t="str">
        <f>"Ashwood Homes"</f>
        <v>Ashwood Homes</v>
      </c>
      <c r="C8205" s="1" t="s">
        <v>27662</v>
      </c>
      <c r="F8205" s="1" t="s">
        <v>223</v>
      </c>
      <c r="H8205" s="1" t="s">
        <v>27663</v>
      </c>
      <c r="I8205" s="1" t="s">
        <v>125</v>
      </c>
      <c r="J8205" s="1" t="s">
        <v>6</v>
      </c>
      <c r="K8205" s="1" t="s">
        <v>14</v>
      </c>
      <c r="M8205" s="2">
        <v>42412</v>
      </c>
      <c r="N8205" s="1" t="s">
        <v>8</v>
      </c>
      <c r="O8205" s="2">
        <v>44604</v>
      </c>
    </row>
    <row r="8206" spans="1:15" ht="28.8" x14ac:dyDescent="0.3">
      <c r="A8206" s="1" t="s">
        <v>1417</v>
      </c>
      <c r="B8206" s="1" t="str">
        <f>"E.W. Jones Haulage Ltd"</f>
        <v>E.W. Jones Haulage Ltd</v>
      </c>
      <c r="C8206" s="1" t="s">
        <v>1418</v>
      </c>
      <c r="F8206" s="1" t="s">
        <v>1419</v>
      </c>
      <c r="H8206" s="1" t="s">
        <v>1420</v>
      </c>
      <c r="I8206" s="1" t="s">
        <v>19</v>
      </c>
      <c r="J8206" s="1" t="s">
        <v>6</v>
      </c>
      <c r="K8206" s="1" t="s">
        <v>34</v>
      </c>
      <c r="L8206" s="1">
        <v>8690621</v>
      </c>
      <c r="M8206" s="2">
        <v>42411</v>
      </c>
      <c r="N8206" s="1" t="s">
        <v>8</v>
      </c>
      <c r="O8206" s="2">
        <v>44615</v>
      </c>
    </row>
    <row r="8207" spans="1:15" ht="28.8" x14ac:dyDescent="0.3">
      <c r="A8207" s="1" t="s">
        <v>3122</v>
      </c>
      <c r="B8207" s="1" t="str">
        <f>"Thomas CMS Holdings Ltd"</f>
        <v>Thomas CMS Holdings Ltd</v>
      </c>
      <c r="C8207" s="1" t="s">
        <v>3123</v>
      </c>
      <c r="D8207" s="1" t="s">
        <v>1503</v>
      </c>
      <c r="F8207" s="1" t="s">
        <v>996</v>
      </c>
      <c r="H8207" s="1" t="s">
        <v>3124</v>
      </c>
      <c r="I8207" s="1" t="s">
        <v>19</v>
      </c>
      <c r="J8207" s="1" t="s">
        <v>6</v>
      </c>
      <c r="K8207" s="1" t="s">
        <v>14</v>
      </c>
      <c r="L8207" s="1">
        <v>4873271</v>
      </c>
      <c r="M8207" s="2">
        <v>42411</v>
      </c>
      <c r="N8207" s="1" t="s">
        <v>8</v>
      </c>
      <c r="O8207" s="2">
        <v>44603</v>
      </c>
    </row>
    <row r="8208" spans="1:15" ht="43.2" x14ac:dyDescent="0.3">
      <c r="A8208" s="1" t="s">
        <v>3474</v>
      </c>
      <c r="B8208" s="1" t="str">
        <f>"Magnacol Ltd"</f>
        <v>Magnacol Ltd</v>
      </c>
      <c r="C8208" s="1" t="s">
        <v>3475</v>
      </c>
      <c r="D8208" s="1" t="s">
        <v>3476</v>
      </c>
      <c r="F8208" s="1" t="s">
        <v>3477</v>
      </c>
      <c r="H8208" s="1" t="s">
        <v>3478</v>
      </c>
      <c r="I8208" s="1" t="s">
        <v>19</v>
      </c>
      <c r="J8208" s="1" t="s">
        <v>67</v>
      </c>
      <c r="K8208" s="1" t="s">
        <v>14</v>
      </c>
      <c r="M8208" s="2">
        <v>42411</v>
      </c>
      <c r="N8208" s="1" t="s">
        <v>8</v>
      </c>
      <c r="O8208" s="1" t="s">
        <v>68</v>
      </c>
    </row>
    <row r="8209" spans="1:15" ht="43.2" x14ac:dyDescent="0.3">
      <c r="A8209" s="1" t="s">
        <v>4568</v>
      </c>
      <c r="B8209" s="1" t="str">
        <f>"poeton cardiff ltd"</f>
        <v>poeton cardiff ltd</v>
      </c>
      <c r="C8209" s="1" t="s">
        <v>4569</v>
      </c>
      <c r="F8209" s="1" t="s">
        <v>27</v>
      </c>
      <c r="H8209" s="1" t="s">
        <v>4570</v>
      </c>
      <c r="I8209" s="1" t="s">
        <v>19</v>
      </c>
      <c r="J8209" s="1" t="s">
        <v>67</v>
      </c>
      <c r="K8209" s="1" t="s">
        <v>14</v>
      </c>
      <c r="M8209" s="2">
        <v>42411</v>
      </c>
      <c r="N8209" s="1" t="s">
        <v>8</v>
      </c>
      <c r="O8209" s="1" t="s">
        <v>68</v>
      </c>
    </row>
    <row r="8210" spans="1:15" ht="43.2" x14ac:dyDescent="0.3">
      <c r="A8210" s="1" t="s">
        <v>19608</v>
      </c>
      <c r="B8210" s="1" t="str">
        <f>"Andrew Smith"</f>
        <v>Andrew Smith</v>
      </c>
      <c r="C8210" s="1" t="s">
        <v>19609</v>
      </c>
      <c r="F8210" s="1" t="s">
        <v>19610</v>
      </c>
      <c r="H8210" s="1" t="s">
        <v>19611</v>
      </c>
      <c r="I8210" s="1" t="s">
        <v>5</v>
      </c>
      <c r="J8210" s="1" t="s">
        <v>67</v>
      </c>
      <c r="K8210" s="1" t="s">
        <v>14</v>
      </c>
      <c r="M8210" s="2">
        <v>42411</v>
      </c>
      <c r="N8210" s="1" t="s">
        <v>8</v>
      </c>
      <c r="O8210" s="1" t="s">
        <v>68</v>
      </c>
    </row>
    <row r="8211" spans="1:15" ht="43.2" x14ac:dyDescent="0.3">
      <c r="A8211" s="1" t="s">
        <v>31210</v>
      </c>
      <c r="B8211" s="1" t="str">
        <f>"Acd Skips Ltd."</f>
        <v>Acd Skips Ltd.</v>
      </c>
      <c r="C8211" s="1" t="s">
        <v>31211</v>
      </c>
      <c r="D8211" s="1" t="s">
        <v>6518</v>
      </c>
      <c r="F8211" s="1" t="s">
        <v>865</v>
      </c>
      <c r="H8211" s="1" t="s">
        <v>31212</v>
      </c>
      <c r="I8211" s="1" t="s">
        <v>19</v>
      </c>
      <c r="J8211" s="1" t="s">
        <v>6</v>
      </c>
      <c r="K8211" s="1" t="s">
        <v>34</v>
      </c>
      <c r="L8211" s="1">
        <v>3325325</v>
      </c>
      <c r="M8211" s="2">
        <v>42411</v>
      </c>
      <c r="N8211" s="1" t="s">
        <v>8</v>
      </c>
      <c r="O8211" s="2">
        <v>44603</v>
      </c>
    </row>
    <row r="8212" spans="1:15" ht="28.8" x14ac:dyDescent="0.3">
      <c r="A8212" s="1" t="s">
        <v>75</v>
      </c>
      <c r="B8212" s="1" t="str">
        <f>"MDS RECYCLING LTD"</f>
        <v>MDS RECYCLING LTD</v>
      </c>
      <c r="C8212" s="1" t="s">
        <v>76</v>
      </c>
      <c r="D8212" s="1" t="s">
        <v>77</v>
      </c>
      <c r="F8212" s="1" t="s">
        <v>78</v>
      </c>
      <c r="H8212" s="1" t="s">
        <v>79</v>
      </c>
      <c r="I8212" s="1" t="s">
        <v>19</v>
      </c>
      <c r="J8212" s="1" t="s">
        <v>6</v>
      </c>
      <c r="K8212" s="1" t="s">
        <v>34</v>
      </c>
      <c r="L8212" s="1">
        <v>7141820</v>
      </c>
      <c r="M8212" s="2">
        <v>42410</v>
      </c>
      <c r="N8212" s="1" t="s">
        <v>8</v>
      </c>
      <c r="O8212" s="2">
        <v>44602</v>
      </c>
    </row>
    <row r="8213" spans="1:15" ht="28.8" x14ac:dyDescent="0.3">
      <c r="A8213" s="1" t="s">
        <v>3133</v>
      </c>
      <c r="B8213" s="1" t="str">
        <f>"The Health Dispensary Ltd"</f>
        <v>The Health Dispensary Ltd</v>
      </c>
      <c r="C8213" s="1" t="s">
        <v>3134</v>
      </c>
      <c r="F8213" s="1" t="s">
        <v>174</v>
      </c>
      <c r="H8213" s="1" t="s">
        <v>3135</v>
      </c>
      <c r="I8213" s="1" t="s">
        <v>19</v>
      </c>
      <c r="J8213" s="1" t="s">
        <v>6</v>
      </c>
      <c r="K8213" s="1" t="s">
        <v>1859</v>
      </c>
      <c r="L8213" s="1">
        <v>3982975</v>
      </c>
      <c r="M8213" s="2">
        <v>42410</v>
      </c>
      <c r="N8213" s="1" t="s">
        <v>8</v>
      </c>
      <c r="O8213" s="2">
        <v>44610</v>
      </c>
    </row>
    <row r="8214" spans="1:15" ht="43.2" x14ac:dyDescent="0.3">
      <c r="A8214" s="1" t="s">
        <v>3467</v>
      </c>
      <c r="B8214" s="1" t="str">
        <f>"CCF Ltd"</f>
        <v>CCF Ltd</v>
      </c>
      <c r="C8214" s="1" t="s">
        <v>3468</v>
      </c>
      <c r="F8214" s="1" t="s">
        <v>3389</v>
      </c>
      <c r="H8214" s="1" t="s">
        <v>3469</v>
      </c>
      <c r="I8214" s="1" t="s">
        <v>19</v>
      </c>
      <c r="J8214" s="1" t="s">
        <v>67</v>
      </c>
      <c r="K8214" s="1" t="s">
        <v>14</v>
      </c>
      <c r="M8214" s="2">
        <v>42410</v>
      </c>
      <c r="N8214" s="1" t="s">
        <v>8</v>
      </c>
      <c r="O8214" s="1" t="s">
        <v>68</v>
      </c>
    </row>
    <row r="8215" spans="1:15" ht="43.2" x14ac:dyDescent="0.3">
      <c r="A8215" s="1" t="s">
        <v>3470</v>
      </c>
      <c r="B8215" s="1" t="str">
        <f>"National Police Aid Convoys"</f>
        <v>National Police Aid Convoys</v>
      </c>
      <c r="C8215" s="1" t="s">
        <v>3471</v>
      </c>
      <c r="F8215" s="1" t="s">
        <v>3472</v>
      </c>
      <c r="H8215" s="1" t="s">
        <v>3473</v>
      </c>
      <c r="I8215" s="1" t="s">
        <v>1872</v>
      </c>
      <c r="J8215" s="1" t="s">
        <v>67</v>
      </c>
      <c r="K8215" s="1" t="s">
        <v>14</v>
      </c>
      <c r="M8215" s="2">
        <v>42410</v>
      </c>
      <c r="N8215" s="1" t="s">
        <v>8</v>
      </c>
      <c r="O8215" s="1" t="s">
        <v>68</v>
      </c>
    </row>
    <row r="8216" spans="1:15" ht="43.2" x14ac:dyDescent="0.3">
      <c r="A8216" s="1" t="s">
        <v>18752</v>
      </c>
      <c r="B8216" s="1" t="str">
        <f>"wesley limbrick"</f>
        <v>wesley limbrick</v>
      </c>
      <c r="C8216" s="1" t="s">
        <v>18753</v>
      </c>
      <c r="F8216" s="1" t="s">
        <v>825</v>
      </c>
      <c r="H8216" s="1" t="s">
        <v>18754</v>
      </c>
      <c r="I8216" s="1" t="s">
        <v>5</v>
      </c>
      <c r="J8216" s="1" t="s">
        <v>67</v>
      </c>
      <c r="K8216" s="1" t="s">
        <v>14</v>
      </c>
      <c r="M8216" s="2">
        <v>42410</v>
      </c>
      <c r="N8216" s="1" t="s">
        <v>8</v>
      </c>
      <c r="O8216" s="1" t="s">
        <v>68</v>
      </c>
    </row>
    <row r="8217" spans="1:15" ht="28.8" x14ac:dyDescent="0.3">
      <c r="A8217" s="1" t="s">
        <v>31167</v>
      </c>
      <c r="B8217" s="1" t="str">
        <f>"G P Services"</f>
        <v>G P Services</v>
      </c>
      <c r="C8217" s="1" t="s">
        <v>31168</v>
      </c>
      <c r="F8217" s="1" t="s">
        <v>3415</v>
      </c>
      <c r="H8217" s="1" t="s">
        <v>31169</v>
      </c>
      <c r="I8217" s="1" t="s">
        <v>125</v>
      </c>
      <c r="J8217" s="1" t="s">
        <v>6</v>
      </c>
      <c r="K8217" s="1" t="s">
        <v>24</v>
      </c>
      <c r="M8217" s="2">
        <v>42410</v>
      </c>
      <c r="N8217" s="1" t="s">
        <v>8</v>
      </c>
      <c r="O8217" s="2">
        <v>44602</v>
      </c>
    </row>
    <row r="8218" spans="1:15" ht="43.2" x14ac:dyDescent="0.3">
      <c r="A8218" s="1" t="s">
        <v>31181</v>
      </c>
      <c r="B8218" s="1" t="str">
        <f>"MARTYN'S MOVERS REMOVALS &amp; STORAGE LTD"</f>
        <v>MARTYN'S MOVERS REMOVALS &amp; STORAGE LTD</v>
      </c>
      <c r="C8218" s="1" t="s">
        <v>31182</v>
      </c>
      <c r="F8218" s="1" t="s">
        <v>65</v>
      </c>
      <c r="H8218" s="1" t="s">
        <v>31183</v>
      </c>
      <c r="I8218" s="1" t="s">
        <v>19</v>
      </c>
      <c r="J8218" s="1" t="s">
        <v>6</v>
      </c>
      <c r="K8218" s="1" t="s">
        <v>14</v>
      </c>
      <c r="L8218" s="1">
        <v>8036186</v>
      </c>
      <c r="M8218" s="2">
        <v>42410</v>
      </c>
      <c r="N8218" s="1" t="s">
        <v>8</v>
      </c>
      <c r="O8218" s="2">
        <v>44602</v>
      </c>
    </row>
    <row r="8219" spans="1:15" ht="28.8" x14ac:dyDescent="0.3">
      <c r="A8219" s="1" t="s">
        <v>3110</v>
      </c>
      <c r="B8219" s="1" t="str">
        <f>"Chris Doughty Christopher Doughty"</f>
        <v>Chris Doughty Christopher Doughty</v>
      </c>
      <c r="C8219" s="1" t="s">
        <v>3111</v>
      </c>
      <c r="F8219" s="1" t="s">
        <v>17</v>
      </c>
      <c r="H8219" s="1" t="s">
        <v>3112</v>
      </c>
      <c r="I8219" s="1" t="s">
        <v>5</v>
      </c>
      <c r="J8219" s="1" t="s">
        <v>6</v>
      </c>
      <c r="K8219" s="1" t="s">
        <v>14</v>
      </c>
      <c r="M8219" s="2">
        <v>42409</v>
      </c>
      <c r="N8219" s="1" t="s">
        <v>8</v>
      </c>
      <c r="O8219" s="2">
        <v>44601</v>
      </c>
    </row>
    <row r="8220" spans="1:15" ht="43.2" x14ac:dyDescent="0.3">
      <c r="A8220" s="1" t="s">
        <v>18186</v>
      </c>
      <c r="B8220" s="1" t="str">
        <f>"M BUFTON PLUMBING &amp; HEATING SERVICES LTD"</f>
        <v>M BUFTON PLUMBING &amp; HEATING SERVICES LTD</v>
      </c>
      <c r="C8220" s="1" t="s">
        <v>18187</v>
      </c>
      <c r="F8220" s="1" t="s">
        <v>7801</v>
      </c>
      <c r="H8220" s="1" t="s">
        <v>1374</v>
      </c>
      <c r="I8220" s="1" t="s">
        <v>19</v>
      </c>
      <c r="J8220" s="1" t="s">
        <v>6</v>
      </c>
      <c r="K8220" s="1" t="s">
        <v>34</v>
      </c>
      <c r="L8220" s="1">
        <v>4748038</v>
      </c>
      <c r="M8220" s="2">
        <v>42409</v>
      </c>
      <c r="N8220" s="1" t="s">
        <v>8</v>
      </c>
      <c r="O8220" s="2">
        <v>43560</v>
      </c>
    </row>
    <row r="8221" spans="1:15" ht="43.2" x14ac:dyDescent="0.3">
      <c r="A8221" s="1" t="s">
        <v>18188</v>
      </c>
      <c r="B8221" s="1" t="str">
        <f>"Britton Bros  Ltd."</f>
        <v>Britton Bros  Ltd.</v>
      </c>
      <c r="C8221" s="1" t="s">
        <v>18189</v>
      </c>
      <c r="F8221" s="1" t="s">
        <v>298</v>
      </c>
      <c r="H8221" s="1" t="s">
        <v>18190</v>
      </c>
      <c r="I8221" s="1" t="s">
        <v>19</v>
      </c>
      <c r="J8221" s="1" t="s">
        <v>67</v>
      </c>
      <c r="K8221" s="1" t="s">
        <v>24</v>
      </c>
      <c r="L8221" s="1">
        <v>5881693</v>
      </c>
      <c r="M8221" s="2">
        <v>42409</v>
      </c>
      <c r="N8221" s="1" t="s">
        <v>8</v>
      </c>
      <c r="O8221" s="1" t="s">
        <v>68</v>
      </c>
    </row>
    <row r="8222" spans="1:15" ht="43.2" x14ac:dyDescent="0.3">
      <c r="A8222" s="1" t="s">
        <v>18191</v>
      </c>
      <c r="B8222" s="1" t="str">
        <f>"Caerbont Automotive Instruments Ltd"</f>
        <v>Caerbont Automotive Instruments Ltd</v>
      </c>
      <c r="C8222" s="1" t="s">
        <v>18192</v>
      </c>
      <c r="F8222" s="1" t="s">
        <v>65</v>
      </c>
      <c r="H8222" s="1" t="s">
        <v>18193</v>
      </c>
      <c r="I8222" s="1" t="s">
        <v>19</v>
      </c>
      <c r="J8222" s="1" t="s">
        <v>67</v>
      </c>
      <c r="K8222" s="1" t="s">
        <v>14</v>
      </c>
      <c r="M8222" s="2">
        <v>42409</v>
      </c>
      <c r="N8222" s="1" t="s">
        <v>8</v>
      </c>
      <c r="O8222" s="1" t="s">
        <v>68</v>
      </c>
    </row>
    <row r="8223" spans="1:15" x14ac:dyDescent="0.3">
      <c r="A8223" s="1" t="s">
        <v>478</v>
      </c>
      <c r="B8223" s="1" t="str">
        <f>"D&amp;L Parry contracting"</f>
        <v>D&amp;L Parry contracting</v>
      </c>
      <c r="C8223" s="1" t="s">
        <v>479</v>
      </c>
      <c r="F8223" s="1" t="s">
        <v>480</v>
      </c>
      <c r="H8223" s="1" t="s">
        <v>481</v>
      </c>
      <c r="I8223" s="1" t="s">
        <v>125</v>
      </c>
      <c r="J8223" s="1" t="s">
        <v>6</v>
      </c>
      <c r="K8223" s="1" t="s">
        <v>24</v>
      </c>
      <c r="M8223" s="2">
        <v>42408</v>
      </c>
      <c r="N8223" s="1" t="s">
        <v>8</v>
      </c>
      <c r="O8223" s="2">
        <v>44600</v>
      </c>
    </row>
    <row r="8224" spans="1:15" ht="28.8" x14ac:dyDescent="0.3">
      <c r="A8224" s="1" t="s">
        <v>1455</v>
      </c>
      <c r="B8224" s="1" t="str">
        <f>"bridgetime transport ltd"</f>
        <v>bridgetime transport ltd</v>
      </c>
      <c r="C8224" s="1" t="s">
        <v>1456</v>
      </c>
      <c r="D8224" s="1" t="s">
        <v>379</v>
      </c>
      <c r="E8224" s="1" t="s">
        <v>1457</v>
      </c>
      <c r="F8224" s="1" t="s">
        <v>380</v>
      </c>
      <c r="H8224" s="1" t="s">
        <v>1458</v>
      </c>
      <c r="I8224" s="1" t="s">
        <v>19</v>
      </c>
      <c r="J8224" s="1" t="s">
        <v>6</v>
      </c>
      <c r="K8224" s="1" t="s">
        <v>34</v>
      </c>
      <c r="L8224" s="1">
        <v>4504602</v>
      </c>
      <c r="M8224" s="2">
        <v>42408</v>
      </c>
      <c r="N8224" s="1" t="s">
        <v>8</v>
      </c>
      <c r="O8224" s="2">
        <v>44600</v>
      </c>
    </row>
    <row r="8225" spans="1:15" x14ac:dyDescent="0.3">
      <c r="A8225" s="1" t="s">
        <v>3031</v>
      </c>
      <c r="B8225" s="1" t="str">
        <f>"Stuart Hill"</f>
        <v>Stuart Hill</v>
      </c>
      <c r="C8225" s="1" t="s">
        <v>3032</v>
      </c>
      <c r="D8225" s="1" t="s">
        <v>1235</v>
      </c>
      <c r="F8225" s="1" t="s">
        <v>641</v>
      </c>
      <c r="G8225" s="1" t="s">
        <v>642</v>
      </c>
      <c r="H8225" s="1" t="s">
        <v>3033</v>
      </c>
      <c r="I8225" s="1" t="s">
        <v>5</v>
      </c>
      <c r="J8225" s="1" t="s">
        <v>6</v>
      </c>
      <c r="K8225" s="1" t="s">
        <v>24</v>
      </c>
      <c r="M8225" s="2">
        <v>42408</v>
      </c>
      <c r="N8225" s="1" t="s">
        <v>8</v>
      </c>
      <c r="O8225" s="2">
        <v>44600</v>
      </c>
    </row>
    <row r="8226" spans="1:15" ht="43.2" x14ac:dyDescent="0.3">
      <c r="A8226" s="1" t="s">
        <v>17157</v>
      </c>
      <c r="B8226" s="1" t="str">
        <f>"d&amp;l parry contracting"</f>
        <v>d&amp;l parry contracting</v>
      </c>
      <c r="C8226" s="1" t="s">
        <v>479</v>
      </c>
      <c r="F8226" s="1" t="s">
        <v>17158</v>
      </c>
      <c r="H8226" s="1" t="s">
        <v>481</v>
      </c>
      <c r="I8226" s="1" t="s">
        <v>125</v>
      </c>
      <c r="J8226" s="1" t="s">
        <v>67</v>
      </c>
      <c r="K8226" s="1" t="s">
        <v>24</v>
      </c>
      <c r="M8226" s="2">
        <v>42408</v>
      </c>
      <c r="N8226" s="1" t="s">
        <v>8</v>
      </c>
      <c r="O8226" s="1" t="s">
        <v>68</v>
      </c>
    </row>
    <row r="8227" spans="1:15" ht="43.2" x14ac:dyDescent="0.3">
      <c r="A8227" s="1" t="s">
        <v>18183</v>
      </c>
      <c r="B8227" s="1" t="str">
        <f>"Andrew Golding Construction"</f>
        <v>Andrew Golding Construction</v>
      </c>
      <c r="C8227" s="1" t="s">
        <v>18184</v>
      </c>
      <c r="F8227" s="1" t="s">
        <v>170</v>
      </c>
      <c r="H8227" s="1" t="s">
        <v>18185</v>
      </c>
      <c r="I8227" s="1" t="s">
        <v>19</v>
      </c>
      <c r="J8227" s="1" t="s">
        <v>67</v>
      </c>
      <c r="K8227" s="1" t="s">
        <v>14</v>
      </c>
      <c r="M8227" s="2">
        <v>42408</v>
      </c>
      <c r="N8227" s="1" t="s">
        <v>8</v>
      </c>
      <c r="O8227" s="1" t="s">
        <v>68</v>
      </c>
    </row>
    <row r="8228" spans="1:15" ht="43.2" x14ac:dyDescent="0.3">
      <c r="A8228" s="1" t="s">
        <v>29079</v>
      </c>
      <c r="B8228" s="1" t="str">
        <f>"rasius montvidas"</f>
        <v>rasius montvidas</v>
      </c>
      <c r="C8228" s="1" t="s">
        <v>29080</v>
      </c>
      <c r="F8228" s="1" t="s">
        <v>29081</v>
      </c>
      <c r="H8228" s="1" t="s">
        <v>29082</v>
      </c>
      <c r="I8228" s="1" t="s">
        <v>5</v>
      </c>
      <c r="J8228" s="1" t="s">
        <v>67</v>
      </c>
      <c r="K8228" s="1" t="s">
        <v>14</v>
      </c>
      <c r="M8228" s="2">
        <v>42408</v>
      </c>
      <c r="N8228" s="1" t="s">
        <v>8</v>
      </c>
      <c r="O8228" s="1" t="s">
        <v>68</v>
      </c>
    </row>
    <row r="8229" spans="1:15" ht="43.2" x14ac:dyDescent="0.3">
      <c r="A8229" s="1" t="s">
        <v>29821</v>
      </c>
      <c r="B8229" s="1" t="str">
        <f>"Robert Jones"</f>
        <v>Robert Jones</v>
      </c>
      <c r="C8229" s="1" t="s">
        <v>29822</v>
      </c>
      <c r="F8229" s="1" t="s">
        <v>786</v>
      </c>
      <c r="H8229" s="1" t="s">
        <v>29823</v>
      </c>
      <c r="I8229" s="1" t="s">
        <v>5</v>
      </c>
      <c r="J8229" s="1" t="s">
        <v>67</v>
      </c>
      <c r="K8229" s="1" t="s">
        <v>14</v>
      </c>
      <c r="M8229" s="2">
        <v>42408</v>
      </c>
      <c r="N8229" s="1" t="s">
        <v>8</v>
      </c>
      <c r="O8229" s="1" t="s">
        <v>68</v>
      </c>
    </row>
    <row r="8230" spans="1:15" ht="43.2" x14ac:dyDescent="0.3">
      <c r="A8230" s="1" t="s">
        <v>29824</v>
      </c>
      <c r="B8230" s="1" t="str">
        <f>"Luke Roberson"</f>
        <v>Luke Roberson</v>
      </c>
      <c r="C8230" s="1" t="s">
        <v>29825</v>
      </c>
      <c r="D8230" s="1" t="s">
        <v>3150</v>
      </c>
      <c r="F8230" s="1" t="s">
        <v>96</v>
      </c>
      <c r="H8230" s="1" t="s">
        <v>29826</v>
      </c>
      <c r="I8230" s="1" t="s">
        <v>5</v>
      </c>
      <c r="J8230" s="1" t="s">
        <v>67</v>
      </c>
      <c r="K8230" s="1" t="s">
        <v>14</v>
      </c>
      <c r="M8230" s="2">
        <v>42408</v>
      </c>
      <c r="N8230" s="1" t="s">
        <v>8</v>
      </c>
      <c r="O8230" s="1" t="s">
        <v>68</v>
      </c>
    </row>
    <row r="8231" spans="1:15" x14ac:dyDescent="0.3">
      <c r="A8231" s="1" t="s">
        <v>31289</v>
      </c>
      <c r="B8231" s="1" t="str">
        <f>"Andrew Pegler"</f>
        <v>Andrew Pegler</v>
      </c>
      <c r="C8231" s="1" t="s">
        <v>31290</v>
      </c>
      <c r="F8231" s="1" t="s">
        <v>27</v>
      </c>
      <c r="H8231" s="1" t="s">
        <v>31291</v>
      </c>
      <c r="I8231" s="1" t="s">
        <v>5</v>
      </c>
      <c r="J8231" s="1" t="s">
        <v>6</v>
      </c>
      <c r="K8231" s="1" t="s">
        <v>14</v>
      </c>
      <c r="M8231" s="2">
        <v>42406</v>
      </c>
      <c r="N8231" s="1" t="s">
        <v>8</v>
      </c>
      <c r="O8231" s="2">
        <v>44598</v>
      </c>
    </row>
    <row r="8232" spans="1:15" ht="43.2" x14ac:dyDescent="0.3">
      <c r="A8232" s="1" t="s">
        <v>1653</v>
      </c>
      <c r="B8232" s="1" t="str">
        <f>"Stephen Evans Steve Evans Building Contractors"</f>
        <v>Stephen Evans Steve Evans Building Contractors</v>
      </c>
      <c r="C8232" s="1" t="s">
        <v>1654</v>
      </c>
      <c r="D8232" s="1" t="s">
        <v>1655</v>
      </c>
      <c r="F8232" s="1" t="s">
        <v>174</v>
      </c>
      <c r="H8232" s="1" t="s">
        <v>1656</v>
      </c>
      <c r="I8232" s="1" t="s">
        <v>5</v>
      </c>
      <c r="J8232" s="1" t="s">
        <v>6</v>
      </c>
      <c r="K8232" s="1" t="s">
        <v>34</v>
      </c>
      <c r="M8232" s="2">
        <v>42405</v>
      </c>
      <c r="N8232" s="1" t="s">
        <v>8</v>
      </c>
      <c r="O8232" s="2">
        <v>44597</v>
      </c>
    </row>
    <row r="8233" spans="1:15" ht="43.2" x14ac:dyDescent="0.3">
      <c r="A8233" s="1" t="s">
        <v>17153</v>
      </c>
      <c r="B8233" s="1" t="str">
        <f>"Chevin Landscapes Ltd"</f>
        <v>Chevin Landscapes Ltd</v>
      </c>
      <c r="C8233" s="1" t="s">
        <v>17154</v>
      </c>
      <c r="F8233" s="1" t="s">
        <v>17155</v>
      </c>
      <c r="H8233" s="1" t="s">
        <v>17156</v>
      </c>
      <c r="I8233" s="1" t="s">
        <v>19</v>
      </c>
      <c r="J8233" s="1" t="s">
        <v>67</v>
      </c>
      <c r="K8233" s="1" t="s">
        <v>14</v>
      </c>
      <c r="M8233" s="2">
        <v>42405</v>
      </c>
      <c r="N8233" s="1" t="s">
        <v>8</v>
      </c>
      <c r="O8233" s="1" t="s">
        <v>68</v>
      </c>
    </row>
    <row r="8234" spans="1:15" ht="43.2" x14ac:dyDescent="0.3">
      <c r="A8234" s="1" t="s">
        <v>29075</v>
      </c>
      <c r="B8234" s="1" t="str">
        <f>"Richard Fagan"</f>
        <v>Richard Fagan</v>
      </c>
      <c r="C8234" s="1" t="s">
        <v>29076</v>
      </c>
      <c r="D8234" s="1" t="s">
        <v>29077</v>
      </c>
      <c r="F8234" s="1" t="s">
        <v>2950</v>
      </c>
      <c r="H8234" s="1" t="s">
        <v>29078</v>
      </c>
      <c r="I8234" s="1" t="s">
        <v>5</v>
      </c>
      <c r="J8234" s="1" t="s">
        <v>67</v>
      </c>
      <c r="K8234" s="1" t="s">
        <v>14</v>
      </c>
      <c r="M8234" s="2">
        <v>42405</v>
      </c>
      <c r="N8234" s="1" t="s">
        <v>8</v>
      </c>
      <c r="O8234" s="1" t="s">
        <v>68</v>
      </c>
    </row>
    <row r="8235" spans="1:15" ht="28.8" x14ac:dyDescent="0.3">
      <c r="A8235" s="1" t="s">
        <v>704</v>
      </c>
      <c r="B8235" s="1" t="str">
        <f>"Urban Property Building Services"</f>
        <v>Urban Property Building Services</v>
      </c>
      <c r="C8235" s="1" t="s">
        <v>705</v>
      </c>
      <c r="F8235" s="1" t="s">
        <v>706</v>
      </c>
      <c r="H8235" s="1" t="s">
        <v>707</v>
      </c>
      <c r="I8235" s="1" t="s">
        <v>19</v>
      </c>
      <c r="J8235" s="1" t="s">
        <v>6</v>
      </c>
      <c r="K8235" s="1" t="s">
        <v>34</v>
      </c>
      <c r="L8235" s="1">
        <v>7417077</v>
      </c>
      <c r="M8235" s="2">
        <v>42404</v>
      </c>
      <c r="N8235" s="1" t="s">
        <v>8</v>
      </c>
      <c r="O8235" s="2">
        <v>44596</v>
      </c>
    </row>
    <row r="8236" spans="1:15" ht="43.2" x14ac:dyDescent="0.3">
      <c r="A8236" s="1" t="s">
        <v>16190</v>
      </c>
      <c r="B8236" s="1" t="str">
        <f>"AMF POLYMERS LTD"</f>
        <v>AMF POLYMERS LTD</v>
      </c>
      <c r="C8236" s="1" t="s">
        <v>16191</v>
      </c>
      <c r="F8236" s="1" t="s">
        <v>380</v>
      </c>
      <c r="H8236" s="1" t="s">
        <v>16192</v>
      </c>
      <c r="I8236" s="1" t="s">
        <v>19</v>
      </c>
      <c r="J8236" s="1" t="s">
        <v>67</v>
      </c>
      <c r="K8236" s="1" t="s">
        <v>24</v>
      </c>
      <c r="L8236" s="1">
        <v>1859263</v>
      </c>
      <c r="M8236" s="2">
        <v>42404</v>
      </c>
      <c r="N8236" s="1" t="s">
        <v>8</v>
      </c>
      <c r="O8236" s="1" t="s">
        <v>68</v>
      </c>
    </row>
    <row r="8237" spans="1:15" ht="43.2" x14ac:dyDescent="0.3">
      <c r="A8237" s="1" t="s">
        <v>16193</v>
      </c>
      <c r="B8237" s="1" t="str">
        <f>"KEN JONES TRANPORT (GOLDCLIFF) LTD"</f>
        <v>KEN JONES TRANPORT (GOLDCLIFF) LTD</v>
      </c>
      <c r="C8237" s="1" t="s">
        <v>5754</v>
      </c>
      <c r="D8237" s="1" t="s">
        <v>626</v>
      </c>
      <c r="F8237" s="1" t="s">
        <v>91</v>
      </c>
      <c r="H8237" s="1" t="s">
        <v>5755</v>
      </c>
      <c r="I8237" s="1" t="s">
        <v>19</v>
      </c>
      <c r="J8237" s="1" t="s">
        <v>67</v>
      </c>
      <c r="K8237" s="1" t="s">
        <v>14</v>
      </c>
      <c r="M8237" s="2">
        <v>42404</v>
      </c>
      <c r="N8237" s="1" t="s">
        <v>8</v>
      </c>
      <c r="O8237" s="1" t="s">
        <v>68</v>
      </c>
    </row>
    <row r="8238" spans="1:15" ht="43.2" x14ac:dyDescent="0.3">
      <c r="A8238" s="1" t="s">
        <v>16194</v>
      </c>
      <c r="B8238" s="1" t="str">
        <f>"porth hotel"</f>
        <v>porth hotel</v>
      </c>
      <c r="C8238" s="1" t="s">
        <v>16195</v>
      </c>
      <c r="F8238" s="1" t="s">
        <v>2961</v>
      </c>
      <c r="H8238" s="1" t="s">
        <v>16196</v>
      </c>
      <c r="I8238" s="1" t="s">
        <v>125</v>
      </c>
      <c r="J8238" s="1" t="s">
        <v>67</v>
      </c>
      <c r="K8238" s="1" t="s">
        <v>14</v>
      </c>
      <c r="M8238" s="2">
        <v>42404</v>
      </c>
      <c r="N8238" s="1" t="s">
        <v>8</v>
      </c>
      <c r="O8238" s="1" t="s">
        <v>68</v>
      </c>
    </row>
    <row r="8239" spans="1:15" ht="43.2" x14ac:dyDescent="0.3">
      <c r="A8239" s="1" t="s">
        <v>28321</v>
      </c>
      <c r="B8239" s="1" t="str">
        <f>"Paul Hodgkiss"</f>
        <v>Paul Hodgkiss</v>
      </c>
      <c r="C8239" s="1" t="s">
        <v>28322</v>
      </c>
      <c r="F8239" s="1" t="s">
        <v>6080</v>
      </c>
      <c r="H8239" s="1" t="s">
        <v>28323</v>
      </c>
      <c r="I8239" s="1" t="s">
        <v>5</v>
      </c>
      <c r="J8239" s="1" t="s">
        <v>67</v>
      </c>
      <c r="K8239" s="1" t="s">
        <v>24</v>
      </c>
      <c r="M8239" s="2">
        <v>42404</v>
      </c>
      <c r="N8239" s="1" t="s">
        <v>8</v>
      </c>
      <c r="O8239" s="1" t="s">
        <v>68</v>
      </c>
    </row>
    <row r="8240" spans="1:15" ht="28.8" x14ac:dyDescent="0.3">
      <c r="A8240" s="1" t="s">
        <v>32232</v>
      </c>
      <c r="B8240" s="1" t="str">
        <f>"ULTIMA CLEANING LTD"</f>
        <v>ULTIMA CLEANING LTD</v>
      </c>
      <c r="C8240" s="1" t="s">
        <v>32233</v>
      </c>
      <c r="F8240" s="1" t="s">
        <v>1511</v>
      </c>
      <c r="H8240" s="1" t="s">
        <v>13790</v>
      </c>
      <c r="I8240" s="1" t="s">
        <v>19</v>
      </c>
      <c r="J8240" s="1" t="s">
        <v>6</v>
      </c>
      <c r="K8240" s="1" t="s">
        <v>24</v>
      </c>
      <c r="L8240" s="1">
        <v>3988154</v>
      </c>
      <c r="M8240" s="2">
        <v>42404</v>
      </c>
      <c r="N8240" s="1" t="s">
        <v>8</v>
      </c>
      <c r="O8240" s="2">
        <v>44596</v>
      </c>
    </row>
    <row r="8241" spans="1:15" ht="43.2" x14ac:dyDescent="0.3">
      <c r="A8241" s="1" t="s">
        <v>27539</v>
      </c>
      <c r="B8241" s="1" t="str">
        <f>"Ceri  Williams"</f>
        <v>Ceri  Williams</v>
      </c>
      <c r="C8241" s="1" t="s">
        <v>297</v>
      </c>
      <c r="F8241" s="1" t="s">
        <v>298</v>
      </c>
      <c r="H8241" s="1" t="s">
        <v>299</v>
      </c>
      <c r="I8241" s="1" t="s">
        <v>5</v>
      </c>
      <c r="J8241" s="1" t="s">
        <v>67</v>
      </c>
      <c r="K8241" s="1" t="s">
        <v>34</v>
      </c>
      <c r="M8241" s="2">
        <v>42403</v>
      </c>
      <c r="N8241" s="1" t="s">
        <v>8</v>
      </c>
      <c r="O8241" s="1" t="s">
        <v>68</v>
      </c>
    </row>
    <row r="8242" spans="1:15" ht="43.2" x14ac:dyDescent="0.3">
      <c r="A8242" s="1" t="s">
        <v>31328</v>
      </c>
      <c r="B8242" s="1" t="str">
        <f>"Scott Waste Ltd"</f>
        <v>Scott Waste Ltd</v>
      </c>
      <c r="C8242" s="1" t="s">
        <v>31329</v>
      </c>
      <c r="D8242" s="1" t="s">
        <v>1389</v>
      </c>
      <c r="F8242" s="1" t="s">
        <v>865</v>
      </c>
      <c r="H8242" s="1" t="s">
        <v>1390</v>
      </c>
      <c r="I8242" s="1" t="s">
        <v>19</v>
      </c>
      <c r="J8242" s="1" t="s">
        <v>6</v>
      </c>
      <c r="K8242" s="1" t="s">
        <v>24</v>
      </c>
      <c r="L8242" s="1">
        <v>8775264</v>
      </c>
      <c r="M8242" s="2">
        <v>42403</v>
      </c>
      <c r="N8242" s="1" t="s">
        <v>8</v>
      </c>
      <c r="O8242" s="2">
        <v>44595</v>
      </c>
    </row>
    <row r="8243" spans="1:15" ht="28.8" x14ac:dyDescent="0.3">
      <c r="A8243" s="1" t="s">
        <v>33249</v>
      </c>
      <c r="B8243" s="1" t="str">
        <f>"Scenic (services) ltd"</f>
        <v>Scenic (services) ltd</v>
      </c>
      <c r="C8243" s="1" t="s">
        <v>33250</v>
      </c>
      <c r="D8243" s="1" t="s">
        <v>3127</v>
      </c>
      <c r="E8243" s="1" t="s">
        <v>3128</v>
      </c>
      <c r="F8243" s="1" t="s">
        <v>156</v>
      </c>
      <c r="G8243" s="1" t="s">
        <v>103</v>
      </c>
      <c r="H8243" s="1" t="s">
        <v>33251</v>
      </c>
      <c r="I8243" s="1" t="s">
        <v>19</v>
      </c>
      <c r="J8243" s="1" t="s">
        <v>6</v>
      </c>
      <c r="K8243" s="1" t="s">
        <v>34</v>
      </c>
      <c r="L8243" s="1">
        <v>7864939</v>
      </c>
      <c r="M8243" s="2">
        <v>42403</v>
      </c>
      <c r="N8243" s="1" t="s">
        <v>8</v>
      </c>
      <c r="O8243" s="2">
        <v>44594</v>
      </c>
    </row>
    <row r="8244" spans="1:15" ht="28.8" x14ac:dyDescent="0.3">
      <c r="A8244" s="1" t="s">
        <v>372</v>
      </c>
      <c r="B8244" s="1" t="str">
        <f>"John  Jackson Jackos waste"</f>
        <v>John  Jackson Jackos waste</v>
      </c>
      <c r="C8244" s="1" t="s">
        <v>373</v>
      </c>
      <c r="F8244" s="1" t="s">
        <v>374</v>
      </c>
      <c r="H8244" s="1" t="s">
        <v>375</v>
      </c>
      <c r="I8244" s="1" t="s">
        <v>5</v>
      </c>
      <c r="J8244" s="1" t="s">
        <v>6</v>
      </c>
      <c r="K8244" s="1" t="s">
        <v>24</v>
      </c>
      <c r="M8244" s="2">
        <v>42402</v>
      </c>
      <c r="N8244" s="1" t="s">
        <v>8</v>
      </c>
      <c r="O8244" s="2">
        <v>44594</v>
      </c>
    </row>
    <row r="8245" spans="1:15" ht="28.8" x14ac:dyDescent="0.3">
      <c r="A8245" s="1" t="s">
        <v>590</v>
      </c>
      <c r="B8245" s="1" t="str">
        <f>"D &amp; M MECHANICAL ENGINEERS LTD"</f>
        <v>D &amp; M MECHANICAL ENGINEERS LTD</v>
      </c>
      <c r="C8245" s="1" t="s">
        <v>591</v>
      </c>
      <c r="F8245" s="1" t="s">
        <v>27</v>
      </c>
      <c r="H8245" s="1" t="s">
        <v>592</v>
      </c>
      <c r="I8245" s="1" t="s">
        <v>19</v>
      </c>
      <c r="J8245" s="1" t="s">
        <v>6</v>
      </c>
      <c r="K8245" s="1" t="s">
        <v>34</v>
      </c>
      <c r="L8245" s="1">
        <v>7159038</v>
      </c>
      <c r="M8245" s="2">
        <v>42402</v>
      </c>
      <c r="N8245" s="1" t="s">
        <v>8</v>
      </c>
      <c r="O8245" s="2">
        <v>44594</v>
      </c>
    </row>
    <row r="8246" spans="1:15" ht="43.2" x14ac:dyDescent="0.3">
      <c r="A8246" s="1" t="s">
        <v>1763</v>
      </c>
      <c r="B8246" s="1" t="str">
        <f>"Darren Howells Darren's Garden Services"</f>
        <v>Darren Howells Darren's Garden Services</v>
      </c>
      <c r="C8246" s="1" t="s">
        <v>1764</v>
      </c>
      <c r="F8246" s="1" t="s">
        <v>996</v>
      </c>
      <c r="H8246" s="1" t="s">
        <v>1765</v>
      </c>
      <c r="I8246" s="1" t="s">
        <v>5</v>
      </c>
      <c r="J8246" s="1" t="s">
        <v>6</v>
      </c>
      <c r="K8246" s="1" t="s">
        <v>34</v>
      </c>
      <c r="M8246" s="2">
        <v>42402</v>
      </c>
      <c r="N8246" s="1" t="s">
        <v>8</v>
      </c>
      <c r="O8246" s="2">
        <v>44594</v>
      </c>
    </row>
    <row r="8247" spans="1:15" ht="43.2" x14ac:dyDescent="0.3">
      <c r="A8247" s="1" t="s">
        <v>14299</v>
      </c>
      <c r="B8247" s="1" t="str">
        <f>"SALDAR LTD"</f>
        <v>SALDAR LTD</v>
      </c>
      <c r="C8247" s="1" t="s">
        <v>5014</v>
      </c>
      <c r="F8247" s="1" t="s">
        <v>3415</v>
      </c>
      <c r="H8247" s="1" t="s">
        <v>5015</v>
      </c>
      <c r="I8247" s="1" t="s">
        <v>19</v>
      </c>
      <c r="J8247" s="1" t="s">
        <v>67</v>
      </c>
      <c r="K8247" s="1" t="s">
        <v>14</v>
      </c>
      <c r="M8247" s="2">
        <v>42402</v>
      </c>
      <c r="N8247" s="1" t="s">
        <v>8</v>
      </c>
      <c r="O8247" s="1" t="s">
        <v>68</v>
      </c>
    </row>
    <row r="8248" spans="1:15" ht="43.2" x14ac:dyDescent="0.3">
      <c r="A8248" s="1" t="s">
        <v>14300</v>
      </c>
      <c r="B8248" s="1" t="str">
        <f>"V&amp;K STATUS LTD"</f>
        <v>V&amp;K STATUS LTD</v>
      </c>
      <c r="C8248" s="1" t="s">
        <v>14301</v>
      </c>
      <c r="F8248" s="1" t="s">
        <v>27</v>
      </c>
      <c r="H8248" s="1" t="s">
        <v>14302</v>
      </c>
      <c r="I8248" s="1" t="s">
        <v>19</v>
      </c>
      <c r="J8248" s="1" t="s">
        <v>67</v>
      </c>
      <c r="K8248" s="1" t="s">
        <v>24</v>
      </c>
      <c r="L8248" s="1">
        <v>7929946</v>
      </c>
      <c r="M8248" s="2">
        <v>42402</v>
      </c>
      <c r="N8248" s="1" t="s">
        <v>8</v>
      </c>
      <c r="O8248" s="1" t="s">
        <v>68</v>
      </c>
    </row>
    <row r="8249" spans="1:15" ht="43.2" x14ac:dyDescent="0.3">
      <c r="A8249" s="1" t="s">
        <v>15195</v>
      </c>
      <c r="B8249" s="1" t="str">
        <f>"Carpetsure"</f>
        <v>Carpetsure</v>
      </c>
      <c r="C8249" s="1" t="s">
        <v>15196</v>
      </c>
      <c r="F8249" s="1" t="s">
        <v>4046</v>
      </c>
      <c r="H8249" s="1" t="s">
        <v>15197</v>
      </c>
      <c r="I8249" s="1" t="s">
        <v>125</v>
      </c>
      <c r="J8249" s="1" t="s">
        <v>67</v>
      </c>
      <c r="K8249" s="1" t="s">
        <v>14</v>
      </c>
      <c r="M8249" s="2">
        <v>42402</v>
      </c>
      <c r="N8249" s="1" t="s">
        <v>8</v>
      </c>
      <c r="O8249" s="1" t="s">
        <v>68</v>
      </c>
    </row>
    <row r="8250" spans="1:15" ht="28.8" x14ac:dyDescent="0.3">
      <c r="A8250" s="1" t="s">
        <v>31192</v>
      </c>
      <c r="B8250" s="1" t="str">
        <f>"Andrew  thomas  Andrew's garden ser "</f>
        <v xml:space="preserve">Andrew  thomas  Andrew's garden ser </v>
      </c>
      <c r="C8250" s="1" t="s">
        <v>31193</v>
      </c>
      <c r="D8250" s="1" t="s">
        <v>31194</v>
      </c>
      <c r="F8250" s="1" t="s">
        <v>31195</v>
      </c>
      <c r="H8250" s="1" t="s">
        <v>31196</v>
      </c>
      <c r="I8250" s="1" t="s">
        <v>5</v>
      </c>
      <c r="J8250" s="1" t="s">
        <v>6</v>
      </c>
      <c r="K8250" s="1" t="s">
        <v>14</v>
      </c>
      <c r="M8250" s="2">
        <v>42402</v>
      </c>
      <c r="N8250" s="1" t="s">
        <v>8</v>
      </c>
      <c r="O8250" s="2">
        <v>44594</v>
      </c>
    </row>
    <row r="8251" spans="1:15" ht="43.2" x14ac:dyDescent="0.3">
      <c r="A8251" s="1" t="s">
        <v>31285</v>
      </c>
      <c r="B8251" s="1" t="str">
        <f>"Harriet Lee Building&amp;Renovation Ltd"</f>
        <v>Harriet Lee Building&amp;Renovation Ltd</v>
      </c>
      <c r="C8251" s="1" t="s">
        <v>31286</v>
      </c>
      <c r="D8251" s="1" t="s">
        <v>31287</v>
      </c>
      <c r="E8251" s="1" t="s">
        <v>31288</v>
      </c>
      <c r="F8251" s="1" t="s">
        <v>710</v>
      </c>
      <c r="H8251" s="1" t="s">
        <v>3094</v>
      </c>
      <c r="I8251" s="1" t="s">
        <v>19</v>
      </c>
      <c r="J8251" s="1" t="s">
        <v>6</v>
      </c>
      <c r="K8251" s="1" t="s">
        <v>14</v>
      </c>
      <c r="L8251" s="1">
        <v>9592563</v>
      </c>
      <c r="M8251" s="2">
        <v>42402</v>
      </c>
      <c r="N8251" s="1" t="s">
        <v>8</v>
      </c>
      <c r="O8251" s="2">
        <v>44593</v>
      </c>
    </row>
    <row r="8252" spans="1:15" ht="28.8" x14ac:dyDescent="0.3">
      <c r="A8252" s="1" t="s">
        <v>33288</v>
      </c>
      <c r="B8252" s="1" t="str">
        <f>"Gwynedd Council"</f>
        <v>Gwynedd Council</v>
      </c>
      <c r="C8252" s="1" t="s">
        <v>33289</v>
      </c>
      <c r="F8252" s="1" t="s">
        <v>790</v>
      </c>
      <c r="H8252" s="1" t="s">
        <v>15535</v>
      </c>
      <c r="I8252" s="1" t="s">
        <v>188</v>
      </c>
      <c r="J8252" s="1" t="s">
        <v>6</v>
      </c>
      <c r="K8252" s="1" t="s">
        <v>14</v>
      </c>
      <c r="M8252" s="2">
        <v>42402</v>
      </c>
      <c r="N8252" s="1" t="s">
        <v>8</v>
      </c>
      <c r="O8252" s="2">
        <v>44593</v>
      </c>
    </row>
    <row r="8253" spans="1:15" ht="28.8" x14ac:dyDescent="0.3">
      <c r="A8253" s="1" t="s">
        <v>33316</v>
      </c>
      <c r="B8253" s="1" t="str">
        <f>"Tann Synchronome Ltd."</f>
        <v>Tann Synchronome Ltd.</v>
      </c>
      <c r="C8253" s="1" t="s">
        <v>33317</v>
      </c>
      <c r="D8253" s="1" t="s">
        <v>1247</v>
      </c>
      <c r="E8253" s="1" t="s">
        <v>400</v>
      </c>
      <c r="F8253" s="1" t="s">
        <v>401</v>
      </c>
      <c r="H8253" s="1" t="s">
        <v>1732</v>
      </c>
      <c r="I8253" s="1" t="s">
        <v>19</v>
      </c>
      <c r="J8253" s="1" t="s">
        <v>6</v>
      </c>
      <c r="K8253" s="1" t="s">
        <v>14</v>
      </c>
      <c r="L8253" s="1">
        <v>4042904</v>
      </c>
      <c r="M8253" s="2">
        <v>42402</v>
      </c>
      <c r="N8253" s="1" t="s">
        <v>8</v>
      </c>
      <c r="O8253" s="2">
        <v>44594</v>
      </c>
    </row>
    <row r="8254" spans="1:15" ht="28.8" x14ac:dyDescent="0.3">
      <c r="A8254" s="1" t="s">
        <v>376</v>
      </c>
      <c r="B8254" s="1" t="str">
        <f>"M H Jones Landscape &amp; Maintenance Ltd."</f>
        <v>M H Jones Landscape &amp; Maintenance Ltd.</v>
      </c>
      <c r="C8254" s="1" t="s">
        <v>377</v>
      </c>
      <c r="D8254" s="1" t="s">
        <v>378</v>
      </c>
      <c r="E8254" s="1" t="s">
        <v>379</v>
      </c>
      <c r="F8254" s="1" t="s">
        <v>380</v>
      </c>
      <c r="G8254" s="1" t="s">
        <v>381</v>
      </c>
      <c r="H8254" s="1" t="s">
        <v>382</v>
      </c>
      <c r="I8254" s="1" t="s">
        <v>19</v>
      </c>
      <c r="J8254" s="1" t="s">
        <v>6</v>
      </c>
      <c r="K8254" s="1" t="s">
        <v>14</v>
      </c>
      <c r="L8254" s="1">
        <v>4618852</v>
      </c>
      <c r="M8254" s="2">
        <v>42401</v>
      </c>
      <c r="N8254" s="1" t="s">
        <v>8</v>
      </c>
      <c r="O8254" s="2">
        <v>44593</v>
      </c>
    </row>
    <row r="8255" spans="1:15" ht="28.8" x14ac:dyDescent="0.3">
      <c r="A8255" s="1" t="s">
        <v>619</v>
      </c>
      <c r="B8255" s="1" t="str">
        <f>"Robert Porter R P Building Services"</f>
        <v>Robert Porter R P Building Services</v>
      </c>
      <c r="C8255" s="1" t="s">
        <v>620</v>
      </c>
      <c r="F8255" s="1" t="s">
        <v>621</v>
      </c>
      <c r="H8255" s="1" t="s">
        <v>622</v>
      </c>
      <c r="I8255" s="1" t="s">
        <v>5</v>
      </c>
      <c r="J8255" s="1" t="s">
        <v>6</v>
      </c>
      <c r="K8255" s="1" t="s">
        <v>24</v>
      </c>
      <c r="M8255" s="2">
        <v>42401</v>
      </c>
      <c r="N8255" s="1" t="s">
        <v>8</v>
      </c>
      <c r="O8255" s="2">
        <v>44593</v>
      </c>
    </row>
    <row r="8256" spans="1:15" ht="28.8" x14ac:dyDescent="0.3">
      <c r="A8256" s="1" t="s">
        <v>635</v>
      </c>
      <c r="B8256" s="1" t="str">
        <f>"Bow Construction and Conservation"</f>
        <v>Bow Construction and Conservation</v>
      </c>
      <c r="C8256" s="1" t="s">
        <v>636</v>
      </c>
      <c r="F8256" s="1" t="s">
        <v>134</v>
      </c>
      <c r="H8256" s="1" t="s">
        <v>637</v>
      </c>
      <c r="I8256" s="1" t="s">
        <v>19</v>
      </c>
      <c r="J8256" s="1" t="s">
        <v>6</v>
      </c>
      <c r="K8256" s="1" t="s">
        <v>24</v>
      </c>
      <c r="L8256" s="1">
        <v>9617432</v>
      </c>
      <c r="M8256" s="2">
        <v>42401</v>
      </c>
      <c r="N8256" s="1" t="s">
        <v>8</v>
      </c>
      <c r="O8256" s="2">
        <v>44593</v>
      </c>
    </row>
    <row r="8257" spans="1:15" ht="43.2" x14ac:dyDescent="0.3">
      <c r="A8257" s="1" t="s">
        <v>14297</v>
      </c>
      <c r="B8257" s="1" t="str">
        <f>"GRANITE WORKTOPS LTD"</f>
        <v>GRANITE WORKTOPS LTD</v>
      </c>
      <c r="C8257" s="1" t="s">
        <v>14298</v>
      </c>
      <c r="D8257" s="1" t="s">
        <v>3287</v>
      </c>
      <c r="F8257" s="1" t="s">
        <v>65</v>
      </c>
      <c r="H8257" s="1" t="s">
        <v>9928</v>
      </c>
      <c r="I8257" s="1" t="s">
        <v>19</v>
      </c>
      <c r="J8257" s="1" t="s">
        <v>67</v>
      </c>
      <c r="K8257" s="1" t="s">
        <v>34</v>
      </c>
      <c r="L8257" s="1">
        <v>4216487</v>
      </c>
      <c r="M8257" s="2">
        <v>42401</v>
      </c>
      <c r="N8257" s="1" t="s">
        <v>8</v>
      </c>
      <c r="O8257" s="1" t="s">
        <v>68</v>
      </c>
    </row>
    <row r="8258" spans="1:15" ht="43.2" x14ac:dyDescent="0.3">
      <c r="A8258" s="1" t="s">
        <v>26665</v>
      </c>
      <c r="B8258" s="1" t="str">
        <f>"Damien Granger"</f>
        <v>Damien Granger</v>
      </c>
      <c r="C8258" s="1" t="s">
        <v>25965</v>
      </c>
      <c r="F8258" s="1" t="s">
        <v>508</v>
      </c>
      <c r="H8258" s="1" t="s">
        <v>25966</v>
      </c>
      <c r="I8258" s="1" t="s">
        <v>5</v>
      </c>
      <c r="J8258" s="1" t="s">
        <v>67</v>
      </c>
      <c r="K8258" s="1" t="s">
        <v>14</v>
      </c>
      <c r="M8258" s="2">
        <v>42401</v>
      </c>
      <c r="N8258" s="1" t="s">
        <v>8</v>
      </c>
      <c r="O8258" s="1" t="s">
        <v>68</v>
      </c>
    </row>
    <row r="8259" spans="1:15" x14ac:dyDescent="0.3">
      <c r="A8259" s="1" t="s">
        <v>31163</v>
      </c>
      <c r="B8259" s="1" t="str">
        <f>"B J CLARKE"</f>
        <v>B J CLARKE</v>
      </c>
      <c r="C8259" s="1" t="s">
        <v>31164</v>
      </c>
      <c r="D8259" s="1" t="s">
        <v>31165</v>
      </c>
      <c r="F8259" s="1" t="s">
        <v>198</v>
      </c>
      <c r="H8259" s="1" t="s">
        <v>31166</v>
      </c>
      <c r="I8259" s="1" t="s">
        <v>19</v>
      </c>
      <c r="J8259" s="1" t="s">
        <v>6</v>
      </c>
      <c r="K8259" s="1" t="s">
        <v>24</v>
      </c>
      <c r="L8259" s="1">
        <v>8147867</v>
      </c>
      <c r="M8259" s="2">
        <v>42401</v>
      </c>
      <c r="N8259" s="1" t="s">
        <v>8</v>
      </c>
      <c r="O8259" s="2">
        <v>44593</v>
      </c>
    </row>
    <row r="8260" spans="1:15" ht="28.8" x14ac:dyDescent="0.3">
      <c r="A8260" s="1" t="s">
        <v>32274</v>
      </c>
      <c r="B8260" s="1" t="str">
        <f>"C.M.E. (DEVELOPMENTS) LTD"</f>
        <v>C.M.E. (DEVELOPMENTS) LTD</v>
      </c>
      <c r="C8260" s="1" t="s">
        <v>26725</v>
      </c>
      <c r="F8260" s="1" t="s">
        <v>65</v>
      </c>
      <c r="H8260" s="1" t="s">
        <v>26726</v>
      </c>
      <c r="I8260" s="1" t="s">
        <v>19</v>
      </c>
      <c r="J8260" s="1" t="s">
        <v>6</v>
      </c>
      <c r="K8260" s="1" t="s">
        <v>24</v>
      </c>
      <c r="L8260" s="1">
        <v>2092476</v>
      </c>
      <c r="M8260" s="2">
        <v>42401</v>
      </c>
      <c r="N8260" s="1" t="s">
        <v>8</v>
      </c>
      <c r="O8260" s="2">
        <v>44593</v>
      </c>
    </row>
    <row r="8261" spans="1:15" ht="28.8" x14ac:dyDescent="0.3">
      <c r="A8261" s="1" t="s">
        <v>33263</v>
      </c>
      <c r="B8261" s="1" t="str">
        <f>"L. Sturrs &amp; Sons"</f>
        <v>L. Sturrs &amp; Sons</v>
      </c>
      <c r="C8261" s="1" t="s">
        <v>33264</v>
      </c>
      <c r="D8261" s="1" t="s">
        <v>1336</v>
      </c>
      <c r="F8261" s="1" t="s">
        <v>1321</v>
      </c>
      <c r="H8261" s="1" t="s">
        <v>33265</v>
      </c>
      <c r="I8261" s="1" t="s">
        <v>125</v>
      </c>
      <c r="J8261" s="1" t="s">
        <v>6</v>
      </c>
      <c r="K8261" s="1" t="s">
        <v>14</v>
      </c>
      <c r="M8261" s="2">
        <v>42401</v>
      </c>
      <c r="N8261" s="1" t="s">
        <v>8</v>
      </c>
      <c r="O8261" s="2">
        <v>44593</v>
      </c>
    </row>
    <row r="8262" spans="1:15" ht="28.8" x14ac:dyDescent="0.3">
      <c r="A8262" s="1" t="s">
        <v>33280</v>
      </c>
      <c r="B8262" s="1" t="str">
        <f>"GERALD D. HARRIES &amp; SONS LTD"</f>
        <v>GERALD D. HARRIES &amp; SONS LTD</v>
      </c>
      <c r="C8262" s="1" t="s">
        <v>16231</v>
      </c>
      <c r="D8262" s="1" t="s">
        <v>16232</v>
      </c>
      <c r="F8262" s="1" t="s">
        <v>223</v>
      </c>
      <c r="H8262" s="1" t="s">
        <v>16233</v>
      </c>
      <c r="I8262" s="1" t="s">
        <v>19</v>
      </c>
      <c r="J8262" s="1" t="s">
        <v>6</v>
      </c>
      <c r="K8262" s="1" t="s">
        <v>14</v>
      </c>
      <c r="L8262" s="1">
        <v>4179343</v>
      </c>
      <c r="M8262" s="2">
        <v>42401</v>
      </c>
      <c r="N8262" s="1" t="s">
        <v>8</v>
      </c>
      <c r="O8262" s="2">
        <v>44593</v>
      </c>
    </row>
    <row r="8263" spans="1:15" x14ac:dyDescent="0.3">
      <c r="A8263" s="1" t="s">
        <v>33340</v>
      </c>
      <c r="B8263" s="1" t="str">
        <f>"Marland marine"</f>
        <v>Marland marine</v>
      </c>
      <c r="C8263" s="1" t="s">
        <v>33341</v>
      </c>
      <c r="D8263" s="1" t="s">
        <v>15670</v>
      </c>
      <c r="F8263" s="1" t="s">
        <v>1346</v>
      </c>
      <c r="H8263" s="1" t="s">
        <v>7710</v>
      </c>
      <c r="I8263" s="1" t="s">
        <v>125</v>
      </c>
      <c r="J8263" s="1" t="s">
        <v>6</v>
      </c>
      <c r="K8263" s="1" t="s">
        <v>14</v>
      </c>
      <c r="M8263" s="2">
        <v>42401</v>
      </c>
      <c r="N8263" s="1" t="s">
        <v>8</v>
      </c>
      <c r="O8263" s="2">
        <v>44593</v>
      </c>
    </row>
    <row r="8264" spans="1:15" ht="28.8" x14ac:dyDescent="0.3">
      <c r="A8264" s="1" t="s">
        <v>20</v>
      </c>
      <c r="B8264" s="1" t="str">
        <f>"David  Edwards D Edwards Haulage"</f>
        <v>David  Edwards D Edwards Haulage</v>
      </c>
      <c r="C8264" s="1" t="s">
        <v>21</v>
      </c>
      <c r="F8264" s="1" t="s">
        <v>22</v>
      </c>
      <c r="H8264" s="1" t="s">
        <v>23</v>
      </c>
      <c r="I8264" s="1" t="s">
        <v>5</v>
      </c>
      <c r="J8264" s="1" t="s">
        <v>6</v>
      </c>
      <c r="K8264" s="1" t="s">
        <v>24</v>
      </c>
      <c r="M8264" s="2">
        <v>42400</v>
      </c>
      <c r="N8264" s="1" t="s">
        <v>8</v>
      </c>
      <c r="O8264" s="2">
        <v>44592</v>
      </c>
    </row>
    <row r="8265" spans="1:15" ht="43.2" x14ac:dyDescent="0.3">
      <c r="A8265" s="1" t="s">
        <v>26660</v>
      </c>
      <c r="B8265" s="1" t="str">
        <f>"Philip Schendel"</f>
        <v>Philip Schendel</v>
      </c>
      <c r="C8265" s="1" t="s">
        <v>26661</v>
      </c>
      <c r="F8265" s="1" t="s">
        <v>416</v>
      </c>
      <c r="H8265" s="1" t="s">
        <v>3402</v>
      </c>
      <c r="I8265" s="1" t="s">
        <v>5</v>
      </c>
      <c r="J8265" s="1" t="s">
        <v>67</v>
      </c>
      <c r="K8265" s="1" t="s">
        <v>14</v>
      </c>
      <c r="M8265" s="2">
        <v>42400</v>
      </c>
      <c r="N8265" s="1" t="s">
        <v>8</v>
      </c>
      <c r="O8265" s="1" t="s">
        <v>68</v>
      </c>
    </row>
    <row r="8266" spans="1:15" ht="43.2" x14ac:dyDescent="0.3">
      <c r="A8266" s="1" t="s">
        <v>26662</v>
      </c>
      <c r="B8266" s="1" t="str">
        <f>"Melanie Burroughs"</f>
        <v>Melanie Burroughs</v>
      </c>
      <c r="C8266" s="1" t="s">
        <v>26663</v>
      </c>
      <c r="F8266" s="1" t="s">
        <v>1184</v>
      </c>
      <c r="H8266" s="1" t="s">
        <v>26664</v>
      </c>
      <c r="I8266" s="1" t="s">
        <v>5</v>
      </c>
      <c r="J8266" s="1" t="s">
        <v>67</v>
      </c>
      <c r="K8266" s="1" t="s">
        <v>14</v>
      </c>
      <c r="M8266" s="2">
        <v>42400</v>
      </c>
      <c r="N8266" s="1" t="s">
        <v>8</v>
      </c>
      <c r="O8266" s="1" t="s">
        <v>68</v>
      </c>
    </row>
    <row r="8267" spans="1:15" ht="43.2" x14ac:dyDescent="0.3">
      <c r="A8267" s="1" t="s">
        <v>13406</v>
      </c>
      <c r="B8267" s="1" t="str">
        <f>"POWYS ELECTRICAL SERVICES"</f>
        <v>POWYS ELECTRICAL SERVICES</v>
      </c>
      <c r="C8267" s="1" t="s">
        <v>13407</v>
      </c>
      <c r="F8267" s="1" t="s">
        <v>416</v>
      </c>
      <c r="H8267" s="1" t="s">
        <v>13408</v>
      </c>
      <c r="I8267" s="1" t="s">
        <v>125</v>
      </c>
      <c r="J8267" s="1" t="s">
        <v>67</v>
      </c>
      <c r="K8267" s="1" t="s">
        <v>24</v>
      </c>
      <c r="M8267" s="2">
        <v>42398</v>
      </c>
      <c r="N8267" s="1" t="s">
        <v>8</v>
      </c>
      <c r="O8267" s="1" t="s">
        <v>68</v>
      </c>
    </row>
    <row r="8268" spans="1:15" ht="43.2" x14ac:dyDescent="0.3">
      <c r="A8268" s="1" t="s">
        <v>14294</v>
      </c>
      <c r="B8268" s="1" t="str">
        <f>"Jimmy Hughes Services Ltd."</f>
        <v>Jimmy Hughes Services Ltd.</v>
      </c>
      <c r="C8268" s="1" t="s">
        <v>14295</v>
      </c>
      <c r="F8268" s="1" t="s">
        <v>146</v>
      </c>
      <c r="H8268" s="1" t="s">
        <v>14296</v>
      </c>
      <c r="I8268" s="1" t="s">
        <v>19</v>
      </c>
      <c r="J8268" s="1" t="s">
        <v>67</v>
      </c>
      <c r="K8268" s="1" t="s">
        <v>24</v>
      </c>
      <c r="L8268" s="1">
        <v>4855768</v>
      </c>
      <c r="M8268" s="2">
        <v>42398</v>
      </c>
      <c r="N8268" s="1" t="s">
        <v>8</v>
      </c>
      <c r="O8268" s="1" t="s">
        <v>68</v>
      </c>
    </row>
    <row r="8269" spans="1:15" ht="43.2" x14ac:dyDescent="0.3">
      <c r="A8269" s="1" t="s">
        <v>25945</v>
      </c>
      <c r="B8269" s="1" t="str">
        <f>"david thomas"</f>
        <v>david thomas</v>
      </c>
      <c r="C8269" s="1" t="s">
        <v>25946</v>
      </c>
      <c r="F8269" s="1" t="s">
        <v>5534</v>
      </c>
      <c r="H8269" s="1" t="s">
        <v>19164</v>
      </c>
      <c r="I8269" s="1" t="s">
        <v>5</v>
      </c>
      <c r="J8269" s="1" t="s">
        <v>67</v>
      </c>
      <c r="K8269" s="1" t="s">
        <v>34</v>
      </c>
      <c r="M8269" s="2">
        <v>42398</v>
      </c>
      <c r="N8269" s="1" t="s">
        <v>8</v>
      </c>
      <c r="O8269" s="1" t="s">
        <v>68</v>
      </c>
    </row>
    <row r="8270" spans="1:15" ht="43.2" x14ac:dyDescent="0.3">
      <c r="A8270" s="1" t="s">
        <v>25947</v>
      </c>
      <c r="B8270" s="1" t="str">
        <f>"Jamie Williams"</f>
        <v>Jamie Williams</v>
      </c>
      <c r="C8270" s="1" t="s">
        <v>25948</v>
      </c>
      <c r="F8270" s="1" t="s">
        <v>1097</v>
      </c>
      <c r="H8270" s="1" t="s">
        <v>25949</v>
      </c>
      <c r="I8270" s="1" t="s">
        <v>5</v>
      </c>
      <c r="J8270" s="1" t="s">
        <v>67</v>
      </c>
      <c r="K8270" s="1" t="s">
        <v>14</v>
      </c>
      <c r="M8270" s="2">
        <v>42398</v>
      </c>
      <c r="N8270" s="1" t="s">
        <v>8</v>
      </c>
      <c r="O8270" s="1" t="s">
        <v>68</v>
      </c>
    </row>
    <row r="8271" spans="1:15" ht="43.2" x14ac:dyDescent="0.3">
      <c r="A8271" s="1" t="s">
        <v>26656</v>
      </c>
      <c r="B8271" s="1" t="str">
        <f>"Barbara Kajczyk"</f>
        <v>Barbara Kajczyk</v>
      </c>
      <c r="C8271" s="1" t="s">
        <v>26657</v>
      </c>
      <c r="E8271" s="1" t="s">
        <v>26658</v>
      </c>
      <c r="G8271" s="1" t="s">
        <v>26659</v>
      </c>
      <c r="I8271" s="1" t="s">
        <v>5</v>
      </c>
      <c r="J8271" s="1" t="s">
        <v>67</v>
      </c>
      <c r="K8271" s="1" t="s">
        <v>14</v>
      </c>
      <c r="M8271" s="2">
        <v>42398</v>
      </c>
      <c r="N8271" s="1" t="s">
        <v>8</v>
      </c>
      <c r="O8271" s="1" t="s">
        <v>68</v>
      </c>
    </row>
    <row r="8272" spans="1:15" ht="28.8" x14ac:dyDescent="0.3">
      <c r="A8272" s="1" t="s">
        <v>515</v>
      </c>
      <c r="B8272" s="1" t="str">
        <f>"Stuart Jones Celtic Windows"</f>
        <v>Stuart Jones Celtic Windows</v>
      </c>
      <c r="C8272" s="1" t="s">
        <v>516</v>
      </c>
      <c r="F8272" s="1" t="s">
        <v>42</v>
      </c>
      <c r="H8272" s="1" t="s">
        <v>517</v>
      </c>
      <c r="I8272" s="1" t="s">
        <v>5</v>
      </c>
      <c r="J8272" s="1" t="s">
        <v>6</v>
      </c>
      <c r="K8272" s="1" t="s">
        <v>34</v>
      </c>
      <c r="M8272" s="2">
        <v>42397</v>
      </c>
      <c r="N8272" s="1" t="s">
        <v>8</v>
      </c>
      <c r="O8272" s="2">
        <v>44589</v>
      </c>
    </row>
    <row r="8273" spans="1:15" ht="28.8" x14ac:dyDescent="0.3">
      <c r="A8273" s="1" t="s">
        <v>1713</v>
      </c>
      <c r="B8273" s="1" t="str">
        <f>"Richard Hebbard R E Hebbard"</f>
        <v>Richard Hebbard R E Hebbard</v>
      </c>
      <c r="C8273" s="1" t="s">
        <v>1714</v>
      </c>
      <c r="F8273" s="1" t="s">
        <v>1715</v>
      </c>
      <c r="H8273" s="1" t="s">
        <v>1716</v>
      </c>
      <c r="I8273" s="1" t="s">
        <v>5</v>
      </c>
      <c r="J8273" s="1" t="s">
        <v>6</v>
      </c>
      <c r="K8273" s="1" t="s">
        <v>34</v>
      </c>
      <c r="M8273" s="2">
        <v>42397</v>
      </c>
      <c r="N8273" s="1" t="s">
        <v>8</v>
      </c>
      <c r="O8273" s="2">
        <v>44589</v>
      </c>
    </row>
    <row r="8274" spans="1:15" ht="43.2" x14ac:dyDescent="0.3">
      <c r="A8274" s="1" t="s">
        <v>13398</v>
      </c>
      <c r="B8274" s="1" t="str">
        <f>"Charlies Stores Limited"</f>
        <v>Charlies Stores Limited</v>
      </c>
      <c r="C8274" s="1" t="s">
        <v>13399</v>
      </c>
      <c r="D8274" s="1" t="s">
        <v>2014</v>
      </c>
      <c r="F8274" s="1" t="s">
        <v>445</v>
      </c>
      <c r="H8274" s="1" t="s">
        <v>13284</v>
      </c>
      <c r="I8274" s="1" t="s">
        <v>19</v>
      </c>
      <c r="J8274" s="1" t="s">
        <v>67</v>
      </c>
      <c r="K8274" s="1" t="s">
        <v>14</v>
      </c>
      <c r="M8274" s="2">
        <v>42397</v>
      </c>
      <c r="N8274" s="1" t="s">
        <v>8</v>
      </c>
      <c r="O8274" s="1" t="s">
        <v>68</v>
      </c>
    </row>
    <row r="8275" spans="1:15" ht="43.2" x14ac:dyDescent="0.3">
      <c r="A8275" s="1" t="s">
        <v>13400</v>
      </c>
      <c r="B8275" s="1" t="str">
        <f>"Penygawsi Primary School"</f>
        <v>Penygawsi Primary School</v>
      </c>
      <c r="C8275" s="1" t="s">
        <v>13401</v>
      </c>
      <c r="F8275" s="1" t="s">
        <v>873</v>
      </c>
      <c r="H8275" s="1" t="s">
        <v>13402</v>
      </c>
      <c r="I8275" s="1" t="s">
        <v>188</v>
      </c>
      <c r="J8275" s="1" t="s">
        <v>67</v>
      </c>
      <c r="K8275" s="1" t="s">
        <v>14</v>
      </c>
      <c r="M8275" s="2">
        <v>42397</v>
      </c>
      <c r="N8275" s="1" t="s">
        <v>8</v>
      </c>
      <c r="O8275" s="1" t="s">
        <v>68</v>
      </c>
    </row>
    <row r="8276" spans="1:15" ht="43.2" x14ac:dyDescent="0.3">
      <c r="A8276" s="1" t="s">
        <v>13403</v>
      </c>
      <c r="B8276" s="1" t="str">
        <f>"Getronics Services (UK) Ltd"</f>
        <v>Getronics Services (UK) Ltd</v>
      </c>
      <c r="C8276" s="1" t="s">
        <v>13404</v>
      </c>
      <c r="F8276" s="1" t="s">
        <v>4831</v>
      </c>
      <c r="H8276" s="1" t="s">
        <v>13405</v>
      </c>
      <c r="I8276" s="1" t="s">
        <v>19</v>
      </c>
      <c r="J8276" s="1" t="s">
        <v>67</v>
      </c>
      <c r="K8276" s="1" t="s">
        <v>14</v>
      </c>
      <c r="M8276" s="2">
        <v>42397</v>
      </c>
      <c r="N8276" s="1" t="s">
        <v>8</v>
      </c>
      <c r="O8276" s="1" t="s">
        <v>68</v>
      </c>
    </row>
    <row r="8277" spans="1:15" ht="43.2" x14ac:dyDescent="0.3">
      <c r="A8277" s="1" t="s">
        <v>25206</v>
      </c>
      <c r="B8277" s="1" t="str">
        <f>"Philip Hulmes"</f>
        <v>Philip Hulmes</v>
      </c>
      <c r="C8277" s="1" t="s">
        <v>25207</v>
      </c>
      <c r="F8277" s="1" t="s">
        <v>96</v>
      </c>
      <c r="H8277" s="1" t="s">
        <v>25208</v>
      </c>
      <c r="I8277" s="1" t="s">
        <v>5</v>
      </c>
      <c r="J8277" s="1" t="s">
        <v>67</v>
      </c>
      <c r="K8277" s="1" t="s">
        <v>14</v>
      </c>
      <c r="M8277" s="2">
        <v>42397</v>
      </c>
      <c r="N8277" s="1" t="s">
        <v>8</v>
      </c>
      <c r="O8277" s="1" t="s">
        <v>68</v>
      </c>
    </row>
    <row r="8278" spans="1:15" ht="43.2" x14ac:dyDescent="0.3">
      <c r="A8278" s="1" t="s">
        <v>25942</v>
      </c>
      <c r="B8278" s="1" t="str">
        <f>"John Williams"</f>
        <v>John Williams</v>
      </c>
      <c r="C8278" s="1" t="s">
        <v>25943</v>
      </c>
      <c r="D8278" s="1" t="s">
        <v>322</v>
      </c>
      <c r="F8278" s="1" t="s">
        <v>1346</v>
      </c>
      <c r="H8278" s="1" t="s">
        <v>25944</v>
      </c>
      <c r="I8278" s="1" t="s">
        <v>5</v>
      </c>
      <c r="J8278" s="1" t="s">
        <v>67</v>
      </c>
      <c r="K8278" s="1" t="s">
        <v>34</v>
      </c>
      <c r="M8278" s="2">
        <v>42397</v>
      </c>
      <c r="N8278" s="1" t="s">
        <v>8</v>
      </c>
      <c r="O8278" s="1" t="s">
        <v>68</v>
      </c>
    </row>
    <row r="8279" spans="1:15" ht="28.8" x14ac:dyDescent="0.3">
      <c r="A8279" s="1" t="s">
        <v>32254</v>
      </c>
      <c r="B8279" s="1" t="str">
        <f>"W  Harold John (Metals) Ltd."</f>
        <v>W  Harold John (Metals) Ltd.</v>
      </c>
      <c r="C8279" s="1" t="s">
        <v>1919</v>
      </c>
      <c r="F8279" s="1" t="s">
        <v>91</v>
      </c>
      <c r="H8279" s="1" t="s">
        <v>32255</v>
      </c>
      <c r="I8279" s="1" t="s">
        <v>19</v>
      </c>
      <c r="J8279" s="1" t="s">
        <v>6</v>
      </c>
      <c r="K8279" s="1" t="s">
        <v>34</v>
      </c>
      <c r="L8279" s="1">
        <v>1072024</v>
      </c>
      <c r="M8279" s="2">
        <v>42397</v>
      </c>
      <c r="N8279" s="1" t="s">
        <v>8</v>
      </c>
      <c r="O8279" s="2">
        <v>44608</v>
      </c>
    </row>
    <row r="8280" spans="1:15" ht="43.2" x14ac:dyDescent="0.3">
      <c r="A8280" s="1" t="s">
        <v>33266</v>
      </c>
      <c r="B8280" s="1" t="str">
        <f>"J P R Recycling Ltd."</f>
        <v>J P R Recycling Ltd.</v>
      </c>
      <c r="C8280" s="1" t="s">
        <v>33267</v>
      </c>
      <c r="F8280" s="1" t="s">
        <v>146</v>
      </c>
      <c r="H8280" s="1" t="s">
        <v>33268</v>
      </c>
      <c r="I8280" s="1" t="s">
        <v>19</v>
      </c>
      <c r="J8280" s="1" t="s">
        <v>6</v>
      </c>
      <c r="K8280" s="1" t="s">
        <v>34</v>
      </c>
      <c r="L8280" s="1">
        <v>4623694</v>
      </c>
      <c r="M8280" s="2">
        <v>42397</v>
      </c>
      <c r="N8280" s="1" t="s">
        <v>8</v>
      </c>
      <c r="O8280" s="2">
        <v>44596</v>
      </c>
    </row>
    <row r="8281" spans="1:15" ht="43.2" x14ac:dyDescent="0.3">
      <c r="A8281" s="1" t="s">
        <v>33269</v>
      </c>
      <c r="B8281" s="1" t="str">
        <f>"STUDWELDERS COMPOSITE FLOOR DECKS LTD"</f>
        <v>STUDWELDERS COMPOSITE FLOOR DECKS LTD</v>
      </c>
      <c r="C8281" s="1" t="s">
        <v>33270</v>
      </c>
      <c r="D8281" s="1" t="s">
        <v>8020</v>
      </c>
      <c r="E8281" s="1" t="s">
        <v>8021</v>
      </c>
      <c r="F8281" s="1" t="s">
        <v>2906</v>
      </c>
      <c r="H8281" s="1" t="s">
        <v>8022</v>
      </c>
      <c r="I8281" s="1" t="s">
        <v>19</v>
      </c>
      <c r="J8281" s="1" t="s">
        <v>6</v>
      </c>
      <c r="K8281" s="1" t="s">
        <v>14</v>
      </c>
      <c r="L8281" s="1">
        <v>6901006</v>
      </c>
      <c r="M8281" s="2">
        <v>42397</v>
      </c>
      <c r="N8281" s="1" t="s">
        <v>8</v>
      </c>
      <c r="O8281" s="2">
        <v>44589</v>
      </c>
    </row>
    <row r="8282" spans="1:15" ht="28.8" x14ac:dyDescent="0.3">
      <c r="A8282" s="1" t="s">
        <v>233</v>
      </c>
      <c r="B8282" s="1" t="str">
        <f>"Mdw (Europe) Ltd."</f>
        <v>Mdw (Europe) Ltd.</v>
      </c>
      <c r="C8282" s="1" t="s">
        <v>234</v>
      </c>
      <c r="F8282" s="1" t="s">
        <v>156</v>
      </c>
      <c r="H8282" s="1" t="s">
        <v>235</v>
      </c>
      <c r="I8282" s="1" t="s">
        <v>19</v>
      </c>
      <c r="J8282" s="1" t="s">
        <v>6</v>
      </c>
      <c r="K8282" s="1" t="s">
        <v>34</v>
      </c>
      <c r="L8282" s="1">
        <v>4466321</v>
      </c>
      <c r="M8282" s="2">
        <v>42396</v>
      </c>
      <c r="N8282" s="1" t="s">
        <v>8</v>
      </c>
      <c r="O8282" s="2">
        <v>44588</v>
      </c>
    </row>
    <row r="8283" spans="1:15" ht="28.8" x14ac:dyDescent="0.3">
      <c r="A8283" s="1" t="s">
        <v>1674</v>
      </c>
      <c r="B8283" s="1" t="str">
        <f>"Blackwood Fire Ltd."</f>
        <v>Blackwood Fire Ltd.</v>
      </c>
      <c r="C8283" s="1" t="s">
        <v>1675</v>
      </c>
      <c r="D8283" s="1" t="s">
        <v>1676</v>
      </c>
      <c r="F8283" s="1" t="s">
        <v>156</v>
      </c>
      <c r="H8283" s="1" t="s">
        <v>1677</v>
      </c>
      <c r="I8283" s="1" t="s">
        <v>19</v>
      </c>
      <c r="J8283" s="1" t="s">
        <v>6</v>
      </c>
      <c r="K8283" s="1" t="s">
        <v>24</v>
      </c>
      <c r="L8283" s="1">
        <v>1687636</v>
      </c>
      <c r="M8283" s="2">
        <v>42396</v>
      </c>
      <c r="N8283" s="1" t="s">
        <v>8</v>
      </c>
      <c r="O8283" s="2">
        <v>44588</v>
      </c>
    </row>
    <row r="8284" spans="1:15" ht="28.8" x14ac:dyDescent="0.3">
      <c r="A8284" s="1" t="s">
        <v>3099</v>
      </c>
      <c r="B8284" s="1" t="str">
        <f>"Aberdare Demolition Ltd."</f>
        <v>Aberdare Demolition Ltd.</v>
      </c>
      <c r="C8284" s="1" t="s">
        <v>3100</v>
      </c>
      <c r="E8284" s="1" t="s">
        <v>1769</v>
      </c>
      <c r="F8284" s="1" t="s">
        <v>996</v>
      </c>
      <c r="H8284" s="1" t="s">
        <v>3101</v>
      </c>
      <c r="I8284" s="1" t="s">
        <v>19</v>
      </c>
      <c r="J8284" s="1" t="s">
        <v>6</v>
      </c>
      <c r="K8284" s="1" t="s">
        <v>24</v>
      </c>
      <c r="L8284" s="1">
        <v>2614795</v>
      </c>
      <c r="M8284" s="2">
        <v>42396</v>
      </c>
      <c r="N8284" s="1" t="s">
        <v>8</v>
      </c>
      <c r="O8284" s="2">
        <v>44588</v>
      </c>
    </row>
    <row r="8285" spans="1:15" ht="43.2" x14ac:dyDescent="0.3">
      <c r="A8285" s="1" t="s">
        <v>12259</v>
      </c>
      <c r="B8285" s="1" t="str">
        <f>"GLOBAL HEATING  &amp;  PLUMBING SERVICES LTD"</f>
        <v>GLOBAL HEATING  &amp;  PLUMBING SERVICES LTD</v>
      </c>
      <c r="C8285" s="1" t="s">
        <v>12260</v>
      </c>
      <c r="F8285" s="1" t="s">
        <v>1184</v>
      </c>
      <c r="H8285" s="1" t="s">
        <v>12261</v>
      </c>
      <c r="I8285" s="1" t="s">
        <v>19</v>
      </c>
      <c r="J8285" s="1" t="s">
        <v>67</v>
      </c>
      <c r="K8285" s="1" t="s">
        <v>24</v>
      </c>
      <c r="L8285" s="1">
        <v>7379150</v>
      </c>
      <c r="M8285" s="2">
        <v>42396</v>
      </c>
      <c r="N8285" s="1" t="s">
        <v>8</v>
      </c>
      <c r="O8285" s="1" t="s">
        <v>68</v>
      </c>
    </row>
    <row r="8286" spans="1:15" ht="43.2" x14ac:dyDescent="0.3">
      <c r="A8286" s="1" t="s">
        <v>12262</v>
      </c>
      <c r="B8286" s="1" t="str">
        <f>"Runway Autos"</f>
        <v>Runway Autos</v>
      </c>
      <c r="C8286" s="1" t="s">
        <v>12263</v>
      </c>
      <c r="F8286" s="1" t="s">
        <v>438</v>
      </c>
      <c r="H8286" s="1" t="s">
        <v>12264</v>
      </c>
      <c r="I8286" s="1" t="s">
        <v>125</v>
      </c>
      <c r="J8286" s="1" t="s">
        <v>67</v>
      </c>
      <c r="K8286" s="1" t="s">
        <v>14</v>
      </c>
      <c r="M8286" s="2">
        <v>42396</v>
      </c>
      <c r="N8286" s="1" t="s">
        <v>8</v>
      </c>
      <c r="O8286" s="1" t="s">
        <v>68</v>
      </c>
    </row>
    <row r="8287" spans="1:15" ht="43.2" x14ac:dyDescent="0.3">
      <c r="A8287" s="1" t="s">
        <v>25203</v>
      </c>
      <c r="B8287" s="1" t="str">
        <f>"Stephen Hitchcock"</f>
        <v>Stephen Hitchcock</v>
      </c>
      <c r="C8287" s="1" t="s">
        <v>25204</v>
      </c>
      <c r="F8287" s="1" t="s">
        <v>65</v>
      </c>
      <c r="H8287" s="1" t="s">
        <v>25205</v>
      </c>
      <c r="I8287" s="1" t="s">
        <v>5</v>
      </c>
      <c r="J8287" s="1" t="s">
        <v>67</v>
      </c>
      <c r="K8287" s="1" t="s">
        <v>14</v>
      </c>
      <c r="M8287" s="2">
        <v>42396</v>
      </c>
      <c r="N8287" s="1" t="s">
        <v>8</v>
      </c>
      <c r="O8287" s="1" t="s">
        <v>68</v>
      </c>
    </row>
    <row r="8288" spans="1:15" x14ac:dyDescent="0.3">
      <c r="A8288" s="1" t="s">
        <v>31277</v>
      </c>
      <c r="B8288" s="1" t="str">
        <f>"Atlas Recycling Ltd"</f>
        <v>Atlas Recycling Ltd</v>
      </c>
      <c r="C8288" s="1" t="s">
        <v>31278</v>
      </c>
      <c r="D8288" s="1" t="s">
        <v>31279</v>
      </c>
      <c r="F8288" s="1" t="s">
        <v>1063</v>
      </c>
      <c r="G8288" s="1" t="s">
        <v>115</v>
      </c>
      <c r="H8288" s="1" t="s">
        <v>31280</v>
      </c>
      <c r="I8288" s="1" t="s">
        <v>19</v>
      </c>
      <c r="J8288" s="1" t="s">
        <v>6</v>
      </c>
      <c r="K8288" s="1" t="s">
        <v>366</v>
      </c>
      <c r="L8288" s="1">
        <v>8735476</v>
      </c>
      <c r="M8288" s="2">
        <v>42396</v>
      </c>
      <c r="N8288" s="1" t="s">
        <v>8</v>
      </c>
      <c r="O8288" s="2">
        <v>44588</v>
      </c>
    </row>
    <row r="8289" spans="1:15" ht="28.8" x14ac:dyDescent="0.3">
      <c r="A8289" s="1" t="s">
        <v>32301</v>
      </c>
      <c r="B8289" s="1" t="str">
        <f>"WATKIN JONES &amp; SON LTD"</f>
        <v>WATKIN JONES &amp; SON LTD</v>
      </c>
      <c r="C8289" s="1" t="s">
        <v>32302</v>
      </c>
      <c r="D8289" s="1" t="s">
        <v>2890</v>
      </c>
      <c r="F8289" s="1" t="s">
        <v>1321</v>
      </c>
      <c r="H8289" s="1" t="s">
        <v>32303</v>
      </c>
      <c r="I8289" s="1" t="s">
        <v>19</v>
      </c>
      <c r="J8289" s="1" t="s">
        <v>6</v>
      </c>
      <c r="K8289" s="1" t="s">
        <v>14</v>
      </c>
      <c r="L8289" s="1">
        <v>2539870</v>
      </c>
      <c r="M8289" s="2">
        <v>42396</v>
      </c>
      <c r="N8289" s="1" t="s">
        <v>8</v>
      </c>
      <c r="O8289" s="2">
        <v>44588</v>
      </c>
    </row>
    <row r="8290" spans="1:15" ht="28.8" x14ac:dyDescent="0.3">
      <c r="A8290" s="1" t="s">
        <v>32326</v>
      </c>
      <c r="B8290" s="1" t="str">
        <f>"I BUILD (WALES) LTD"</f>
        <v>I BUILD (WALES) LTD</v>
      </c>
      <c r="C8290" s="1" t="s">
        <v>32327</v>
      </c>
      <c r="D8290" s="1" t="s">
        <v>1946</v>
      </c>
      <c r="F8290" s="1" t="s">
        <v>96</v>
      </c>
      <c r="H8290" s="1" t="s">
        <v>32328</v>
      </c>
      <c r="I8290" s="1" t="s">
        <v>19</v>
      </c>
      <c r="J8290" s="1" t="s">
        <v>6</v>
      </c>
      <c r="K8290" s="1" t="s">
        <v>34</v>
      </c>
      <c r="L8290" s="1">
        <v>5910441</v>
      </c>
      <c r="M8290" s="2">
        <v>42396</v>
      </c>
      <c r="N8290" s="1" t="s">
        <v>8</v>
      </c>
      <c r="O8290" s="2">
        <v>44588</v>
      </c>
    </row>
    <row r="8291" spans="1:15" ht="28.8" x14ac:dyDescent="0.3">
      <c r="A8291" s="1" t="s">
        <v>914</v>
      </c>
      <c r="B8291" s="1" t="str">
        <f>"Penallta Building Supplies Ltd"</f>
        <v>Penallta Building Supplies Ltd</v>
      </c>
      <c r="C8291" s="1" t="s">
        <v>915</v>
      </c>
      <c r="D8291" s="1" t="s">
        <v>916</v>
      </c>
      <c r="F8291" s="1" t="s">
        <v>123</v>
      </c>
      <c r="G8291" s="1" t="s">
        <v>141</v>
      </c>
      <c r="H8291" s="1" t="s">
        <v>917</v>
      </c>
      <c r="I8291" s="1" t="s">
        <v>19</v>
      </c>
      <c r="J8291" s="1" t="s">
        <v>6</v>
      </c>
      <c r="K8291" s="1" t="s">
        <v>24</v>
      </c>
      <c r="L8291" s="1">
        <v>6545874</v>
      </c>
      <c r="M8291" s="2">
        <v>42395</v>
      </c>
      <c r="N8291" s="1" t="s">
        <v>8</v>
      </c>
      <c r="O8291" s="2">
        <v>44587</v>
      </c>
    </row>
    <row r="8292" spans="1:15" ht="28.8" x14ac:dyDescent="0.3">
      <c r="A8292" s="1" t="s">
        <v>1372</v>
      </c>
      <c r="B8292" s="1" t="str">
        <f>"E O M (Electrical Contractors) Ltd."</f>
        <v>E O M (Electrical Contractors) Ltd.</v>
      </c>
      <c r="C8292" s="1" t="s">
        <v>1373</v>
      </c>
      <c r="D8292" s="1" t="s">
        <v>955</v>
      </c>
      <c r="F8292" s="1" t="s">
        <v>445</v>
      </c>
      <c r="H8292" s="1" t="s">
        <v>1374</v>
      </c>
      <c r="I8292" s="1" t="s">
        <v>19</v>
      </c>
      <c r="J8292" s="1" t="s">
        <v>6</v>
      </c>
      <c r="K8292" s="1" t="s">
        <v>24</v>
      </c>
      <c r="L8292" s="1">
        <v>2899572</v>
      </c>
      <c r="M8292" s="2">
        <v>42395</v>
      </c>
      <c r="N8292" s="1" t="s">
        <v>8</v>
      </c>
      <c r="O8292" s="2">
        <v>44587</v>
      </c>
    </row>
    <row r="8293" spans="1:15" ht="43.2" x14ac:dyDescent="0.3">
      <c r="A8293" s="1" t="s">
        <v>24359</v>
      </c>
      <c r="B8293" s="1" t="str">
        <f>"william moase"</f>
        <v>william moase</v>
      </c>
      <c r="C8293" s="1" t="s">
        <v>24360</v>
      </c>
      <c r="F8293" s="1" t="s">
        <v>6095</v>
      </c>
      <c r="H8293" s="1" t="s">
        <v>24361</v>
      </c>
      <c r="I8293" s="1" t="s">
        <v>5</v>
      </c>
      <c r="J8293" s="1" t="s">
        <v>67</v>
      </c>
      <c r="K8293" s="1" t="s">
        <v>14</v>
      </c>
      <c r="M8293" s="2">
        <v>42395</v>
      </c>
      <c r="N8293" s="1" t="s">
        <v>8</v>
      </c>
      <c r="O8293" s="1" t="s">
        <v>68</v>
      </c>
    </row>
    <row r="8294" spans="1:15" ht="43.2" x14ac:dyDescent="0.3">
      <c r="A8294" s="1" t="s">
        <v>24362</v>
      </c>
      <c r="B8294" s="1" t="str">
        <f>"Bernard Blundell"</f>
        <v>Bernard Blundell</v>
      </c>
      <c r="C8294" s="1" t="s">
        <v>24363</v>
      </c>
      <c r="F8294" s="1" t="s">
        <v>1260</v>
      </c>
      <c r="H8294" s="1" t="s">
        <v>24364</v>
      </c>
      <c r="I8294" s="1" t="s">
        <v>5</v>
      </c>
      <c r="J8294" s="1" t="s">
        <v>67</v>
      </c>
      <c r="K8294" s="1" t="s">
        <v>14</v>
      </c>
      <c r="M8294" s="2">
        <v>42395</v>
      </c>
      <c r="N8294" s="1" t="s">
        <v>8</v>
      </c>
      <c r="O8294" s="1" t="s">
        <v>68</v>
      </c>
    </row>
    <row r="8295" spans="1:15" x14ac:dyDescent="0.3">
      <c r="A8295" s="1" t="s">
        <v>31248</v>
      </c>
      <c r="B8295" s="1" t="str">
        <f>"A J Recycling Ltd."</f>
        <v>A J Recycling Ltd.</v>
      </c>
      <c r="C8295" s="1" t="s">
        <v>31249</v>
      </c>
      <c r="F8295" s="1" t="s">
        <v>15441</v>
      </c>
      <c r="H8295" s="1" t="s">
        <v>31250</v>
      </c>
      <c r="I8295" s="1" t="s">
        <v>19</v>
      </c>
      <c r="J8295" s="1" t="s">
        <v>6</v>
      </c>
      <c r="K8295" s="1" t="s">
        <v>1859</v>
      </c>
      <c r="L8295" s="1">
        <v>5496447</v>
      </c>
      <c r="M8295" s="2">
        <v>42395</v>
      </c>
      <c r="N8295" s="1" t="s">
        <v>8</v>
      </c>
      <c r="O8295" s="2">
        <v>44587</v>
      </c>
    </row>
    <row r="8296" spans="1:15" ht="43.2" x14ac:dyDescent="0.3">
      <c r="A8296" s="1" t="s">
        <v>33187</v>
      </c>
      <c r="B8296" s="1" t="str">
        <f>"S. Middleton &amp; Son Roofing Specialists"</f>
        <v>S. Middleton &amp; Son Roofing Specialists</v>
      </c>
      <c r="C8296" s="1" t="s">
        <v>33188</v>
      </c>
      <c r="D8296" s="1" t="s">
        <v>33189</v>
      </c>
      <c r="E8296" s="1" t="s">
        <v>6518</v>
      </c>
      <c r="F8296" s="1" t="s">
        <v>179</v>
      </c>
      <c r="G8296" s="1" t="s">
        <v>180</v>
      </c>
      <c r="H8296" s="1" t="s">
        <v>33190</v>
      </c>
      <c r="I8296" s="1" t="s">
        <v>19</v>
      </c>
      <c r="J8296" s="1" t="s">
        <v>6</v>
      </c>
      <c r="K8296" s="1" t="s">
        <v>24</v>
      </c>
      <c r="M8296" s="2">
        <v>42395</v>
      </c>
      <c r="N8296" s="1" t="s">
        <v>8</v>
      </c>
      <c r="O8296" s="2">
        <v>44587</v>
      </c>
    </row>
    <row r="8297" spans="1:15" x14ac:dyDescent="0.3">
      <c r="A8297" s="1" t="s">
        <v>447</v>
      </c>
      <c r="B8297" s="1" t="str">
        <f>"Stephen Greenaway"</f>
        <v>Stephen Greenaway</v>
      </c>
      <c r="C8297" s="1" t="s">
        <v>448</v>
      </c>
      <c r="D8297" s="1" t="s">
        <v>449</v>
      </c>
      <c r="F8297" s="1" t="s">
        <v>42</v>
      </c>
      <c r="G8297" s="1" t="s">
        <v>51</v>
      </c>
      <c r="H8297" s="1" t="s">
        <v>450</v>
      </c>
      <c r="I8297" s="1" t="s">
        <v>5</v>
      </c>
      <c r="J8297" s="1" t="s">
        <v>6</v>
      </c>
      <c r="K8297" s="1" t="s">
        <v>14</v>
      </c>
      <c r="M8297" s="2">
        <v>42394</v>
      </c>
      <c r="N8297" s="1" t="s">
        <v>8</v>
      </c>
      <c r="O8297" s="2">
        <v>44586</v>
      </c>
    </row>
    <row r="8298" spans="1:15" ht="28.8" x14ac:dyDescent="0.3">
      <c r="A8298" s="1" t="s">
        <v>2929</v>
      </c>
      <c r="B8298" s="1" t="str">
        <f>"J L  Stephens Ltd."</f>
        <v>J L  Stephens Ltd.</v>
      </c>
      <c r="C8298" s="1" t="s">
        <v>2930</v>
      </c>
      <c r="F8298" s="1" t="s">
        <v>1206</v>
      </c>
      <c r="H8298" s="1" t="s">
        <v>2931</v>
      </c>
      <c r="I8298" s="1" t="s">
        <v>19</v>
      </c>
      <c r="J8298" s="1" t="s">
        <v>6</v>
      </c>
      <c r="K8298" s="1" t="s">
        <v>24</v>
      </c>
      <c r="L8298" s="1">
        <v>4394392</v>
      </c>
      <c r="M8298" s="2">
        <v>42394</v>
      </c>
      <c r="N8298" s="1" t="s">
        <v>8</v>
      </c>
      <c r="O8298" s="2">
        <v>44586</v>
      </c>
    </row>
    <row r="8299" spans="1:15" ht="43.2" x14ac:dyDescent="0.3">
      <c r="A8299" s="1" t="s">
        <v>10292</v>
      </c>
      <c r="B8299" s="1" t="str">
        <f>"Charles Price &amp; John Thomas "</f>
        <v xml:space="preserve">Charles Price &amp; John Thomas </v>
      </c>
      <c r="C8299" s="1" t="s">
        <v>10293</v>
      </c>
      <c r="F8299" s="1" t="s">
        <v>3337</v>
      </c>
      <c r="H8299" s="1" t="s">
        <v>10294</v>
      </c>
      <c r="I8299" s="1" t="s">
        <v>125</v>
      </c>
      <c r="J8299" s="1" t="s">
        <v>67</v>
      </c>
      <c r="K8299" s="1" t="s">
        <v>34</v>
      </c>
      <c r="M8299" s="2">
        <v>42394</v>
      </c>
      <c r="N8299" s="1" t="s">
        <v>8</v>
      </c>
      <c r="O8299" s="1" t="s">
        <v>68</v>
      </c>
    </row>
    <row r="8300" spans="1:15" ht="43.2" x14ac:dyDescent="0.3">
      <c r="A8300" s="1" t="s">
        <v>10295</v>
      </c>
      <c r="B8300" s="1" t="str">
        <f>"Overwrought Engineering Ltd"</f>
        <v>Overwrought Engineering Ltd</v>
      </c>
      <c r="C8300" s="1" t="s">
        <v>10296</v>
      </c>
      <c r="D8300" s="1" t="s">
        <v>10297</v>
      </c>
      <c r="F8300" s="1" t="s">
        <v>746</v>
      </c>
      <c r="H8300" s="1" t="s">
        <v>10298</v>
      </c>
      <c r="I8300" s="1" t="s">
        <v>19</v>
      </c>
      <c r="J8300" s="1" t="s">
        <v>67</v>
      </c>
      <c r="K8300" s="1" t="s">
        <v>34</v>
      </c>
      <c r="L8300" s="1">
        <v>8092983</v>
      </c>
      <c r="M8300" s="2">
        <v>42394</v>
      </c>
      <c r="N8300" s="1" t="s">
        <v>8</v>
      </c>
      <c r="O8300" s="1" t="s">
        <v>68</v>
      </c>
    </row>
    <row r="8301" spans="1:15" ht="43.2" x14ac:dyDescent="0.3">
      <c r="A8301" s="1" t="s">
        <v>10299</v>
      </c>
      <c r="B8301" s="1" t="str">
        <f>"AYJAY GROUP LTD"</f>
        <v>AYJAY GROUP LTD</v>
      </c>
      <c r="C8301" s="1" t="s">
        <v>10300</v>
      </c>
      <c r="D8301" s="1" t="s">
        <v>10301</v>
      </c>
      <c r="E8301" s="1" t="s">
        <v>5091</v>
      </c>
      <c r="F8301" s="1" t="s">
        <v>103</v>
      </c>
      <c r="H8301" s="1" t="s">
        <v>5092</v>
      </c>
      <c r="I8301" s="1" t="s">
        <v>19</v>
      </c>
      <c r="J8301" s="1" t="s">
        <v>67</v>
      </c>
      <c r="K8301" s="1" t="s">
        <v>34</v>
      </c>
      <c r="L8301" s="1">
        <v>3255933</v>
      </c>
      <c r="M8301" s="2">
        <v>42394</v>
      </c>
      <c r="N8301" s="1" t="s">
        <v>8</v>
      </c>
      <c r="O8301" s="1" t="s">
        <v>68</v>
      </c>
    </row>
    <row r="8302" spans="1:15" ht="28.8" x14ac:dyDescent="0.3">
      <c r="A8302" s="1" t="s">
        <v>11307</v>
      </c>
      <c r="B8302" s="1" t="str">
        <f>"M A COOPER PROJECTS LTD"</f>
        <v>M A COOPER PROJECTS LTD</v>
      </c>
      <c r="C8302" s="1" t="s">
        <v>11308</v>
      </c>
      <c r="D8302" s="1" t="s">
        <v>8848</v>
      </c>
      <c r="F8302" s="1" t="s">
        <v>1346</v>
      </c>
      <c r="H8302" s="1" t="s">
        <v>11309</v>
      </c>
      <c r="I8302" s="1" t="s">
        <v>19</v>
      </c>
      <c r="J8302" s="1" t="s">
        <v>6</v>
      </c>
      <c r="K8302" s="1" t="s">
        <v>24</v>
      </c>
      <c r="L8302" s="1">
        <v>6771944</v>
      </c>
      <c r="M8302" s="2">
        <v>42394</v>
      </c>
      <c r="N8302" s="1" t="s">
        <v>8</v>
      </c>
      <c r="O8302" s="2">
        <v>43637</v>
      </c>
    </row>
    <row r="8303" spans="1:15" ht="43.2" x14ac:dyDescent="0.3">
      <c r="A8303" s="1" t="s">
        <v>11310</v>
      </c>
      <c r="B8303" s="1" t="str">
        <f>"Ignite Gas Heating &amp; Plumbing Ltd"</f>
        <v>Ignite Gas Heating &amp; Plumbing Ltd</v>
      </c>
      <c r="C8303" s="1" t="s">
        <v>11311</v>
      </c>
      <c r="F8303" s="1" t="s">
        <v>27</v>
      </c>
      <c r="H8303" s="1" t="s">
        <v>11312</v>
      </c>
      <c r="I8303" s="1" t="s">
        <v>19</v>
      </c>
      <c r="J8303" s="1" t="s">
        <v>67</v>
      </c>
      <c r="K8303" s="1" t="s">
        <v>14</v>
      </c>
      <c r="L8303" s="1">
        <v>9965933</v>
      </c>
      <c r="M8303" s="2">
        <v>42394</v>
      </c>
      <c r="N8303" s="1" t="s">
        <v>8</v>
      </c>
      <c r="O8303" s="1" t="s">
        <v>68</v>
      </c>
    </row>
    <row r="8304" spans="1:15" ht="43.2" x14ac:dyDescent="0.3">
      <c r="A8304" s="1" t="s">
        <v>23494</v>
      </c>
      <c r="B8304" s="1" t="str">
        <f>"Stephen Thomas Greenaway"</f>
        <v>Stephen Thomas Greenaway</v>
      </c>
      <c r="C8304" s="1" t="s">
        <v>23495</v>
      </c>
      <c r="F8304" s="1" t="s">
        <v>12</v>
      </c>
      <c r="H8304" s="1" t="s">
        <v>17325</v>
      </c>
      <c r="I8304" s="1" t="s">
        <v>5</v>
      </c>
      <c r="J8304" s="1" t="s">
        <v>67</v>
      </c>
      <c r="K8304" s="1" t="s">
        <v>24</v>
      </c>
      <c r="M8304" s="2">
        <v>42394</v>
      </c>
      <c r="N8304" s="1" t="s">
        <v>8</v>
      </c>
      <c r="O8304" s="1" t="s">
        <v>68</v>
      </c>
    </row>
    <row r="8305" spans="1:15" ht="43.2" x14ac:dyDescent="0.3">
      <c r="A8305" s="1" t="s">
        <v>23496</v>
      </c>
      <c r="B8305" s="1" t="str">
        <f>"Nick Grinsell"</f>
        <v>Nick Grinsell</v>
      </c>
      <c r="C8305" s="1" t="s">
        <v>23497</v>
      </c>
      <c r="F8305" s="1" t="s">
        <v>416</v>
      </c>
      <c r="H8305" s="1" t="s">
        <v>23498</v>
      </c>
      <c r="I8305" s="1" t="s">
        <v>5</v>
      </c>
      <c r="J8305" s="1" t="s">
        <v>67</v>
      </c>
      <c r="K8305" s="1" t="s">
        <v>14</v>
      </c>
      <c r="M8305" s="2">
        <v>42394</v>
      </c>
      <c r="N8305" s="1" t="s">
        <v>8</v>
      </c>
      <c r="O8305" s="1" t="s">
        <v>68</v>
      </c>
    </row>
    <row r="8306" spans="1:15" ht="28.8" x14ac:dyDescent="0.3">
      <c r="A8306" s="1" t="s">
        <v>33257</v>
      </c>
      <c r="B8306" s="1" t="str">
        <f>"CHRISTOPHER STUART REES STEP UP"</f>
        <v>CHRISTOPHER STUART REES STEP UP</v>
      </c>
      <c r="C8306" s="1" t="s">
        <v>33258</v>
      </c>
      <c r="D8306" s="1" t="s">
        <v>33259</v>
      </c>
      <c r="F8306" s="1" t="s">
        <v>33260</v>
      </c>
      <c r="G8306" s="1" t="s">
        <v>556</v>
      </c>
      <c r="H8306" s="1" t="s">
        <v>33261</v>
      </c>
      <c r="I8306" s="1" t="s">
        <v>5</v>
      </c>
      <c r="J8306" s="1" t="s">
        <v>6</v>
      </c>
      <c r="K8306" s="1" t="s">
        <v>24</v>
      </c>
      <c r="M8306" s="2">
        <v>42394</v>
      </c>
      <c r="N8306" s="1" t="s">
        <v>8</v>
      </c>
      <c r="O8306" s="2">
        <v>44586</v>
      </c>
    </row>
    <row r="8307" spans="1:15" ht="28.8" x14ac:dyDescent="0.3">
      <c r="A8307" s="1" t="s">
        <v>33285</v>
      </c>
      <c r="B8307" s="1" t="str">
        <f>"Cliff Warner Houses To Go"</f>
        <v>Cliff Warner Houses To Go</v>
      </c>
      <c r="C8307" s="1" t="s">
        <v>33286</v>
      </c>
      <c r="F8307" s="1" t="s">
        <v>91</v>
      </c>
      <c r="H8307" s="1" t="s">
        <v>33287</v>
      </c>
      <c r="I8307" s="1" t="s">
        <v>5</v>
      </c>
      <c r="J8307" s="1" t="s">
        <v>6</v>
      </c>
      <c r="K8307" s="1" t="s">
        <v>24</v>
      </c>
      <c r="M8307" s="2">
        <v>42394</v>
      </c>
      <c r="N8307" s="1" t="s">
        <v>8</v>
      </c>
      <c r="O8307" s="2">
        <v>44586</v>
      </c>
    </row>
    <row r="8308" spans="1:15" x14ac:dyDescent="0.3">
      <c r="A8308" s="1" t="s">
        <v>3102</v>
      </c>
      <c r="B8308" s="1" t="str">
        <f>"WILLIAMS &amp; SONS"</f>
        <v>WILLIAMS &amp; SONS</v>
      </c>
      <c r="C8308" s="1" t="s">
        <v>3103</v>
      </c>
      <c r="D8308" s="1" t="s">
        <v>3104</v>
      </c>
      <c r="E8308" s="1" t="s">
        <v>3105</v>
      </c>
      <c r="F8308" s="1" t="s">
        <v>37</v>
      </c>
      <c r="G8308" s="1" t="s">
        <v>1983</v>
      </c>
      <c r="H8308" s="1" t="s">
        <v>3106</v>
      </c>
      <c r="I8308" s="1" t="s">
        <v>125</v>
      </c>
      <c r="J8308" s="1" t="s">
        <v>6</v>
      </c>
      <c r="K8308" s="1" t="s">
        <v>24</v>
      </c>
      <c r="M8308" s="2">
        <v>42393</v>
      </c>
      <c r="N8308" s="1" t="s">
        <v>8</v>
      </c>
      <c r="O8308" s="2">
        <v>44585</v>
      </c>
    </row>
    <row r="8309" spans="1:15" ht="43.2" x14ac:dyDescent="0.3">
      <c r="A8309" s="1" t="s">
        <v>20386</v>
      </c>
      <c r="B8309" s="1" t="str">
        <f>"Bryan Chambers"</f>
        <v>Bryan Chambers</v>
      </c>
      <c r="C8309" s="1" t="s">
        <v>20387</v>
      </c>
      <c r="F8309" s="1" t="s">
        <v>20388</v>
      </c>
      <c r="H8309" s="1" t="s">
        <v>20389</v>
      </c>
      <c r="I8309" s="1" t="s">
        <v>5</v>
      </c>
      <c r="J8309" s="1" t="s">
        <v>67</v>
      </c>
      <c r="K8309" s="1" t="s">
        <v>14</v>
      </c>
      <c r="M8309" s="2">
        <v>42393</v>
      </c>
      <c r="N8309" s="1" t="s">
        <v>8</v>
      </c>
      <c r="O8309" s="1" t="s">
        <v>68</v>
      </c>
    </row>
    <row r="8310" spans="1:15" ht="28.8" x14ac:dyDescent="0.3">
      <c r="A8310" s="1" t="s">
        <v>33330</v>
      </c>
      <c r="B8310" s="1" t="str">
        <f>"G&amp;S Heating Services Limited"</f>
        <v>G&amp;S Heating Services Limited</v>
      </c>
      <c r="C8310" s="1" t="s">
        <v>33331</v>
      </c>
      <c r="F8310" s="1" t="s">
        <v>555</v>
      </c>
      <c r="H8310" s="1" t="s">
        <v>33332</v>
      </c>
      <c r="I8310" s="1" t="s">
        <v>19</v>
      </c>
      <c r="J8310" s="1" t="s">
        <v>6</v>
      </c>
      <c r="K8310" s="1" t="s">
        <v>34</v>
      </c>
      <c r="L8310" s="1">
        <v>9303207</v>
      </c>
      <c r="M8310" s="2">
        <v>42393</v>
      </c>
      <c r="N8310" s="1" t="s">
        <v>8</v>
      </c>
      <c r="O8310" s="2">
        <v>44585</v>
      </c>
    </row>
    <row r="8311" spans="1:15" ht="43.2" x14ac:dyDescent="0.3">
      <c r="A8311" s="1" t="s">
        <v>5736</v>
      </c>
      <c r="B8311" s="1" t="str">
        <f>"Eld Landscape Ltd."</f>
        <v>Eld Landscape Ltd.</v>
      </c>
      <c r="C8311" s="1" t="s">
        <v>5737</v>
      </c>
      <c r="F8311" s="1" t="s">
        <v>146</v>
      </c>
      <c r="H8311" s="1" t="s">
        <v>5738</v>
      </c>
      <c r="I8311" s="1" t="s">
        <v>19</v>
      </c>
      <c r="J8311" s="1" t="s">
        <v>67</v>
      </c>
      <c r="K8311" s="1" t="s">
        <v>24</v>
      </c>
      <c r="L8311" s="1">
        <v>4743260</v>
      </c>
      <c r="M8311" s="2">
        <v>42392</v>
      </c>
      <c r="N8311" s="1" t="s">
        <v>8</v>
      </c>
      <c r="O8311" s="1" t="s">
        <v>68</v>
      </c>
    </row>
    <row r="8312" spans="1:15" ht="28.8" x14ac:dyDescent="0.3">
      <c r="A8312" s="1" t="s">
        <v>3002</v>
      </c>
      <c r="B8312" s="1" t="str">
        <f>"DUTTON &amp; CADWELL LTD"</f>
        <v>DUTTON &amp; CADWELL LTD</v>
      </c>
      <c r="C8312" s="1" t="s">
        <v>3003</v>
      </c>
      <c r="D8312" s="1" t="s">
        <v>3004</v>
      </c>
      <c r="E8312" s="1" t="s">
        <v>1833</v>
      </c>
      <c r="F8312" s="1" t="s">
        <v>27</v>
      </c>
      <c r="H8312" s="1" t="s">
        <v>3005</v>
      </c>
      <c r="I8312" s="1" t="s">
        <v>19</v>
      </c>
      <c r="J8312" s="1" t="s">
        <v>6</v>
      </c>
      <c r="K8312" s="1" t="s">
        <v>34</v>
      </c>
      <c r="L8312" s="1">
        <v>4349537</v>
      </c>
      <c r="M8312" s="2">
        <v>42391</v>
      </c>
      <c r="N8312" s="1" t="s">
        <v>8</v>
      </c>
      <c r="O8312" s="2">
        <v>44583</v>
      </c>
    </row>
    <row r="8313" spans="1:15" ht="43.2" x14ac:dyDescent="0.3">
      <c r="A8313" s="1" t="s">
        <v>19602</v>
      </c>
      <c r="B8313" s="1" t="str">
        <f>"jason davies"</f>
        <v>jason davies</v>
      </c>
      <c r="C8313" s="1" t="s">
        <v>19603</v>
      </c>
      <c r="F8313" s="1" t="s">
        <v>7609</v>
      </c>
      <c r="H8313" s="1" t="s">
        <v>19604</v>
      </c>
      <c r="I8313" s="1" t="s">
        <v>5</v>
      </c>
      <c r="J8313" s="1" t="s">
        <v>67</v>
      </c>
      <c r="K8313" s="1" t="s">
        <v>14</v>
      </c>
      <c r="M8313" s="2">
        <v>42391</v>
      </c>
      <c r="N8313" s="1" t="s">
        <v>8</v>
      </c>
      <c r="O8313" s="1" t="s">
        <v>68</v>
      </c>
    </row>
    <row r="8314" spans="1:15" ht="43.2" x14ac:dyDescent="0.3">
      <c r="A8314" s="1" t="s">
        <v>19605</v>
      </c>
      <c r="B8314" s="1" t="str">
        <f>"pawel onopa"</f>
        <v>pawel onopa</v>
      </c>
      <c r="C8314" s="1" t="s">
        <v>19606</v>
      </c>
      <c r="F8314" s="1" t="s">
        <v>4549</v>
      </c>
      <c r="H8314" s="1" t="s">
        <v>19607</v>
      </c>
      <c r="I8314" s="1" t="s">
        <v>5</v>
      </c>
      <c r="J8314" s="1" t="s">
        <v>67</v>
      </c>
      <c r="K8314" s="1" t="s">
        <v>14</v>
      </c>
      <c r="M8314" s="2">
        <v>42391</v>
      </c>
      <c r="N8314" s="1" t="s">
        <v>8</v>
      </c>
      <c r="O8314" s="1" t="s">
        <v>68</v>
      </c>
    </row>
    <row r="8315" spans="1:15" ht="28.8" x14ac:dyDescent="0.3">
      <c r="A8315" s="1" t="s">
        <v>32293</v>
      </c>
      <c r="B8315" s="1" t="str">
        <f>"Byproduct Services Ltd."</f>
        <v>Byproduct Services Ltd.</v>
      </c>
      <c r="C8315" s="1" t="s">
        <v>32294</v>
      </c>
      <c r="D8315" s="1" t="s">
        <v>32295</v>
      </c>
      <c r="E8315" s="1" t="s">
        <v>14862</v>
      </c>
      <c r="F8315" s="1" t="s">
        <v>532</v>
      </c>
      <c r="G8315" s="1" t="s">
        <v>198</v>
      </c>
      <c r="H8315" s="1" t="s">
        <v>32296</v>
      </c>
      <c r="I8315" s="1" t="s">
        <v>19</v>
      </c>
      <c r="J8315" s="1" t="s">
        <v>6</v>
      </c>
      <c r="K8315" s="1" t="s">
        <v>34</v>
      </c>
      <c r="L8315" s="1">
        <v>4172366</v>
      </c>
      <c r="M8315" s="2">
        <v>42391</v>
      </c>
      <c r="N8315" s="1" t="s">
        <v>8</v>
      </c>
      <c r="O8315" s="2">
        <v>44583</v>
      </c>
    </row>
    <row r="8316" spans="1:15" ht="43.2" x14ac:dyDescent="0.3">
      <c r="A8316" s="1" t="s">
        <v>3457</v>
      </c>
      <c r="B8316" s="1" t="str">
        <f>"Caer Las Cymru"</f>
        <v>Caer Las Cymru</v>
      </c>
      <c r="C8316" s="1" t="s">
        <v>3458</v>
      </c>
      <c r="F8316" s="1" t="s">
        <v>65</v>
      </c>
      <c r="H8316" s="1" t="s">
        <v>3459</v>
      </c>
      <c r="I8316" s="1" t="s">
        <v>1872</v>
      </c>
      <c r="J8316" s="1" t="s">
        <v>67</v>
      </c>
      <c r="K8316" s="1" t="s">
        <v>14</v>
      </c>
      <c r="M8316" s="2">
        <v>42390</v>
      </c>
      <c r="N8316" s="1" t="s">
        <v>8</v>
      </c>
      <c r="O8316" s="1" t="s">
        <v>68</v>
      </c>
    </row>
    <row r="8317" spans="1:15" ht="43.2" x14ac:dyDescent="0.3">
      <c r="A8317" s="1" t="s">
        <v>3460</v>
      </c>
      <c r="B8317" s="1" t="str">
        <f>"Judd Brothers"</f>
        <v>Judd Brothers</v>
      </c>
      <c r="C8317" s="1" t="s">
        <v>3461</v>
      </c>
      <c r="F8317" s="1" t="s">
        <v>205</v>
      </c>
      <c r="H8317" s="1" t="s">
        <v>3462</v>
      </c>
      <c r="I8317" s="1" t="s">
        <v>125</v>
      </c>
      <c r="J8317" s="1" t="s">
        <v>67</v>
      </c>
      <c r="K8317" s="1" t="s">
        <v>14</v>
      </c>
      <c r="M8317" s="2">
        <v>42390</v>
      </c>
      <c r="N8317" s="1" t="s">
        <v>8</v>
      </c>
      <c r="O8317" s="1" t="s">
        <v>68</v>
      </c>
    </row>
    <row r="8318" spans="1:15" ht="43.2" x14ac:dyDescent="0.3">
      <c r="A8318" s="1" t="s">
        <v>3463</v>
      </c>
      <c r="B8318" s="1" t="str">
        <f>"William Jones &amp; Sons"</f>
        <v>William Jones &amp; Sons</v>
      </c>
      <c r="C8318" s="1" t="s">
        <v>3464</v>
      </c>
      <c r="F8318" s="1" t="s">
        <v>3465</v>
      </c>
      <c r="H8318" s="1" t="s">
        <v>3466</v>
      </c>
      <c r="I8318" s="1" t="s">
        <v>125</v>
      </c>
      <c r="J8318" s="1" t="s">
        <v>67</v>
      </c>
      <c r="K8318" s="1" t="s">
        <v>14</v>
      </c>
      <c r="M8318" s="2">
        <v>42390</v>
      </c>
      <c r="N8318" s="1" t="s">
        <v>8</v>
      </c>
      <c r="O8318" s="1" t="s">
        <v>68</v>
      </c>
    </row>
    <row r="8319" spans="1:15" ht="43.2" x14ac:dyDescent="0.3">
      <c r="A8319" s="1" t="s">
        <v>4565</v>
      </c>
      <c r="B8319" s="1" t="str">
        <f>"Tan Lan Bakery Ltd"</f>
        <v>Tan Lan Bakery Ltd</v>
      </c>
      <c r="C8319" s="1" t="s">
        <v>4566</v>
      </c>
      <c r="F8319" s="1" t="s">
        <v>1260</v>
      </c>
      <c r="H8319" s="1" t="s">
        <v>4567</v>
      </c>
      <c r="I8319" s="1" t="s">
        <v>19</v>
      </c>
      <c r="J8319" s="1" t="s">
        <v>67</v>
      </c>
      <c r="K8319" s="1" t="s">
        <v>14</v>
      </c>
      <c r="M8319" s="2">
        <v>42390</v>
      </c>
      <c r="N8319" s="1" t="s">
        <v>8</v>
      </c>
      <c r="O8319" s="1" t="s">
        <v>68</v>
      </c>
    </row>
    <row r="8320" spans="1:15" ht="43.2" x14ac:dyDescent="0.3">
      <c r="A8320" s="1" t="s">
        <v>18748</v>
      </c>
      <c r="B8320" s="1" t="str">
        <f>"Tim Stead"</f>
        <v>Tim Stead</v>
      </c>
      <c r="C8320" s="1" t="s">
        <v>18749</v>
      </c>
      <c r="D8320" s="1" t="s">
        <v>2568</v>
      </c>
      <c r="F8320" s="1" t="s">
        <v>103</v>
      </c>
      <c r="H8320" s="1" t="s">
        <v>2569</v>
      </c>
      <c r="I8320" s="1" t="s">
        <v>5</v>
      </c>
      <c r="J8320" s="1" t="s">
        <v>67</v>
      </c>
      <c r="K8320" s="1" t="s">
        <v>14</v>
      </c>
      <c r="M8320" s="2">
        <v>42390</v>
      </c>
      <c r="N8320" s="1" t="s">
        <v>8</v>
      </c>
      <c r="O8320" s="1" t="s">
        <v>68</v>
      </c>
    </row>
    <row r="8321" spans="1:15" ht="43.2" x14ac:dyDescent="0.3">
      <c r="A8321" s="1" t="s">
        <v>18750</v>
      </c>
      <c r="B8321" s="1" t="str">
        <f>"Fred Williams"</f>
        <v>Fred Williams</v>
      </c>
      <c r="C8321" s="1" t="s">
        <v>18751</v>
      </c>
      <c r="F8321" s="1" t="s">
        <v>37</v>
      </c>
      <c r="H8321" s="1" t="s">
        <v>38</v>
      </c>
      <c r="I8321" s="1" t="s">
        <v>5</v>
      </c>
      <c r="J8321" s="1" t="s">
        <v>67</v>
      </c>
      <c r="K8321" s="1" t="s">
        <v>14</v>
      </c>
      <c r="M8321" s="2">
        <v>42390</v>
      </c>
      <c r="N8321" s="1" t="s">
        <v>8</v>
      </c>
      <c r="O8321" s="1" t="s">
        <v>68</v>
      </c>
    </row>
    <row r="8322" spans="1:15" ht="28.8" x14ac:dyDescent="0.3">
      <c r="A8322" s="1" t="s">
        <v>31303</v>
      </c>
      <c r="B8322" s="1" t="str">
        <f>"A S Construction &amp; Design Ltd"</f>
        <v>A S Construction &amp; Design Ltd</v>
      </c>
      <c r="C8322" s="1" t="s">
        <v>31304</v>
      </c>
      <c r="D8322" s="1" t="s">
        <v>6144</v>
      </c>
      <c r="F8322" s="1" t="s">
        <v>179</v>
      </c>
      <c r="H8322" s="1" t="s">
        <v>31305</v>
      </c>
      <c r="I8322" s="1" t="s">
        <v>19</v>
      </c>
      <c r="J8322" s="1" t="s">
        <v>6</v>
      </c>
      <c r="K8322" s="1" t="s">
        <v>34</v>
      </c>
      <c r="L8322" s="1">
        <v>7749424</v>
      </c>
      <c r="M8322" s="2">
        <v>42390</v>
      </c>
      <c r="N8322" s="1" t="s">
        <v>8</v>
      </c>
      <c r="O8322" s="2">
        <v>44582</v>
      </c>
    </row>
    <row r="8323" spans="1:15" x14ac:dyDescent="0.3">
      <c r="A8323" s="1" t="s">
        <v>0</v>
      </c>
      <c r="B8323" s="1" t="str">
        <f>"John Lloyd Jones"</f>
        <v>John Lloyd Jones</v>
      </c>
      <c r="C8323" s="1" t="s">
        <v>1</v>
      </c>
      <c r="F8323" s="1" t="s">
        <v>2</v>
      </c>
      <c r="G8323" s="1" t="s">
        <v>3</v>
      </c>
      <c r="H8323" s="1" t="s">
        <v>4</v>
      </c>
      <c r="I8323" s="1" t="s">
        <v>5</v>
      </c>
      <c r="J8323" s="1" t="s">
        <v>6</v>
      </c>
      <c r="K8323" s="1" t="s">
        <v>7</v>
      </c>
      <c r="M8323" s="2">
        <v>42389</v>
      </c>
      <c r="N8323" s="1" t="s">
        <v>8</v>
      </c>
      <c r="O8323" s="2">
        <v>44580</v>
      </c>
    </row>
    <row r="8324" spans="1:15" ht="28.8" x14ac:dyDescent="0.3">
      <c r="A8324" s="1" t="s">
        <v>2932</v>
      </c>
      <c r="B8324" s="1" t="str">
        <f>"Kenneth Bartley"</f>
        <v>Kenneth Bartley</v>
      </c>
      <c r="C8324" s="1" t="s">
        <v>2933</v>
      </c>
      <c r="F8324" s="1" t="s">
        <v>1700</v>
      </c>
      <c r="H8324" s="1" t="s">
        <v>2934</v>
      </c>
      <c r="I8324" s="1" t="s">
        <v>5</v>
      </c>
      <c r="J8324" s="1" t="s">
        <v>6</v>
      </c>
      <c r="K8324" s="1" t="s">
        <v>34</v>
      </c>
      <c r="M8324" s="2">
        <v>42389</v>
      </c>
      <c r="N8324" s="1" t="s">
        <v>8</v>
      </c>
      <c r="O8324" s="2">
        <v>44581</v>
      </c>
    </row>
    <row r="8325" spans="1:15" ht="43.2" x14ac:dyDescent="0.3">
      <c r="A8325" s="1" t="s">
        <v>18160</v>
      </c>
      <c r="B8325" s="1" t="str">
        <f>"W.BREWIN &amp; CO.LTD"</f>
        <v>W.BREWIN &amp; CO.LTD</v>
      </c>
      <c r="C8325" s="1" t="s">
        <v>18161</v>
      </c>
      <c r="F8325" s="1" t="s">
        <v>9039</v>
      </c>
      <c r="H8325" s="1" t="s">
        <v>18162</v>
      </c>
      <c r="I8325" s="1" t="s">
        <v>19</v>
      </c>
      <c r="J8325" s="1" t="s">
        <v>67</v>
      </c>
      <c r="K8325" s="1" t="s">
        <v>14</v>
      </c>
      <c r="M8325" s="2">
        <v>42389</v>
      </c>
      <c r="N8325" s="1" t="s">
        <v>8</v>
      </c>
      <c r="O8325" s="1" t="s">
        <v>68</v>
      </c>
    </row>
    <row r="8326" spans="1:15" ht="43.2" x14ac:dyDescent="0.3">
      <c r="A8326" s="1" t="s">
        <v>18163</v>
      </c>
      <c r="B8326" s="1" t="str">
        <f>"THE MILFORD COLLECTION"</f>
        <v>THE MILFORD COLLECTION</v>
      </c>
      <c r="C8326" s="1" t="s">
        <v>18164</v>
      </c>
      <c r="D8326" s="1" t="s">
        <v>2014</v>
      </c>
      <c r="F8326" s="1" t="s">
        <v>445</v>
      </c>
      <c r="H8326" s="1" t="s">
        <v>13284</v>
      </c>
      <c r="I8326" s="1" t="s">
        <v>19</v>
      </c>
      <c r="J8326" s="1" t="s">
        <v>67</v>
      </c>
      <c r="K8326" s="1" t="s">
        <v>14</v>
      </c>
      <c r="M8326" s="2">
        <v>42389</v>
      </c>
      <c r="N8326" s="1" t="s">
        <v>8</v>
      </c>
      <c r="O8326" s="1" t="s">
        <v>68</v>
      </c>
    </row>
    <row r="8327" spans="1:15" ht="43.2" x14ac:dyDescent="0.3">
      <c r="A8327" s="1" t="s">
        <v>29806</v>
      </c>
      <c r="B8327" s="1" t="str">
        <f>"jay Butters"</f>
        <v>jay Butters</v>
      </c>
      <c r="C8327" s="1" t="s">
        <v>29807</v>
      </c>
      <c r="F8327" s="1" t="s">
        <v>20217</v>
      </c>
      <c r="H8327" s="1" t="s">
        <v>29808</v>
      </c>
      <c r="I8327" s="1" t="s">
        <v>5</v>
      </c>
      <c r="J8327" s="1" t="s">
        <v>67</v>
      </c>
      <c r="K8327" s="1" t="s">
        <v>14</v>
      </c>
      <c r="M8327" s="2">
        <v>42389</v>
      </c>
      <c r="N8327" s="1" t="s">
        <v>8</v>
      </c>
      <c r="O8327" s="1" t="s">
        <v>68</v>
      </c>
    </row>
    <row r="8328" spans="1:15" ht="43.2" x14ac:dyDescent="0.3">
      <c r="A8328" s="1" t="s">
        <v>29809</v>
      </c>
      <c r="B8328" s="1" t="str">
        <f>"Kenneth Bartley"</f>
        <v>Kenneth Bartley</v>
      </c>
      <c r="C8328" s="1" t="s">
        <v>2933</v>
      </c>
      <c r="F8328" s="1" t="s">
        <v>1700</v>
      </c>
      <c r="H8328" s="1" t="s">
        <v>2934</v>
      </c>
      <c r="I8328" s="1" t="s">
        <v>5</v>
      </c>
      <c r="J8328" s="1" t="s">
        <v>67</v>
      </c>
      <c r="K8328" s="1" t="s">
        <v>24</v>
      </c>
      <c r="M8328" s="2">
        <v>42389</v>
      </c>
      <c r="N8328" s="1" t="s">
        <v>8</v>
      </c>
      <c r="O8328" s="1" t="s">
        <v>68</v>
      </c>
    </row>
    <row r="8329" spans="1:15" ht="43.2" x14ac:dyDescent="0.3">
      <c r="A8329" s="1" t="s">
        <v>29810</v>
      </c>
      <c r="B8329" s="1" t="str">
        <f>"Richard Frost"</f>
        <v>Richard Frost</v>
      </c>
      <c r="C8329" s="1" t="s">
        <v>29811</v>
      </c>
      <c r="F8329" s="1" t="s">
        <v>174</v>
      </c>
      <c r="H8329" s="1" t="s">
        <v>1006</v>
      </c>
      <c r="I8329" s="1" t="s">
        <v>5</v>
      </c>
      <c r="J8329" s="1" t="s">
        <v>67</v>
      </c>
      <c r="K8329" s="1" t="s">
        <v>14</v>
      </c>
      <c r="M8329" s="2">
        <v>42389</v>
      </c>
      <c r="N8329" s="1" t="s">
        <v>8</v>
      </c>
      <c r="O8329" s="1" t="s">
        <v>68</v>
      </c>
    </row>
    <row r="8330" spans="1:15" ht="43.2" x14ac:dyDescent="0.3">
      <c r="A8330" s="1" t="s">
        <v>29812</v>
      </c>
      <c r="B8330" s="1" t="str">
        <f>"TIM ALEXANDER"</f>
        <v>TIM ALEXANDER</v>
      </c>
      <c r="C8330" s="1" t="s">
        <v>29813</v>
      </c>
      <c r="F8330" s="1" t="s">
        <v>91</v>
      </c>
      <c r="H8330" s="1" t="s">
        <v>29814</v>
      </c>
      <c r="I8330" s="1" t="s">
        <v>5</v>
      </c>
      <c r="J8330" s="1" t="s">
        <v>67</v>
      </c>
      <c r="K8330" s="1" t="s">
        <v>14</v>
      </c>
      <c r="M8330" s="2">
        <v>42389</v>
      </c>
      <c r="N8330" s="1" t="s">
        <v>8</v>
      </c>
      <c r="O8330" s="1" t="s">
        <v>68</v>
      </c>
    </row>
    <row r="8331" spans="1:15" ht="28.8" x14ac:dyDescent="0.3">
      <c r="A8331" s="1" t="s">
        <v>31222</v>
      </c>
      <c r="B8331" s="1" t="str">
        <f>"Jewell Contractors Limited"</f>
        <v>Jewell Contractors Limited</v>
      </c>
      <c r="C8331" s="1" t="s">
        <v>31223</v>
      </c>
      <c r="F8331" s="1" t="s">
        <v>865</v>
      </c>
      <c r="H8331" s="1" t="s">
        <v>31224</v>
      </c>
      <c r="I8331" s="1" t="s">
        <v>19</v>
      </c>
      <c r="J8331" s="1" t="s">
        <v>6</v>
      </c>
      <c r="K8331" s="1" t="s">
        <v>34</v>
      </c>
      <c r="L8331" s="1">
        <v>7800900</v>
      </c>
      <c r="M8331" s="2">
        <v>42388</v>
      </c>
      <c r="N8331" s="1" t="s">
        <v>8</v>
      </c>
      <c r="O8331" s="2">
        <v>44582</v>
      </c>
    </row>
    <row r="8332" spans="1:15" ht="43.2" x14ac:dyDescent="0.3">
      <c r="A8332" s="1" t="s">
        <v>31261</v>
      </c>
      <c r="B8332" s="1" t="str">
        <f>"Nicholas Kerslake HOME AND GARDEN CARE"</f>
        <v>Nicholas Kerslake HOME AND GARDEN CARE</v>
      </c>
      <c r="C8332" s="1" t="s">
        <v>31262</v>
      </c>
      <c r="F8332" s="1" t="s">
        <v>174</v>
      </c>
      <c r="H8332" s="1" t="s">
        <v>21433</v>
      </c>
      <c r="I8332" s="1" t="s">
        <v>5</v>
      </c>
      <c r="J8332" s="1" t="s">
        <v>6</v>
      </c>
      <c r="K8332" s="1" t="s">
        <v>14</v>
      </c>
      <c r="M8332" s="2">
        <v>42388</v>
      </c>
      <c r="N8332" s="1" t="s">
        <v>8</v>
      </c>
      <c r="O8332" s="2">
        <v>44580</v>
      </c>
    </row>
    <row r="8333" spans="1:15" ht="43.2" x14ac:dyDescent="0.3">
      <c r="A8333" s="1" t="s">
        <v>33246</v>
      </c>
      <c r="B8333" s="1" t="str">
        <f>"Gareth Vaughan  ENVIRONMENTAL SERVICES"</f>
        <v>Gareth Vaughan  ENVIRONMENTAL SERVICES</v>
      </c>
      <c r="C8333" s="1" t="s">
        <v>33247</v>
      </c>
      <c r="F8333" s="1" t="s">
        <v>42</v>
      </c>
      <c r="H8333" s="1" t="s">
        <v>33248</v>
      </c>
      <c r="I8333" s="1" t="s">
        <v>5</v>
      </c>
      <c r="J8333" s="1" t="s">
        <v>6</v>
      </c>
      <c r="K8333" s="1" t="s">
        <v>24</v>
      </c>
      <c r="M8333" s="2">
        <v>42388</v>
      </c>
      <c r="N8333" s="1" t="s">
        <v>8</v>
      </c>
      <c r="O8333" s="2">
        <v>44580</v>
      </c>
    </row>
    <row r="8334" spans="1:15" x14ac:dyDescent="0.3">
      <c r="A8334" s="1" t="s">
        <v>33324</v>
      </c>
      <c r="B8334" s="1" t="str">
        <f>"S Rowlands and Sons"</f>
        <v>S Rowlands and Sons</v>
      </c>
      <c r="C8334" s="1" t="s">
        <v>33325</v>
      </c>
      <c r="F8334" s="1" t="s">
        <v>146</v>
      </c>
      <c r="H8334" s="1" t="s">
        <v>33326</v>
      </c>
      <c r="I8334" s="1" t="s">
        <v>125</v>
      </c>
      <c r="J8334" s="1" t="s">
        <v>6</v>
      </c>
      <c r="K8334" s="1" t="s">
        <v>1632</v>
      </c>
      <c r="M8334" s="2">
        <v>42388</v>
      </c>
      <c r="N8334" s="1" t="s">
        <v>8</v>
      </c>
      <c r="O8334" s="2">
        <v>44580</v>
      </c>
    </row>
    <row r="8335" spans="1:15" ht="28.8" x14ac:dyDescent="0.3">
      <c r="A8335" s="1" t="s">
        <v>33345</v>
      </c>
      <c r="B8335" s="1" t="str">
        <f>"CBS Mid Wales LTD"</f>
        <v>CBS Mid Wales LTD</v>
      </c>
      <c r="C8335" s="1" t="s">
        <v>33346</v>
      </c>
      <c r="F8335" s="1" t="s">
        <v>37</v>
      </c>
      <c r="H8335" s="1" t="s">
        <v>33347</v>
      </c>
      <c r="I8335" s="1" t="s">
        <v>19</v>
      </c>
      <c r="J8335" s="1" t="s">
        <v>6</v>
      </c>
      <c r="K8335" s="1" t="s">
        <v>366</v>
      </c>
      <c r="L8335" s="1">
        <v>9710240</v>
      </c>
      <c r="M8335" s="2">
        <v>42388</v>
      </c>
      <c r="N8335" s="1" t="s">
        <v>8</v>
      </c>
      <c r="O8335" s="2">
        <v>44580</v>
      </c>
    </row>
    <row r="8336" spans="1:15" ht="43.2" x14ac:dyDescent="0.3">
      <c r="A8336" s="1" t="s">
        <v>16166</v>
      </c>
      <c r="B8336" s="1" t="str">
        <f>"Ynysboeth Community Primary School"</f>
        <v>Ynysboeth Community Primary School</v>
      </c>
      <c r="C8336" s="1" t="s">
        <v>16167</v>
      </c>
      <c r="F8336" s="1" t="s">
        <v>16099</v>
      </c>
      <c r="H8336" s="1" t="s">
        <v>16168</v>
      </c>
      <c r="I8336" s="1" t="s">
        <v>188</v>
      </c>
      <c r="J8336" s="1" t="s">
        <v>67</v>
      </c>
      <c r="K8336" s="1" t="s">
        <v>14</v>
      </c>
      <c r="M8336" s="2">
        <v>42387</v>
      </c>
      <c r="N8336" s="1" t="s">
        <v>8</v>
      </c>
      <c r="O8336" s="1" t="s">
        <v>68</v>
      </c>
    </row>
    <row r="8337" spans="1:15" ht="43.2" x14ac:dyDescent="0.3">
      <c r="A8337" s="1" t="s">
        <v>16169</v>
      </c>
      <c r="B8337" s="1" t="str">
        <f>"cardiff bay yacht club"</f>
        <v>cardiff bay yacht club</v>
      </c>
      <c r="C8337" s="1" t="s">
        <v>16170</v>
      </c>
      <c r="F8337" s="1" t="s">
        <v>27</v>
      </c>
      <c r="H8337" s="1" t="s">
        <v>1363</v>
      </c>
      <c r="I8337" s="1" t="s">
        <v>19</v>
      </c>
      <c r="J8337" s="1" t="s">
        <v>67</v>
      </c>
      <c r="K8337" s="1" t="s">
        <v>14</v>
      </c>
      <c r="M8337" s="2">
        <v>42387</v>
      </c>
      <c r="N8337" s="1" t="s">
        <v>8</v>
      </c>
      <c r="O8337" s="1" t="s">
        <v>68</v>
      </c>
    </row>
    <row r="8338" spans="1:15" ht="43.2" x14ac:dyDescent="0.3">
      <c r="A8338" s="1" t="s">
        <v>16171</v>
      </c>
      <c r="B8338" s="1" t="str">
        <f>"Textile Recycling (Bridgend) Ltd"</f>
        <v>Textile Recycling (Bridgend) Ltd</v>
      </c>
      <c r="C8338" s="1" t="s">
        <v>16172</v>
      </c>
      <c r="F8338" s="1" t="s">
        <v>179</v>
      </c>
      <c r="H8338" s="1" t="s">
        <v>13070</v>
      </c>
      <c r="I8338" s="1" t="s">
        <v>19</v>
      </c>
      <c r="J8338" s="1" t="s">
        <v>67</v>
      </c>
      <c r="K8338" s="1" t="s">
        <v>14</v>
      </c>
      <c r="M8338" s="2">
        <v>42387</v>
      </c>
      <c r="N8338" s="1" t="s">
        <v>8</v>
      </c>
      <c r="O8338" s="1" t="s">
        <v>68</v>
      </c>
    </row>
    <row r="8339" spans="1:15" ht="43.2" x14ac:dyDescent="0.3">
      <c r="A8339" s="1" t="s">
        <v>16173</v>
      </c>
      <c r="B8339" s="1" t="str">
        <f>"Gwynns Opticians"</f>
        <v>Gwynns Opticians</v>
      </c>
      <c r="C8339" s="1" t="s">
        <v>16174</v>
      </c>
      <c r="F8339" s="1" t="s">
        <v>277</v>
      </c>
      <c r="H8339" s="1" t="s">
        <v>16175</v>
      </c>
      <c r="I8339" s="1" t="s">
        <v>19</v>
      </c>
      <c r="J8339" s="1" t="s">
        <v>67</v>
      </c>
      <c r="K8339" s="1" t="s">
        <v>14</v>
      </c>
      <c r="M8339" s="2">
        <v>42387</v>
      </c>
      <c r="N8339" s="1" t="s">
        <v>8</v>
      </c>
      <c r="O8339" s="1" t="s">
        <v>68</v>
      </c>
    </row>
    <row r="8340" spans="1:15" ht="43.2" x14ac:dyDescent="0.3">
      <c r="A8340" s="1" t="s">
        <v>17135</v>
      </c>
      <c r="B8340" s="1" t="str">
        <f>"fusilier properties ltd"</f>
        <v>fusilier properties ltd</v>
      </c>
      <c r="C8340" s="1" t="s">
        <v>17136</v>
      </c>
      <c r="F8340" s="1" t="s">
        <v>7988</v>
      </c>
      <c r="H8340" s="1" t="s">
        <v>17137</v>
      </c>
      <c r="I8340" s="1" t="s">
        <v>19</v>
      </c>
      <c r="J8340" s="1" t="s">
        <v>67</v>
      </c>
      <c r="K8340" s="1" t="s">
        <v>14</v>
      </c>
      <c r="M8340" s="2">
        <v>42387</v>
      </c>
      <c r="N8340" s="1" t="s">
        <v>8</v>
      </c>
      <c r="O8340" s="1" t="s">
        <v>68</v>
      </c>
    </row>
    <row r="8341" spans="1:15" ht="43.2" x14ac:dyDescent="0.3">
      <c r="A8341" s="1" t="s">
        <v>17138</v>
      </c>
      <c r="B8341" s="1" t="str">
        <f>"Welsh Blood Service "</f>
        <v xml:space="preserve">Welsh Blood Service </v>
      </c>
      <c r="C8341" s="1" t="s">
        <v>17139</v>
      </c>
      <c r="D8341" s="1" t="s">
        <v>17140</v>
      </c>
      <c r="F8341" s="1" t="s">
        <v>532</v>
      </c>
      <c r="H8341" s="1" t="s">
        <v>17141</v>
      </c>
      <c r="I8341" s="1" t="s">
        <v>188</v>
      </c>
      <c r="J8341" s="1" t="s">
        <v>67</v>
      </c>
      <c r="K8341" s="1" t="s">
        <v>14</v>
      </c>
      <c r="M8341" s="2">
        <v>42387</v>
      </c>
      <c r="N8341" s="1" t="s">
        <v>8</v>
      </c>
      <c r="O8341" s="1" t="s">
        <v>68</v>
      </c>
    </row>
    <row r="8342" spans="1:15" ht="43.2" x14ac:dyDescent="0.3">
      <c r="A8342" s="1" t="s">
        <v>28304</v>
      </c>
      <c r="B8342" s="1" t="str">
        <f>"Mark Rimmer"</f>
        <v>Mark Rimmer</v>
      </c>
      <c r="C8342" s="1" t="s">
        <v>28305</v>
      </c>
      <c r="F8342" s="1" t="s">
        <v>37</v>
      </c>
      <c r="H8342" s="1" t="s">
        <v>28306</v>
      </c>
      <c r="I8342" s="1" t="s">
        <v>5</v>
      </c>
      <c r="J8342" s="1" t="s">
        <v>67</v>
      </c>
      <c r="K8342" s="1" t="s">
        <v>14</v>
      </c>
      <c r="M8342" s="2">
        <v>42387</v>
      </c>
      <c r="N8342" s="1" t="s">
        <v>8</v>
      </c>
      <c r="O8342" s="1" t="s">
        <v>68</v>
      </c>
    </row>
    <row r="8343" spans="1:15" ht="28.8" x14ac:dyDescent="0.3">
      <c r="A8343" s="1" t="s">
        <v>748</v>
      </c>
      <c r="B8343" s="1" t="str">
        <f>"Leighton Rees LJ Rees"</f>
        <v>Leighton Rees LJ Rees</v>
      </c>
      <c r="C8343" s="1" t="s">
        <v>749</v>
      </c>
      <c r="D8343" s="1" t="s">
        <v>750</v>
      </c>
      <c r="F8343" s="1" t="s">
        <v>174</v>
      </c>
      <c r="H8343" s="1" t="s">
        <v>751</v>
      </c>
      <c r="I8343" s="1" t="s">
        <v>5</v>
      </c>
      <c r="J8343" s="1" t="s">
        <v>6</v>
      </c>
      <c r="K8343" s="1" t="s">
        <v>34</v>
      </c>
      <c r="M8343" s="2">
        <v>42384</v>
      </c>
      <c r="N8343" s="1" t="s">
        <v>8</v>
      </c>
      <c r="O8343" s="2">
        <v>44576</v>
      </c>
    </row>
    <row r="8344" spans="1:15" ht="43.2" x14ac:dyDescent="0.3">
      <c r="A8344" s="1" t="s">
        <v>2904</v>
      </c>
      <c r="B8344" s="1" t="str">
        <f>"Certus Construction Ltd"</f>
        <v>Certus Construction Ltd</v>
      </c>
      <c r="C8344" s="1" t="s">
        <v>2905</v>
      </c>
      <c r="F8344" s="1" t="s">
        <v>2906</v>
      </c>
      <c r="H8344" s="1" t="s">
        <v>2907</v>
      </c>
      <c r="I8344" s="1" t="s">
        <v>19</v>
      </c>
      <c r="J8344" s="1" t="s">
        <v>6</v>
      </c>
      <c r="K8344" s="1" t="s">
        <v>34</v>
      </c>
      <c r="L8344" s="1">
        <v>8519702</v>
      </c>
      <c r="M8344" s="2">
        <v>42384</v>
      </c>
      <c r="N8344" s="1" t="s">
        <v>8</v>
      </c>
      <c r="O8344" s="2">
        <v>44576</v>
      </c>
    </row>
    <row r="8345" spans="1:15" ht="43.2" x14ac:dyDescent="0.3">
      <c r="A8345" s="1" t="s">
        <v>2996</v>
      </c>
      <c r="B8345" s="1" t="str">
        <f>"G.K. EVANS ELECTRICAL CONTRACTORS LTD"</f>
        <v>G.K. EVANS ELECTRICAL CONTRACTORS LTD</v>
      </c>
      <c r="C8345" s="1" t="s">
        <v>2997</v>
      </c>
      <c r="F8345" s="1" t="s">
        <v>374</v>
      </c>
      <c r="H8345" s="1" t="s">
        <v>2998</v>
      </c>
      <c r="I8345" s="1" t="s">
        <v>19</v>
      </c>
      <c r="J8345" s="1" t="s">
        <v>6</v>
      </c>
      <c r="K8345" s="1" t="s">
        <v>24</v>
      </c>
      <c r="L8345" s="1">
        <v>2186523</v>
      </c>
      <c r="M8345" s="2">
        <v>42384</v>
      </c>
      <c r="N8345" s="1" t="s">
        <v>8</v>
      </c>
      <c r="O8345" s="2">
        <v>44576</v>
      </c>
    </row>
    <row r="8346" spans="1:15" ht="28.8" x14ac:dyDescent="0.3">
      <c r="A8346" s="1" t="s">
        <v>3057</v>
      </c>
      <c r="B8346" s="1" t="str">
        <f>"Phoenix Metals &amp; Demolition Ltd."</f>
        <v>Phoenix Metals &amp; Demolition Ltd.</v>
      </c>
      <c r="C8346" s="1" t="s">
        <v>3058</v>
      </c>
      <c r="F8346" s="1" t="s">
        <v>119</v>
      </c>
      <c r="H8346" s="1" t="s">
        <v>3059</v>
      </c>
      <c r="I8346" s="1" t="s">
        <v>19</v>
      </c>
      <c r="J8346" s="1" t="s">
        <v>6</v>
      </c>
      <c r="K8346" s="1" t="s">
        <v>24</v>
      </c>
      <c r="L8346" s="1">
        <v>5930951</v>
      </c>
      <c r="M8346" s="2">
        <v>42384</v>
      </c>
      <c r="N8346" s="1" t="s">
        <v>8</v>
      </c>
      <c r="O8346" s="2">
        <v>44576</v>
      </c>
    </row>
    <row r="8347" spans="1:15" ht="43.2" x14ac:dyDescent="0.3">
      <c r="A8347" s="1" t="s">
        <v>15178</v>
      </c>
      <c r="B8347" s="1" t="str">
        <f>"BEECHWOOD BED CENTRE LTD"</f>
        <v>BEECHWOOD BED CENTRE LTD</v>
      </c>
      <c r="C8347" s="1" t="s">
        <v>15179</v>
      </c>
      <c r="F8347" s="1" t="s">
        <v>91</v>
      </c>
      <c r="H8347" s="1" t="s">
        <v>15180</v>
      </c>
      <c r="I8347" s="1" t="s">
        <v>19</v>
      </c>
      <c r="J8347" s="1" t="s">
        <v>67</v>
      </c>
      <c r="K8347" s="1" t="s">
        <v>24</v>
      </c>
      <c r="L8347" s="1">
        <v>1403168</v>
      </c>
      <c r="M8347" s="2">
        <v>42384</v>
      </c>
      <c r="N8347" s="1" t="s">
        <v>8</v>
      </c>
      <c r="O8347" s="1" t="s">
        <v>68</v>
      </c>
    </row>
    <row r="8348" spans="1:15" ht="43.2" x14ac:dyDescent="0.3">
      <c r="A8348" s="1" t="s">
        <v>16163</v>
      </c>
      <c r="B8348" s="1" t="str">
        <f>"E. Jones &amp; Sons(Denbigh) Ltd."</f>
        <v>E. Jones &amp; Sons(Denbigh) Ltd.</v>
      </c>
      <c r="C8348" s="1" t="s">
        <v>16164</v>
      </c>
      <c r="F8348" s="1" t="s">
        <v>1169</v>
      </c>
      <c r="H8348" s="1" t="s">
        <v>16165</v>
      </c>
      <c r="I8348" s="1" t="s">
        <v>19</v>
      </c>
      <c r="J8348" s="1" t="s">
        <v>67</v>
      </c>
      <c r="K8348" s="1" t="s">
        <v>14</v>
      </c>
      <c r="M8348" s="2">
        <v>42384</v>
      </c>
      <c r="N8348" s="1" t="s">
        <v>8</v>
      </c>
      <c r="O8348" s="1" t="s">
        <v>68</v>
      </c>
    </row>
    <row r="8349" spans="1:15" ht="43.2" x14ac:dyDescent="0.3">
      <c r="A8349" s="1" t="s">
        <v>27530</v>
      </c>
      <c r="B8349" s="1" t="str">
        <f>"Martyn Hopkins"</f>
        <v>Martyn Hopkins</v>
      </c>
      <c r="C8349" s="1" t="s">
        <v>27531</v>
      </c>
      <c r="F8349" s="1" t="s">
        <v>1556</v>
      </c>
      <c r="H8349" s="1" t="s">
        <v>27532</v>
      </c>
      <c r="I8349" s="1" t="s">
        <v>5</v>
      </c>
      <c r="J8349" s="1" t="s">
        <v>67</v>
      </c>
      <c r="K8349" s="1" t="s">
        <v>14</v>
      </c>
      <c r="M8349" s="2">
        <v>42384</v>
      </c>
      <c r="N8349" s="1" t="s">
        <v>8</v>
      </c>
      <c r="O8349" s="1" t="s">
        <v>68</v>
      </c>
    </row>
    <row r="8350" spans="1:15" ht="28.8" x14ac:dyDescent="0.3">
      <c r="A8350" s="1" t="s">
        <v>32172</v>
      </c>
      <c r="B8350" s="1" t="str">
        <f>"HEATFORCE (WALES) LTD"</f>
        <v>HEATFORCE (WALES) LTD</v>
      </c>
      <c r="C8350" s="1" t="s">
        <v>32173</v>
      </c>
      <c r="D8350" s="1" t="s">
        <v>32174</v>
      </c>
      <c r="E8350" s="1" t="s">
        <v>1042</v>
      </c>
      <c r="F8350" s="1" t="s">
        <v>27</v>
      </c>
      <c r="H8350" s="1" t="s">
        <v>32175</v>
      </c>
      <c r="I8350" s="1" t="s">
        <v>19</v>
      </c>
      <c r="J8350" s="1" t="s">
        <v>6</v>
      </c>
      <c r="K8350" s="1" t="s">
        <v>24</v>
      </c>
      <c r="L8350" s="1">
        <v>4261333</v>
      </c>
      <c r="M8350" s="2">
        <v>42384</v>
      </c>
      <c r="N8350" s="1" t="s">
        <v>8</v>
      </c>
      <c r="O8350" s="2">
        <v>44576</v>
      </c>
    </row>
    <row r="8351" spans="1:15" ht="43.2" x14ac:dyDescent="0.3">
      <c r="A8351" s="1" t="s">
        <v>33151</v>
      </c>
      <c r="B8351" s="1" t="str">
        <f>"Kingfisher Developments Wales Ltd"</f>
        <v>Kingfisher Developments Wales Ltd</v>
      </c>
      <c r="C8351" s="1" t="s">
        <v>13857</v>
      </c>
      <c r="F8351" s="1" t="s">
        <v>504</v>
      </c>
      <c r="H8351" s="1" t="s">
        <v>13858</v>
      </c>
      <c r="I8351" s="1" t="s">
        <v>19</v>
      </c>
      <c r="J8351" s="1" t="s">
        <v>6</v>
      </c>
      <c r="K8351" s="1" t="s">
        <v>34</v>
      </c>
      <c r="L8351" s="1">
        <v>2566209</v>
      </c>
      <c r="M8351" s="2">
        <v>42384</v>
      </c>
      <c r="N8351" s="1" t="s">
        <v>8</v>
      </c>
      <c r="O8351" s="2">
        <v>44575</v>
      </c>
    </row>
    <row r="8352" spans="1:15" ht="28.8" x14ac:dyDescent="0.3">
      <c r="A8352" s="1" t="s">
        <v>33176</v>
      </c>
      <c r="B8352" s="1" t="str">
        <f>"Brooks Haulage Ltd."</f>
        <v>Brooks Haulage Ltd.</v>
      </c>
      <c r="C8352" s="1" t="s">
        <v>27287</v>
      </c>
      <c r="D8352" s="1" t="s">
        <v>8016</v>
      </c>
      <c r="F8352" s="1" t="s">
        <v>607</v>
      </c>
      <c r="H8352" s="1" t="s">
        <v>12791</v>
      </c>
      <c r="I8352" s="1" t="s">
        <v>19</v>
      </c>
      <c r="J8352" s="1" t="s">
        <v>6</v>
      </c>
      <c r="K8352" s="1" t="s">
        <v>34</v>
      </c>
      <c r="L8352" s="1">
        <v>3907526</v>
      </c>
      <c r="M8352" s="2">
        <v>42384</v>
      </c>
      <c r="N8352" s="1" t="s">
        <v>8</v>
      </c>
      <c r="O8352" s="2">
        <v>44576</v>
      </c>
    </row>
    <row r="8353" spans="1:15" ht="28.8" x14ac:dyDescent="0.3">
      <c r="A8353" s="1" t="s">
        <v>2967</v>
      </c>
      <c r="B8353" s="1" t="str">
        <f>"Kevin Perry Perry's Scrap &amp; Clearance"</f>
        <v>Kevin Perry Perry's Scrap &amp; Clearance</v>
      </c>
      <c r="C8353" s="1" t="s">
        <v>2968</v>
      </c>
      <c r="F8353" s="1" t="s">
        <v>508</v>
      </c>
      <c r="H8353" s="1" t="s">
        <v>2969</v>
      </c>
      <c r="I8353" s="1" t="s">
        <v>5</v>
      </c>
      <c r="J8353" s="1" t="s">
        <v>6</v>
      </c>
      <c r="K8353" s="1" t="s">
        <v>24</v>
      </c>
      <c r="M8353" s="2">
        <v>42383</v>
      </c>
      <c r="N8353" s="1" t="s">
        <v>8</v>
      </c>
      <c r="O8353" s="2">
        <v>44575</v>
      </c>
    </row>
    <row r="8354" spans="1:15" ht="28.8" x14ac:dyDescent="0.3">
      <c r="A8354" s="1" t="s">
        <v>3054</v>
      </c>
      <c r="B8354" s="1" t="str">
        <f>"A.J.T Builders Ltd"</f>
        <v>A.J.T Builders Ltd</v>
      </c>
      <c r="C8354" s="1" t="s">
        <v>3055</v>
      </c>
      <c r="F8354" s="1" t="s">
        <v>865</v>
      </c>
      <c r="H8354" s="1" t="s">
        <v>3056</v>
      </c>
      <c r="I8354" s="1" t="s">
        <v>19</v>
      </c>
      <c r="J8354" s="1" t="s">
        <v>6</v>
      </c>
      <c r="K8354" s="1" t="s">
        <v>24</v>
      </c>
      <c r="L8354" s="1">
        <v>8268388</v>
      </c>
      <c r="M8354" s="2">
        <v>42383</v>
      </c>
      <c r="N8354" s="1" t="s">
        <v>8</v>
      </c>
      <c r="O8354" s="2">
        <v>44575</v>
      </c>
    </row>
    <row r="8355" spans="1:15" ht="43.2" x14ac:dyDescent="0.3">
      <c r="A8355" s="1" t="s">
        <v>14274</v>
      </c>
      <c r="B8355" s="1" t="str">
        <f>"CETMA"</f>
        <v>CETMA</v>
      </c>
      <c r="C8355" s="1" t="s">
        <v>14275</v>
      </c>
      <c r="D8355" s="1" t="s">
        <v>14276</v>
      </c>
      <c r="F8355" s="1" t="s">
        <v>42</v>
      </c>
      <c r="H8355" s="1" t="s">
        <v>3420</v>
      </c>
      <c r="I8355" s="1" t="s">
        <v>1872</v>
      </c>
      <c r="J8355" s="1" t="s">
        <v>67</v>
      </c>
      <c r="K8355" s="1" t="s">
        <v>14</v>
      </c>
      <c r="M8355" s="2">
        <v>42383</v>
      </c>
      <c r="N8355" s="1" t="s">
        <v>8</v>
      </c>
      <c r="O8355" s="1" t="s">
        <v>68</v>
      </c>
    </row>
    <row r="8356" spans="1:15" ht="43.2" x14ac:dyDescent="0.3">
      <c r="A8356" s="1" t="s">
        <v>14277</v>
      </c>
      <c r="B8356" s="1" t="str">
        <f>"Eclipse Landscaping &amp; Prop Main Ltd"</f>
        <v>Eclipse Landscaping &amp; Prop Main Ltd</v>
      </c>
      <c r="C8356" s="1" t="s">
        <v>14278</v>
      </c>
      <c r="F8356" s="1" t="s">
        <v>198</v>
      </c>
      <c r="H8356" s="1" t="s">
        <v>14279</v>
      </c>
      <c r="I8356" s="1" t="s">
        <v>19</v>
      </c>
      <c r="J8356" s="1" t="s">
        <v>67</v>
      </c>
      <c r="K8356" s="1" t="s">
        <v>34</v>
      </c>
      <c r="L8356" s="1">
        <v>9642353</v>
      </c>
      <c r="M8356" s="2">
        <v>42383</v>
      </c>
      <c r="N8356" s="1" t="s">
        <v>8</v>
      </c>
      <c r="O8356" s="1" t="s">
        <v>68</v>
      </c>
    </row>
    <row r="8357" spans="1:15" ht="43.2" x14ac:dyDescent="0.3">
      <c r="A8357" s="1" t="s">
        <v>26650</v>
      </c>
      <c r="B8357" s="1" t="str">
        <f>"aston heath"</f>
        <v>aston heath</v>
      </c>
      <c r="C8357" s="1" t="s">
        <v>26651</v>
      </c>
      <c r="F8357" s="1" t="s">
        <v>2</v>
      </c>
      <c r="H8357" s="1" t="s">
        <v>26652</v>
      </c>
      <c r="I8357" s="1" t="s">
        <v>5</v>
      </c>
      <c r="J8357" s="1" t="s">
        <v>67</v>
      </c>
      <c r="K8357" s="1" t="s">
        <v>14</v>
      </c>
      <c r="M8357" s="2">
        <v>42383</v>
      </c>
      <c r="N8357" s="1" t="s">
        <v>8</v>
      </c>
      <c r="O8357" s="1" t="s">
        <v>68</v>
      </c>
    </row>
    <row r="8358" spans="1:15" ht="43.2" x14ac:dyDescent="0.3">
      <c r="A8358" s="1" t="s">
        <v>27520</v>
      </c>
      <c r="B8358" s="1" t="str">
        <f>"Simon Ellis"</f>
        <v>Simon Ellis</v>
      </c>
      <c r="C8358" s="1" t="s">
        <v>27521</v>
      </c>
      <c r="D8358" s="1" t="s">
        <v>27522</v>
      </c>
      <c r="F8358" s="1" t="s">
        <v>96</v>
      </c>
      <c r="H8358" s="1" t="s">
        <v>27523</v>
      </c>
      <c r="I8358" s="1" t="s">
        <v>5</v>
      </c>
      <c r="J8358" s="1" t="s">
        <v>67</v>
      </c>
      <c r="K8358" s="1" t="s">
        <v>14</v>
      </c>
      <c r="M8358" s="2">
        <v>42383</v>
      </c>
      <c r="N8358" s="1" t="s">
        <v>8</v>
      </c>
      <c r="O8358" s="1" t="s">
        <v>68</v>
      </c>
    </row>
    <row r="8359" spans="1:15" ht="43.2" x14ac:dyDescent="0.3">
      <c r="A8359" s="1" t="s">
        <v>27524</v>
      </c>
      <c r="B8359" s="1" t="str">
        <f>"Robert Morgan"</f>
        <v>Robert Morgan</v>
      </c>
      <c r="C8359" s="1" t="s">
        <v>27525</v>
      </c>
      <c r="F8359" s="1" t="s">
        <v>198</v>
      </c>
      <c r="H8359" s="1" t="s">
        <v>27526</v>
      </c>
      <c r="I8359" s="1" t="s">
        <v>5</v>
      </c>
      <c r="J8359" s="1" t="s">
        <v>67</v>
      </c>
      <c r="K8359" s="1" t="s">
        <v>14</v>
      </c>
      <c r="M8359" s="2">
        <v>42383</v>
      </c>
      <c r="N8359" s="1" t="s">
        <v>8</v>
      </c>
      <c r="O8359" s="1" t="s">
        <v>68</v>
      </c>
    </row>
    <row r="8360" spans="1:15" ht="43.2" x14ac:dyDescent="0.3">
      <c r="A8360" s="1" t="s">
        <v>27527</v>
      </c>
      <c r="B8360" s="1" t="str">
        <f>"Paul Matthews"</f>
        <v>Paul Matthews</v>
      </c>
      <c r="C8360" s="1" t="s">
        <v>27528</v>
      </c>
      <c r="F8360" s="1" t="s">
        <v>445</v>
      </c>
      <c r="H8360" s="1" t="s">
        <v>27529</v>
      </c>
      <c r="I8360" s="1" t="s">
        <v>5</v>
      </c>
      <c r="J8360" s="1" t="s">
        <v>67</v>
      </c>
      <c r="K8360" s="1" t="s">
        <v>14</v>
      </c>
      <c r="M8360" s="2">
        <v>42383</v>
      </c>
      <c r="N8360" s="1" t="s">
        <v>8</v>
      </c>
      <c r="O8360" s="1" t="s">
        <v>68</v>
      </c>
    </row>
    <row r="8361" spans="1:15" ht="28.8" x14ac:dyDescent="0.3">
      <c r="A8361" s="1" t="s">
        <v>32275</v>
      </c>
      <c r="B8361" s="1" t="str">
        <f>"N V R Services Ltd"</f>
        <v>N V R Services Ltd</v>
      </c>
      <c r="C8361" s="1" t="s">
        <v>32276</v>
      </c>
      <c r="D8361" s="1" t="s">
        <v>32277</v>
      </c>
      <c r="F8361" s="1" t="s">
        <v>22</v>
      </c>
      <c r="G8361" s="1" t="s">
        <v>141</v>
      </c>
      <c r="H8361" s="1" t="s">
        <v>32278</v>
      </c>
      <c r="I8361" s="1" t="s">
        <v>19</v>
      </c>
      <c r="J8361" s="1" t="s">
        <v>6</v>
      </c>
      <c r="K8361" s="1" t="s">
        <v>14</v>
      </c>
      <c r="L8361" s="1">
        <v>5882083</v>
      </c>
      <c r="M8361" s="2">
        <v>42383</v>
      </c>
      <c r="N8361" s="1" t="s">
        <v>8</v>
      </c>
      <c r="O8361" s="2">
        <v>44574</v>
      </c>
    </row>
    <row r="8362" spans="1:15" ht="28.8" x14ac:dyDescent="0.3">
      <c r="A8362" s="1" t="s">
        <v>33180</v>
      </c>
      <c r="B8362" s="1" t="str">
        <f>"Terry Mahoney Traffic Services Ltd."</f>
        <v>Terry Mahoney Traffic Services Ltd.</v>
      </c>
      <c r="C8362" s="1" t="s">
        <v>33181</v>
      </c>
      <c r="F8362" s="1" t="s">
        <v>380</v>
      </c>
      <c r="H8362" s="1" t="s">
        <v>9944</v>
      </c>
      <c r="I8362" s="1" t="s">
        <v>19</v>
      </c>
      <c r="J8362" s="1" t="s">
        <v>6</v>
      </c>
      <c r="K8362" s="1" t="s">
        <v>1859</v>
      </c>
      <c r="L8362" s="1">
        <v>4205541</v>
      </c>
      <c r="M8362" s="2">
        <v>42383</v>
      </c>
      <c r="N8362" s="1" t="s">
        <v>8</v>
      </c>
      <c r="O8362" s="2">
        <v>44575</v>
      </c>
    </row>
    <row r="8363" spans="1:15" ht="43.2" x14ac:dyDescent="0.3">
      <c r="A8363" s="1" t="s">
        <v>2955</v>
      </c>
      <c r="B8363" s="1" t="str">
        <f>"PEARCE ELITE PLUMBING &amp; HEATING LTD"</f>
        <v>PEARCE ELITE PLUMBING &amp; HEATING LTD</v>
      </c>
      <c r="C8363" s="1" t="s">
        <v>2956</v>
      </c>
      <c r="D8363" s="1" t="s">
        <v>2117</v>
      </c>
      <c r="F8363" s="1" t="s">
        <v>179</v>
      </c>
      <c r="H8363" s="1" t="s">
        <v>2957</v>
      </c>
      <c r="I8363" s="1" t="s">
        <v>19</v>
      </c>
      <c r="J8363" s="1" t="s">
        <v>6</v>
      </c>
      <c r="K8363" s="1" t="s">
        <v>34</v>
      </c>
      <c r="L8363" s="1">
        <v>6690709</v>
      </c>
      <c r="M8363" s="2">
        <v>42382</v>
      </c>
      <c r="N8363" s="1" t="s">
        <v>8</v>
      </c>
      <c r="O8363" s="2">
        <v>44574</v>
      </c>
    </row>
    <row r="8364" spans="1:15" ht="28.8" x14ac:dyDescent="0.3">
      <c r="A8364" s="1" t="s">
        <v>2999</v>
      </c>
      <c r="B8364" s="1" t="str">
        <f>"NATIONWIDE WASTE SOLUTIONS LIMITED"</f>
        <v>NATIONWIDE WASTE SOLUTIONS LIMITED</v>
      </c>
      <c r="C8364" s="1" t="s">
        <v>3000</v>
      </c>
      <c r="D8364" s="1" t="s">
        <v>1174</v>
      </c>
      <c r="F8364" s="1" t="s">
        <v>1175</v>
      </c>
      <c r="H8364" s="1" t="s">
        <v>3001</v>
      </c>
      <c r="I8364" s="1" t="s">
        <v>19</v>
      </c>
      <c r="J8364" s="1" t="s">
        <v>6</v>
      </c>
      <c r="K8364" s="1" t="s">
        <v>34</v>
      </c>
      <c r="L8364" s="1">
        <v>8363798</v>
      </c>
      <c r="M8364" s="2">
        <v>42382</v>
      </c>
      <c r="N8364" s="1" t="s">
        <v>8</v>
      </c>
      <c r="O8364" s="2">
        <v>44574</v>
      </c>
    </row>
    <row r="8365" spans="1:15" ht="43.2" x14ac:dyDescent="0.3">
      <c r="A8365" s="1" t="s">
        <v>13373</v>
      </c>
      <c r="B8365" s="1" t="str">
        <f>"Autumn 2 Summer Ltd"</f>
        <v>Autumn 2 Summer Ltd</v>
      </c>
      <c r="C8365" s="1" t="s">
        <v>13374</v>
      </c>
      <c r="F8365" s="1" t="s">
        <v>219</v>
      </c>
      <c r="H8365" s="1" t="s">
        <v>13375</v>
      </c>
      <c r="I8365" s="1" t="s">
        <v>19</v>
      </c>
      <c r="J8365" s="1" t="s">
        <v>67</v>
      </c>
      <c r="K8365" s="1" t="s">
        <v>14</v>
      </c>
      <c r="M8365" s="2">
        <v>42382</v>
      </c>
      <c r="N8365" s="1" t="s">
        <v>8</v>
      </c>
      <c r="O8365" s="1" t="s">
        <v>68</v>
      </c>
    </row>
    <row r="8366" spans="1:15" ht="43.2" x14ac:dyDescent="0.3">
      <c r="A8366" s="1" t="s">
        <v>13376</v>
      </c>
      <c r="B8366" s="1" t="str">
        <f>"Actionsmart Environmental Ltd."</f>
        <v>Actionsmart Environmental Ltd.</v>
      </c>
      <c r="C8366" s="1" t="s">
        <v>13377</v>
      </c>
      <c r="D8366" s="1" t="s">
        <v>1247</v>
      </c>
      <c r="E8366" s="1" t="s">
        <v>400</v>
      </c>
      <c r="F8366" s="1" t="s">
        <v>401</v>
      </c>
      <c r="H8366" s="1" t="s">
        <v>1732</v>
      </c>
      <c r="I8366" s="1" t="s">
        <v>19</v>
      </c>
      <c r="J8366" s="1" t="s">
        <v>67</v>
      </c>
      <c r="K8366" s="1" t="s">
        <v>24</v>
      </c>
      <c r="L8366" s="1">
        <v>5022934</v>
      </c>
      <c r="M8366" s="2">
        <v>42382</v>
      </c>
      <c r="N8366" s="1" t="s">
        <v>8</v>
      </c>
      <c r="O8366" s="1" t="s">
        <v>68</v>
      </c>
    </row>
    <row r="8367" spans="1:15" ht="43.2" x14ac:dyDescent="0.3">
      <c r="A8367" s="1" t="s">
        <v>13378</v>
      </c>
      <c r="B8367" s="1" t="str">
        <f>"penny and giles"</f>
        <v>penny and giles</v>
      </c>
      <c r="C8367" s="1" t="s">
        <v>13379</v>
      </c>
      <c r="D8367" s="1" t="s">
        <v>13380</v>
      </c>
      <c r="E8367" s="1" t="s">
        <v>13381</v>
      </c>
      <c r="F8367" s="1" t="s">
        <v>91</v>
      </c>
      <c r="H8367" s="1" t="s">
        <v>13382</v>
      </c>
      <c r="I8367" s="1" t="s">
        <v>19</v>
      </c>
      <c r="J8367" s="1" t="s">
        <v>67</v>
      </c>
      <c r="K8367" s="1" t="s">
        <v>14</v>
      </c>
      <c r="M8367" s="2">
        <v>42382</v>
      </c>
      <c r="N8367" s="1" t="s">
        <v>8</v>
      </c>
      <c r="O8367" s="1" t="s">
        <v>68</v>
      </c>
    </row>
    <row r="8368" spans="1:15" ht="43.2" x14ac:dyDescent="0.3">
      <c r="A8368" s="1" t="s">
        <v>25916</v>
      </c>
      <c r="B8368" s="1" t="str">
        <f>"Santhosh Mathew"</f>
        <v>Santhosh Mathew</v>
      </c>
      <c r="C8368" s="1" t="s">
        <v>25917</v>
      </c>
      <c r="F8368" s="1" t="s">
        <v>65</v>
      </c>
      <c r="H8368" s="1" t="s">
        <v>25918</v>
      </c>
      <c r="I8368" s="1" t="s">
        <v>5</v>
      </c>
      <c r="J8368" s="1" t="s">
        <v>67</v>
      </c>
      <c r="K8368" s="1" t="s">
        <v>14</v>
      </c>
      <c r="M8368" s="2">
        <v>42382</v>
      </c>
      <c r="N8368" s="1" t="s">
        <v>8</v>
      </c>
      <c r="O8368" s="1" t="s">
        <v>68</v>
      </c>
    </row>
    <row r="8369" spans="1:15" ht="28.8" x14ac:dyDescent="0.3">
      <c r="A8369" s="1" t="s">
        <v>31218</v>
      </c>
      <c r="B8369" s="1" t="str">
        <f>"Richard Morgan (Contractors) Ltd."</f>
        <v>Richard Morgan (Contractors) Ltd.</v>
      </c>
      <c r="C8369" s="1" t="s">
        <v>31219</v>
      </c>
      <c r="D8369" s="1" t="s">
        <v>31220</v>
      </c>
      <c r="F8369" s="1" t="s">
        <v>32</v>
      </c>
      <c r="G8369" s="1" t="s">
        <v>109</v>
      </c>
      <c r="H8369" s="1" t="s">
        <v>31221</v>
      </c>
      <c r="I8369" s="1" t="s">
        <v>19</v>
      </c>
      <c r="J8369" s="1" t="s">
        <v>6</v>
      </c>
      <c r="K8369" s="1" t="s">
        <v>24</v>
      </c>
      <c r="L8369" s="1">
        <v>3161657</v>
      </c>
      <c r="M8369" s="2">
        <v>42382</v>
      </c>
      <c r="N8369" s="1" t="s">
        <v>8</v>
      </c>
      <c r="O8369" s="2">
        <v>44574</v>
      </c>
    </row>
    <row r="8370" spans="1:15" ht="28.8" x14ac:dyDescent="0.3">
      <c r="A8370" s="1" t="s">
        <v>32169</v>
      </c>
      <c r="B8370" s="1" t="str">
        <f>"David Griffiths David Griffiths"</f>
        <v>David Griffiths David Griffiths</v>
      </c>
      <c r="C8370" s="1" t="s">
        <v>32170</v>
      </c>
      <c r="D8370" s="1" t="s">
        <v>710</v>
      </c>
      <c r="F8370" s="1" t="s">
        <v>3</v>
      </c>
      <c r="H8370" s="1" t="s">
        <v>32171</v>
      </c>
      <c r="I8370" s="1" t="s">
        <v>5</v>
      </c>
      <c r="J8370" s="1" t="s">
        <v>6</v>
      </c>
      <c r="K8370" s="1" t="s">
        <v>24</v>
      </c>
      <c r="M8370" s="2">
        <v>42382</v>
      </c>
      <c r="N8370" s="1" t="s">
        <v>8</v>
      </c>
      <c r="O8370" s="2">
        <v>44574</v>
      </c>
    </row>
    <row r="8371" spans="1:15" ht="43.2" x14ac:dyDescent="0.3">
      <c r="A8371" s="1" t="s">
        <v>25911</v>
      </c>
      <c r="B8371" s="1" t="str">
        <f>"JULIE WARNER"</f>
        <v>JULIE WARNER</v>
      </c>
      <c r="C8371" s="1" t="s">
        <v>25912</v>
      </c>
      <c r="F8371" s="1" t="s">
        <v>42</v>
      </c>
      <c r="H8371" s="1" t="s">
        <v>9108</v>
      </c>
      <c r="I8371" s="1" t="s">
        <v>5</v>
      </c>
      <c r="J8371" s="1" t="s">
        <v>67</v>
      </c>
      <c r="K8371" s="1" t="s">
        <v>14</v>
      </c>
      <c r="M8371" s="2">
        <v>42381</v>
      </c>
      <c r="N8371" s="1" t="s">
        <v>8</v>
      </c>
      <c r="O8371" s="1" t="s">
        <v>68</v>
      </c>
    </row>
    <row r="8372" spans="1:15" ht="43.2" x14ac:dyDescent="0.3">
      <c r="A8372" s="1" t="s">
        <v>25913</v>
      </c>
      <c r="B8372" s="1" t="str">
        <f>"Sarah Eynon"</f>
        <v>Sarah Eynon</v>
      </c>
      <c r="C8372" s="1" t="s">
        <v>25914</v>
      </c>
      <c r="F8372" s="1" t="s">
        <v>3389</v>
      </c>
      <c r="H8372" s="1" t="s">
        <v>25915</v>
      </c>
      <c r="I8372" s="1" t="s">
        <v>5</v>
      </c>
      <c r="J8372" s="1" t="s">
        <v>67</v>
      </c>
      <c r="K8372" s="1" t="s">
        <v>14</v>
      </c>
      <c r="M8372" s="2">
        <v>42381</v>
      </c>
      <c r="N8372" s="1" t="s">
        <v>8</v>
      </c>
      <c r="O8372" s="1" t="s">
        <v>68</v>
      </c>
    </row>
    <row r="8373" spans="1:15" ht="28.8" x14ac:dyDescent="0.3">
      <c r="A8373" s="1" t="s">
        <v>32138</v>
      </c>
      <c r="B8373" s="1" t="str">
        <f>"P.S LIGHTING SOLUTIONS LTS"</f>
        <v>P.S LIGHTING SOLUTIONS LTS</v>
      </c>
      <c r="C8373" s="1" t="s">
        <v>32139</v>
      </c>
      <c r="D8373" s="1" t="s">
        <v>32140</v>
      </c>
      <c r="F8373" s="1" t="s">
        <v>865</v>
      </c>
      <c r="H8373" s="1" t="s">
        <v>32141</v>
      </c>
      <c r="I8373" s="1" t="s">
        <v>19</v>
      </c>
      <c r="J8373" s="1" t="s">
        <v>6</v>
      </c>
      <c r="K8373" s="1" t="s">
        <v>24</v>
      </c>
      <c r="L8373" s="1">
        <v>5486219</v>
      </c>
      <c r="M8373" s="2">
        <v>42381</v>
      </c>
      <c r="N8373" s="1" t="s">
        <v>8</v>
      </c>
      <c r="O8373" s="2">
        <v>44573</v>
      </c>
    </row>
    <row r="8374" spans="1:15" ht="28.8" x14ac:dyDescent="0.3">
      <c r="A8374" s="1" t="s">
        <v>33174</v>
      </c>
      <c r="B8374" s="1" t="str">
        <f>"Peirianneg Sifil Gelli Civil Engineering Ltd."</f>
        <v>Peirianneg Sifil Gelli Civil Engineering Ltd.</v>
      </c>
      <c r="C8374" s="1" t="s">
        <v>33175</v>
      </c>
      <c r="F8374" s="1" t="s">
        <v>3</v>
      </c>
      <c r="H8374" s="1" t="s">
        <v>22911</v>
      </c>
      <c r="I8374" s="1" t="s">
        <v>19</v>
      </c>
      <c r="J8374" s="1" t="s">
        <v>6</v>
      </c>
      <c r="K8374" s="1" t="s">
        <v>24</v>
      </c>
      <c r="L8374" s="1">
        <v>5494332</v>
      </c>
      <c r="M8374" s="2">
        <v>42381</v>
      </c>
      <c r="N8374" s="1" t="s">
        <v>8</v>
      </c>
      <c r="O8374" s="2">
        <v>44573</v>
      </c>
    </row>
    <row r="8375" spans="1:15" ht="28.8" x14ac:dyDescent="0.3">
      <c r="A8375" s="1" t="s">
        <v>33207</v>
      </c>
      <c r="B8375" s="1" t="str">
        <f>"graham  evans"</f>
        <v>graham  evans</v>
      </c>
      <c r="C8375" s="1" t="s">
        <v>33208</v>
      </c>
      <c r="F8375" s="1" t="s">
        <v>996</v>
      </c>
      <c r="H8375" s="1" t="s">
        <v>33209</v>
      </c>
      <c r="I8375" s="1" t="s">
        <v>5</v>
      </c>
      <c r="J8375" s="1" t="s">
        <v>6</v>
      </c>
      <c r="K8375" s="1" t="s">
        <v>24</v>
      </c>
      <c r="M8375" s="2">
        <v>42381</v>
      </c>
      <c r="N8375" s="1" t="s">
        <v>8</v>
      </c>
      <c r="O8375" s="2">
        <v>44573</v>
      </c>
    </row>
    <row r="8376" spans="1:15" x14ac:dyDescent="0.3">
      <c r="A8376" s="1" t="s">
        <v>1627</v>
      </c>
      <c r="B8376" s="1" t="str">
        <f>"Reddy Pai Metals Ltd"</f>
        <v>Reddy Pai Metals Ltd</v>
      </c>
      <c r="C8376" s="1" t="s">
        <v>1628</v>
      </c>
      <c r="D8376" s="1" t="s">
        <v>1629</v>
      </c>
      <c r="E8376" s="1" t="s">
        <v>1630</v>
      </c>
      <c r="F8376" s="1" t="s">
        <v>123</v>
      </c>
      <c r="G8376" s="1" t="s">
        <v>27</v>
      </c>
      <c r="H8376" s="1" t="s">
        <v>1631</v>
      </c>
      <c r="I8376" s="1" t="s">
        <v>19</v>
      </c>
      <c r="J8376" s="1" t="s">
        <v>6</v>
      </c>
      <c r="K8376" s="1" t="s">
        <v>1632</v>
      </c>
      <c r="L8376" s="1">
        <v>7858597</v>
      </c>
      <c r="M8376" s="2">
        <v>42380</v>
      </c>
      <c r="N8376" s="1" t="s">
        <v>8</v>
      </c>
      <c r="O8376" s="2">
        <v>44572</v>
      </c>
    </row>
    <row r="8377" spans="1:15" ht="28.8" x14ac:dyDescent="0.3">
      <c r="A8377" s="1" t="s">
        <v>2945</v>
      </c>
      <c r="B8377" s="1" t="str">
        <f>"Porthcawl Town Council"</f>
        <v>Porthcawl Town Council</v>
      </c>
      <c r="C8377" s="1" t="s">
        <v>2946</v>
      </c>
      <c r="F8377" s="1" t="s">
        <v>1556</v>
      </c>
      <c r="H8377" s="1" t="s">
        <v>2947</v>
      </c>
      <c r="I8377" s="1" t="s">
        <v>188</v>
      </c>
      <c r="J8377" s="1" t="s">
        <v>6</v>
      </c>
      <c r="K8377" s="1" t="s">
        <v>24</v>
      </c>
      <c r="M8377" s="2">
        <v>42380</v>
      </c>
      <c r="N8377" s="1" t="s">
        <v>8</v>
      </c>
      <c r="O8377" s="2">
        <v>44571</v>
      </c>
    </row>
    <row r="8378" spans="1:15" ht="43.2" x14ac:dyDescent="0.3">
      <c r="A8378" s="1" t="s">
        <v>12251</v>
      </c>
      <c r="B8378" s="1" t="str">
        <f>"Sapphire Document Solutions Ltd"</f>
        <v>Sapphire Document Solutions Ltd</v>
      </c>
      <c r="C8378" s="1" t="s">
        <v>12252</v>
      </c>
      <c r="D8378" s="1" t="s">
        <v>11117</v>
      </c>
      <c r="E8378" s="1" t="s">
        <v>4070</v>
      </c>
      <c r="F8378" s="1" t="s">
        <v>1184</v>
      </c>
      <c r="H8378" s="1" t="s">
        <v>11118</v>
      </c>
      <c r="I8378" s="1" t="s">
        <v>19</v>
      </c>
      <c r="J8378" s="1" t="s">
        <v>67</v>
      </c>
      <c r="K8378" s="1" t="s">
        <v>14</v>
      </c>
      <c r="M8378" s="2">
        <v>42380</v>
      </c>
      <c r="N8378" s="1" t="s">
        <v>8</v>
      </c>
      <c r="O8378" s="1" t="s">
        <v>68</v>
      </c>
    </row>
    <row r="8379" spans="1:15" ht="43.2" x14ac:dyDescent="0.3">
      <c r="A8379" s="1" t="s">
        <v>12253</v>
      </c>
      <c r="B8379" s="1" t="str">
        <f>"arthurcatalyst ltd "</f>
        <v xml:space="preserve">arthurcatalyst ltd </v>
      </c>
      <c r="C8379" s="1" t="s">
        <v>12254</v>
      </c>
      <c r="F8379" s="1" t="s">
        <v>3864</v>
      </c>
      <c r="H8379" s="1" t="s">
        <v>12255</v>
      </c>
      <c r="I8379" s="1" t="s">
        <v>19</v>
      </c>
      <c r="J8379" s="1" t="s">
        <v>67</v>
      </c>
      <c r="K8379" s="1" t="s">
        <v>14</v>
      </c>
      <c r="M8379" s="2">
        <v>42380</v>
      </c>
      <c r="N8379" s="1" t="s">
        <v>8</v>
      </c>
      <c r="O8379" s="1" t="s">
        <v>68</v>
      </c>
    </row>
    <row r="8380" spans="1:15" ht="43.2" x14ac:dyDescent="0.3">
      <c r="A8380" s="1" t="s">
        <v>12256</v>
      </c>
      <c r="B8380" s="1" t="str">
        <f>"PSR Control Systems Ltd."</f>
        <v>PSR Control Systems Ltd.</v>
      </c>
      <c r="C8380" s="1" t="s">
        <v>12257</v>
      </c>
      <c r="F8380" s="1" t="s">
        <v>91</v>
      </c>
      <c r="H8380" s="1" t="s">
        <v>12258</v>
      </c>
      <c r="I8380" s="1" t="s">
        <v>19</v>
      </c>
      <c r="J8380" s="1" t="s">
        <v>67</v>
      </c>
      <c r="K8380" s="1" t="s">
        <v>24</v>
      </c>
      <c r="L8380" s="1">
        <v>4868699</v>
      </c>
      <c r="M8380" s="2">
        <v>42380</v>
      </c>
      <c r="N8380" s="1" t="s">
        <v>8</v>
      </c>
      <c r="O8380" s="1" t="s">
        <v>68</v>
      </c>
    </row>
    <row r="8381" spans="1:15" ht="28.8" x14ac:dyDescent="0.3">
      <c r="A8381" s="1" t="s">
        <v>32239</v>
      </c>
      <c r="B8381" s="1" t="str">
        <f>"STEPHEN HOWARD REES STEPHEN REES"</f>
        <v>STEPHEN HOWARD REES STEPHEN REES</v>
      </c>
      <c r="C8381" s="1" t="s">
        <v>32240</v>
      </c>
      <c r="F8381" s="1" t="s">
        <v>555</v>
      </c>
      <c r="H8381" s="1" t="s">
        <v>19681</v>
      </c>
      <c r="I8381" s="1" t="s">
        <v>5</v>
      </c>
      <c r="J8381" s="1" t="s">
        <v>6</v>
      </c>
      <c r="K8381" s="1" t="s">
        <v>24</v>
      </c>
      <c r="M8381" s="2">
        <v>42380</v>
      </c>
      <c r="N8381" s="1" t="s">
        <v>8</v>
      </c>
      <c r="O8381" s="2">
        <v>44572</v>
      </c>
    </row>
    <row r="8382" spans="1:15" x14ac:dyDescent="0.3">
      <c r="A8382" s="1" t="s">
        <v>33281</v>
      </c>
      <c r="B8382" s="1" t="str">
        <f>"HJL Environmental Ltd"</f>
        <v>HJL Environmental Ltd</v>
      </c>
      <c r="C8382" s="1" t="s">
        <v>33282</v>
      </c>
      <c r="D8382" s="1" t="s">
        <v>33283</v>
      </c>
      <c r="F8382" s="1" t="s">
        <v>930</v>
      </c>
      <c r="H8382" s="1" t="s">
        <v>33284</v>
      </c>
      <c r="I8382" s="1" t="s">
        <v>19</v>
      </c>
      <c r="J8382" s="1" t="s">
        <v>6</v>
      </c>
      <c r="K8382" s="1" t="s">
        <v>14</v>
      </c>
      <c r="L8382" s="1">
        <v>9588649</v>
      </c>
      <c r="M8382" s="2">
        <v>42380</v>
      </c>
      <c r="N8382" s="1" t="s">
        <v>8</v>
      </c>
      <c r="O8382" s="2">
        <v>44572</v>
      </c>
    </row>
    <row r="8383" spans="1:15" ht="28.8" x14ac:dyDescent="0.3">
      <c r="A8383" s="1" t="s">
        <v>3006</v>
      </c>
      <c r="B8383" s="1" t="str">
        <f>"Wilson Bros"</f>
        <v>Wilson Bros</v>
      </c>
      <c r="C8383" s="1" t="s">
        <v>3007</v>
      </c>
      <c r="F8383" s="1" t="s">
        <v>1888</v>
      </c>
      <c r="H8383" s="1" t="s">
        <v>3008</v>
      </c>
      <c r="I8383" s="1" t="s">
        <v>125</v>
      </c>
      <c r="J8383" s="1" t="s">
        <v>6</v>
      </c>
      <c r="K8383" s="1" t="s">
        <v>24</v>
      </c>
      <c r="M8383" s="2">
        <v>42379</v>
      </c>
      <c r="N8383" s="1" t="s">
        <v>8</v>
      </c>
      <c r="O8383" s="2">
        <v>44571</v>
      </c>
    </row>
    <row r="8384" spans="1:15" ht="43.2" x14ac:dyDescent="0.3">
      <c r="A8384" s="1" t="s">
        <v>24349</v>
      </c>
      <c r="B8384" s="1" t="str">
        <f>"Daniel Havard"</f>
        <v>Daniel Havard</v>
      </c>
      <c r="C8384" s="1" t="s">
        <v>24350</v>
      </c>
      <c r="D8384" s="1" t="s">
        <v>20458</v>
      </c>
      <c r="F8384" s="1" t="s">
        <v>3726</v>
      </c>
      <c r="H8384" s="1" t="s">
        <v>24351</v>
      </c>
      <c r="I8384" s="1" t="s">
        <v>5</v>
      </c>
      <c r="J8384" s="1" t="s">
        <v>67</v>
      </c>
      <c r="K8384" s="1" t="s">
        <v>14</v>
      </c>
      <c r="M8384" s="2">
        <v>42379</v>
      </c>
      <c r="N8384" s="1" t="s">
        <v>8</v>
      </c>
      <c r="O8384" s="1" t="s">
        <v>68</v>
      </c>
    </row>
    <row r="8385" spans="1:15" ht="28.8" x14ac:dyDescent="0.3">
      <c r="A8385" s="1" t="s">
        <v>89</v>
      </c>
      <c r="B8385" s="1" t="str">
        <f>"Michael Griffiths Mike Griffiths Builders"</f>
        <v>Michael Griffiths Mike Griffiths Builders</v>
      </c>
      <c r="C8385" s="1" t="s">
        <v>90</v>
      </c>
      <c r="F8385" s="1" t="s">
        <v>91</v>
      </c>
      <c r="H8385" s="1" t="s">
        <v>92</v>
      </c>
      <c r="I8385" s="1" t="s">
        <v>5</v>
      </c>
      <c r="J8385" s="1" t="s">
        <v>6</v>
      </c>
      <c r="K8385" s="1" t="s">
        <v>24</v>
      </c>
      <c r="M8385" s="2">
        <v>42377</v>
      </c>
      <c r="N8385" s="1" t="s">
        <v>8</v>
      </c>
      <c r="O8385" s="2">
        <v>44569</v>
      </c>
    </row>
    <row r="8386" spans="1:15" x14ac:dyDescent="0.3">
      <c r="A8386" s="1" t="s">
        <v>3047</v>
      </c>
      <c r="B8386" s="1" t="str">
        <f>"McNicol Ltd."</f>
        <v>McNicol Ltd.</v>
      </c>
      <c r="C8386" s="1" t="s">
        <v>3048</v>
      </c>
      <c r="F8386" s="1" t="s">
        <v>1786</v>
      </c>
      <c r="H8386" s="1" t="s">
        <v>3049</v>
      </c>
      <c r="I8386" s="1" t="s">
        <v>19</v>
      </c>
      <c r="J8386" s="1" t="s">
        <v>6</v>
      </c>
      <c r="K8386" s="1" t="s">
        <v>24</v>
      </c>
      <c r="L8386" s="1">
        <v>5967891</v>
      </c>
      <c r="M8386" s="2">
        <v>42377</v>
      </c>
      <c r="N8386" s="1" t="s">
        <v>8</v>
      </c>
      <c r="O8386" s="2">
        <v>44569</v>
      </c>
    </row>
    <row r="8387" spans="1:15" ht="43.2" x14ac:dyDescent="0.3">
      <c r="A8387" s="1" t="s">
        <v>11294</v>
      </c>
      <c r="B8387" s="1" t="str">
        <f>"Llandovery Tyres &amp; Batteries Ltd"</f>
        <v>Llandovery Tyres &amp; Batteries Ltd</v>
      </c>
      <c r="C8387" s="1" t="s">
        <v>11295</v>
      </c>
      <c r="F8387" s="1" t="s">
        <v>9261</v>
      </c>
      <c r="H8387" s="1" t="s">
        <v>11296</v>
      </c>
      <c r="I8387" s="1" t="s">
        <v>19</v>
      </c>
      <c r="J8387" s="1" t="s">
        <v>67</v>
      </c>
      <c r="K8387" s="1" t="s">
        <v>14</v>
      </c>
      <c r="M8387" s="2">
        <v>42377</v>
      </c>
      <c r="N8387" s="1" t="s">
        <v>8</v>
      </c>
      <c r="O8387" s="1" t="s">
        <v>68</v>
      </c>
    </row>
    <row r="8388" spans="1:15" ht="43.2" x14ac:dyDescent="0.3">
      <c r="A8388" s="1" t="s">
        <v>24341</v>
      </c>
      <c r="B8388" s="1" t="str">
        <f>"Darryl  Spiers"</f>
        <v>Darryl  Spiers</v>
      </c>
      <c r="C8388" s="1" t="s">
        <v>24342</v>
      </c>
      <c r="F8388" s="1" t="s">
        <v>91</v>
      </c>
      <c r="H8388" s="1" t="s">
        <v>24343</v>
      </c>
      <c r="I8388" s="1" t="s">
        <v>5</v>
      </c>
      <c r="J8388" s="1" t="s">
        <v>67</v>
      </c>
      <c r="K8388" s="1" t="s">
        <v>14</v>
      </c>
      <c r="M8388" s="2">
        <v>42377</v>
      </c>
      <c r="N8388" s="1" t="s">
        <v>8</v>
      </c>
      <c r="O8388" s="1" t="s">
        <v>68</v>
      </c>
    </row>
    <row r="8389" spans="1:15" ht="43.2" x14ac:dyDescent="0.3">
      <c r="A8389" s="1" t="s">
        <v>24344</v>
      </c>
      <c r="B8389" s="1" t="str">
        <f>"Direct Housing Services Cwmbran"</f>
        <v>Direct Housing Services Cwmbran</v>
      </c>
      <c r="C8389" s="1" t="s">
        <v>24345</v>
      </c>
      <c r="D8389" s="1" t="s">
        <v>13011</v>
      </c>
      <c r="F8389" s="1" t="s">
        <v>380</v>
      </c>
      <c r="H8389" s="1" t="s">
        <v>3354</v>
      </c>
      <c r="I8389" s="1" t="s">
        <v>5</v>
      </c>
      <c r="J8389" s="1" t="s">
        <v>67</v>
      </c>
      <c r="K8389" s="1" t="s">
        <v>14</v>
      </c>
      <c r="M8389" s="2">
        <v>42377</v>
      </c>
      <c r="N8389" s="1" t="s">
        <v>8</v>
      </c>
      <c r="O8389" s="1" t="s">
        <v>68</v>
      </c>
    </row>
    <row r="8390" spans="1:15" ht="43.2" x14ac:dyDescent="0.3">
      <c r="A8390" s="1" t="s">
        <v>24346</v>
      </c>
      <c r="B8390" s="1" t="str">
        <f>"Leanne Williams"</f>
        <v>Leanne Williams</v>
      </c>
      <c r="C8390" s="1" t="s">
        <v>24347</v>
      </c>
      <c r="F8390" s="1" t="s">
        <v>416</v>
      </c>
      <c r="H8390" s="1" t="s">
        <v>24348</v>
      </c>
      <c r="I8390" s="1" t="s">
        <v>5</v>
      </c>
      <c r="J8390" s="1" t="s">
        <v>67</v>
      </c>
      <c r="K8390" s="1" t="s">
        <v>14</v>
      </c>
      <c r="M8390" s="2">
        <v>42377</v>
      </c>
      <c r="N8390" s="1" t="s">
        <v>8</v>
      </c>
      <c r="O8390" s="1" t="s">
        <v>68</v>
      </c>
    </row>
    <row r="8391" spans="1:15" ht="28.8" x14ac:dyDescent="0.3">
      <c r="A8391" s="1" t="s">
        <v>32304</v>
      </c>
      <c r="B8391" s="1" t="str">
        <f>"Bridgend County Borough Council"</f>
        <v>Bridgend County Borough Council</v>
      </c>
      <c r="C8391" s="1" t="s">
        <v>32305</v>
      </c>
      <c r="D8391" s="1" t="s">
        <v>25799</v>
      </c>
      <c r="F8391" s="1" t="s">
        <v>179</v>
      </c>
      <c r="H8391" s="1" t="s">
        <v>32306</v>
      </c>
      <c r="I8391" s="1" t="s">
        <v>188</v>
      </c>
      <c r="J8391" s="1" t="s">
        <v>6</v>
      </c>
      <c r="K8391" s="1" t="s">
        <v>34</v>
      </c>
      <c r="M8391" s="2">
        <v>42377</v>
      </c>
      <c r="N8391" s="1" t="s">
        <v>8</v>
      </c>
      <c r="O8391" s="2">
        <v>44568</v>
      </c>
    </row>
    <row r="8392" spans="1:15" ht="28.8" x14ac:dyDescent="0.3">
      <c r="A8392" s="1" t="s">
        <v>1687</v>
      </c>
      <c r="B8392" s="1" t="str">
        <f>"M2 Flooring Ltd."</f>
        <v>M2 Flooring Ltd.</v>
      </c>
      <c r="C8392" s="1" t="s">
        <v>1688</v>
      </c>
      <c r="F8392" s="1" t="s">
        <v>380</v>
      </c>
      <c r="H8392" s="1" t="s">
        <v>1689</v>
      </c>
      <c r="I8392" s="1" t="s">
        <v>19</v>
      </c>
      <c r="J8392" s="1" t="s">
        <v>6</v>
      </c>
      <c r="K8392" s="1" t="s">
        <v>24</v>
      </c>
      <c r="L8392" s="1">
        <v>1407080</v>
      </c>
      <c r="M8392" s="2">
        <v>42376</v>
      </c>
      <c r="N8392" s="1" t="s">
        <v>8</v>
      </c>
      <c r="O8392" s="2">
        <v>44568</v>
      </c>
    </row>
    <row r="8393" spans="1:15" ht="28.8" x14ac:dyDescent="0.3">
      <c r="A8393" s="1" t="s">
        <v>3083</v>
      </c>
      <c r="B8393" s="1" t="str">
        <f>"G J Teeson Ltd "</f>
        <v xml:space="preserve">G J Teeson Ltd </v>
      </c>
      <c r="C8393" s="1" t="s">
        <v>3084</v>
      </c>
      <c r="F8393" s="1" t="s">
        <v>1700</v>
      </c>
      <c r="H8393" s="1" t="s">
        <v>1701</v>
      </c>
      <c r="I8393" s="1" t="s">
        <v>19</v>
      </c>
      <c r="J8393" s="1" t="s">
        <v>6</v>
      </c>
      <c r="K8393" s="1" t="s">
        <v>14</v>
      </c>
      <c r="L8393" s="1">
        <v>7937959</v>
      </c>
      <c r="M8393" s="2">
        <v>42376</v>
      </c>
      <c r="N8393" s="1" t="s">
        <v>8</v>
      </c>
      <c r="O8393" s="2">
        <v>44568</v>
      </c>
    </row>
    <row r="8394" spans="1:15" ht="43.2" x14ac:dyDescent="0.3">
      <c r="A8394" s="1" t="s">
        <v>10285</v>
      </c>
      <c r="B8394" s="1" t="str">
        <f>"Longdin &amp; Browning (Surveys) Ltd"</f>
        <v>Longdin &amp; Browning (Surveys) Ltd</v>
      </c>
      <c r="C8394" s="1" t="s">
        <v>10286</v>
      </c>
      <c r="F8394" s="1" t="s">
        <v>65</v>
      </c>
      <c r="H8394" s="1" t="s">
        <v>10287</v>
      </c>
      <c r="I8394" s="1" t="s">
        <v>19</v>
      </c>
      <c r="J8394" s="1" t="s">
        <v>67</v>
      </c>
      <c r="K8394" s="1" t="s">
        <v>14</v>
      </c>
      <c r="M8394" s="2">
        <v>42376</v>
      </c>
      <c r="N8394" s="1" t="s">
        <v>8</v>
      </c>
      <c r="O8394" s="1" t="s">
        <v>68</v>
      </c>
    </row>
    <row r="8395" spans="1:15" ht="28.8" x14ac:dyDescent="0.3">
      <c r="A8395" s="1" t="s">
        <v>32087</v>
      </c>
      <c r="B8395" s="1" t="str">
        <f>"European Sheeting Ltd."</f>
        <v>European Sheeting Ltd.</v>
      </c>
      <c r="C8395" s="1" t="s">
        <v>32088</v>
      </c>
      <c r="F8395" s="1" t="s">
        <v>198</v>
      </c>
      <c r="H8395" s="1" t="s">
        <v>26247</v>
      </c>
      <c r="I8395" s="1" t="s">
        <v>19</v>
      </c>
      <c r="J8395" s="1" t="s">
        <v>6</v>
      </c>
      <c r="K8395" s="1" t="s">
        <v>34</v>
      </c>
      <c r="L8395" s="1">
        <v>2744965</v>
      </c>
      <c r="M8395" s="2">
        <v>42376</v>
      </c>
      <c r="N8395" s="1" t="s">
        <v>8</v>
      </c>
      <c r="O8395" s="2">
        <v>44568</v>
      </c>
    </row>
    <row r="8396" spans="1:15" ht="43.2" x14ac:dyDescent="0.3">
      <c r="A8396" s="1" t="s">
        <v>10281</v>
      </c>
      <c r="B8396" s="1" t="str">
        <f>"Merthyr (South Wales) Ltd"</f>
        <v>Merthyr (South Wales) Ltd</v>
      </c>
      <c r="C8396" s="1" t="s">
        <v>10282</v>
      </c>
      <c r="D8396" s="1" t="s">
        <v>10283</v>
      </c>
      <c r="F8396" s="1" t="s">
        <v>556</v>
      </c>
      <c r="H8396" s="1" t="s">
        <v>10284</v>
      </c>
      <c r="I8396" s="1" t="s">
        <v>19</v>
      </c>
      <c r="J8396" s="1" t="s">
        <v>67</v>
      </c>
      <c r="K8396" s="1" t="s">
        <v>14</v>
      </c>
      <c r="M8396" s="2">
        <v>42375</v>
      </c>
      <c r="N8396" s="1" t="s">
        <v>8</v>
      </c>
      <c r="O8396" s="1" t="s">
        <v>68</v>
      </c>
    </row>
    <row r="8397" spans="1:15" ht="43.2" x14ac:dyDescent="0.3">
      <c r="A8397" s="1" t="s">
        <v>22725</v>
      </c>
      <c r="B8397" s="1" t="str">
        <f>"Mandy Thomas"</f>
        <v>Mandy Thomas</v>
      </c>
      <c r="C8397" s="1" t="s">
        <v>22726</v>
      </c>
      <c r="F8397" s="1" t="s">
        <v>865</v>
      </c>
      <c r="H8397" s="1" t="s">
        <v>12765</v>
      </c>
      <c r="I8397" s="1" t="s">
        <v>5</v>
      </c>
      <c r="J8397" s="1" t="s">
        <v>67</v>
      </c>
      <c r="K8397" s="1" t="s">
        <v>14</v>
      </c>
      <c r="M8397" s="2">
        <v>42375</v>
      </c>
      <c r="N8397" s="1" t="s">
        <v>8</v>
      </c>
      <c r="O8397" s="1" t="s">
        <v>68</v>
      </c>
    </row>
    <row r="8398" spans="1:15" ht="28.8" x14ac:dyDescent="0.3">
      <c r="A8398" s="1" t="s">
        <v>33305</v>
      </c>
      <c r="B8398" s="1" t="str">
        <f>"G P H I T (Intergrated Services) LTD"</f>
        <v>G P H I T (Intergrated Services) LTD</v>
      </c>
      <c r="C8398" s="1" t="s">
        <v>33306</v>
      </c>
      <c r="F8398" s="1" t="s">
        <v>706</v>
      </c>
      <c r="H8398" s="1" t="s">
        <v>5419</v>
      </c>
      <c r="I8398" s="1" t="s">
        <v>19</v>
      </c>
      <c r="J8398" s="1" t="s">
        <v>6</v>
      </c>
      <c r="K8398" s="1" t="s">
        <v>34</v>
      </c>
      <c r="L8398" s="1">
        <v>5839518</v>
      </c>
      <c r="M8398" s="2">
        <v>42375</v>
      </c>
      <c r="N8398" s="1" t="s">
        <v>8</v>
      </c>
      <c r="O8398" s="2">
        <v>44567</v>
      </c>
    </row>
    <row r="8399" spans="1:15" ht="43.2" x14ac:dyDescent="0.3">
      <c r="A8399" s="1" t="s">
        <v>7948</v>
      </c>
      <c r="B8399" s="1" t="str">
        <f>"The mews grill ltd"</f>
        <v>The mews grill ltd</v>
      </c>
      <c r="C8399" s="1" t="s">
        <v>6275</v>
      </c>
      <c r="F8399" s="1" t="s">
        <v>714</v>
      </c>
      <c r="H8399" s="1" t="s">
        <v>6276</v>
      </c>
      <c r="I8399" s="1" t="s">
        <v>19</v>
      </c>
      <c r="J8399" s="1" t="s">
        <v>67</v>
      </c>
      <c r="K8399" s="1" t="s">
        <v>14</v>
      </c>
      <c r="M8399" s="2">
        <v>42374</v>
      </c>
      <c r="N8399" s="1" t="s">
        <v>8</v>
      </c>
      <c r="O8399" s="1" t="s">
        <v>68</v>
      </c>
    </row>
    <row r="8400" spans="1:15" ht="43.2" x14ac:dyDescent="0.3">
      <c r="A8400" s="1" t="s">
        <v>9151</v>
      </c>
      <c r="B8400" s="1" t="str">
        <f>"G &amp; A Powell"</f>
        <v>G &amp; A Powell</v>
      </c>
      <c r="C8400" s="1" t="s">
        <v>9152</v>
      </c>
      <c r="D8400" s="1" t="s">
        <v>9153</v>
      </c>
      <c r="F8400" s="1" t="s">
        <v>445</v>
      </c>
      <c r="H8400" s="1" t="s">
        <v>9154</v>
      </c>
      <c r="I8400" s="1" t="s">
        <v>125</v>
      </c>
      <c r="J8400" s="1" t="s">
        <v>67</v>
      </c>
      <c r="K8400" s="1" t="s">
        <v>14</v>
      </c>
      <c r="M8400" s="2">
        <v>42374</v>
      </c>
      <c r="N8400" s="1" t="s">
        <v>8</v>
      </c>
      <c r="O8400" s="1" t="s">
        <v>68</v>
      </c>
    </row>
    <row r="8401" spans="1:15" ht="43.2" x14ac:dyDescent="0.3">
      <c r="A8401" s="1" t="s">
        <v>9155</v>
      </c>
      <c r="B8401" s="1" t="str">
        <f>"North beach pizzeria ltd"</f>
        <v>North beach pizzeria ltd</v>
      </c>
      <c r="C8401" s="1" t="s">
        <v>9156</v>
      </c>
      <c r="F8401" s="1" t="s">
        <v>714</v>
      </c>
      <c r="H8401" s="1" t="s">
        <v>6276</v>
      </c>
      <c r="I8401" s="1" t="s">
        <v>19</v>
      </c>
      <c r="J8401" s="1" t="s">
        <v>67</v>
      </c>
      <c r="K8401" s="1" t="s">
        <v>14</v>
      </c>
      <c r="M8401" s="2">
        <v>42374</v>
      </c>
      <c r="N8401" s="1" t="s">
        <v>8</v>
      </c>
      <c r="O8401" s="1" t="s">
        <v>68</v>
      </c>
    </row>
    <row r="8402" spans="1:15" ht="43.2" x14ac:dyDescent="0.3">
      <c r="A8402" s="1" t="s">
        <v>22717</v>
      </c>
      <c r="B8402" s="1" t="str">
        <f>"gary roberts g roberts"</f>
        <v>gary roberts g roberts</v>
      </c>
      <c r="C8402" s="1" t="s">
        <v>22718</v>
      </c>
      <c r="F8402" s="1" t="s">
        <v>3726</v>
      </c>
      <c r="H8402" s="1" t="s">
        <v>22719</v>
      </c>
      <c r="I8402" s="1" t="s">
        <v>5</v>
      </c>
      <c r="J8402" s="1" t="s">
        <v>67</v>
      </c>
      <c r="K8402" s="1" t="s">
        <v>24</v>
      </c>
      <c r="M8402" s="2">
        <v>42374</v>
      </c>
      <c r="N8402" s="1" t="s">
        <v>8</v>
      </c>
      <c r="O8402" s="1" t="s">
        <v>68</v>
      </c>
    </row>
    <row r="8403" spans="1:15" ht="43.2" x14ac:dyDescent="0.3">
      <c r="A8403" s="1" t="s">
        <v>22720</v>
      </c>
      <c r="B8403" s="1" t="str">
        <f>"Peter Oneill"</f>
        <v>Peter Oneill</v>
      </c>
      <c r="C8403" s="1" t="s">
        <v>22721</v>
      </c>
      <c r="D8403" s="1" t="s">
        <v>22722</v>
      </c>
      <c r="F8403" s="1" t="s">
        <v>22723</v>
      </c>
      <c r="H8403" s="1" t="s">
        <v>22724</v>
      </c>
      <c r="I8403" s="1" t="s">
        <v>5</v>
      </c>
      <c r="J8403" s="1" t="s">
        <v>67</v>
      </c>
      <c r="K8403" s="1" t="s">
        <v>14</v>
      </c>
      <c r="M8403" s="2">
        <v>42374</v>
      </c>
      <c r="N8403" s="1" t="s">
        <v>8</v>
      </c>
      <c r="O8403" s="1" t="s">
        <v>68</v>
      </c>
    </row>
    <row r="8404" spans="1:15" ht="28.8" x14ac:dyDescent="0.3">
      <c r="A8404" s="1" t="s">
        <v>32126</v>
      </c>
      <c r="B8404" s="1" t="str">
        <f>"Edward Howard Stephens"</f>
        <v>Edward Howard Stephens</v>
      </c>
      <c r="C8404" s="1" t="s">
        <v>32127</v>
      </c>
      <c r="F8404" s="1" t="s">
        <v>1700</v>
      </c>
      <c r="H8404" s="1" t="s">
        <v>32128</v>
      </c>
      <c r="I8404" s="1" t="s">
        <v>5</v>
      </c>
      <c r="J8404" s="1" t="s">
        <v>6</v>
      </c>
      <c r="K8404" s="1" t="s">
        <v>24</v>
      </c>
      <c r="M8404" s="2">
        <v>42374</v>
      </c>
      <c r="N8404" s="1" t="s">
        <v>8</v>
      </c>
      <c r="O8404" s="2">
        <v>44566</v>
      </c>
    </row>
    <row r="8405" spans="1:15" ht="28.8" x14ac:dyDescent="0.3">
      <c r="A8405" s="1" t="s">
        <v>33302</v>
      </c>
      <c r="B8405" s="1" t="str">
        <f>"C&amp;V University Local Health Board"</f>
        <v>C&amp;V University Local Health Board</v>
      </c>
      <c r="C8405" s="1" t="s">
        <v>33303</v>
      </c>
      <c r="F8405" s="1" t="s">
        <v>27</v>
      </c>
      <c r="H8405" s="1" t="s">
        <v>33304</v>
      </c>
      <c r="I8405" s="1" t="s">
        <v>188</v>
      </c>
      <c r="J8405" s="1" t="s">
        <v>6</v>
      </c>
      <c r="K8405" s="1" t="s">
        <v>34</v>
      </c>
      <c r="M8405" s="2">
        <v>42374</v>
      </c>
      <c r="N8405" s="1" t="s">
        <v>8</v>
      </c>
      <c r="O8405" s="2">
        <v>44565</v>
      </c>
    </row>
    <row r="8406" spans="1:15" ht="43.2" x14ac:dyDescent="0.3">
      <c r="A8406" s="1" t="s">
        <v>6903</v>
      </c>
      <c r="B8406" s="1" t="str">
        <f>"GRAVELL'S LIMITED"</f>
        <v>GRAVELL'S LIMITED</v>
      </c>
      <c r="C8406" s="1" t="s">
        <v>6904</v>
      </c>
      <c r="F8406" s="1" t="s">
        <v>3726</v>
      </c>
      <c r="H8406" s="1" t="s">
        <v>6905</v>
      </c>
      <c r="I8406" s="1" t="s">
        <v>19</v>
      </c>
      <c r="J8406" s="1" t="s">
        <v>67</v>
      </c>
      <c r="K8406" s="1" t="s">
        <v>24</v>
      </c>
      <c r="L8406" s="1">
        <v>653461</v>
      </c>
      <c r="M8406" s="2">
        <v>42373</v>
      </c>
      <c r="N8406" s="1" t="s">
        <v>8</v>
      </c>
      <c r="O8406" s="1" t="s">
        <v>68</v>
      </c>
    </row>
    <row r="8407" spans="1:15" ht="43.2" x14ac:dyDescent="0.3">
      <c r="A8407" s="1" t="s">
        <v>21168</v>
      </c>
      <c r="B8407" s="1" t="str">
        <f>"michael harris"</f>
        <v>michael harris</v>
      </c>
      <c r="C8407" s="1" t="s">
        <v>5320</v>
      </c>
      <c r="F8407" s="1" t="s">
        <v>585</v>
      </c>
      <c r="H8407" s="1" t="s">
        <v>5321</v>
      </c>
      <c r="I8407" s="1" t="s">
        <v>5</v>
      </c>
      <c r="J8407" s="1" t="s">
        <v>67</v>
      </c>
      <c r="K8407" s="1" t="s">
        <v>14</v>
      </c>
      <c r="M8407" s="2">
        <v>42373</v>
      </c>
      <c r="N8407" s="1" t="s">
        <v>8</v>
      </c>
      <c r="O8407" s="1" t="s">
        <v>68</v>
      </c>
    </row>
    <row r="8408" spans="1:15" ht="43.2" x14ac:dyDescent="0.3">
      <c r="A8408" s="1" t="s">
        <v>21169</v>
      </c>
      <c r="B8408" s="1" t="str">
        <f>"Michael Ridgway"</f>
        <v>Michael Ridgway</v>
      </c>
      <c r="C8408" s="1" t="s">
        <v>21170</v>
      </c>
      <c r="D8408" s="1" t="s">
        <v>21171</v>
      </c>
      <c r="F8408" s="1" t="s">
        <v>20601</v>
      </c>
      <c r="H8408" s="1" t="s">
        <v>21172</v>
      </c>
      <c r="I8408" s="1" t="s">
        <v>5</v>
      </c>
      <c r="J8408" s="1" t="s">
        <v>67</v>
      </c>
      <c r="K8408" s="1" t="s">
        <v>14</v>
      </c>
      <c r="M8408" s="2">
        <v>42373</v>
      </c>
      <c r="N8408" s="1" t="s">
        <v>8</v>
      </c>
      <c r="O8408" s="1" t="s">
        <v>68</v>
      </c>
    </row>
    <row r="8409" spans="1:15" ht="43.2" x14ac:dyDescent="0.3">
      <c r="A8409" s="1" t="s">
        <v>21173</v>
      </c>
      <c r="B8409" s="1" t="str">
        <f>"Lance Parsonage"</f>
        <v>Lance Parsonage</v>
      </c>
      <c r="C8409" s="1" t="s">
        <v>21174</v>
      </c>
      <c r="F8409" s="1" t="s">
        <v>4507</v>
      </c>
      <c r="H8409" s="1" t="s">
        <v>21175</v>
      </c>
      <c r="I8409" s="1" t="s">
        <v>5</v>
      </c>
      <c r="J8409" s="1" t="s">
        <v>67</v>
      </c>
      <c r="K8409" s="1" t="s">
        <v>14</v>
      </c>
      <c r="M8409" s="2">
        <v>42373</v>
      </c>
      <c r="N8409" s="1" t="s">
        <v>8</v>
      </c>
      <c r="O8409" s="1" t="s">
        <v>68</v>
      </c>
    </row>
    <row r="8410" spans="1:15" ht="43.2" x14ac:dyDescent="0.3">
      <c r="A8410" s="1" t="s">
        <v>21940</v>
      </c>
      <c r="B8410" s="1" t="str">
        <f>"John Lawrenson"</f>
        <v>John Lawrenson</v>
      </c>
      <c r="C8410" s="1" t="s">
        <v>21941</v>
      </c>
      <c r="D8410" s="1" t="s">
        <v>21942</v>
      </c>
      <c r="F8410" s="1" t="s">
        <v>8782</v>
      </c>
      <c r="H8410" s="1" t="s">
        <v>21943</v>
      </c>
      <c r="I8410" s="1" t="s">
        <v>5</v>
      </c>
      <c r="J8410" s="1" t="s">
        <v>67</v>
      </c>
      <c r="K8410" s="1" t="s">
        <v>14</v>
      </c>
      <c r="M8410" s="2">
        <v>42373</v>
      </c>
      <c r="N8410" s="1" t="s">
        <v>8</v>
      </c>
      <c r="O8410" s="1" t="s">
        <v>68</v>
      </c>
    </row>
    <row r="8411" spans="1:15" ht="28.8" x14ac:dyDescent="0.3">
      <c r="A8411" s="1" t="s">
        <v>31170</v>
      </c>
      <c r="B8411" s="1" t="str">
        <f>"Dod i Ben cyf"</f>
        <v>Dod i Ben cyf</v>
      </c>
      <c r="C8411" s="1" t="s">
        <v>31171</v>
      </c>
      <c r="F8411" s="1" t="s">
        <v>17</v>
      </c>
      <c r="H8411" s="1" t="s">
        <v>31172</v>
      </c>
      <c r="I8411" s="1" t="s">
        <v>19</v>
      </c>
      <c r="J8411" s="1" t="s">
        <v>6</v>
      </c>
      <c r="K8411" s="1" t="s">
        <v>34</v>
      </c>
      <c r="L8411" s="1">
        <v>9906655</v>
      </c>
      <c r="M8411" s="2">
        <v>42373</v>
      </c>
      <c r="N8411" s="1" t="s">
        <v>8</v>
      </c>
      <c r="O8411" s="2">
        <v>44565</v>
      </c>
    </row>
    <row r="8412" spans="1:15" ht="28.8" x14ac:dyDescent="0.3">
      <c r="A8412" s="1" t="s">
        <v>33215</v>
      </c>
      <c r="B8412" s="1" t="str">
        <f>"P T Williams building Contractors L"</f>
        <v>P T Williams building Contractors L</v>
      </c>
      <c r="C8412" s="1" t="s">
        <v>33216</v>
      </c>
      <c r="D8412" s="1" t="s">
        <v>12072</v>
      </c>
      <c r="F8412" s="1" t="s">
        <v>416</v>
      </c>
      <c r="H8412" s="1" t="s">
        <v>8523</v>
      </c>
      <c r="I8412" s="1" t="s">
        <v>19</v>
      </c>
      <c r="J8412" s="1" t="s">
        <v>6</v>
      </c>
      <c r="K8412" s="1" t="s">
        <v>24</v>
      </c>
      <c r="L8412" s="1">
        <v>6687513</v>
      </c>
      <c r="M8412" s="2">
        <v>42373</v>
      </c>
      <c r="N8412" s="1" t="s">
        <v>8</v>
      </c>
      <c r="O8412" s="2">
        <v>44565</v>
      </c>
    </row>
    <row r="8413" spans="1:15" ht="28.8" x14ac:dyDescent="0.3">
      <c r="A8413" s="1" t="s">
        <v>33255</v>
      </c>
      <c r="B8413" s="1" t="str">
        <f>"CREST CEILINGS &amp; PARTITIONS LIMITED"</f>
        <v>CREST CEILINGS &amp; PARTITIONS LIMITED</v>
      </c>
      <c r="C8413" s="1" t="s">
        <v>33256</v>
      </c>
      <c r="D8413" s="1" t="s">
        <v>2623</v>
      </c>
      <c r="F8413" s="1" t="s">
        <v>65</v>
      </c>
      <c r="H8413" s="1" t="s">
        <v>31367</v>
      </c>
      <c r="I8413" s="1" t="s">
        <v>19</v>
      </c>
      <c r="J8413" s="1" t="s">
        <v>6</v>
      </c>
      <c r="K8413" s="1" t="s">
        <v>14</v>
      </c>
      <c r="L8413" s="1">
        <v>7509524</v>
      </c>
      <c r="M8413" s="2">
        <v>42372</v>
      </c>
      <c r="N8413" s="1" t="s">
        <v>8</v>
      </c>
      <c r="O8413" s="2">
        <v>44589</v>
      </c>
    </row>
    <row r="8414" spans="1:15" ht="43.2" x14ac:dyDescent="0.3">
      <c r="A8414" s="1" t="s">
        <v>21165</v>
      </c>
      <c r="B8414" s="1" t="str">
        <f>"Vincent Dench"</f>
        <v>Vincent Dench</v>
      </c>
      <c r="C8414" s="1" t="s">
        <v>21166</v>
      </c>
      <c r="F8414" s="1" t="s">
        <v>27</v>
      </c>
      <c r="H8414" s="1" t="s">
        <v>21167</v>
      </c>
      <c r="I8414" s="1" t="s">
        <v>5</v>
      </c>
      <c r="J8414" s="1" t="s">
        <v>67</v>
      </c>
      <c r="K8414" s="1" t="s">
        <v>14</v>
      </c>
      <c r="M8414" s="2">
        <v>42371</v>
      </c>
      <c r="N8414" s="1" t="s">
        <v>8</v>
      </c>
      <c r="O8414" s="1" t="s">
        <v>68</v>
      </c>
    </row>
    <row r="8415" spans="1:15" ht="43.2" x14ac:dyDescent="0.3">
      <c r="A8415" s="1" t="s">
        <v>6900</v>
      </c>
      <c r="B8415" s="1" t="str">
        <f>"Gengard Ltd"</f>
        <v>Gengard Ltd</v>
      </c>
      <c r="C8415" s="1" t="s">
        <v>6901</v>
      </c>
      <c r="F8415" s="1" t="s">
        <v>438</v>
      </c>
      <c r="H8415" s="1" t="s">
        <v>6902</v>
      </c>
      <c r="I8415" s="1" t="s">
        <v>19</v>
      </c>
      <c r="J8415" s="1" t="s">
        <v>67</v>
      </c>
      <c r="K8415" s="1" t="s">
        <v>14</v>
      </c>
      <c r="M8415" s="2">
        <v>42370</v>
      </c>
      <c r="N8415" s="1" t="s">
        <v>8</v>
      </c>
      <c r="O8415" s="1" t="s">
        <v>68</v>
      </c>
    </row>
    <row r="8416" spans="1:15" ht="43.2" x14ac:dyDescent="0.3">
      <c r="A8416" s="1" t="s">
        <v>21162</v>
      </c>
      <c r="B8416" s="1" t="str">
        <f>"Nathan Jones"</f>
        <v>Nathan Jones</v>
      </c>
      <c r="C8416" s="1" t="s">
        <v>21163</v>
      </c>
      <c r="F8416" s="1" t="s">
        <v>513</v>
      </c>
      <c r="G8416" s="1" t="s">
        <v>115</v>
      </c>
      <c r="H8416" s="1" t="s">
        <v>21164</v>
      </c>
      <c r="I8416" s="1" t="s">
        <v>5</v>
      </c>
      <c r="J8416" s="1" t="s">
        <v>67</v>
      </c>
      <c r="K8416" s="1" t="s">
        <v>14</v>
      </c>
      <c r="M8416" s="2">
        <v>42370</v>
      </c>
      <c r="N8416" s="1" t="s">
        <v>8</v>
      </c>
      <c r="O8416" s="1" t="s">
        <v>68</v>
      </c>
    </row>
    <row r="8417" spans="1:15" ht="43.2" x14ac:dyDescent="0.3">
      <c r="A8417" s="1" t="s">
        <v>5732</v>
      </c>
      <c r="B8417" s="1" t="str">
        <f>"Leverett Contracting Ltd."</f>
        <v>Leverett Contracting Ltd.</v>
      </c>
      <c r="C8417" s="1" t="s">
        <v>5733</v>
      </c>
      <c r="D8417" s="1" t="s">
        <v>5734</v>
      </c>
      <c r="F8417" s="1" t="s">
        <v>1278</v>
      </c>
      <c r="H8417" s="1" t="s">
        <v>5735</v>
      </c>
      <c r="I8417" s="1" t="s">
        <v>19</v>
      </c>
      <c r="J8417" s="1" t="s">
        <v>67</v>
      </c>
      <c r="K8417" s="1" t="s">
        <v>24</v>
      </c>
      <c r="L8417" s="1">
        <v>4868946</v>
      </c>
      <c r="M8417" s="2">
        <v>42369</v>
      </c>
      <c r="N8417" s="1" t="s">
        <v>8</v>
      </c>
      <c r="O8417" s="1" t="s">
        <v>68</v>
      </c>
    </row>
    <row r="8418" spans="1:15" x14ac:dyDescent="0.3">
      <c r="A8418" s="1" t="s">
        <v>20383</v>
      </c>
      <c r="B8418" s="1" t="str">
        <f>"Sandra  Jedrzejewska"</f>
        <v>Sandra  Jedrzejewska</v>
      </c>
      <c r="C8418" s="1" t="s">
        <v>20384</v>
      </c>
      <c r="D8418" s="1" t="s">
        <v>20385</v>
      </c>
      <c r="G8418" s="1" t="s">
        <v>12663</v>
      </c>
      <c r="I8418" s="1" t="s">
        <v>5</v>
      </c>
      <c r="J8418" s="1" t="s">
        <v>6</v>
      </c>
      <c r="K8418" s="1" t="s">
        <v>24</v>
      </c>
      <c r="M8418" s="2">
        <v>42368</v>
      </c>
      <c r="N8418" s="1" t="s">
        <v>8</v>
      </c>
      <c r="O8418" s="2">
        <v>43562</v>
      </c>
    </row>
    <row r="8419" spans="1:15" ht="43.2" x14ac:dyDescent="0.3">
      <c r="A8419" s="1" t="s">
        <v>5729</v>
      </c>
      <c r="B8419" s="1" t="str">
        <f>"Deshi Spice"</f>
        <v>Deshi Spice</v>
      </c>
      <c r="C8419" s="1" t="s">
        <v>5730</v>
      </c>
      <c r="F8419" s="1" t="s">
        <v>714</v>
      </c>
      <c r="H8419" s="1" t="s">
        <v>5731</v>
      </c>
      <c r="I8419" s="1" t="s">
        <v>19</v>
      </c>
      <c r="J8419" s="1" t="s">
        <v>67</v>
      </c>
      <c r="K8419" s="1" t="s">
        <v>14</v>
      </c>
      <c r="M8419" s="2">
        <v>42367</v>
      </c>
      <c r="N8419" s="1" t="s">
        <v>8</v>
      </c>
      <c r="O8419" s="1" t="s">
        <v>68</v>
      </c>
    </row>
    <row r="8420" spans="1:15" ht="43.2" x14ac:dyDescent="0.3">
      <c r="A8420" s="1" t="s">
        <v>20373</v>
      </c>
      <c r="B8420" s="1" t="str">
        <f>"Paul Tennant"</f>
        <v>Paul Tennant</v>
      </c>
      <c r="C8420" s="1" t="s">
        <v>20374</v>
      </c>
      <c r="F8420" s="1" t="s">
        <v>1556</v>
      </c>
      <c r="H8420" s="1" t="s">
        <v>20375</v>
      </c>
      <c r="I8420" s="1" t="s">
        <v>5</v>
      </c>
      <c r="J8420" s="1" t="s">
        <v>67</v>
      </c>
      <c r="K8420" s="1" t="s">
        <v>14</v>
      </c>
      <c r="M8420" s="2">
        <v>42367</v>
      </c>
      <c r="N8420" s="1" t="s">
        <v>8</v>
      </c>
      <c r="O8420" s="1" t="s">
        <v>68</v>
      </c>
    </row>
    <row r="8421" spans="1:15" ht="43.2" x14ac:dyDescent="0.3">
      <c r="A8421" s="1" t="s">
        <v>20376</v>
      </c>
      <c r="B8421" s="1" t="str">
        <f>"Ian Griffin"</f>
        <v>Ian Griffin</v>
      </c>
      <c r="C8421" s="1" t="s">
        <v>20377</v>
      </c>
      <c r="F8421" s="1" t="s">
        <v>607</v>
      </c>
      <c r="H8421" s="1" t="s">
        <v>20378</v>
      </c>
      <c r="I8421" s="1" t="s">
        <v>5</v>
      </c>
      <c r="J8421" s="1" t="s">
        <v>67</v>
      </c>
      <c r="K8421" s="1" t="s">
        <v>14</v>
      </c>
      <c r="M8421" s="2">
        <v>42367</v>
      </c>
      <c r="N8421" s="1" t="s">
        <v>8</v>
      </c>
      <c r="O8421" s="1" t="s">
        <v>68</v>
      </c>
    </row>
    <row r="8422" spans="1:15" ht="43.2" x14ac:dyDescent="0.3">
      <c r="A8422" s="1" t="s">
        <v>20379</v>
      </c>
      <c r="B8422" s="1" t="str">
        <f>"tricia lewis"</f>
        <v>tricia lewis</v>
      </c>
      <c r="C8422" s="1" t="s">
        <v>20380</v>
      </c>
      <c r="D8422" s="1" t="s">
        <v>20381</v>
      </c>
      <c r="F8422" s="1" t="s">
        <v>1525</v>
      </c>
      <c r="H8422" s="1" t="s">
        <v>20382</v>
      </c>
      <c r="I8422" s="1" t="s">
        <v>5</v>
      </c>
      <c r="J8422" s="1" t="s">
        <v>67</v>
      </c>
      <c r="K8422" s="1" t="s">
        <v>14</v>
      </c>
      <c r="M8422" s="2">
        <v>42367</v>
      </c>
      <c r="N8422" s="1" t="s">
        <v>8</v>
      </c>
      <c r="O8422" s="1" t="s">
        <v>68</v>
      </c>
    </row>
    <row r="8423" spans="1:15" x14ac:dyDescent="0.3">
      <c r="A8423" s="1" t="s">
        <v>32225</v>
      </c>
      <c r="B8423" s="1" t="str">
        <f>"CA JONES &amp; SON LTD"</f>
        <v>CA JONES &amp; SON LTD</v>
      </c>
      <c r="C8423" s="1" t="s">
        <v>32226</v>
      </c>
      <c r="F8423" s="1" t="s">
        <v>65</v>
      </c>
      <c r="H8423" s="1" t="s">
        <v>32227</v>
      </c>
      <c r="I8423" s="1" t="s">
        <v>19</v>
      </c>
      <c r="J8423" s="1" t="s">
        <v>6</v>
      </c>
      <c r="K8423" s="1" t="s">
        <v>24</v>
      </c>
      <c r="L8423" s="1">
        <v>5907762</v>
      </c>
      <c r="M8423" s="2">
        <v>42366</v>
      </c>
      <c r="N8423" s="1" t="s">
        <v>8</v>
      </c>
      <c r="O8423" s="2">
        <v>44558</v>
      </c>
    </row>
    <row r="8424" spans="1:15" ht="43.2" x14ac:dyDescent="0.3">
      <c r="A8424" s="1" t="s">
        <v>19599</v>
      </c>
      <c r="B8424" s="1" t="str">
        <f>"Baskaran Eliyathamby"</f>
        <v>Baskaran Eliyathamby</v>
      </c>
      <c r="C8424" s="1" t="s">
        <v>19600</v>
      </c>
      <c r="F8424" s="1" t="s">
        <v>4768</v>
      </c>
      <c r="H8424" s="1" t="s">
        <v>19601</v>
      </c>
      <c r="I8424" s="1" t="s">
        <v>5</v>
      </c>
      <c r="J8424" s="1" t="s">
        <v>67</v>
      </c>
      <c r="K8424" s="1" t="s">
        <v>14</v>
      </c>
      <c r="M8424" s="2">
        <v>42362</v>
      </c>
      <c r="N8424" s="1" t="s">
        <v>8</v>
      </c>
      <c r="O8424" s="1" t="s">
        <v>68</v>
      </c>
    </row>
    <row r="8425" spans="1:15" x14ac:dyDescent="0.3">
      <c r="A8425" s="1" t="s">
        <v>351</v>
      </c>
      <c r="B8425" s="1" t="str">
        <f>"Gravs Waste Removals"</f>
        <v>Gravs Waste Removals</v>
      </c>
      <c r="C8425" s="1" t="s">
        <v>352</v>
      </c>
      <c r="D8425" s="1" t="s">
        <v>353</v>
      </c>
      <c r="F8425" s="1" t="s">
        <v>354</v>
      </c>
      <c r="G8425" s="1" t="s">
        <v>51</v>
      </c>
      <c r="H8425" s="1" t="s">
        <v>355</v>
      </c>
      <c r="I8425" s="1" t="s">
        <v>125</v>
      </c>
      <c r="J8425" s="1" t="s">
        <v>6</v>
      </c>
      <c r="K8425" s="1" t="s">
        <v>14</v>
      </c>
      <c r="M8425" s="2">
        <v>42361</v>
      </c>
      <c r="N8425" s="1" t="s">
        <v>8</v>
      </c>
      <c r="O8425" s="2">
        <v>44553</v>
      </c>
    </row>
    <row r="8426" spans="1:15" ht="28.8" x14ac:dyDescent="0.3">
      <c r="A8426" s="1" t="s">
        <v>2884</v>
      </c>
      <c r="B8426" s="1" t="str">
        <f>"BRISCO WASTE DISPOSAL LTD"</f>
        <v>BRISCO WASTE DISPOSAL LTD</v>
      </c>
      <c r="C8426" s="1" t="s">
        <v>2885</v>
      </c>
      <c r="D8426" s="1" t="s">
        <v>2041</v>
      </c>
      <c r="F8426" s="1" t="s">
        <v>64</v>
      </c>
      <c r="G8426" s="1" t="s">
        <v>65</v>
      </c>
      <c r="H8426" s="1" t="s">
        <v>2886</v>
      </c>
      <c r="I8426" s="1" t="s">
        <v>19</v>
      </c>
      <c r="J8426" s="1" t="s">
        <v>6</v>
      </c>
      <c r="K8426" s="1" t="s">
        <v>34</v>
      </c>
      <c r="L8426" s="1">
        <v>1523306</v>
      </c>
      <c r="M8426" s="2">
        <v>42361</v>
      </c>
      <c r="N8426" s="1" t="s">
        <v>8</v>
      </c>
      <c r="O8426" s="2">
        <v>44553</v>
      </c>
    </row>
    <row r="8427" spans="1:15" ht="28.8" x14ac:dyDescent="0.3">
      <c r="A8427" s="1" t="s">
        <v>33139</v>
      </c>
      <c r="B8427" s="1" t="str">
        <f>"Stephen Lewis Stephen Lewis"</f>
        <v>Stephen Lewis Stephen Lewis</v>
      </c>
      <c r="C8427" s="1" t="s">
        <v>33140</v>
      </c>
      <c r="F8427" s="1" t="s">
        <v>1346</v>
      </c>
      <c r="H8427" s="1" t="s">
        <v>14408</v>
      </c>
      <c r="I8427" s="1" t="s">
        <v>5</v>
      </c>
      <c r="J8427" s="1" t="s">
        <v>6</v>
      </c>
      <c r="K8427" s="1" t="s">
        <v>34</v>
      </c>
      <c r="M8427" s="2">
        <v>42361</v>
      </c>
      <c r="N8427" s="1" t="s">
        <v>8</v>
      </c>
      <c r="O8427" s="2">
        <v>44553</v>
      </c>
    </row>
    <row r="8428" spans="1:15" ht="28.8" x14ac:dyDescent="0.3">
      <c r="A8428" s="1" t="s">
        <v>2970</v>
      </c>
      <c r="B8428" s="1" t="str">
        <f>"Fred Weston (Electrical Contractors) Ltd."</f>
        <v>Fred Weston (Electrical Contractors) Ltd.</v>
      </c>
      <c r="C8428" s="1" t="s">
        <v>2971</v>
      </c>
      <c r="F8428" s="1" t="s">
        <v>83</v>
      </c>
      <c r="H8428" s="1" t="s">
        <v>2972</v>
      </c>
      <c r="I8428" s="1" t="s">
        <v>19</v>
      </c>
      <c r="J8428" s="1" t="s">
        <v>6</v>
      </c>
      <c r="K8428" s="1" t="s">
        <v>24</v>
      </c>
      <c r="L8428" s="1">
        <v>691027</v>
      </c>
      <c r="M8428" s="2">
        <v>42360</v>
      </c>
      <c r="N8428" s="1" t="s">
        <v>8</v>
      </c>
      <c r="O8428" s="2">
        <v>44580</v>
      </c>
    </row>
    <row r="8429" spans="1:15" ht="43.2" x14ac:dyDescent="0.3">
      <c r="A8429" s="1" t="s">
        <v>19597</v>
      </c>
      <c r="B8429" s="1" t="str">
        <f>"Graham Bushell"</f>
        <v>Graham Bushell</v>
      </c>
      <c r="C8429" s="1" t="s">
        <v>19598</v>
      </c>
      <c r="F8429" s="1" t="s">
        <v>445</v>
      </c>
      <c r="H8429" s="1" t="s">
        <v>7383</v>
      </c>
      <c r="I8429" s="1" t="s">
        <v>5</v>
      </c>
      <c r="J8429" s="1" t="s">
        <v>67</v>
      </c>
      <c r="K8429" s="1" t="s">
        <v>14</v>
      </c>
      <c r="M8429" s="2">
        <v>42360</v>
      </c>
      <c r="N8429" s="1" t="s">
        <v>8</v>
      </c>
      <c r="O8429" s="1" t="s">
        <v>68</v>
      </c>
    </row>
    <row r="8430" spans="1:15" ht="28.8" x14ac:dyDescent="0.3">
      <c r="A8430" s="1" t="s">
        <v>33071</v>
      </c>
      <c r="B8430" s="1" t="str">
        <f>"Jones &amp; Maher Ltd."</f>
        <v>Jones &amp; Maher Ltd.</v>
      </c>
      <c r="C8430" s="1" t="s">
        <v>33072</v>
      </c>
      <c r="F8430" s="1" t="s">
        <v>56</v>
      </c>
      <c r="H8430" s="1" t="s">
        <v>33073</v>
      </c>
      <c r="I8430" s="1" t="s">
        <v>19</v>
      </c>
      <c r="J8430" s="1" t="s">
        <v>6</v>
      </c>
      <c r="K8430" s="1" t="s">
        <v>24</v>
      </c>
      <c r="L8430" s="1">
        <v>5119372</v>
      </c>
      <c r="M8430" s="2">
        <v>42360</v>
      </c>
      <c r="N8430" s="1" t="s">
        <v>8</v>
      </c>
      <c r="O8430" s="2">
        <v>44552</v>
      </c>
    </row>
    <row r="8431" spans="1:15" x14ac:dyDescent="0.3">
      <c r="A8431" s="1" t="s">
        <v>2942</v>
      </c>
      <c r="B8431" s="1" t="str">
        <f>"Neville Pike Neville Pike"</f>
        <v>Neville Pike Neville Pike</v>
      </c>
      <c r="C8431" s="1" t="s">
        <v>2943</v>
      </c>
      <c r="F8431" s="1" t="s">
        <v>2504</v>
      </c>
      <c r="H8431" s="1" t="s">
        <v>2944</v>
      </c>
      <c r="I8431" s="1" t="s">
        <v>5</v>
      </c>
      <c r="J8431" s="1" t="s">
        <v>6</v>
      </c>
      <c r="K8431" s="1" t="s">
        <v>24</v>
      </c>
      <c r="M8431" s="2">
        <v>42359</v>
      </c>
      <c r="N8431" s="1" t="s">
        <v>8</v>
      </c>
      <c r="O8431" s="2">
        <v>44551</v>
      </c>
    </row>
    <row r="8432" spans="1:15" ht="43.2" x14ac:dyDescent="0.3">
      <c r="A8432" s="1" t="s">
        <v>4560</v>
      </c>
      <c r="B8432" s="1" t="str">
        <f>"British Red Cross Society"</f>
        <v>British Red Cross Society</v>
      </c>
      <c r="C8432" s="1" t="s">
        <v>4561</v>
      </c>
      <c r="F8432" s="1" t="s">
        <v>798</v>
      </c>
      <c r="H8432" s="1" t="s">
        <v>147</v>
      </c>
      <c r="I8432" s="1" t="s">
        <v>1872</v>
      </c>
      <c r="J8432" s="1" t="s">
        <v>67</v>
      </c>
      <c r="K8432" s="1" t="s">
        <v>14</v>
      </c>
      <c r="M8432" s="2">
        <v>42359</v>
      </c>
      <c r="N8432" s="1" t="s">
        <v>8</v>
      </c>
      <c r="O8432" s="1" t="s">
        <v>68</v>
      </c>
    </row>
    <row r="8433" spans="1:15" ht="43.2" x14ac:dyDescent="0.3">
      <c r="A8433" s="1" t="s">
        <v>4562</v>
      </c>
      <c r="B8433" s="1" t="str">
        <f>"Royal Welsh College of Music and Dr"</f>
        <v>Royal Welsh College of Music and Dr</v>
      </c>
      <c r="C8433" s="1" t="s">
        <v>4563</v>
      </c>
      <c r="F8433" s="1" t="s">
        <v>27</v>
      </c>
      <c r="H8433" s="1" t="s">
        <v>4564</v>
      </c>
      <c r="I8433" s="1" t="s">
        <v>188</v>
      </c>
      <c r="J8433" s="1" t="s">
        <v>67</v>
      </c>
      <c r="K8433" s="1" t="s">
        <v>34</v>
      </c>
      <c r="M8433" s="2">
        <v>42359</v>
      </c>
      <c r="N8433" s="1" t="s">
        <v>8</v>
      </c>
      <c r="O8433" s="1" t="s">
        <v>68</v>
      </c>
    </row>
    <row r="8434" spans="1:15" ht="28.8" x14ac:dyDescent="0.3">
      <c r="A8434" s="1" t="s">
        <v>33117</v>
      </c>
      <c r="B8434" s="1" t="str">
        <f>"Chris Newsham"</f>
        <v>Chris Newsham</v>
      </c>
      <c r="C8434" s="1" t="s">
        <v>33118</v>
      </c>
      <c r="F8434" s="1" t="s">
        <v>790</v>
      </c>
      <c r="H8434" s="1" t="s">
        <v>33119</v>
      </c>
      <c r="I8434" s="1" t="s">
        <v>5</v>
      </c>
      <c r="J8434" s="1" t="s">
        <v>6</v>
      </c>
      <c r="K8434" s="1" t="s">
        <v>34</v>
      </c>
      <c r="M8434" s="2">
        <v>42359</v>
      </c>
      <c r="N8434" s="1" t="s">
        <v>8</v>
      </c>
      <c r="O8434" s="2">
        <v>44551</v>
      </c>
    </row>
    <row r="8435" spans="1:15" ht="28.8" x14ac:dyDescent="0.3">
      <c r="A8435" s="1" t="s">
        <v>2867</v>
      </c>
      <c r="B8435" s="1" t="str">
        <f>"Kerry Jones K Jones Metals"</f>
        <v>Kerry Jones K Jones Metals</v>
      </c>
      <c r="C8435" s="1" t="s">
        <v>2868</v>
      </c>
      <c r="D8435" s="1" t="s">
        <v>2869</v>
      </c>
      <c r="F8435" s="1" t="s">
        <v>556</v>
      </c>
      <c r="H8435" s="1" t="s">
        <v>2870</v>
      </c>
      <c r="I8435" s="1" t="s">
        <v>5</v>
      </c>
      <c r="J8435" s="1" t="s">
        <v>6</v>
      </c>
      <c r="K8435" s="1" t="s">
        <v>34</v>
      </c>
      <c r="M8435" s="2">
        <v>42355</v>
      </c>
      <c r="N8435" s="1" t="s">
        <v>8</v>
      </c>
      <c r="O8435" s="2">
        <v>44547</v>
      </c>
    </row>
    <row r="8436" spans="1:15" ht="43.2" x14ac:dyDescent="0.3">
      <c r="A8436" s="1" t="s">
        <v>18745</v>
      </c>
      <c r="B8436" s="1" t="str">
        <f>"Matthew Barker smith "</f>
        <v xml:space="preserve">Matthew Barker smith </v>
      </c>
      <c r="C8436" s="1" t="s">
        <v>18746</v>
      </c>
      <c r="F8436" s="1" t="s">
        <v>65</v>
      </c>
      <c r="H8436" s="1" t="s">
        <v>18747</v>
      </c>
      <c r="I8436" s="1" t="s">
        <v>5</v>
      </c>
      <c r="J8436" s="1" t="s">
        <v>67</v>
      </c>
      <c r="K8436" s="1" t="s">
        <v>14</v>
      </c>
      <c r="M8436" s="2">
        <v>42355</v>
      </c>
      <c r="N8436" s="1" t="s">
        <v>8</v>
      </c>
      <c r="O8436" s="1" t="s">
        <v>68</v>
      </c>
    </row>
    <row r="8437" spans="1:15" ht="28.8" x14ac:dyDescent="0.3">
      <c r="A8437" s="1" t="s">
        <v>32212</v>
      </c>
      <c r="B8437" s="1" t="str">
        <f>"N R Davies Ltd."</f>
        <v>N R Davies Ltd.</v>
      </c>
      <c r="C8437" s="1" t="s">
        <v>32213</v>
      </c>
      <c r="D8437" s="1" t="s">
        <v>32214</v>
      </c>
      <c r="E8437" s="1" t="s">
        <v>32215</v>
      </c>
      <c r="F8437" s="1" t="s">
        <v>720</v>
      </c>
      <c r="G8437" s="1" t="s">
        <v>324</v>
      </c>
      <c r="H8437" s="1" t="s">
        <v>32216</v>
      </c>
      <c r="I8437" s="1" t="s">
        <v>19</v>
      </c>
      <c r="J8437" s="1" t="s">
        <v>6</v>
      </c>
      <c r="K8437" s="1" t="s">
        <v>34</v>
      </c>
      <c r="L8437" s="1">
        <v>4935823</v>
      </c>
      <c r="M8437" s="2">
        <v>42355</v>
      </c>
      <c r="N8437" s="1" t="s">
        <v>8</v>
      </c>
      <c r="O8437" s="2">
        <v>44547</v>
      </c>
    </row>
    <row r="8438" spans="1:15" ht="43.2" x14ac:dyDescent="0.3">
      <c r="A8438" s="1" t="s">
        <v>18742</v>
      </c>
      <c r="B8438" s="1" t="str">
        <f>"john egan"</f>
        <v>john egan</v>
      </c>
      <c r="C8438" s="1" t="s">
        <v>18743</v>
      </c>
      <c r="F8438" s="1" t="s">
        <v>4587</v>
      </c>
      <c r="H8438" s="1" t="s">
        <v>18744</v>
      </c>
      <c r="I8438" s="1" t="s">
        <v>5</v>
      </c>
      <c r="J8438" s="1" t="s">
        <v>67</v>
      </c>
      <c r="K8438" s="1" t="s">
        <v>14</v>
      </c>
      <c r="M8438" s="2">
        <v>42354</v>
      </c>
      <c r="N8438" s="1" t="s">
        <v>8</v>
      </c>
      <c r="O8438" s="1" t="s">
        <v>68</v>
      </c>
    </row>
    <row r="8439" spans="1:15" ht="28.8" x14ac:dyDescent="0.3">
      <c r="A8439" s="1" t="s">
        <v>2939</v>
      </c>
      <c r="B8439" s="1" t="str">
        <f>"CELTIC TRAILERS LTD"</f>
        <v>CELTIC TRAILERS LTD</v>
      </c>
      <c r="C8439" s="1" t="s">
        <v>2940</v>
      </c>
      <c r="F8439" s="1" t="s">
        <v>174</v>
      </c>
      <c r="H8439" s="1" t="s">
        <v>2941</v>
      </c>
      <c r="I8439" s="1" t="s">
        <v>19</v>
      </c>
      <c r="J8439" s="1" t="s">
        <v>6</v>
      </c>
      <c r="K8439" s="1" t="s">
        <v>34</v>
      </c>
      <c r="L8439" s="1">
        <v>1679030</v>
      </c>
      <c r="M8439" s="2">
        <v>42353</v>
      </c>
      <c r="N8439" s="1" t="s">
        <v>8</v>
      </c>
      <c r="O8439" s="2">
        <v>44545</v>
      </c>
    </row>
    <row r="8440" spans="1:15" ht="43.2" x14ac:dyDescent="0.3">
      <c r="A8440" s="1" t="s">
        <v>29803</v>
      </c>
      <c r="B8440" s="1" t="str">
        <f>"James Castrees"</f>
        <v>James Castrees</v>
      </c>
      <c r="C8440" s="1" t="s">
        <v>29804</v>
      </c>
      <c r="D8440" s="1" t="s">
        <v>29805</v>
      </c>
      <c r="E8440" s="1" t="s">
        <v>3150</v>
      </c>
      <c r="F8440" s="1" t="s">
        <v>96</v>
      </c>
      <c r="H8440" s="1" t="s">
        <v>8976</v>
      </c>
      <c r="I8440" s="1" t="s">
        <v>5</v>
      </c>
      <c r="J8440" s="1" t="s">
        <v>67</v>
      </c>
      <c r="K8440" s="1" t="s">
        <v>14</v>
      </c>
      <c r="M8440" s="2">
        <v>42352</v>
      </c>
      <c r="N8440" s="1" t="s">
        <v>8</v>
      </c>
      <c r="O8440" s="1" t="s">
        <v>68</v>
      </c>
    </row>
    <row r="8441" spans="1:15" ht="28.8" x14ac:dyDescent="0.3">
      <c r="A8441" s="1" t="s">
        <v>33168</v>
      </c>
      <c r="B8441" s="1" t="str">
        <f>"Michael Gough GW Fitting Services"</f>
        <v>Michael Gough GW Fitting Services</v>
      </c>
      <c r="C8441" s="1" t="s">
        <v>33169</v>
      </c>
      <c r="F8441" s="1" t="s">
        <v>1184</v>
      </c>
      <c r="H8441" s="1" t="s">
        <v>33170</v>
      </c>
      <c r="I8441" s="1" t="s">
        <v>5</v>
      </c>
      <c r="J8441" s="1" t="s">
        <v>6</v>
      </c>
      <c r="K8441" s="1" t="s">
        <v>24</v>
      </c>
      <c r="M8441" s="2">
        <v>42351</v>
      </c>
      <c r="N8441" s="1" t="s">
        <v>8</v>
      </c>
      <c r="O8441" s="2">
        <v>44543</v>
      </c>
    </row>
    <row r="8442" spans="1:15" ht="28.8" x14ac:dyDescent="0.3">
      <c r="A8442" s="1" t="s">
        <v>33159</v>
      </c>
      <c r="B8442" s="1" t="str">
        <f>"Carl Davies Absolute Handyman"</f>
        <v>Carl Davies Absolute Handyman</v>
      </c>
      <c r="C8442" s="1" t="s">
        <v>33160</v>
      </c>
      <c r="F8442" s="1" t="s">
        <v>42</v>
      </c>
      <c r="H8442" s="1" t="s">
        <v>33161</v>
      </c>
      <c r="I8442" s="1" t="s">
        <v>5</v>
      </c>
      <c r="J8442" s="1" t="s">
        <v>6</v>
      </c>
      <c r="K8442" s="1" t="s">
        <v>24</v>
      </c>
      <c r="M8442" s="2">
        <v>42350</v>
      </c>
      <c r="N8442" s="1" t="s">
        <v>8</v>
      </c>
      <c r="O8442" s="2">
        <v>44542</v>
      </c>
    </row>
    <row r="8443" spans="1:15" ht="43.2" x14ac:dyDescent="0.3">
      <c r="A8443" s="1" t="s">
        <v>29065</v>
      </c>
      <c r="B8443" s="1" t="str">
        <f>"michelle cooper"</f>
        <v>michelle cooper</v>
      </c>
      <c r="C8443" s="1" t="s">
        <v>29066</v>
      </c>
      <c r="F8443" s="1" t="s">
        <v>42</v>
      </c>
      <c r="H8443" s="1" t="s">
        <v>29067</v>
      </c>
      <c r="I8443" s="1" t="s">
        <v>5</v>
      </c>
      <c r="J8443" s="1" t="s">
        <v>67</v>
      </c>
      <c r="K8443" s="1" t="s">
        <v>14</v>
      </c>
      <c r="M8443" s="2">
        <v>42349</v>
      </c>
      <c r="N8443" s="1" t="s">
        <v>8</v>
      </c>
      <c r="O8443" s="1" t="s">
        <v>68</v>
      </c>
    </row>
    <row r="8444" spans="1:15" ht="28.8" x14ac:dyDescent="0.3">
      <c r="A8444" s="1" t="s">
        <v>31983</v>
      </c>
      <c r="B8444" s="1" t="str">
        <f>"MDM Services (Cardiff) Ltd"</f>
        <v>MDM Services (Cardiff) Ltd</v>
      </c>
      <c r="C8444" s="1" t="s">
        <v>11732</v>
      </c>
      <c r="F8444" s="1" t="s">
        <v>91</v>
      </c>
      <c r="H8444" s="1" t="s">
        <v>11733</v>
      </c>
      <c r="I8444" s="1" t="s">
        <v>19</v>
      </c>
      <c r="J8444" s="1" t="s">
        <v>6</v>
      </c>
      <c r="K8444" s="1" t="s">
        <v>34</v>
      </c>
      <c r="L8444" s="1">
        <v>4229272</v>
      </c>
      <c r="M8444" s="2">
        <v>42349</v>
      </c>
      <c r="N8444" s="1" t="s">
        <v>8</v>
      </c>
      <c r="O8444" s="2">
        <v>44541</v>
      </c>
    </row>
    <row r="8445" spans="1:15" ht="28.8" x14ac:dyDescent="0.3">
      <c r="A8445" s="1" t="s">
        <v>31984</v>
      </c>
      <c r="B8445" s="1" t="str">
        <f>"Geoff Burke Flooring Services Ltd."</f>
        <v>Geoff Burke Flooring Services Ltd.</v>
      </c>
      <c r="C8445" s="1" t="s">
        <v>31985</v>
      </c>
      <c r="F8445" s="1" t="s">
        <v>123</v>
      </c>
      <c r="G8445" s="1" t="s">
        <v>27</v>
      </c>
      <c r="H8445" s="1" t="s">
        <v>31986</v>
      </c>
      <c r="I8445" s="1" t="s">
        <v>19</v>
      </c>
      <c r="J8445" s="1" t="s">
        <v>6</v>
      </c>
      <c r="K8445" s="1" t="s">
        <v>24</v>
      </c>
      <c r="L8445" s="1">
        <v>3850876</v>
      </c>
      <c r="M8445" s="2">
        <v>42349</v>
      </c>
      <c r="N8445" s="1" t="s">
        <v>8</v>
      </c>
      <c r="O8445" s="2">
        <v>44541</v>
      </c>
    </row>
    <row r="8446" spans="1:15" ht="28.8" x14ac:dyDescent="0.3">
      <c r="A8446" s="1" t="s">
        <v>32162</v>
      </c>
      <c r="B8446" s="1" t="str">
        <f>"T D PLANT HIRE &amp; HAULAGE"</f>
        <v>T D PLANT HIRE &amp; HAULAGE</v>
      </c>
      <c r="C8446" s="1" t="s">
        <v>32163</v>
      </c>
      <c r="F8446" s="1" t="s">
        <v>370</v>
      </c>
      <c r="H8446" s="1" t="s">
        <v>14326</v>
      </c>
      <c r="I8446" s="1" t="s">
        <v>125</v>
      </c>
      <c r="J8446" s="1" t="s">
        <v>6</v>
      </c>
      <c r="K8446" s="1" t="s">
        <v>24</v>
      </c>
      <c r="M8446" s="2">
        <v>42349</v>
      </c>
      <c r="N8446" s="1" t="s">
        <v>8</v>
      </c>
      <c r="O8446" s="2">
        <v>44541</v>
      </c>
    </row>
    <row r="8447" spans="1:15" ht="28.8" x14ac:dyDescent="0.3">
      <c r="A8447" s="1" t="s">
        <v>33133</v>
      </c>
      <c r="B8447" s="1" t="str">
        <f>"Paul Hughes Cresent -Heating Services"</f>
        <v>Paul Hughes Cresent -Heating Services</v>
      </c>
      <c r="C8447" s="1" t="s">
        <v>33134</v>
      </c>
      <c r="F8447" s="1" t="s">
        <v>359</v>
      </c>
      <c r="H8447" s="1" t="s">
        <v>33135</v>
      </c>
      <c r="I8447" s="1" t="s">
        <v>5</v>
      </c>
      <c r="J8447" s="1" t="s">
        <v>6</v>
      </c>
      <c r="K8447" s="1" t="s">
        <v>24</v>
      </c>
      <c r="M8447" s="2">
        <v>42349</v>
      </c>
      <c r="N8447" s="1" t="s">
        <v>8</v>
      </c>
      <c r="O8447" s="2">
        <v>44541</v>
      </c>
    </row>
    <row r="8448" spans="1:15" ht="43.2" x14ac:dyDescent="0.3">
      <c r="A8448" s="1" t="s">
        <v>2861</v>
      </c>
      <c r="B8448" s="1" t="str">
        <f>"COATINGS AND BLASTING SERVICES LIMITED"</f>
        <v>COATINGS AND BLASTING SERVICES LIMITED</v>
      </c>
      <c r="C8448" s="1" t="s">
        <v>2862</v>
      </c>
      <c r="F8448" s="1" t="s">
        <v>65</v>
      </c>
      <c r="H8448" s="1" t="s">
        <v>2863</v>
      </c>
      <c r="I8448" s="1" t="s">
        <v>19</v>
      </c>
      <c r="J8448" s="1" t="s">
        <v>6</v>
      </c>
      <c r="K8448" s="1" t="s">
        <v>24</v>
      </c>
      <c r="L8448" s="1">
        <v>8105320</v>
      </c>
      <c r="M8448" s="2">
        <v>42348</v>
      </c>
      <c r="N8448" s="1" t="s">
        <v>8</v>
      </c>
      <c r="O8448" s="2">
        <v>44540</v>
      </c>
    </row>
    <row r="8449" spans="1:15" ht="28.8" x14ac:dyDescent="0.3">
      <c r="A8449" s="1" t="s">
        <v>2913</v>
      </c>
      <c r="B8449" s="1" t="str">
        <f>"Westgate Building Services Ltd"</f>
        <v>Westgate Building Services Ltd</v>
      </c>
      <c r="C8449" s="1" t="s">
        <v>2914</v>
      </c>
      <c r="D8449" s="1" t="s">
        <v>767</v>
      </c>
      <c r="F8449" s="1" t="s">
        <v>2915</v>
      </c>
      <c r="H8449" s="1" t="s">
        <v>2916</v>
      </c>
      <c r="I8449" s="1" t="s">
        <v>19</v>
      </c>
      <c r="J8449" s="1" t="s">
        <v>6</v>
      </c>
      <c r="K8449" s="1" t="s">
        <v>34</v>
      </c>
      <c r="L8449" s="1">
        <v>3193352</v>
      </c>
      <c r="M8449" s="2">
        <v>42348</v>
      </c>
      <c r="N8449" s="1" t="s">
        <v>8</v>
      </c>
      <c r="O8449" s="2">
        <v>44540</v>
      </c>
    </row>
    <row r="8450" spans="1:15" ht="43.2" x14ac:dyDescent="0.3">
      <c r="A8450" s="1" t="s">
        <v>16160</v>
      </c>
      <c r="B8450" s="1" t="str">
        <f>"Careers Wales"</f>
        <v>Careers Wales</v>
      </c>
      <c r="C8450" s="1" t="s">
        <v>16161</v>
      </c>
      <c r="D8450" s="1" t="s">
        <v>16162</v>
      </c>
      <c r="E8450" s="1" t="s">
        <v>14616</v>
      </c>
      <c r="F8450" s="1" t="s">
        <v>380</v>
      </c>
      <c r="H8450" s="1" t="s">
        <v>2391</v>
      </c>
      <c r="I8450" s="1" t="s">
        <v>188</v>
      </c>
      <c r="J8450" s="1" t="s">
        <v>67</v>
      </c>
      <c r="K8450" s="1" t="s">
        <v>14</v>
      </c>
      <c r="M8450" s="2">
        <v>42348</v>
      </c>
      <c r="N8450" s="1" t="s">
        <v>8</v>
      </c>
      <c r="O8450" s="1" t="s">
        <v>68</v>
      </c>
    </row>
    <row r="8451" spans="1:15" ht="43.2" x14ac:dyDescent="0.3">
      <c r="A8451" s="1" t="s">
        <v>17134</v>
      </c>
      <c r="B8451" s="1" t="str">
        <f>"Valiant FM"</f>
        <v>Valiant FM</v>
      </c>
      <c r="C8451" s="1" t="s">
        <v>11447</v>
      </c>
      <c r="F8451" s="1" t="s">
        <v>91</v>
      </c>
      <c r="H8451" s="1" t="s">
        <v>11448</v>
      </c>
      <c r="I8451" s="1" t="s">
        <v>19</v>
      </c>
      <c r="J8451" s="1" t="s">
        <v>67</v>
      </c>
      <c r="K8451" s="1" t="s">
        <v>14</v>
      </c>
      <c r="M8451" s="2">
        <v>42348</v>
      </c>
      <c r="N8451" s="1" t="s">
        <v>8</v>
      </c>
      <c r="O8451" s="1" t="s">
        <v>68</v>
      </c>
    </row>
    <row r="8452" spans="1:15" ht="43.2" x14ac:dyDescent="0.3">
      <c r="A8452" s="1" t="s">
        <v>28303</v>
      </c>
      <c r="B8452" s="1" t="str">
        <f>"Will Williams"</f>
        <v>Will Williams</v>
      </c>
      <c r="C8452" s="1" t="s">
        <v>18751</v>
      </c>
      <c r="F8452" s="1" t="s">
        <v>37</v>
      </c>
      <c r="H8452" s="1" t="s">
        <v>38</v>
      </c>
      <c r="I8452" s="1" t="s">
        <v>5</v>
      </c>
      <c r="J8452" s="1" t="s">
        <v>67</v>
      </c>
      <c r="K8452" s="1" t="s">
        <v>14</v>
      </c>
      <c r="M8452" s="2">
        <v>42348</v>
      </c>
      <c r="N8452" s="1" t="s">
        <v>8</v>
      </c>
      <c r="O8452" s="1" t="s">
        <v>68</v>
      </c>
    </row>
    <row r="8453" spans="1:15" ht="43.2" x14ac:dyDescent="0.3">
      <c r="A8453" s="1" t="s">
        <v>29059</v>
      </c>
      <c r="B8453" s="1" t="str">
        <f>"Peter Bottoms"</f>
        <v>Peter Bottoms</v>
      </c>
      <c r="C8453" s="1" t="s">
        <v>29060</v>
      </c>
      <c r="F8453" s="1" t="s">
        <v>1818</v>
      </c>
      <c r="H8453" s="1" t="s">
        <v>29061</v>
      </c>
      <c r="I8453" s="1" t="s">
        <v>5</v>
      </c>
      <c r="J8453" s="1" t="s">
        <v>67</v>
      </c>
      <c r="K8453" s="1" t="s">
        <v>14</v>
      </c>
      <c r="M8453" s="2">
        <v>42348</v>
      </c>
      <c r="N8453" s="1" t="s">
        <v>8</v>
      </c>
      <c r="O8453" s="1" t="s">
        <v>68</v>
      </c>
    </row>
    <row r="8454" spans="1:15" ht="43.2" x14ac:dyDescent="0.3">
      <c r="A8454" s="1" t="s">
        <v>29062</v>
      </c>
      <c r="B8454" s="1" t="str">
        <f>"Paul McCoy"</f>
        <v>Paul McCoy</v>
      </c>
      <c r="C8454" s="1" t="s">
        <v>29063</v>
      </c>
      <c r="F8454" s="1" t="s">
        <v>5401</v>
      </c>
      <c r="H8454" s="1" t="s">
        <v>29064</v>
      </c>
      <c r="I8454" s="1" t="s">
        <v>5</v>
      </c>
      <c r="J8454" s="1" t="s">
        <v>67</v>
      </c>
      <c r="K8454" s="1" t="s">
        <v>14</v>
      </c>
      <c r="M8454" s="2">
        <v>42348</v>
      </c>
      <c r="N8454" s="1" t="s">
        <v>8</v>
      </c>
      <c r="O8454" s="1" t="s">
        <v>68</v>
      </c>
    </row>
    <row r="8455" spans="1:15" ht="28.8" x14ac:dyDescent="0.3">
      <c r="A8455" s="1" t="s">
        <v>31149</v>
      </c>
      <c r="B8455" s="1" t="str">
        <f>"We will clear it ltd"</f>
        <v>We will clear it ltd</v>
      </c>
      <c r="C8455" s="1" t="s">
        <v>30629</v>
      </c>
      <c r="D8455" s="1" t="s">
        <v>31150</v>
      </c>
      <c r="E8455" s="1" t="s">
        <v>12233</v>
      </c>
      <c r="F8455" s="1" t="s">
        <v>64</v>
      </c>
      <c r="G8455" s="1" t="s">
        <v>65</v>
      </c>
      <c r="H8455" s="1" t="s">
        <v>31151</v>
      </c>
      <c r="I8455" s="1" t="s">
        <v>19</v>
      </c>
      <c r="J8455" s="1" t="s">
        <v>6</v>
      </c>
      <c r="K8455" s="1" t="s">
        <v>34</v>
      </c>
      <c r="L8455" s="1">
        <v>9352814</v>
      </c>
      <c r="M8455" s="2">
        <v>42348</v>
      </c>
      <c r="N8455" s="1" t="s">
        <v>8</v>
      </c>
      <c r="O8455" s="2">
        <v>44540</v>
      </c>
    </row>
    <row r="8456" spans="1:15" ht="43.2" x14ac:dyDescent="0.3">
      <c r="A8456" s="1" t="s">
        <v>16149</v>
      </c>
      <c r="B8456" s="1" t="str">
        <f>"Rocket Print &amp; Promotions Ltd"</f>
        <v>Rocket Print &amp; Promotions Ltd</v>
      </c>
      <c r="C8456" s="1" t="s">
        <v>16150</v>
      </c>
      <c r="D8456" s="1" t="s">
        <v>16151</v>
      </c>
      <c r="F8456" s="1" t="s">
        <v>16152</v>
      </c>
      <c r="H8456" s="1" t="s">
        <v>16153</v>
      </c>
      <c r="I8456" s="1" t="s">
        <v>19</v>
      </c>
      <c r="J8456" s="1" t="s">
        <v>67</v>
      </c>
      <c r="K8456" s="1" t="s">
        <v>14</v>
      </c>
      <c r="M8456" s="2">
        <v>42347</v>
      </c>
      <c r="N8456" s="1" t="s">
        <v>8</v>
      </c>
      <c r="O8456" s="1" t="s">
        <v>68</v>
      </c>
    </row>
    <row r="8457" spans="1:15" ht="43.2" x14ac:dyDescent="0.3">
      <c r="A8457" s="1" t="s">
        <v>16154</v>
      </c>
      <c r="B8457" s="1" t="str">
        <f>"EWRICHARDS CHEMIST LTD"</f>
        <v>EWRICHARDS CHEMIST LTD</v>
      </c>
      <c r="C8457" s="1" t="s">
        <v>16155</v>
      </c>
      <c r="F8457" s="1" t="s">
        <v>65</v>
      </c>
      <c r="H8457" s="1" t="s">
        <v>16156</v>
      </c>
      <c r="I8457" s="1" t="s">
        <v>19</v>
      </c>
      <c r="J8457" s="1" t="s">
        <v>67</v>
      </c>
      <c r="K8457" s="1" t="s">
        <v>14</v>
      </c>
      <c r="M8457" s="2">
        <v>42347</v>
      </c>
      <c r="N8457" s="1" t="s">
        <v>8</v>
      </c>
      <c r="O8457" s="1" t="s">
        <v>68</v>
      </c>
    </row>
    <row r="8458" spans="1:15" ht="43.2" x14ac:dyDescent="0.3">
      <c r="A8458" s="1" t="s">
        <v>16157</v>
      </c>
      <c r="B8458" s="1" t="str">
        <f>"Lg waiste removals "</f>
        <v xml:space="preserve">Lg waiste removals </v>
      </c>
      <c r="C8458" s="1" t="s">
        <v>16158</v>
      </c>
      <c r="F8458" s="1" t="s">
        <v>865</v>
      </c>
      <c r="H8458" s="1" t="s">
        <v>16159</v>
      </c>
      <c r="I8458" s="1" t="s">
        <v>188</v>
      </c>
      <c r="J8458" s="1" t="s">
        <v>67</v>
      </c>
      <c r="K8458" s="1" t="s">
        <v>24</v>
      </c>
      <c r="M8458" s="2">
        <v>42347</v>
      </c>
      <c r="N8458" s="1" t="s">
        <v>8</v>
      </c>
      <c r="O8458" s="1" t="s">
        <v>68</v>
      </c>
    </row>
    <row r="8459" spans="1:15" ht="43.2" x14ac:dyDescent="0.3">
      <c r="A8459" s="1" t="s">
        <v>28299</v>
      </c>
      <c r="B8459" s="1" t="str">
        <f>"Adam  James  A&amp;J RUBBISH REMOVAL "</f>
        <v xml:space="preserve">Adam  James  A&amp;J RUBBISH REMOVAL </v>
      </c>
      <c r="C8459" s="1" t="s">
        <v>27471</v>
      </c>
      <c r="F8459" s="1" t="s">
        <v>27</v>
      </c>
      <c r="H8459" s="1" t="s">
        <v>27472</v>
      </c>
      <c r="I8459" s="1" t="s">
        <v>5</v>
      </c>
      <c r="J8459" s="1" t="s">
        <v>67</v>
      </c>
      <c r="K8459" s="1" t="s">
        <v>24</v>
      </c>
      <c r="M8459" s="2">
        <v>42347</v>
      </c>
      <c r="N8459" s="1" t="s">
        <v>8</v>
      </c>
      <c r="O8459" s="1" t="s">
        <v>68</v>
      </c>
    </row>
    <row r="8460" spans="1:15" ht="43.2" x14ac:dyDescent="0.3">
      <c r="A8460" s="1" t="s">
        <v>28300</v>
      </c>
      <c r="B8460" s="1" t="str">
        <f>"A S  Gwilliam"</f>
        <v>A S  Gwilliam</v>
      </c>
      <c r="C8460" s="1" t="s">
        <v>28301</v>
      </c>
      <c r="F8460" s="1" t="s">
        <v>65</v>
      </c>
      <c r="H8460" s="1" t="s">
        <v>28302</v>
      </c>
      <c r="I8460" s="1" t="s">
        <v>5</v>
      </c>
      <c r="J8460" s="1" t="s">
        <v>67</v>
      </c>
      <c r="K8460" s="1" t="s">
        <v>34</v>
      </c>
      <c r="M8460" s="2">
        <v>42347</v>
      </c>
      <c r="N8460" s="1" t="s">
        <v>8</v>
      </c>
      <c r="O8460" s="1" t="s">
        <v>68</v>
      </c>
    </row>
    <row r="8461" spans="1:15" ht="28.8" x14ac:dyDescent="0.3">
      <c r="A8461" s="1" t="s">
        <v>32151</v>
      </c>
      <c r="B8461" s="1" t="str">
        <f>"BPS Facilities Ltd "</f>
        <v xml:space="preserve">BPS Facilities Ltd </v>
      </c>
      <c r="C8461" s="1" t="s">
        <v>32152</v>
      </c>
      <c r="F8461" s="1" t="s">
        <v>27</v>
      </c>
      <c r="H8461" s="1" t="s">
        <v>15786</v>
      </c>
      <c r="I8461" s="1" t="s">
        <v>19</v>
      </c>
      <c r="J8461" s="1" t="s">
        <v>6</v>
      </c>
      <c r="K8461" s="1" t="s">
        <v>34</v>
      </c>
      <c r="L8461" s="1">
        <v>7355396</v>
      </c>
      <c r="M8461" s="2">
        <v>42347</v>
      </c>
      <c r="N8461" s="1" t="s">
        <v>8</v>
      </c>
      <c r="O8461" s="2">
        <v>44539</v>
      </c>
    </row>
    <row r="8462" spans="1:15" x14ac:dyDescent="0.3">
      <c r="A8462" s="1" t="s">
        <v>32153</v>
      </c>
      <c r="B8462" s="1" t="str">
        <f>"DUMPAWASTE LTD"</f>
        <v>DUMPAWASTE LTD</v>
      </c>
      <c r="C8462" s="1" t="s">
        <v>32154</v>
      </c>
      <c r="F8462" s="1" t="s">
        <v>2152</v>
      </c>
      <c r="G8462" s="1" t="s">
        <v>211</v>
      </c>
      <c r="H8462" s="1" t="s">
        <v>32155</v>
      </c>
      <c r="I8462" s="1" t="s">
        <v>19</v>
      </c>
      <c r="J8462" s="1" t="s">
        <v>6</v>
      </c>
      <c r="K8462" s="1" t="s">
        <v>24</v>
      </c>
      <c r="L8462" s="1">
        <v>8677949</v>
      </c>
      <c r="M8462" s="2">
        <v>42347</v>
      </c>
      <c r="N8462" s="1" t="s">
        <v>8</v>
      </c>
      <c r="O8462" s="2">
        <v>44539</v>
      </c>
    </row>
    <row r="8463" spans="1:15" ht="43.2" x14ac:dyDescent="0.3">
      <c r="A8463" s="1" t="s">
        <v>15167</v>
      </c>
      <c r="B8463" s="1" t="str">
        <f>"GX GROUP LTD"</f>
        <v>GX GROUP LTD</v>
      </c>
      <c r="C8463" s="1" t="s">
        <v>15168</v>
      </c>
      <c r="F8463" s="1" t="s">
        <v>4630</v>
      </c>
      <c r="H8463" s="1" t="s">
        <v>15169</v>
      </c>
      <c r="I8463" s="1" t="s">
        <v>19</v>
      </c>
      <c r="J8463" s="1" t="s">
        <v>67</v>
      </c>
      <c r="K8463" s="1" t="s">
        <v>24</v>
      </c>
      <c r="L8463" s="1">
        <v>6651602</v>
      </c>
      <c r="M8463" s="2">
        <v>42346</v>
      </c>
      <c r="N8463" s="1" t="s">
        <v>8</v>
      </c>
      <c r="O8463" s="1" t="s">
        <v>68</v>
      </c>
    </row>
    <row r="8464" spans="1:15" ht="43.2" x14ac:dyDescent="0.3">
      <c r="A8464" s="1" t="s">
        <v>15170</v>
      </c>
      <c r="B8464" s="1" t="str">
        <f>"Rose's Books"</f>
        <v>Rose's Books</v>
      </c>
      <c r="C8464" s="1" t="s">
        <v>15171</v>
      </c>
      <c r="F8464" s="1" t="s">
        <v>3337</v>
      </c>
      <c r="H8464" s="1" t="s">
        <v>5437</v>
      </c>
      <c r="I8464" s="1" t="s">
        <v>125</v>
      </c>
      <c r="J8464" s="1" t="s">
        <v>67</v>
      </c>
      <c r="K8464" s="1" t="s">
        <v>14</v>
      </c>
      <c r="M8464" s="2">
        <v>42346</v>
      </c>
      <c r="N8464" s="1" t="s">
        <v>8</v>
      </c>
      <c r="O8464" s="1" t="s">
        <v>68</v>
      </c>
    </row>
    <row r="8465" spans="1:15" ht="43.2" x14ac:dyDescent="0.3">
      <c r="A8465" s="1" t="s">
        <v>15172</v>
      </c>
      <c r="B8465" s="1" t="str">
        <f>"Fusion Electrical &amp; Building Servic"</f>
        <v>Fusion Electrical &amp; Building Servic</v>
      </c>
      <c r="C8465" s="1" t="s">
        <v>15173</v>
      </c>
      <c r="F8465" s="1" t="s">
        <v>739</v>
      </c>
      <c r="H8465" s="1" t="s">
        <v>15174</v>
      </c>
      <c r="I8465" s="1" t="s">
        <v>19</v>
      </c>
      <c r="J8465" s="1" t="s">
        <v>67</v>
      </c>
      <c r="K8465" s="1" t="s">
        <v>14</v>
      </c>
      <c r="M8465" s="2">
        <v>42346</v>
      </c>
      <c r="N8465" s="1" t="s">
        <v>8</v>
      </c>
      <c r="O8465" s="1" t="s">
        <v>68</v>
      </c>
    </row>
    <row r="8466" spans="1:15" ht="43.2" x14ac:dyDescent="0.3">
      <c r="A8466" s="1" t="s">
        <v>15175</v>
      </c>
      <c r="B8466" s="1" t="str">
        <f>"Towyn Road Garage Limited"</f>
        <v>Towyn Road Garage Limited</v>
      </c>
      <c r="C8466" s="1" t="s">
        <v>15176</v>
      </c>
      <c r="F8466" s="1" t="s">
        <v>370</v>
      </c>
      <c r="H8466" s="1" t="s">
        <v>15177</v>
      </c>
      <c r="I8466" s="1" t="s">
        <v>19</v>
      </c>
      <c r="J8466" s="1" t="s">
        <v>67</v>
      </c>
      <c r="K8466" s="1" t="s">
        <v>14</v>
      </c>
      <c r="M8466" s="2">
        <v>42346</v>
      </c>
      <c r="N8466" s="1" t="s">
        <v>8</v>
      </c>
      <c r="O8466" s="1" t="s">
        <v>68</v>
      </c>
    </row>
    <row r="8467" spans="1:15" ht="43.2" x14ac:dyDescent="0.3">
      <c r="A8467" s="1" t="s">
        <v>27511</v>
      </c>
      <c r="B8467" s="1" t="str">
        <f>"Nicholas Hayles"</f>
        <v>Nicholas Hayles</v>
      </c>
      <c r="C8467" s="1" t="s">
        <v>27512</v>
      </c>
      <c r="F8467" s="1" t="s">
        <v>865</v>
      </c>
      <c r="H8467" s="1" t="s">
        <v>27513</v>
      </c>
      <c r="I8467" s="1" t="s">
        <v>5</v>
      </c>
      <c r="J8467" s="1" t="s">
        <v>67</v>
      </c>
      <c r="K8467" s="1" t="s">
        <v>14</v>
      </c>
      <c r="M8467" s="2">
        <v>42346</v>
      </c>
      <c r="N8467" s="1" t="s">
        <v>8</v>
      </c>
      <c r="O8467" s="1" t="s">
        <v>68</v>
      </c>
    </row>
    <row r="8468" spans="1:15" ht="43.2" x14ac:dyDescent="0.3">
      <c r="A8468" s="1" t="s">
        <v>27514</v>
      </c>
      <c r="B8468" s="1" t="str">
        <f>"David Williams"</f>
        <v>David Williams</v>
      </c>
      <c r="C8468" s="1" t="s">
        <v>27515</v>
      </c>
      <c r="F8468" s="1" t="s">
        <v>1696</v>
      </c>
      <c r="H8468" s="1" t="s">
        <v>27516</v>
      </c>
      <c r="I8468" s="1" t="s">
        <v>5</v>
      </c>
      <c r="J8468" s="1" t="s">
        <v>67</v>
      </c>
      <c r="K8468" s="1" t="s">
        <v>14</v>
      </c>
      <c r="M8468" s="2">
        <v>42346</v>
      </c>
      <c r="N8468" s="1" t="s">
        <v>8</v>
      </c>
      <c r="O8468" s="1" t="s">
        <v>68</v>
      </c>
    </row>
    <row r="8469" spans="1:15" ht="43.2" x14ac:dyDescent="0.3">
      <c r="A8469" s="1" t="s">
        <v>27517</v>
      </c>
      <c r="B8469" s="1" t="str">
        <f>"Nick Carter"</f>
        <v>Nick Carter</v>
      </c>
      <c r="C8469" s="1" t="s">
        <v>27518</v>
      </c>
      <c r="F8469" s="1" t="s">
        <v>1260</v>
      </c>
      <c r="H8469" s="1" t="s">
        <v>27519</v>
      </c>
      <c r="I8469" s="1" t="s">
        <v>5</v>
      </c>
      <c r="J8469" s="1" t="s">
        <v>67</v>
      </c>
      <c r="K8469" s="1" t="s">
        <v>14</v>
      </c>
      <c r="M8469" s="2">
        <v>42346</v>
      </c>
      <c r="N8469" s="1" t="s">
        <v>8</v>
      </c>
      <c r="O8469" s="1" t="s">
        <v>68</v>
      </c>
    </row>
    <row r="8470" spans="1:15" ht="28.8" x14ac:dyDescent="0.3">
      <c r="A8470" s="1" t="s">
        <v>33130</v>
      </c>
      <c r="B8470" s="1" t="str">
        <f>"B B MATHIAS &amp; CO.LTD"</f>
        <v>B B MATHIAS &amp; CO.LTD</v>
      </c>
      <c r="C8470" s="1" t="s">
        <v>33131</v>
      </c>
      <c r="F8470" s="1" t="s">
        <v>438</v>
      </c>
      <c r="H8470" s="1" t="s">
        <v>33132</v>
      </c>
      <c r="I8470" s="1" t="s">
        <v>19</v>
      </c>
      <c r="J8470" s="1" t="s">
        <v>6</v>
      </c>
      <c r="K8470" s="1" t="s">
        <v>34</v>
      </c>
      <c r="L8470" s="1">
        <v>1269296</v>
      </c>
      <c r="M8470" s="2">
        <v>42346</v>
      </c>
      <c r="N8470" s="1" t="s">
        <v>8</v>
      </c>
      <c r="O8470" s="2">
        <v>44538</v>
      </c>
    </row>
    <row r="8471" spans="1:15" ht="43.2" x14ac:dyDescent="0.3">
      <c r="A8471" s="1" t="s">
        <v>26647</v>
      </c>
      <c r="B8471" s="1" t="str">
        <f>"stephen crump"</f>
        <v>stephen crump</v>
      </c>
      <c r="C8471" s="1" t="s">
        <v>26648</v>
      </c>
      <c r="F8471" s="1" t="s">
        <v>5422</v>
      </c>
      <c r="H8471" s="1" t="s">
        <v>26649</v>
      </c>
      <c r="I8471" s="1" t="s">
        <v>5</v>
      </c>
      <c r="J8471" s="1" t="s">
        <v>67</v>
      </c>
      <c r="K8471" s="1" t="s">
        <v>14</v>
      </c>
      <c r="M8471" s="2">
        <v>42345</v>
      </c>
      <c r="N8471" s="1" t="s">
        <v>8</v>
      </c>
      <c r="O8471" s="1" t="s">
        <v>68</v>
      </c>
    </row>
    <row r="8472" spans="1:15" ht="28.8" x14ac:dyDescent="0.3">
      <c r="A8472" s="1" t="s">
        <v>31060</v>
      </c>
      <c r="B8472" s="1" t="str">
        <f>"Leighton Lewis LJL Motors"</f>
        <v>Leighton Lewis LJL Motors</v>
      </c>
      <c r="C8472" s="1" t="s">
        <v>31061</v>
      </c>
      <c r="F8472" s="1" t="s">
        <v>65</v>
      </c>
      <c r="H8472" s="1" t="s">
        <v>31062</v>
      </c>
      <c r="I8472" s="1" t="s">
        <v>5</v>
      </c>
      <c r="J8472" s="1" t="s">
        <v>6</v>
      </c>
      <c r="K8472" s="1" t="s">
        <v>24</v>
      </c>
      <c r="M8472" s="2">
        <v>42345</v>
      </c>
      <c r="N8472" s="1" t="s">
        <v>8</v>
      </c>
      <c r="O8472" s="2">
        <v>44537</v>
      </c>
    </row>
    <row r="8473" spans="1:15" ht="28.8" x14ac:dyDescent="0.3">
      <c r="A8473" s="1" t="s">
        <v>33065</v>
      </c>
      <c r="B8473" s="1" t="str">
        <f>"Vivian Cole V C Maintenance Services"</f>
        <v>Vivian Cole V C Maintenance Services</v>
      </c>
      <c r="C8473" s="1" t="s">
        <v>33066</v>
      </c>
      <c r="F8473" s="1" t="s">
        <v>1975</v>
      </c>
      <c r="H8473" s="1" t="s">
        <v>33067</v>
      </c>
      <c r="I8473" s="1" t="s">
        <v>5</v>
      </c>
      <c r="J8473" s="1" t="s">
        <v>6</v>
      </c>
      <c r="K8473" s="1" t="s">
        <v>24</v>
      </c>
      <c r="M8473" s="2">
        <v>42345</v>
      </c>
      <c r="N8473" s="1" t="s">
        <v>8</v>
      </c>
      <c r="O8473" s="2">
        <v>44537</v>
      </c>
    </row>
    <row r="8474" spans="1:15" ht="28.8" x14ac:dyDescent="0.3">
      <c r="A8474" s="1" t="s">
        <v>33125</v>
      </c>
      <c r="B8474" s="1" t="str">
        <f>"STORMSHIELD ROOFING LIMITED"</f>
        <v>STORMSHIELD ROOFING LIMITED</v>
      </c>
      <c r="C8474" s="1" t="s">
        <v>33126</v>
      </c>
      <c r="D8474" s="1" t="s">
        <v>578</v>
      </c>
      <c r="F8474" s="1" t="s">
        <v>65</v>
      </c>
      <c r="H8474" s="1" t="s">
        <v>26994</v>
      </c>
      <c r="I8474" s="1" t="s">
        <v>19</v>
      </c>
      <c r="J8474" s="1" t="s">
        <v>6</v>
      </c>
      <c r="K8474" s="1" t="s">
        <v>34</v>
      </c>
      <c r="L8474" s="1">
        <v>7933092</v>
      </c>
      <c r="M8474" s="2">
        <v>42345</v>
      </c>
      <c r="N8474" s="1" t="s">
        <v>8</v>
      </c>
      <c r="O8474" s="2">
        <v>44537</v>
      </c>
    </row>
    <row r="8475" spans="1:15" x14ac:dyDescent="0.3">
      <c r="A8475" s="1" t="s">
        <v>33171</v>
      </c>
      <c r="B8475" s="1" t="str">
        <f>"BLD Refrigeration"</f>
        <v>BLD Refrigeration</v>
      </c>
      <c r="C8475" s="1" t="s">
        <v>33172</v>
      </c>
      <c r="F8475" s="1" t="s">
        <v>401</v>
      </c>
      <c r="H8475" s="1" t="s">
        <v>33173</v>
      </c>
      <c r="I8475" s="1" t="s">
        <v>125</v>
      </c>
      <c r="J8475" s="1" t="s">
        <v>6</v>
      </c>
      <c r="K8475" s="1" t="s">
        <v>24</v>
      </c>
      <c r="M8475" s="2">
        <v>42345</v>
      </c>
      <c r="N8475" s="1" t="s">
        <v>8</v>
      </c>
      <c r="O8475" s="2">
        <v>44537</v>
      </c>
    </row>
    <row r="8476" spans="1:15" ht="43.2" x14ac:dyDescent="0.3">
      <c r="A8476" s="1" t="s">
        <v>26646</v>
      </c>
      <c r="B8476" s="1" t="str">
        <f>"Geoffrey William Fitton"</f>
        <v>Geoffrey William Fitton</v>
      </c>
      <c r="C8476" s="1" t="s">
        <v>19823</v>
      </c>
      <c r="F8476" s="1" t="s">
        <v>198</v>
      </c>
      <c r="H8476" s="1" t="s">
        <v>19824</v>
      </c>
      <c r="I8476" s="1" t="s">
        <v>5</v>
      </c>
      <c r="J8476" s="1" t="s">
        <v>67</v>
      </c>
      <c r="K8476" s="1" t="s">
        <v>24</v>
      </c>
      <c r="M8476" s="2">
        <v>42344</v>
      </c>
      <c r="N8476" s="1" t="s">
        <v>8</v>
      </c>
      <c r="O8476" s="1" t="s">
        <v>68</v>
      </c>
    </row>
    <row r="8477" spans="1:15" ht="28.8" x14ac:dyDescent="0.3">
      <c r="A8477" s="1" t="s">
        <v>31993</v>
      </c>
      <c r="B8477" s="1" t="str">
        <f>"Paul James Paul James Builder"</f>
        <v>Paul James Paul James Builder</v>
      </c>
      <c r="C8477" s="1" t="s">
        <v>31994</v>
      </c>
      <c r="D8477" s="1" t="s">
        <v>31995</v>
      </c>
      <c r="F8477" s="1" t="s">
        <v>32</v>
      </c>
      <c r="G8477" s="1" t="s">
        <v>109</v>
      </c>
      <c r="H8477" s="1" t="s">
        <v>8300</v>
      </c>
      <c r="I8477" s="1" t="s">
        <v>5</v>
      </c>
      <c r="J8477" s="1" t="s">
        <v>6</v>
      </c>
      <c r="K8477" s="1" t="s">
        <v>24</v>
      </c>
      <c r="M8477" s="2">
        <v>42344</v>
      </c>
      <c r="N8477" s="1" t="s">
        <v>8</v>
      </c>
      <c r="O8477" s="2">
        <v>44536</v>
      </c>
    </row>
    <row r="8478" spans="1:15" ht="43.2" x14ac:dyDescent="0.3">
      <c r="A8478" s="1" t="s">
        <v>25908</v>
      </c>
      <c r="B8478" s="1" t="str">
        <f>"Kim Wallace-Croasdell"</f>
        <v>Kim Wallace-Croasdell</v>
      </c>
      <c r="C8478" s="1" t="s">
        <v>25909</v>
      </c>
      <c r="F8478" s="1" t="s">
        <v>7088</v>
      </c>
      <c r="H8478" s="1" t="s">
        <v>25910</v>
      </c>
      <c r="I8478" s="1" t="s">
        <v>5</v>
      </c>
      <c r="J8478" s="1" t="s">
        <v>67</v>
      </c>
      <c r="K8478" s="1" t="s">
        <v>14</v>
      </c>
      <c r="M8478" s="2">
        <v>42342</v>
      </c>
      <c r="N8478" s="1" t="s">
        <v>8</v>
      </c>
      <c r="O8478" s="1" t="s">
        <v>68</v>
      </c>
    </row>
    <row r="8479" spans="1:15" ht="43.2" x14ac:dyDescent="0.3">
      <c r="A8479" s="1" t="s">
        <v>30971</v>
      </c>
      <c r="B8479" s="1" t="str">
        <f>"Redwood Environmental Services Ltd."</f>
        <v>Redwood Environmental Services Ltd.</v>
      </c>
      <c r="C8479" s="1" t="s">
        <v>30972</v>
      </c>
      <c r="D8479" s="1" t="s">
        <v>7521</v>
      </c>
      <c r="E8479" s="1" t="s">
        <v>1389</v>
      </c>
      <c r="F8479" s="1" t="s">
        <v>865</v>
      </c>
      <c r="H8479" s="1" t="s">
        <v>7478</v>
      </c>
      <c r="I8479" s="1" t="s">
        <v>19</v>
      </c>
      <c r="J8479" s="1" t="s">
        <v>6</v>
      </c>
      <c r="K8479" s="1" t="s">
        <v>24</v>
      </c>
      <c r="L8479" s="1">
        <v>4932863</v>
      </c>
      <c r="M8479" s="2">
        <v>42342</v>
      </c>
      <c r="N8479" s="1" t="s">
        <v>8</v>
      </c>
      <c r="O8479" s="2">
        <v>44534</v>
      </c>
    </row>
    <row r="8480" spans="1:15" ht="28.8" x14ac:dyDescent="0.3">
      <c r="A8480" s="1" t="s">
        <v>32234</v>
      </c>
      <c r="B8480" s="1" t="str">
        <f>"K.L.Hughes &amp; Sons"</f>
        <v>K.L.Hughes &amp; Sons</v>
      </c>
      <c r="C8480" s="1" t="s">
        <v>32235</v>
      </c>
      <c r="F8480" s="1" t="s">
        <v>37</v>
      </c>
      <c r="H8480" s="1" t="s">
        <v>32236</v>
      </c>
      <c r="I8480" s="1" t="s">
        <v>125</v>
      </c>
      <c r="J8480" s="1" t="s">
        <v>6</v>
      </c>
      <c r="K8480" s="1" t="s">
        <v>24</v>
      </c>
      <c r="M8480" s="2">
        <v>42342</v>
      </c>
      <c r="N8480" s="1" t="s">
        <v>8</v>
      </c>
      <c r="O8480" s="2">
        <v>44534</v>
      </c>
    </row>
    <row r="8481" spans="1:15" ht="43.2" x14ac:dyDescent="0.3">
      <c r="A8481" s="1" t="s">
        <v>13369</v>
      </c>
      <c r="B8481" s="1" t="str">
        <f>"Cancer Research UK"</f>
        <v>Cancer Research UK</v>
      </c>
      <c r="C8481" s="1" t="s">
        <v>2872</v>
      </c>
      <c r="F8481" s="1" t="s">
        <v>170</v>
      </c>
      <c r="H8481" s="1" t="s">
        <v>2873</v>
      </c>
      <c r="I8481" s="1" t="s">
        <v>1872</v>
      </c>
      <c r="J8481" s="1" t="s">
        <v>67</v>
      </c>
      <c r="K8481" s="1" t="s">
        <v>14</v>
      </c>
      <c r="M8481" s="2">
        <v>42341</v>
      </c>
      <c r="N8481" s="1" t="s">
        <v>8</v>
      </c>
      <c r="O8481" s="1" t="s">
        <v>68</v>
      </c>
    </row>
    <row r="8482" spans="1:15" ht="43.2" x14ac:dyDescent="0.3">
      <c r="A8482" s="1" t="s">
        <v>13370</v>
      </c>
      <c r="B8482" s="1" t="str">
        <f>"Iqbal Traders Ltd"</f>
        <v>Iqbal Traders Ltd</v>
      </c>
      <c r="C8482" s="1" t="s">
        <v>13371</v>
      </c>
      <c r="F8482" s="1" t="s">
        <v>170</v>
      </c>
      <c r="H8482" s="1" t="s">
        <v>13372</v>
      </c>
      <c r="I8482" s="1" t="s">
        <v>19</v>
      </c>
      <c r="J8482" s="1" t="s">
        <v>67</v>
      </c>
      <c r="K8482" s="1" t="s">
        <v>14</v>
      </c>
      <c r="M8482" s="2">
        <v>42341</v>
      </c>
      <c r="N8482" s="1" t="s">
        <v>8</v>
      </c>
      <c r="O8482" s="1" t="s">
        <v>68</v>
      </c>
    </row>
    <row r="8483" spans="1:15" ht="43.2" x14ac:dyDescent="0.3">
      <c r="A8483" s="1" t="s">
        <v>25905</v>
      </c>
      <c r="B8483" s="1" t="str">
        <f>"DERRICK RICKY HUGHES"</f>
        <v>DERRICK RICKY HUGHES</v>
      </c>
      <c r="C8483" s="1" t="s">
        <v>25906</v>
      </c>
      <c r="D8483" s="1" t="s">
        <v>1692</v>
      </c>
      <c r="F8483" s="1" t="s">
        <v>865</v>
      </c>
      <c r="H8483" s="1" t="s">
        <v>25907</v>
      </c>
      <c r="I8483" s="1" t="s">
        <v>5</v>
      </c>
      <c r="J8483" s="1" t="s">
        <v>67</v>
      </c>
      <c r="K8483" s="1" t="s">
        <v>24</v>
      </c>
      <c r="M8483" s="2">
        <v>42341</v>
      </c>
      <c r="N8483" s="1" t="s">
        <v>8</v>
      </c>
      <c r="O8483" s="1" t="s">
        <v>68</v>
      </c>
    </row>
    <row r="8484" spans="1:15" ht="28.8" x14ac:dyDescent="0.3">
      <c r="A8484" s="1" t="s">
        <v>31137</v>
      </c>
      <c r="B8484" s="1" t="str">
        <f>"LTS Services Ltd"</f>
        <v>LTS Services Ltd</v>
      </c>
      <c r="C8484" s="1" t="s">
        <v>31138</v>
      </c>
      <c r="F8484" s="1" t="s">
        <v>91</v>
      </c>
      <c r="H8484" s="1" t="s">
        <v>31139</v>
      </c>
      <c r="I8484" s="1" t="s">
        <v>19</v>
      </c>
      <c r="J8484" s="1" t="s">
        <v>6</v>
      </c>
      <c r="K8484" s="1" t="s">
        <v>34</v>
      </c>
      <c r="L8484" s="1">
        <v>5126208</v>
      </c>
      <c r="M8484" s="2">
        <v>42341</v>
      </c>
      <c r="N8484" s="1" t="s">
        <v>8</v>
      </c>
      <c r="O8484" s="2">
        <v>44533</v>
      </c>
    </row>
    <row r="8485" spans="1:15" ht="28.8" x14ac:dyDescent="0.3">
      <c r="A8485" s="1" t="s">
        <v>32209</v>
      </c>
      <c r="B8485" s="1" t="str">
        <f>"Robert Sheppard Construction Ltd "</f>
        <v xml:space="preserve">Robert Sheppard Construction Ltd </v>
      </c>
      <c r="C8485" s="1" t="s">
        <v>32210</v>
      </c>
      <c r="D8485" s="1" t="s">
        <v>29608</v>
      </c>
      <c r="F8485" s="1" t="s">
        <v>607</v>
      </c>
      <c r="H8485" s="1" t="s">
        <v>32211</v>
      </c>
      <c r="I8485" s="1" t="s">
        <v>19</v>
      </c>
      <c r="J8485" s="1" t="s">
        <v>6</v>
      </c>
      <c r="K8485" s="1" t="s">
        <v>24</v>
      </c>
      <c r="L8485" s="1">
        <v>7200942</v>
      </c>
      <c r="M8485" s="2">
        <v>42341</v>
      </c>
      <c r="N8485" s="1" t="s">
        <v>8</v>
      </c>
      <c r="O8485" s="2">
        <v>44533</v>
      </c>
    </row>
    <row r="8486" spans="1:15" ht="28.8" x14ac:dyDescent="0.3">
      <c r="A8486" s="1" t="s">
        <v>2838</v>
      </c>
      <c r="B8486" s="1" t="str">
        <f>"APM247 (sw) ltd"</f>
        <v>APM247 (sw) ltd</v>
      </c>
      <c r="C8486" s="1" t="s">
        <v>2839</v>
      </c>
      <c r="D8486" s="1" t="s">
        <v>2479</v>
      </c>
      <c r="F8486" s="1" t="s">
        <v>1351</v>
      </c>
      <c r="H8486" s="1" t="s">
        <v>2840</v>
      </c>
      <c r="I8486" s="1" t="s">
        <v>19</v>
      </c>
      <c r="J8486" s="1" t="s">
        <v>6</v>
      </c>
      <c r="K8486" s="1" t="s">
        <v>34</v>
      </c>
      <c r="L8486" s="1">
        <v>9621857</v>
      </c>
      <c r="M8486" s="2">
        <v>42340</v>
      </c>
      <c r="N8486" s="1" t="s">
        <v>8</v>
      </c>
      <c r="O8486" s="2">
        <v>44532</v>
      </c>
    </row>
    <row r="8487" spans="1:15" ht="43.2" x14ac:dyDescent="0.3">
      <c r="A8487" s="1" t="s">
        <v>13367</v>
      </c>
      <c r="B8487" s="1" t="str">
        <f>"Firemaster (Colwyn Bay) Ltd."</f>
        <v>Firemaster (Colwyn Bay) Ltd.</v>
      </c>
      <c r="C8487" s="1" t="s">
        <v>13368</v>
      </c>
      <c r="F8487" s="1" t="s">
        <v>1184</v>
      </c>
      <c r="H8487" s="1" t="s">
        <v>8870</v>
      </c>
      <c r="I8487" s="1" t="s">
        <v>19</v>
      </c>
      <c r="J8487" s="1" t="s">
        <v>67</v>
      </c>
      <c r="K8487" s="1" t="s">
        <v>24</v>
      </c>
      <c r="L8487" s="1">
        <v>4493865</v>
      </c>
      <c r="M8487" s="2">
        <v>42340</v>
      </c>
      <c r="N8487" s="1" t="s">
        <v>8</v>
      </c>
      <c r="O8487" s="1" t="s">
        <v>68</v>
      </c>
    </row>
    <row r="8488" spans="1:15" ht="43.2" x14ac:dyDescent="0.3">
      <c r="A8488" s="1" t="s">
        <v>25902</v>
      </c>
      <c r="B8488" s="1" t="str">
        <f>"Kelvin  Beamand  Khr heating services "</f>
        <v xml:space="preserve">Kelvin  Beamand  Khr heating services </v>
      </c>
      <c r="C8488" s="1" t="s">
        <v>25903</v>
      </c>
      <c r="F8488" s="1" t="s">
        <v>277</v>
      </c>
      <c r="H8488" s="1" t="s">
        <v>25904</v>
      </c>
      <c r="I8488" s="1" t="s">
        <v>5</v>
      </c>
      <c r="J8488" s="1" t="s">
        <v>67</v>
      </c>
      <c r="K8488" s="1" t="s">
        <v>34</v>
      </c>
      <c r="M8488" s="2">
        <v>42340</v>
      </c>
      <c r="N8488" s="1" t="s">
        <v>8</v>
      </c>
      <c r="O8488" s="1" t="s">
        <v>68</v>
      </c>
    </row>
    <row r="8489" spans="1:15" x14ac:dyDescent="0.3">
      <c r="A8489" s="1" t="s">
        <v>32106</v>
      </c>
      <c r="B8489" s="1" t="str">
        <f>"paul carrier"</f>
        <v>paul carrier</v>
      </c>
      <c r="C8489" s="1" t="s">
        <v>14392</v>
      </c>
      <c r="F8489" s="1" t="s">
        <v>380</v>
      </c>
      <c r="H8489" s="1" t="s">
        <v>14393</v>
      </c>
      <c r="I8489" s="1" t="s">
        <v>5</v>
      </c>
      <c r="J8489" s="1" t="s">
        <v>6</v>
      </c>
      <c r="K8489" s="1" t="s">
        <v>24</v>
      </c>
      <c r="M8489" s="2">
        <v>42340</v>
      </c>
      <c r="N8489" s="1" t="s">
        <v>8</v>
      </c>
      <c r="O8489" s="2">
        <v>44532</v>
      </c>
    </row>
    <row r="8490" spans="1:15" ht="43.2" x14ac:dyDescent="0.3">
      <c r="A8490" s="1" t="s">
        <v>32959</v>
      </c>
      <c r="B8490" s="1" t="str">
        <f>"Rbf Comms  Services Ltd"</f>
        <v>Rbf Comms  Services Ltd</v>
      </c>
      <c r="C8490" s="1" t="s">
        <v>32960</v>
      </c>
      <c r="D8490" s="1" t="s">
        <v>155</v>
      </c>
      <c r="F8490" s="1" t="s">
        <v>91</v>
      </c>
      <c r="H8490" s="1" t="s">
        <v>3077</v>
      </c>
      <c r="I8490" s="1" t="s">
        <v>19</v>
      </c>
      <c r="J8490" s="1" t="s">
        <v>6</v>
      </c>
      <c r="K8490" s="1" t="s">
        <v>24</v>
      </c>
      <c r="L8490" s="1">
        <v>3200457</v>
      </c>
      <c r="M8490" s="2">
        <v>42340</v>
      </c>
      <c r="N8490" s="1" t="s">
        <v>8</v>
      </c>
      <c r="O8490" s="2">
        <v>44532</v>
      </c>
    </row>
    <row r="8491" spans="1:15" ht="43.2" x14ac:dyDescent="0.3">
      <c r="A8491" s="1" t="s">
        <v>12245</v>
      </c>
      <c r="B8491" s="1" t="str">
        <f>"RGW PLANT LTD"</f>
        <v>RGW PLANT LTD</v>
      </c>
      <c r="C8491" s="1" t="s">
        <v>12246</v>
      </c>
      <c r="D8491" s="1" t="s">
        <v>3014</v>
      </c>
      <c r="F8491" s="1" t="s">
        <v>205</v>
      </c>
      <c r="H8491" s="1" t="s">
        <v>12247</v>
      </c>
      <c r="I8491" s="1" t="s">
        <v>19</v>
      </c>
      <c r="J8491" s="1" t="s">
        <v>67</v>
      </c>
      <c r="K8491" s="1" t="s">
        <v>34</v>
      </c>
      <c r="L8491" s="1">
        <v>7054638</v>
      </c>
      <c r="M8491" s="2">
        <v>42339</v>
      </c>
      <c r="N8491" s="1" t="s">
        <v>8</v>
      </c>
      <c r="O8491" s="1" t="s">
        <v>68</v>
      </c>
    </row>
    <row r="8492" spans="1:15" ht="43.2" x14ac:dyDescent="0.3">
      <c r="A8492" s="1" t="s">
        <v>12248</v>
      </c>
      <c r="B8492" s="1" t="str">
        <f>"Chartwell Trust Care Ltd"</f>
        <v>Chartwell Trust Care Ltd</v>
      </c>
      <c r="C8492" s="1" t="s">
        <v>12249</v>
      </c>
      <c r="F8492" s="1" t="s">
        <v>9039</v>
      </c>
      <c r="H8492" s="1" t="s">
        <v>12250</v>
      </c>
      <c r="I8492" s="1" t="s">
        <v>19</v>
      </c>
      <c r="J8492" s="1" t="s">
        <v>67</v>
      </c>
      <c r="K8492" s="1" t="s">
        <v>14</v>
      </c>
      <c r="M8492" s="2">
        <v>42339</v>
      </c>
      <c r="N8492" s="1" t="s">
        <v>8</v>
      </c>
      <c r="O8492" s="1" t="s">
        <v>68</v>
      </c>
    </row>
    <row r="8493" spans="1:15" ht="43.2" x14ac:dyDescent="0.3">
      <c r="A8493" s="1" t="s">
        <v>13364</v>
      </c>
      <c r="B8493" s="1" t="str">
        <f>"LMC Lighting &amp; Electrical Services"</f>
        <v>LMC Lighting &amp; Electrical Services</v>
      </c>
      <c r="C8493" s="1" t="s">
        <v>13365</v>
      </c>
      <c r="D8493" s="1" t="s">
        <v>746</v>
      </c>
      <c r="F8493" s="1" t="s">
        <v>1346</v>
      </c>
      <c r="H8493" s="1" t="s">
        <v>13366</v>
      </c>
      <c r="I8493" s="1" t="s">
        <v>19</v>
      </c>
      <c r="J8493" s="1" t="s">
        <v>67</v>
      </c>
      <c r="K8493" s="1" t="s">
        <v>14</v>
      </c>
      <c r="M8493" s="2">
        <v>42339</v>
      </c>
      <c r="N8493" s="1" t="s">
        <v>8</v>
      </c>
      <c r="O8493" s="1" t="s">
        <v>68</v>
      </c>
    </row>
    <row r="8494" spans="1:15" ht="43.2" x14ac:dyDescent="0.3">
      <c r="A8494" s="1" t="s">
        <v>25187</v>
      </c>
      <c r="B8494" s="1" t="str">
        <f>"Philip Egan"</f>
        <v>Philip Egan</v>
      </c>
      <c r="C8494" s="1" t="s">
        <v>25188</v>
      </c>
      <c r="F8494" s="1" t="s">
        <v>401</v>
      </c>
      <c r="H8494" s="1" t="s">
        <v>25189</v>
      </c>
      <c r="I8494" s="1" t="s">
        <v>5</v>
      </c>
      <c r="J8494" s="1" t="s">
        <v>67</v>
      </c>
      <c r="K8494" s="1" t="s">
        <v>14</v>
      </c>
      <c r="M8494" s="2">
        <v>42339</v>
      </c>
      <c r="N8494" s="1" t="s">
        <v>8</v>
      </c>
      <c r="O8494" s="1" t="s">
        <v>68</v>
      </c>
    </row>
    <row r="8495" spans="1:15" ht="28.8" x14ac:dyDescent="0.3">
      <c r="A8495" s="1" t="s">
        <v>31035</v>
      </c>
      <c r="B8495" s="1" t="str">
        <f>"H G GRIFFITHS LIMITED"</f>
        <v>H G GRIFFITHS LIMITED</v>
      </c>
      <c r="C8495" s="1" t="s">
        <v>31036</v>
      </c>
      <c r="F8495" s="1" t="s">
        <v>96</v>
      </c>
      <c r="H8495" s="1" t="s">
        <v>31037</v>
      </c>
      <c r="I8495" s="1" t="s">
        <v>19</v>
      </c>
      <c r="J8495" s="1" t="s">
        <v>6</v>
      </c>
      <c r="K8495" s="1" t="s">
        <v>34</v>
      </c>
      <c r="L8495" s="1">
        <v>6761808</v>
      </c>
      <c r="M8495" s="2">
        <v>42339</v>
      </c>
      <c r="N8495" s="1" t="s">
        <v>8</v>
      </c>
      <c r="O8495" s="2">
        <v>44531</v>
      </c>
    </row>
    <row r="8496" spans="1:15" ht="43.2" x14ac:dyDescent="0.3">
      <c r="A8496" s="1" t="s">
        <v>31094</v>
      </c>
      <c r="B8496" s="1" t="str">
        <f>"THERMAL ENGINEERING (WALES) LTD"</f>
        <v>THERMAL ENGINEERING (WALES) LTD</v>
      </c>
      <c r="C8496" s="1" t="s">
        <v>31095</v>
      </c>
      <c r="F8496" s="1" t="s">
        <v>64</v>
      </c>
      <c r="H8496" s="1" t="s">
        <v>31096</v>
      </c>
      <c r="I8496" s="1" t="s">
        <v>19</v>
      </c>
      <c r="J8496" s="1" t="s">
        <v>6</v>
      </c>
      <c r="K8496" s="1" t="s">
        <v>24</v>
      </c>
      <c r="L8496" s="1">
        <v>3887144</v>
      </c>
      <c r="M8496" s="2">
        <v>42339</v>
      </c>
      <c r="N8496" s="1" t="s">
        <v>8</v>
      </c>
      <c r="O8496" s="2">
        <v>44531</v>
      </c>
    </row>
    <row r="8497" spans="1:15" ht="43.2" x14ac:dyDescent="0.3">
      <c r="A8497" s="1" t="s">
        <v>31108</v>
      </c>
      <c r="B8497" s="1" t="str">
        <f>"Wall Lag (Wales) Ltd."</f>
        <v>Wall Lag (Wales) Ltd.</v>
      </c>
      <c r="C8497" s="1" t="s">
        <v>31109</v>
      </c>
      <c r="F8497" s="1" t="s">
        <v>607</v>
      </c>
      <c r="H8497" s="1" t="s">
        <v>31110</v>
      </c>
      <c r="I8497" s="1" t="s">
        <v>19</v>
      </c>
      <c r="J8497" s="1" t="s">
        <v>6</v>
      </c>
      <c r="K8497" s="1" t="s">
        <v>34</v>
      </c>
      <c r="L8497" s="1">
        <v>1301528</v>
      </c>
      <c r="M8497" s="2">
        <v>42339</v>
      </c>
      <c r="N8497" s="1" t="s">
        <v>8</v>
      </c>
      <c r="O8497" s="2">
        <v>44531</v>
      </c>
    </row>
    <row r="8498" spans="1:15" ht="28.8" x14ac:dyDescent="0.3">
      <c r="A8498" s="1" t="s">
        <v>32015</v>
      </c>
      <c r="B8498" s="1" t="str">
        <f>"Black Circle Retail Design Ltd"</f>
        <v>Black Circle Retail Design Ltd</v>
      </c>
      <c r="C8498" s="1" t="s">
        <v>32016</v>
      </c>
      <c r="D8498" s="1" t="s">
        <v>5837</v>
      </c>
      <c r="F8498" s="1" t="s">
        <v>64</v>
      </c>
      <c r="H8498" s="1" t="s">
        <v>32017</v>
      </c>
      <c r="I8498" s="1" t="s">
        <v>19</v>
      </c>
      <c r="J8498" s="1" t="s">
        <v>6</v>
      </c>
      <c r="K8498" s="1" t="s">
        <v>34</v>
      </c>
      <c r="L8498" s="1">
        <v>8382459</v>
      </c>
      <c r="M8498" s="2">
        <v>42339</v>
      </c>
      <c r="N8498" s="1" t="s">
        <v>8</v>
      </c>
      <c r="O8498" s="2">
        <v>44531</v>
      </c>
    </row>
    <row r="8499" spans="1:15" ht="43.2" x14ac:dyDescent="0.3">
      <c r="A8499" s="1" t="s">
        <v>11289</v>
      </c>
      <c r="B8499" s="1" t="str">
        <f>"Mid West Wales Fire Rescue Service"</f>
        <v>Mid West Wales Fire Rescue Service</v>
      </c>
      <c r="C8499" s="1" t="s">
        <v>11290</v>
      </c>
      <c r="F8499" s="1" t="s">
        <v>96</v>
      </c>
      <c r="H8499" s="1" t="s">
        <v>11291</v>
      </c>
      <c r="I8499" s="1" t="s">
        <v>188</v>
      </c>
      <c r="J8499" s="1" t="s">
        <v>67</v>
      </c>
      <c r="K8499" s="1" t="s">
        <v>14</v>
      </c>
      <c r="M8499" s="2">
        <v>42338</v>
      </c>
      <c r="N8499" s="1" t="s">
        <v>8</v>
      </c>
      <c r="O8499" s="1" t="s">
        <v>68</v>
      </c>
    </row>
    <row r="8500" spans="1:15" ht="43.2" x14ac:dyDescent="0.3">
      <c r="A8500" s="1" t="s">
        <v>11292</v>
      </c>
      <c r="B8500" s="1" t="str">
        <f>"Electromec Ltd."</f>
        <v>Electromec Ltd.</v>
      </c>
      <c r="C8500" s="1" t="s">
        <v>11293</v>
      </c>
      <c r="D8500" s="1" t="s">
        <v>9781</v>
      </c>
      <c r="E8500" s="1" t="s">
        <v>197</v>
      </c>
      <c r="F8500" s="1" t="s">
        <v>198</v>
      </c>
      <c r="H8500" s="1" t="s">
        <v>199</v>
      </c>
      <c r="I8500" s="1" t="s">
        <v>19</v>
      </c>
      <c r="J8500" s="1" t="s">
        <v>67</v>
      </c>
      <c r="K8500" s="1" t="s">
        <v>24</v>
      </c>
      <c r="L8500" s="1">
        <v>4133148</v>
      </c>
      <c r="M8500" s="2">
        <v>42338</v>
      </c>
      <c r="N8500" s="1" t="s">
        <v>8</v>
      </c>
      <c r="O8500" s="1" t="s">
        <v>68</v>
      </c>
    </row>
    <row r="8501" spans="1:15" ht="28.8" x14ac:dyDescent="0.3">
      <c r="A8501" s="1" t="s">
        <v>32922</v>
      </c>
      <c r="B8501" s="1" t="str">
        <f>"SKOMER HAULAGE LTD"</f>
        <v>SKOMER HAULAGE LTD</v>
      </c>
      <c r="C8501" s="1" t="s">
        <v>32923</v>
      </c>
      <c r="F8501" s="1" t="s">
        <v>865</v>
      </c>
      <c r="H8501" s="1" t="s">
        <v>32924</v>
      </c>
      <c r="I8501" s="1" t="s">
        <v>19</v>
      </c>
      <c r="J8501" s="1" t="s">
        <v>6</v>
      </c>
      <c r="K8501" s="1" t="s">
        <v>24</v>
      </c>
      <c r="L8501" s="1">
        <v>3348521</v>
      </c>
      <c r="M8501" s="2">
        <v>42338</v>
      </c>
      <c r="N8501" s="1" t="s">
        <v>8</v>
      </c>
      <c r="O8501" s="2">
        <v>44530</v>
      </c>
    </row>
    <row r="8502" spans="1:15" ht="28.8" x14ac:dyDescent="0.3">
      <c r="A8502" s="1" t="s">
        <v>33059</v>
      </c>
      <c r="B8502" s="1" t="str">
        <f>"J&amp;E Woodworks"</f>
        <v>J&amp;E Woodworks</v>
      </c>
      <c r="C8502" s="1" t="s">
        <v>33060</v>
      </c>
      <c r="D8502" s="1" t="s">
        <v>33061</v>
      </c>
      <c r="F8502" s="1" t="s">
        <v>1385</v>
      </c>
      <c r="G8502" s="1" t="s">
        <v>654</v>
      </c>
      <c r="H8502" s="1" t="s">
        <v>33062</v>
      </c>
      <c r="I8502" s="1" t="s">
        <v>125</v>
      </c>
      <c r="J8502" s="1" t="s">
        <v>6</v>
      </c>
      <c r="K8502" s="1" t="s">
        <v>34</v>
      </c>
      <c r="M8502" s="2">
        <v>42338</v>
      </c>
      <c r="N8502" s="1" t="s">
        <v>8</v>
      </c>
      <c r="O8502" s="2">
        <v>44530</v>
      </c>
    </row>
    <row r="8503" spans="1:15" ht="43.2" x14ac:dyDescent="0.3">
      <c r="A8503" s="1" t="s">
        <v>11285</v>
      </c>
      <c r="B8503" s="1" t="str">
        <f>"mark barber contract gardeners ltd"</f>
        <v>mark barber contract gardeners ltd</v>
      </c>
      <c r="C8503" s="1" t="s">
        <v>11286</v>
      </c>
      <c r="F8503" s="1" t="s">
        <v>11287</v>
      </c>
      <c r="H8503" s="1" t="s">
        <v>11288</v>
      </c>
      <c r="I8503" s="1" t="s">
        <v>19</v>
      </c>
      <c r="J8503" s="1" t="s">
        <v>67</v>
      </c>
      <c r="K8503" s="1" t="s">
        <v>14</v>
      </c>
      <c r="M8503" s="2">
        <v>42337</v>
      </c>
      <c r="N8503" s="1" t="s">
        <v>8</v>
      </c>
      <c r="O8503" s="1" t="s">
        <v>68</v>
      </c>
    </row>
    <row r="8504" spans="1:15" ht="43.2" x14ac:dyDescent="0.3">
      <c r="A8504" s="1" t="s">
        <v>11281</v>
      </c>
      <c r="B8504" s="1" t="str">
        <f>"Creative Gardens &amp; Landscaping Ltd"</f>
        <v>Creative Gardens &amp; Landscaping Ltd</v>
      </c>
      <c r="C8504" s="1" t="s">
        <v>11282</v>
      </c>
      <c r="F8504" s="1" t="s">
        <v>11283</v>
      </c>
      <c r="H8504" s="1" t="s">
        <v>11284</v>
      </c>
      <c r="I8504" s="1" t="s">
        <v>19</v>
      </c>
      <c r="J8504" s="1" t="s">
        <v>67</v>
      </c>
      <c r="K8504" s="1" t="s">
        <v>14</v>
      </c>
      <c r="M8504" s="2">
        <v>42336</v>
      </c>
      <c r="N8504" s="1" t="s">
        <v>8</v>
      </c>
      <c r="O8504" s="1" t="s">
        <v>68</v>
      </c>
    </row>
    <row r="8505" spans="1:15" ht="43.2" x14ac:dyDescent="0.3">
      <c r="A8505" s="1" t="s">
        <v>24338</v>
      </c>
      <c r="B8505" s="1" t="str">
        <f>"glenn evans g evans"</f>
        <v>glenn evans g evans</v>
      </c>
      <c r="C8505" s="1" t="s">
        <v>24339</v>
      </c>
      <c r="F8505" s="1" t="s">
        <v>65</v>
      </c>
      <c r="H8505" s="1" t="s">
        <v>24340</v>
      </c>
      <c r="I8505" s="1" t="s">
        <v>5</v>
      </c>
      <c r="J8505" s="1" t="s">
        <v>67</v>
      </c>
      <c r="K8505" s="1" t="s">
        <v>24</v>
      </c>
      <c r="M8505" s="2">
        <v>42336</v>
      </c>
      <c r="N8505" s="1" t="s">
        <v>8</v>
      </c>
      <c r="O8505" s="1" t="s">
        <v>68</v>
      </c>
    </row>
    <row r="8506" spans="1:15" ht="43.2" x14ac:dyDescent="0.3">
      <c r="A8506" s="1" t="s">
        <v>11277</v>
      </c>
      <c r="B8506" s="1" t="str">
        <f>"John Cossens &amp; Doreen Cossens"</f>
        <v>John Cossens &amp; Doreen Cossens</v>
      </c>
      <c r="C8506" s="1" t="s">
        <v>11278</v>
      </c>
      <c r="F8506" s="1" t="s">
        <v>11279</v>
      </c>
      <c r="H8506" s="1" t="s">
        <v>11280</v>
      </c>
      <c r="I8506" s="1" t="s">
        <v>125</v>
      </c>
      <c r="J8506" s="1" t="s">
        <v>67</v>
      </c>
      <c r="K8506" s="1" t="s">
        <v>14</v>
      </c>
      <c r="M8506" s="2">
        <v>42335</v>
      </c>
      <c r="N8506" s="1" t="s">
        <v>8</v>
      </c>
      <c r="O8506" s="1" t="s">
        <v>68</v>
      </c>
    </row>
    <row r="8507" spans="1:15" x14ac:dyDescent="0.3">
      <c r="A8507" s="1" t="s">
        <v>2948</v>
      </c>
      <c r="B8507" s="1" t="str">
        <f>"john smith J SMITH"</f>
        <v>john smith J SMITH</v>
      </c>
      <c r="C8507" s="1" t="s">
        <v>2949</v>
      </c>
      <c r="F8507" s="1" t="s">
        <v>2950</v>
      </c>
      <c r="H8507" s="1" t="s">
        <v>2951</v>
      </c>
      <c r="I8507" s="1" t="s">
        <v>5</v>
      </c>
      <c r="J8507" s="1" t="s">
        <v>6</v>
      </c>
      <c r="K8507" s="1" t="s">
        <v>24</v>
      </c>
      <c r="M8507" s="2">
        <v>42334</v>
      </c>
      <c r="N8507" s="1" t="s">
        <v>8</v>
      </c>
      <c r="O8507" s="2">
        <v>44526</v>
      </c>
    </row>
    <row r="8508" spans="1:15" ht="43.2" x14ac:dyDescent="0.3">
      <c r="A8508" s="1" t="s">
        <v>10269</v>
      </c>
      <c r="B8508" s="1" t="str">
        <f>"LINKS ELECTRICAL SUPPLIES LTD"</f>
        <v>LINKS ELECTRICAL SUPPLIES LTD</v>
      </c>
      <c r="C8508" s="1" t="s">
        <v>10270</v>
      </c>
      <c r="D8508" s="1" t="s">
        <v>955</v>
      </c>
      <c r="F8508" s="1" t="s">
        <v>445</v>
      </c>
      <c r="H8508" s="1" t="s">
        <v>1374</v>
      </c>
      <c r="I8508" s="1" t="s">
        <v>19</v>
      </c>
      <c r="J8508" s="1" t="s">
        <v>67</v>
      </c>
      <c r="K8508" s="1" t="s">
        <v>24</v>
      </c>
      <c r="L8508" s="1">
        <v>4113354</v>
      </c>
      <c r="M8508" s="2">
        <v>42334</v>
      </c>
      <c r="N8508" s="1" t="s">
        <v>8</v>
      </c>
      <c r="O8508" s="1" t="s">
        <v>68</v>
      </c>
    </row>
    <row r="8509" spans="1:15" ht="43.2" x14ac:dyDescent="0.3">
      <c r="A8509" s="1" t="s">
        <v>10271</v>
      </c>
      <c r="B8509" s="1" t="str">
        <f>"HEALTHY WORKSTATIONS LTS"</f>
        <v>HEALTHY WORKSTATIONS LTS</v>
      </c>
      <c r="C8509" s="1" t="s">
        <v>10272</v>
      </c>
      <c r="F8509" s="1" t="s">
        <v>65</v>
      </c>
      <c r="H8509" s="1" t="s">
        <v>10273</v>
      </c>
      <c r="I8509" s="1" t="s">
        <v>19</v>
      </c>
      <c r="J8509" s="1" t="s">
        <v>67</v>
      </c>
      <c r="K8509" s="1" t="s">
        <v>14</v>
      </c>
      <c r="M8509" s="2">
        <v>42334</v>
      </c>
      <c r="N8509" s="1" t="s">
        <v>8</v>
      </c>
      <c r="O8509" s="1" t="s">
        <v>68</v>
      </c>
    </row>
    <row r="8510" spans="1:15" ht="43.2" x14ac:dyDescent="0.3">
      <c r="A8510" s="1" t="s">
        <v>10274</v>
      </c>
      <c r="B8510" s="1" t="str">
        <f>"agg soil limited"</f>
        <v>agg soil limited</v>
      </c>
      <c r="C8510" s="1" t="s">
        <v>10275</v>
      </c>
      <c r="F8510" s="1" t="s">
        <v>10072</v>
      </c>
      <c r="H8510" s="1" t="s">
        <v>10276</v>
      </c>
      <c r="I8510" s="1" t="s">
        <v>19</v>
      </c>
      <c r="J8510" s="1" t="s">
        <v>67</v>
      </c>
      <c r="K8510" s="1" t="s">
        <v>14</v>
      </c>
      <c r="M8510" s="2">
        <v>42334</v>
      </c>
      <c r="N8510" s="1" t="s">
        <v>8</v>
      </c>
      <c r="O8510" s="1" t="s">
        <v>68</v>
      </c>
    </row>
    <row r="8511" spans="1:15" ht="43.2" x14ac:dyDescent="0.3">
      <c r="A8511" s="1" t="s">
        <v>10277</v>
      </c>
      <c r="B8511" s="1" t="str">
        <f>"Ma Cuisine"</f>
        <v>Ma Cuisine</v>
      </c>
      <c r="C8511" s="1" t="s">
        <v>10278</v>
      </c>
      <c r="F8511" s="1" t="s">
        <v>10279</v>
      </c>
      <c r="H8511" s="1" t="s">
        <v>10280</v>
      </c>
      <c r="I8511" s="1" t="s">
        <v>125</v>
      </c>
      <c r="J8511" s="1" t="s">
        <v>67</v>
      </c>
      <c r="K8511" s="1" t="s">
        <v>14</v>
      </c>
      <c r="M8511" s="2">
        <v>42334</v>
      </c>
      <c r="N8511" s="1" t="s">
        <v>8</v>
      </c>
      <c r="O8511" s="1" t="s">
        <v>68</v>
      </c>
    </row>
    <row r="8512" spans="1:15" ht="43.2" x14ac:dyDescent="0.3">
      <c r="A8512" s="1" t="s">
        <v>23491</v>
      </c>
      <c r="B8512" s="1" t="str">
        <f>"Eryl  Roberts"</f>
        <v>Eryl  Roberts</v>
      </c>
      <c r="C8512" s="1" t="s">
        <v>23492</v>
      </c>
      <c r="F8512" s="1" t="s">
        <v>1169</v>
      </c>
      <c r="H8512" s="1" t="s">
        <v>23493</v>
      </c>
      <c r="I8512" s="1" t="s">
        <v>5</v>
      </c>
      <c r="J8512" s="1" t="s">
        <v>67</v>
      </c>
      <c r="K8512" s="1" t="s">
        <v>14</v>
      </c>
      <c r="M8512" s="2">
        <v>42334</v>
      </c>
      <c r="N8512" s="1" t="s">
        <v>8</v>
      </c>
      <c r="O8512" s="1" t="s">
        <v>68</v>
      </c>
    </row>
    <row r="8513" spans="1:15" ht="28.8" x14ac:dyDescent="0.3">
      <c r="A8513" s="1" t="s">
        <v>32983</v>
      </c>
      <c r="B8513" s="1" t="str">
        <f>"I S CONSULTANCY (UK) LTD"</f>
        <v>I S CONSULTANCY (UK) LTD</v>
      </c>
      <c r="C8513" s="1" t="s">
        <v>32984</v>
      </c>
      <c r="D8513" s="1" t="s">
        <v>32985</v>
      </c>
      <c r="E8513" s="1" t="s">
        <v>5030</v>
      </c>
      <c r="F8513" s="1" t="s">
        <v>4507</v>
      </c>
      <c r="H8513" s="1" t="s">
        <v>4508</v>
      </c>
      <c r="I8513" s="1" t="s">
        <v>19</v>
      </c>
      <c r="J8513" s="1" t="s">
        <v>6</v>
      </c>
      <c r="K8513" s="1" t="s">
        <v>24</v>
      </c>
      <c r="L8513" s="1">
        <v>3119795</v>
      </c>
      <c r="M8513" s="2">
        <v>42334</v>
      </c>
      <c r="N8513" s="1" t="s">
        <v>8</v>
      </c>
      <c r="O8513" s="2">
        <v>44526</v>
      </c>
    </row>
    <row r="8514" spans="1:15" ht="28.8" x14ac:dyDescent="0.3">
      <c r="A8514" s="1" t="s">
        <v>731</v>
      </c>
      <c r="B8514" s="1" t="str">
        <f>"K1 Logistics Ltd"</f>
        <v>K1 Logistics Ltd</v>
      </c>
      <c r="C8514" s="1" t="s">
        <v>732</v>
      </c>
      <c r="F8514" s="1" t="s">
        <v>733</v>
      </c>
      <c r="H8514" s="1" t="s">
        <v>734</v>
      </c>
      <c r="I8514" s="1" t="s">
        <v>19</v>
      </c>
      <c r="J8514" s="1" t="s">
        <v>6</v>
      </c>
      <c r="K8514" s="1" t="s">
        <v>34</v>
      </c>
      <c r="L8514" s="1">
        <v>6904872</v>
      </c>
      <c r="M8514" s="2">
        <v>42333</v>
      </c>
      <c r="N8514" s="1" t="s">
        <v>8</v>
      </c>
      <c r="O8514" s="2">
        <v>44525</v>
      </c>
    </row>
    <row r="8515" spans="1:15" ht="28.8" x14ac:dyDescent="0.3">
      <c r="A8515" s="1" t="s">
        <v>3038</v>
      </c>
      <c r="B8515" s="1" t="str">
        <f>"Atal Contracting Ltd"</f>
        <v>Atal Contracting Ltd</v>
      </c>
      <c r="C8515" s="1" t="s">
        <v>3039</v>
      </c>
      <c r="D8515" s="1" t="s">
        <v>3040</v>
      </c>
      <c r="E8515" s="1" t="s">
        <v>3041</v>
      </c>
      <c r="F8515" s="1" t="s">
        <v>102</v>
      </c>
      <c r="G8515" s="1" t="s">
        <v>642</v>
      </c>
      <c r="H8515" s="1" t="s">
        <v>3042</v>
      </c>
      <c r="I8515" s="1" t="s">
        <v>19</v>
      </c>
      <c r="J8515" s="1" t="s">
        <v>6</v>
      </c>
      <c r="K8515" s="1" t="s">
        <v>24</v>
      </c>
      <c r="L8515" s="1">
        <v>8843959</v>
      </c>
      <c r="M8515" s="2">
        <v>42333</v>
      </c>
      <c r="N8515" s="1" t="s">
        <v>8</v>
      </c>
      <c r="O8515" s="2">
        <v>44531</v>
      </c>
    </row>
    <row r="8516" spans="1:15" ht="43.2" x14ac:dyDescent="0.3">
      <c r="A8516" s="1" t="s">
        <v>9147</v>
      </c>
      <c r="B8516" s="1" t="str">
        <f>"The vintage furniture den"</f>
        <v>The vintage furniture den</v>
      </c>
      <c r="C8516" s="1" t="s">
        <v>9148</v>
      </c>
      <c r="D8516" s="1" t="s">
        <v>9149</v>
      </c>
      <c r="F8516" s="1" t="s">
        <v>1525</v>
      </c>
      <c r="H8516" s="1" t="s">
        <v>9150</v>
      </c>
      <c r="I8516" s="1" t="s">
        <v>125</v>
      </c>
      <c r="J8516" s="1" t="s">
        <v>67</v>
      </c>
      <c r="K8516" s="1" t="s">
        <v>14</v>
      </c>
      <c r="M8516" s="2">
        <v>42333</v>
      </c>
      <c r="N8516" s="1" t="s">
        <v>8</v>
      </c>
      <c r="O8516" s="1" t="s">
        <v>68</v>
      </c>
    </row>
    <row r="8517" spans="1:15" ht="28.8" x14ac:dyDescent="0.3">
      <c r="A8517" s="1" t="s">
        <v>31969</v>
      </c>
      <c r="B8517" s="1" t="str">
        <f>"Anthony Jones"</f>
        <v>Anthony Jones</v>
      </c>
      <c r="C8517" s="1" t="s">
        <v>31970</v>
      </c>
      <c r="D8517" s="1" t="s">
        <v>31971</v>
      </c>
      <c r="E8517" s="1" t="s">
        <v>108</v>
      </c>
      <c r="F8517" s="1" t="s">
        <v>64</v>
      </c>
      <c r="G8517" s="1" t="s">
        <v>109</v>
      </c>
      <c r="H8517" s="1" t="s">
        <v>31972</v>
      </c>
      <c r="I8517" s="1" t="s">
        <v>5</v>
      </c>
      <c r="J8517" s="1" t="s">
        <v>6</v>
      </c>
      <c r="K8517" s="1" t="s">
        <v>34</v>
      </c>
      <c r="M8517" s="2">
        <v>42333</v>
      </c>
      <c r="N8517" s="1" t="s">
        <v>8</v>
      </c>
      <c r="O8517" s="2">
        <v>44525</v>
      </c>
    </row>
    <row r="8518" spans="1:15" ht="43.2" x14ac:dyDescent="0.3">
      <c r="A8518" s="1" t="s">
        <v>32938</v>
      </c>
      <c r="B8518" s="1" t="str">
        <f>"Messrs Morian &amp; Eirwyn Morgan (Cwmnantilici Plant)"</f>
        <v>Messrs Morian &amp; Eirwyn Morgan (Cwmnantilici Plant)</v>
      </c>
      <c r="C8518" s="1" t="s">
        <v>32939</v>
      </c>
      <c r="D8518" s="1" t="s">
        <v>31971</v>
      </c>
      <c r="E8518" s="1" t="s">
        <v>108</v>
      </c>
      <c r="F8518" s="1" t="s">
        <v>65</v>
      </c>
      <c r="H8518" s="1" t="s">
        <v>32940</v>
      </c>
      <c r="I8518" s="1" t="s">
        <v>125</v>
      </c>
      <c r="J8518" s="1" t="s">
        <v>6</v>
      </c>
      <c r="K8518" s="1" t="s">
        <v>24</v>
      </c>
      <c r="M8518" s="2">
        <v>42333</v>
      </c>
      <c r="N8518" s="1" t="s">
        <v>8</v>
      </c>
      <c r="O8518" s="2">
        <v>44525</v>
      </c>
    </row>
    <row r="8519" spans="1:15" ht="28.8" x14ac:dyDescent="0.3">
      <c r="A8519" s="1" t="s">
        <v>33120</v>
      </c>
      <c r="B8519" s="1" t="str">
        <f>"M &amp; J Evans Ltd."</f>
        <v>M &amp; J Evans Ltd.</v>
      </c>
      <c r="C8519" s="1" t="s">
        <v>33121</v>
      </c>
      <c r="F8519" s="1" t="s">
        <v>1346</v>
      </c>
      <c r="H8519" s="1" t="s">
        <v>7710</v>
      </c>
      <c r="I8519" s="1" t="s">
        <v>19</v>
      </c>
      <c r="J8519" s="1" t="s">
        <v>6</v>
      </c>
      <c r="K8519" s="1" t="s">
        <v>34</v>
      </c>
      <c r="L8519" s="1">
        <v>5487441</v>
      </c>
      <c r="M8519" s="2">
        <v>42333</v>
      </c>
      <c r="N8519" s="1" t="s">
        <v>8</v>
      </c>
      <c r="O8519" s="2">
        <v>44525</v>
      </c>
    </row>
    <row r="8520" spans="1:15" ht="43.2" x14ac:dyDescent="0.3">
      <c r="A8520" s="1" t="s">
        <v>7936</v>
      </c>
      <c r="B8520" s="1" t="str">
        <f>"Pontardawe Air movements"</f>
        <v>Pontardawe Air movements</v>
      </c>
      <c r="C8520" s="1" t="s">
        <v>7937</v>
      </c>
      <c r="D8520" s="1" t="s">
        <v>7938</v>
      </c>
      <c r="F8520" s="1" t="s">
        <v>64</v>
      </c>
      <c r="H8520" s="1" t="s">
        <v>7939</v>
      </c>
      <c r="I8520" s="1" t="s">
        <v>19</v>
      </c>
      <c r="J8520" s="1" t="s">
        <v>67</v>
      </c>
      <c r="K8520" s="1" t="s">
        <v>14</v>
      </c>
      <c r="M8520" s="2">
        <v>42332</v>
      </c>
      <c r="N8520" s="1" t="s">
        <v>8</v>
      </c>
      <c r="O8520" s="1" t="s">
        <v>68</v>
      </c>
    </row>
    <row r="8521" spans="1:15" ht="43.2" x14ac:dyDescent="0.3">
      <c r="A8521" s="1" t="s">
        <v>7940</v>
      </c>
      <c r="B8521" s="1" t="str">
        <f>"Vent Shop "</f>
        <v xml:space="preserve">Vent Shop </v>
      </c>
      <c r="C8521" s="1" t="s">
        <v>7941</v>
      </c>
      <c r="D8521" s="1" t="s">
        <v>4649</v>
      </c>
      <c r="F8521" s="1" t="s">
        <v>174</v>
      </c>
      <c r="H8521" s="1" t="s">
        <v>7942</v>
      </c>
      <c r="I8521" s="1" t="s">
        <v>19</v>
      </c>
      <c r="J8521" s="1" t="s">
        <v>67</v>
      </c>
      <c r="K8521" s="1" t="s">
        <v>14</v>
      </c>
      <c r="M8521" s="2">
        <v>42332</v>
      </c>
      <c r="N8521" s="1" t="s">
        <v>8</v>
      </c>
      <c r="O8521" s="1" t="s">
        <v>68</v>
      </c>
    </row>
    <row r="8522" spans="1:15" ht="43.2" x14ac:dyDescent="0.3">
      <c r="A8522" s="1" t="s">
        <v>7943</v>
      </c>
      <c r="B8522" s="1" t="str">
        <f>"Ecolab Ltd"</f>
        <v>Ecolab Ltd</v>
      </c>
      <c r="C8522" s="1" t="s">
        <v>5988</v>
      </c>
      <c r="F8522" s="1" t="s">
        <v>103</v>
      </c>
      <c r="H8522" s="1" t="s">
        <v>5989</v>
      </c>
      <c r="I8522" s="1" t="s">
        <v>19</v>
      </c>
      <c r="J8522" s="1" t="s">
        <v>67</v>
      </c>
      <c r="K8522" s="1" t="s">
        <v>14</v>
      </c>
      <c r="M8522" s="2">
        <v>42332</v>
      </c>
      <c r="N8522" s="1" t="s">
        <v>8</v>
      </c>
      <c r="O8522" s="1" t="s">
        <v>68</v>
      </c>
    </row>
    <row r="8523" spans="1:15" ht="43.2" x14ac:dyDescent="0.3">
      <c r="A8523" s="1" t="s">
        <v>7944</v>
      </c>
      <c r="B8523" s="1" t="str">
        <f>"St Peters Church Selsey"</f>
        <v>St Peters Church Selsey</v>
      </c>
      <c r="C8523" s="1" t="s">
        <v>7945</v>
      </c>
      <c r="D8523" s="1" t="s">
        <v>7946</v>
      </c>
      <c r="F8523" s="1" t="s">
        <v>1928</v>
      </c>
      <c r="H8523" s="1" t="s">
        <v>7947</v>
      </c>
      <c r="I8523" s="1" t="s">
        <v>1872</v>
      </c>
      <c r="J8523" s="1" t="s">
        <v>67</v>
      </c>
      <c r="K8523" s="1" t="s">
        <v>14</v>
      </c>
      <c r="M8523" s="2">
        <v>42332</v>
      </c>
      <c r="N8523" s="1" t="s">
        <v>8</v>
      </c>
      <c r="O8523" s="1" t="s">
        <v>68</v>
      </c>
    </row>
    <row r="8524" spans="1:15" ht="43.2" x14ac:dyDescent="0.3">
      <c r="A8524" s="1" t="s">
        <v>21928</v>
      </c>
      <c r="B8524" s="1" t="str">
        <f>"Jagtar Johal"</f>
        <v>Jagtar Johal</v>
      </c>
      <c r="C8524" s="1" t="s">
        <v>21929</v>
      </c>
      <c r="F8524" s="1" t="s">
        <v>32</v>
      </c>
      <c r="H8524" s="1" t="s">
        <v>21930</v>
      </c>
      <c r="I8524" s="1" t="s">
        <v>5</v>
      </c>
      <c r="J8524" s="1" t="s">
        <v>67</v>
      </c>
      <c r="K8524" s="1" t="s">
        <v>14</v>
      </c>
      <c r="M8524" s="2">
        <v>42332</v>
      </c>
      <c r="N8524" s="1" t="s">
        <v>8</v>
      </c>
      <c r="O8524" s="1" t="s">
        <v>68</v>
      </c>
    </row>
    <row r="8525" spans="1:15" ht="43.2" x14ac:dyDescent="0.3">
      <c r="A8525" s="1" t="s">
        <v>21931</v>
      </c>
      <c r="B8525" s="1" t="str">
        <f>"Elfed Thomas"</f>
        <v>Elfed Thomas</v>
      </c>
      <c r="C8525" s="1" t="s">
        <v>21932</v>
      </c>
      <c r="D8525" s="1" t="s">
        <v>9851</v>
      </c>
      <c r="F8525" s="1" t="s">
        <v>607</v>
      </c>
      <c r="H8525" s="1" t="s">
        <v>21933</v>
      </c>
      <c r="I8525" s="1" t="s">
        <v>5</v>
      </c>
      <c r="J8525" s="1" t="s">
        <v>67</v>
      </c>
      <c r="K8525" s="1" t="s">
        <v>24</v>
      </c>
      <c r="M8525" s="2">
        <v>42332</v>
      </c>
      <c r="N8525" s="1" t="s">
        <v>8</v>
      </c>
      <c r="O8525" s="1" t="s">
        <v>68</v>
      </c>
    </row>
    <row r="8526" spans="1:15" ht="43.2" x14ac:dyDescent="0.3">
      <c r="A8526" s="1" t="s">
        <v>21934</v>
      </c>
      <c r="B8526" s="1" t="str">
        <f>"ian wilson"</f>
        <v>ian wilson</v>
      </c>
      <c r="C8526" s="1" t="s">
        <v>21935</v>
      </c>
      <c r="F8526" s="1" t="s">
        <v>42</v>
      </c>
      <c r="H8526" s="1" t="s">
        <v>21936</v>
      </c>
      <c r="I8526" s="1" t="s">
        <v>5</v>
      </c>
      <c r="J8526" s="1" t="s">
        <v>67</v>
      </c>
      <c r="K8526" s="1" t="s">
        <v>14</v>
      </c>
      <c r="M8526" s="2">
        <v>42332</v>
      </c>
      <c r="N8526" s="1" t="s">
        <v>8</v>
      </c>
      <c r="O8526" s="1" t="s">
        <v>68</v>
      </c>
    </row>
    <row r="8527" spans="1:15" ht="43.2" x14ac:dyDescent="0.3">
      <c r="A8527" s="1" t="s">
        <v>21937</v>
      </c>
      <c r="B8527" s="1" t="str">
        <f>"Ian Morris"</f>
        <v>Ian Morris</v>
      </c>
      <c r="C8527" s="1" t="s">
        <v>21938</v>
      </c>
      <c r="F8527" s="1" t="s">
        <v>1346</v>
      </c>
      <c r="H8527" s="1" t="s">
        <v>21939</v>
      </c>
      <c r="I8527" s="1" t="s">
        <v>5</v>
      </c>
      <c r="J8527" s="1" t="s">
        <v>67</v>
      </c>
      <c r="K8527" s="1" t="s">
        <v>34</v>
      </c>
      <c r="M8527" s="2">
        <v>42332</v>
      </c>
      <c r="N8527" s="1" t="s">
        <v>8</v>
      </c>
      <c r="O8527" s="1" t="s">
        <v>68</v>
      </c>
    </row>
    <row r="8528" spans="1:15" ht="43.2" x14ac:dyDescent="0.3">
      <c r="A8528" s="1" t="s">
        <v>22715</v>
      </c>
      <c r="B8528" s="1" t="str">
        <f>"MICHAEL KELLY"</f>
        <v>MICHAEL KELLY</v>
      </c>
      <c r="C8528" s="1" t="s">
        <v>22716</v>
      </c>
      <c r="F8528" s="1" t="s">
        <v>42</v>
      </c>
      <c r="H8528" s="1" t="s">
        <v>21238</v>
      </c>
      <c r="I8528" s="1" t="s">
        <v>5</v>
      </c>
      <c r="J8528" s="1" t="s">
        <v>67</v>
      </c>
      <c r="K8528" s="1" t="s">
        <v>14</v>
      </c>
      <c r="M8528" s="2">
        <v>42332</v>
      </c>
      <c r="N8528" s="1" t="s">
        <v>8</v>
      </c>
      <c r="O8528" s="1" t="s">
        <v>68</v>
      </c>
    </row>
    <row r="8529" spans="1:15" ht="28.8" x14ac:dyDescent="0.3">
      <c r="A8529" s="1" t="s">
        <v>33096</v>
      </c>
      <c r="B8529" s="1" t="str">
        <f>"Jones &amp; Whitehead Ltd."</f>
        <v>Jones &amp; Whitehead Ltd.</v>
      </c>
      <c r="C8529" s="1" t="s">
        <v>33097</v>
      </c>
      <c r="F8529" s="1" t="s">
        <v>1321</v>
      </c>
      <c r="H8529" s="1" t="s">
        <v>33098</v>
      </c>
      <c r="I8529" s="1" t="s">
        <v>19</v>
      </c>
      <c r="J8529" s="1" t="s">
        <v>6</v>
      </c>
      <c r="K8529" s="1" t="s">
        <v>34</v>
      </c>
      <c r="L8529" s="1">
        <v>1020419</v>
      </c>
      <c r="M8529" s="2">
        <v>42332</v>
      </c>
      <c r="N8529" s="1" t="s">
        <v>8</v>
      </c>
      <c r="O8529" s="2">
        <v>44524</v>
      </c>
    </row>
    <row r="8530" spans="1:15" ht="28.8" x14ac:dyDescent="0.3">
      <c r="A8530" s="1" t="s">
        <v>3009</v>
      </c>
      <c r="B8530" s="1" t="str">
        <f>"HGC Roofing &amp; Flooring Ltd"</f>
        <v>HGC Roofing &amp; Flooring Ltd</v>
      </c>
      <c r="C8530" s="1" t="s">
        <v>3010</v>
      </c>
      <c r="F8530" s="1" t="s">
        <v>12</v>
      </c>
      <c r="H8530" s="1" t="s">
        <v>3011</v>
      </c>
      <c r="I8530" s="1" t="s">
        <v>19</v>
      </c>
      <c r="J8530" s="1" t="s">
        <v>6</v>
      </c>
      <c r="K8530" s="1" t="s">
        <v>34</v>
      </c>
      <c r="L8530" s="1">
        <v>4471846</v>
      </c>
      <c r="M8530" s="2">
        <v>42331</v>
      </c>
      <c r="N8530" s="1" t="s">
        <v>8</v>
      </c>
      <c r="O8530" s="2">
        <v>44523</v>
      </c>
    </row>
    <row r="8531" spans="1:15" ht="43.2" x14ac:dyDescent="0.3">
      <c r="A8531" s="1" t="s">
        <v>21155</v>
      </c>
      <c r="B8531" s="1" t="str">
        <f>"nathan riddoch"</f>
        <v>nathan riddoch</v>
      </c>
      <c r="C8531" s="1" t="s">
        <v>21156</v>
      </c>
      <c r="F8531" s="1" t="s">
        <v>401</v>
      </c>
      <c r="H8531" s="1" t="s">
        <v>21157</v>
      </c>
      <c r="I8531" s="1" t="s">
        <v>5</v>
      </c>
      <c r="J8531" s="1" t="s">
        <v>67</v>
      </c>
      <c r="K8531" s="1" t="s">
        <v>24</v>
      </c>
      <c r="M8531" s="2">
        <v>42331</v>
      </c>
      <c r="N8531" s="1" t="s">
        <v>8</v>
      </c>
      <c r="O8531" s="1" t="s">
        <v>68</v>
      </c>
    </row>
    <row r="8532" spans="1:15" ht="43.2" x14ac:dyDescent="0.3">
      <c r="A8532" s="1" t="s">
        <v>21158</v>
      </c>
      <c r="B8532" s="1" t="str">
        <f>"Tomos Barton"</f>
        <v>Tomos Barton</v>
      </c>
      <c r="C8532" s="1" t="s">
        <v>21159</v>
      </c>
      <c r="D8532" s="1" t="s">
        <v>21160</v>
      </c>
      <c r="F8532" s="1" t="s">
        <v>1321</v>
      </c>
      <c r="H8532" s="1" t="s">
        <v>21161</v>
      </c>
      <c r="I8532" s="1" t="s">
        <v>5</v>
      </c>
      <c r="J8532" s="1" t="s">
        <v>67</v>
      </c>
      <c r="K8532" s="1" t="s">
        <v>14</v>
      </c>
      <c r="M8532" s="2">
        <v>42331</v>
      </c>
      <c r="N8532" s="1" t="s">
        <v>8</v>
      </c>
      <c r="O8532" s="1" t="s">
        <v>68</v>
      </c>
    </row>
    <row r="8533" spans="1:15" ht="28.8" x14ac:dyDescent="0.3">
      <c r="A8533" s="1" t="s">
        <v>32018</v>
      </c>
      <c r="B8533" s="1" t="str">
        <f>"Stephen Clarke S J Clarke &amp; Son"</f>
        <v>Stephen Clarke S J Clarke &amp; Son</v>
      </c>
      <c r="C8533" s="1" t="s">
        <v>32019</v>
      </c>
      <c r="F8533" s="1" t="s">
        <v>42</v>
      </c>
      <c r="H8533" s="1" t="s">
        <v>32020</v>
      </c>
      <c r="I8533" s="1" t="s">
        <v>5</v>
      </c>
      <c r="J8533" s="1" t="s">
        <v>6</v>
      </c>
      <c r="K8533" s="1" t="s">
        <v>24</v>
      </c>
      <c r="M8533" s="2">
        <v>42331</v>
      </c>
      <c r="N8533" s="1" t="s">
        <v>8</v>
      </c>
      <c r="O8533" s="2">
        <v>44523</v>
      </c>
    </row>
    <row r="8534" spans="1:15" ht="43.2" x14ac:dyDescent="0.3">
      <c r="A8534" s="1" t="s">
        <v>21152</v>
      </c>
      <c r="B8534" s="1" t="str">
        <f>"STEVEN ADAMS"</f>
        <v>STEVEN ADAMS</v>
      </c>
      <c r="C8534" s="1" t="s">
        <v>21153</v>
      </c>
      <c r="F8534" s="1" t="s">
        <v>6886</v>
      </c>
      <c r="H8534" s="1" t="s">
        <v>21154</v>
      </c>
      <c r="I8534" s="1" t="s">
        <v>5</v>
      </c>
      <c r="J8534" s="1" t="s">
        <v>67</v>
      </c>
      <c r="K8534" s="1" t="s">
        <v>14</v>
      </c>
      <c r="M8534" s="2">
        <v>42330</v>
      </c>
      <c r="N8534" s="1" t="s">
        <v>8</v>
      </c>
      <c r="O8534" s="1" t="s">
        <v>68</v>
      </c>
    </row>
    <row r="8535" spans="1:15" ht="43.2" x14ac:dyDescent="0.3">
      <c r="A8535" s="1" t="s">
        <v>6898</v>
      </c>
      <c r="B8535" s="1" t="str">
        <f>"EVANS BUILDING &amp; PLASTICS LTD"</f>
        <v>EVANS BUILDING &amp; PLASTICS LTD</v>
      </c>
      <c r="C8535" s="1" t="s">
        <v>3461</v>
      </c>
      <c r="F8535" s="1" t="s">
        <v>4033</v>
      </c>
      <c r="H8535" s="1" t="s">
        <v>6899</v>
      </c>
      <c r="I8535" s="1" t="s">
        <v>19</v>
      </c>
      <c r="J8535" s="1" t="s">
        <v>67</v>
      </c>
      <c r="K8535" s="1" t="s">
        <v>24</v>
      </c>
      <c r="L8535" s="1">
        <v>7017303</v>
      </c>
      <c r="M8535" s="2">
        <v>42329</v>
      </c>
      <c r="N8535" s="1" t="s">
        <v>8</v>
      </c>
      <c r="O8535" s="1" t="s">
        <v>68</v>
      </c>
    </row>
    <row r="8536" spans="1:15" ht="28.8" x14ac:dyDescent="0.3">
      <c r="A8536" s="1" t="s">
        <v>2573</v>
      </c>
      <c r="B8536" s="1" t="str">
        <f>"ParkCity Multitrade Ltd "</f>
        <v xml:space="preserve">ParkCity Multitrade Ltd </v>
      </c>
      <c r="C8536" s="1" t="s">
        <v>2574</v>
      </c>
      <c r="D8536" s="1" t="s">
        <v>475</v>
      </c>
      <c r="F8536" s="1" t="s">
        <v>83</v>
      </c>
      <c r="H8536" s="1" t="s">
        <v>2575</v>
      </c>
      <c r="I8536" s="1" t="s">
        <v>19</v>
      </c>
      <c r="J8536" s="1" t="s">
        <v>6</v>
      </c>
      <c r="K8536" s="1" t="s">
        <v>34</v>
      </c>
      <c r="L8536" s="1">
        <v>8071872</v>
      </c>
      <c r="M8536" s="2">
        <v>42328</v>
      </c>
      <c r="N8536" s="1" t="s">
        <v>8</v>
      </c>
      <c r="O8536" s="2">
        <v>44520</v>
      </c>
    </row>
    <row r="8537" spans="1:15" ht="43.2" x14ac:dyDescent="0.3">
      <c r="A8537" s="1" t="s">
        <v>5727</v>
      </c>
      <c r="B8537" s="1" t="str">
        <f>"Penllyn Estate Farm"</f>
        <v>Penllyn Estate Farm</v>
      </c>
      <c r="C8537" s="1" t="s">
        <v>5728</v>
      </c>
      <c r="F8537" s="1" t="s">
        <v>786</v>
      </c>
      <c r="H8537" s="1" t="s">
        <v>5392</v>
      </c>
      <c r="I8537" s="1" t="s">
        <v>125</v>
      </c>
      <c r="J8537" s="1" t="s">
        <v>67</v>
      </c>
      <c r="K8537" s="1" t="s">
        <v>24</v>
      </c>
      <c r="M8537" s="2">
        <v>42328</v>
      </c>
      <c r="N8537" s="1" t="s">
        <v>8</v>
      </c>
      <c r="O8537" s="1" t="s">
        <v>68</v>
      </c>
    </row>
    <row r="8538" spans="1:15" ht="28.8" x14ac:dyDescent="0.3">
      <c r="A8538" s="1" t="s">
        <v>31014</v>
      </c>
      <c r="B8538" s="1" t="str">
        <f>"ROBIN THOMAS DEMOLITION LTD"</f>
        <v>ROBIN THOMAS DEMOLITION LTD</v>
      </c>
      <c r="C8538" s="1" t="s">
        <v>31015</v>
      </c>
      <c r="F8538" s="1" t="s">
        <v>710</v>
      </c>
      <c r="H8538" s="1" t="s">
        <v>31016</v>
      </c>
      <c r="I8538" s="1" t="s">
        <v>19</v>
      </c>
      <c r="J8538" s="1" t="s">
        <v>6</v>
      </c>
      <c r="K8538" s="1" t="s">
        <v>34</v>
      </c>
      <c r="L8538" s="1">
        <v>8037673</v>
      </c>
      <c r="M8538" s="2">
        <v>42328</v>
      </c>
      <c r="N8538" s="1" t="s">
        <v>8</v>
      </c>
      <c r="O8538" s="2">
        <v>44520</v>
      </c>
    </row>
    <row r="8539" spans="1:15" ht="28.8" x14ac:dyDescent="0.3">
      <c r="A8539" s="1" t="s">
        <v>32006</v>
      </c>
      <c r="B8539" s="1" t="str">
        <f>"Duncan Mckenna"</f>
        <v>Duncan Mckenna</v>
      </c>
      <c r="C8539" s="1" t="s">
        <v>32007</v>
      </c>
      <c r="D8539" s="1" t="s">
        <v>4123</v>
      </c>
      <c r="F8539" s="1" t="s">
        <v>42</v>
      </c>
      <c r="H8539" s="1" t="s">
        <v>4124</v>
      </c>
      <c r="I8539" s="1" t="s">
        <v>5</v>
      </c>
      <c r="J8539" s="1" t="s">
        <v>6</v>
      </c>
      <c r="K8539" s="1" t="s">
        <v>34</v>
      </c>
      <c r="M8539" s="2">
        <v>42328</v>
      </c>
      <c r="N8539" s="1" t="s">
        <v>8</v>
      </c>
      <c r="O8539" s="2">
        <v>44520</v>
      </c>
    </row>
    <row r="8540" spans="1:15" ht="28.8" x14ac:dyDescent="0.3">
      <c r="A8540" s="1" t="s">
        <v>33034</v>
      </c>
      <c r="B8540" s="1" t="str">
        <f>"Olympic U P V C Products Ltd."</f>
        <v>Olympic U P V C Products Ltd.</v>
      </c>
      <c r="C8540" s="1" t="s">
        <v>33035</v>
      </c>
      <c r="F8540" s="1" t="s">
        <v>42</v>
      </c>
      <c r="H8540" s="1" t="s">
        <v>33036</v>
      </c>
      <c r="I8540" s="1" t="s">
        <v>19</v>
      </c>
      <c r="J8540" s="1" t="s">
        <v>6</v>
      </c>
      <c r="K8540" s="1" t="s">
        <v>24</v>
      </c>
      <c r="L8540" s="1">
        <v>2485343</v>
      </c>
      <c r="M8540" s="2">
        <v>42328</v>
      </c>
      <c r="N8540" s="1" t="s">
        <v>8</v>
      </c>
      <c r="O8540" s="2">
        <v>44520</v>
      </c>
    </row>
    <row r="8541" spans="1:15" ht="43.2" x14ac:dyDescent="0.3">
      <c r="A8541" s="1" t="s">
        <v>4557</v>
      </c>
      <c r="B8541" s="1" t="str">
        <f>"D L Corran Tree Surgeons Ltd"</f>
        <v>D L Corran Tree Surgeons Ltd</v>
      </c>
      <c r="C8541" s="1" t="s">
        <v>4558</v>
      </c>
      <c r="F8541" s="1" t="s">
        <v>205</v>
      </c>
      <c r="H8541" s="1" t="s">
        <v>4559</v>
      </c>
      <c r="I8541" s="1" t="s">
        <v>19</v>
      </c>
      <c r="J8541" s="1" t="s">
        <v>67</v>
      </c>
      <c r="K8541" s="1" t="s">
        <v>14</v>
      </c>
      <c r="M8541" s="2">
        <v>42327</v>
      </c>
      <c r="N8541" s="1" t="s">
        <v>8</v>
      </c>
      <c r="O8541" s="1" t="s">
        <v>68</v>
      </c>
    </row>
    <row r="8542" spans="1:15" ht="43.2" x14ac:dyDescent="0.3">
      <c r="A8542" s="1" t="s">
        <v>5720</v>
      </c>
      <c r="B8542" s="1" t="str">
        <f>"Fitzgerald Plant Services "</f>
        <v xml:space="preserve">Fitzgerald Plant Services </v>
      </c>
      <c r="C8542" s="1" t="s">
        <v>5721</v>
      </c>
      <c r="D8542" s="1" t="s">
        <v>5722</v>
      </c>
      <c r="F8542" s="1" t="s">
        <v>380</v>
      </c>
      <c r="H8542" s="1" t="s">
        <v>5723</v>
      </c>
      <c r="I8542" s="1" t="s">
        <v>19</v>
      </c>
      <c r="J8542" s="1" t="s">
        <v>67</v>
      </c>
      <c r="K8542" s="1" t="s">
        <v>14</v>
      </c>
      <c r="M8542" s="2">
        <v>42327</v>
      </c>
      <c r="N8542" s="1" t="s">
        <v>8</v>
      </c>
      <c r="O8542" s="1" t="s">
        <v>68</v>
      </c>
    </row>
    <row r="8543" spans="1:15" ht="43.2" x14ac:dyDescent="0.3">
      <c r="A8543" s="1" t="s">
        <v>5724</v>
      </c>
      <c r="B8543" s="1" t="str">
        <f>"Hope House Trading Ltd."</f>
        <v>Hope House Trading Ltd.</v>
      </c>
      <c r="C8543" s="1" t="s">
        <v>5725</v>
      </c>
      <c r="F8543" s="1" t="s">
        <v>1180</v>
      </c>
      <c r="H8543" s="1" t="s">
        <v>5726</v>
      </c>
      <c r="I8543" s="1" t="s">
        <v>1872</v>
      </c>
      <c r="J8543" s="1" t="s">
        <v>67</v>
      </c>
      <c r="K8543" s="1" t="s">
        <v>14</v>
      </c>
      <c r="M8543" s="2">
        <v>42327</v>
      </c>
      <c r="N8543" s="1" t="s">
        <v>8</v>
      </c>
      <c r="O8543" s="1" t="s">
        <v>68</v>
      </c>
    </row>
    <row r="8544" spans="1:15" ht="43.2" x14ac:dyDescent="0.3">
      <c r="A8544" s="1" t="s">
        <v>20367</v>
      </c>
      <c r="B8544" s="1" t="str">
        <f>"Alexander Sullivan"</f>
        <v>Alexander Sullivan</v>
      </c>
      <c r="C8544" s="1" t="s">
        <v>20368</v>
      </c>
      <c r="F8544" s="1" t="s">
        <v>739</v>
      </c>
      <c r="H8544" s="1" t="s">
        <v>20369</v>
      </c>
      <c r="I8544" s="1" t="s">
        <v>5</v>
      </c>
      <c r="J8544" s="1" t="s">
        <v>67</v>
      </c>
      <c r="K8544" s="1" t="s">
        <v>14</v>
      </c>
      <c r="M8544" s="2">
        <v>42327</v>
      </c>
      <c r="N8544" s="1" t="s">
        <v>8</v>
      </c>
      <c r="O8544" s="1" t="s">
        <v>68</v>
      </c>
    </row>
    <row r="8545" spans="1:15" ht="43.2" x14ac:dyDescent="0.3">
      <c r="A8545" s="1" t="s">
        <v>20370</v>
      </c>
      <c r="B8545" s="1" t="str">
        <f>"Phillip Jurkojc"</f>
        <v>Phillip Jurkojc</v>
      </c>
      <c r="C8545" s="1" t="s">
        <v>20371</v>
      </c>
      <c r="D8545" s="1" t="s">
        <v>9866</v>
      </c>
      <c r="F8545" s="1" t="s">
        <v>198</v>
      </c>
      <c r="H8545" s="1" t="s">
        <v>20372</v>
      </c>
      <c r="I8545" s="1" t="s">
        <v>5</v>
      </c>
      <c r="J8545" s="1" t="s">
        <v>67</v>
      </c>
      <c r="K8545" s="1" t="s">
        <v>14</v>
      </c>
      <c r="M8545" s="2">
        <v>42327</v>
      </c>
      <c r="N8545" s="1" t="s">
        <v>8</v>
      </c>
      <c r="O8545" s="1" t="s">
        <v>68</v>
      </c>
    </row>
    <row r="8546" spans="1:15" ht="28.8" x14ac:dyDescent="0.3">
      <c r="A8546" s="1" t="s">
        <v>31987</v>
      </c>
      <c r="B8546" s="1" t="str">
        <f>"Roberts Concrete LTD"</f>
        <v>Roberts Concrete LTD</v>
      </c>
      <c r="C8546" s="1" t="s">
        <v>31988</v>
      </c>
      <c r="D8546" s="1" t="s">
        <v>1404</v>
      </c>
      <c r="F8546" s="1" t="s">
        <v>665</v>
      </c>
      <c r="H8546" s="1" t="s">
        <v>31989</v>
      </c>
      <c r="I8546" s="1" t="s">
        <v>19</v>
      </c>
      <c r="J8546" s="1" t="s">
        <v>6</v>
      </c>
      <c r="K8546" s="1" t="s">
        <v>24</v>
      </c>
      <c r="L8546" s="1">
        <v>8954367</v>
      </c>
      <c r="M8546" s="2">
        <v>42327</v>
      </c>
      <c r="N8546" s="1" t="s">
        <v>8</v>
      </c>
      <c r="O8546" s="2">
        <v>44519</v>
      </c>
    </row>
    <row r="8547" spans="1:15" x14ac:dyDescent="0.3">
      <c r="A8547" s="1" t="s">
        <v>32132</v>
      </c>
      <c r="B8547" s="1" t="str">
        <f>"Nash Plumbing Ltd"</f>
        <v>Nash Plumbing Ltd</v>
      </c>
      <c r="C8547" s="1" t="s">
        <v>32133</v>
      </c>
      <c r="D8547" s="1" t="s">
        <v>23986</v>
      </c>
      <c r="F8547" s="1" t="s">
        <v>1776</v>
      </c>
      <c r="G8547" s="1" t="s">
        <v>115</v>
      </c>
      <c r="H8547" s="1" t="s">
        <v>32134</v>
      </c>
      <c r="I8547" s="1" t="s">
        <v>19</v>
      </c>
      <c r="J8547" s="1" t="s">
        <v>6</v>
      </c>
      <c r="K8547" s="1" t="s">
        <v>24</v>
      </c>
      <c r="L8547" s="1">
        <v>6471724</v>
      </c>
      <c r="M8547" s="2">
        <v>42327</v>
      </c>
      <c r="N8547" s="1" t="s">
        <v>8</v>
      </c>
      <c r="O8547" s="2">
        <v>44519</v>
      </c>
    </row>
    <row r="8548" spans="1:15" ht="28.8" x14ac:dyDescent="0.3">
      <c r="A8548" s="1" t="s">
        <v>647</v>
      </c>
      <c r="B8548" s="1" t="str">
        <f>"SD(NEWBOROUGH)LTD"</f>
        <v>SD(NEWBOROUGH)LTD</v>
      </c>
      <c r="C8548" s="1" t="s">
        <v>648</v>
      </c>
      <c r="F8548" s="1" t="s">
        <v>151</v>
      </c>
      <c r="H8548" s="1" t="s">
        <v>649</v>
      </c>
      <c r="I8548" s="1" t="s">
        <v>19</v>
      </c>
      <c r="J8548" s="1" t="s">
        <v>6</v>
      </c>
      <c r="K8548" s="1" t="s">
        <v>24</v>
      </c>
      <c r="L8548" s="1">
        <v>5286795</v>
      </c>
      <c r="M8548" s="2">
        <v>42326</v>
      </c>
      <c r="N8548" s="1" t="s">
        <v>8</v>
      </c>
      <c r="O8548" s="2">
        <v>44517</v>
      </c>
    </row>
    <row r="8549" spans="1:15" ht="43.2" x14ac:dyDescent="0.3">
      <c r="A8549" s="1" t="s">
        <v>4554</v>
      </c>
      <c r="B8549" s="1" t="str">
        <f>"PROPERTY MANAGEMENT RENTALS LTD"</f>
        <v>PROPERTY MANAGEMENT RENTALS LTD</v>
      </c>
      <c r="C8549" s="1" t="s">
        <v>4555</v>
      </c>
      <c r="F8549" s="1" t="s">
        <v>65</v>
      </c>
      <c r="H8549" s="1" t="s">
        <v>4556</v>
      </c>
      <c r="I8549" s="1" t="s">
        <v>19</v>
      </c>
      <c r="J8549" s="1" t="s">
        <v>67</v>
      </c>
      <c r="K8549" s="1" t="s">
        <v>34</v>
      </c>
      <c r="L8549" s="1">
        <v>6087406</v>
      </c>
      <c r="M8549" s="2">
        <v>42326</v>
      </c>
      <c r="N8549" s="1" t="s">
        <v>8</v>
      </c>
      <c r="O8549" s="1" t="s">
        <v>68</v>
      </c>
    </row>
    <row r="8550" spans="1:15" x14ac:dyDescent="0.3">
      <c r="A8550" s="1" t="s">
        <v>31097</v>
      </c>
      <c r="B8550" s="1" t="str">
        <f>"2 Can Do"</f>
        <v>2 Can Do</v>
      </c>
      <c r="C8550" s="1" t="s">
        <v>31098</v>
      </c>
      <c r="F8550" s="1" t="s">
        <v>1115</v>
      </c>
      <c r="H8550" s="1" t="s">
        <v>31099</v>
      </c>
      <c r="I8550" s="1" t="s">
        <v>125</v>
      </c>
      <c r="J8550" s="1" t="s">
        <v>6</v>
      </c>
      <c r="K8550" s="1" t="s">
        <v>24</v>
      </c>
      <c r="M8550" s="2">
        <v>42326</v>
      </c>
      <c r="N8550" s="1" t="s">
        <v>8</v>
      </c>
      <c r="O8550" s="2">
        <v>44518</v>
      </c>
    </row>
    <row r="8551" spans="1:15" x14ac:dyDescent="0.3">
      <c r="A8551" s="1" t="s">
        <v>31225</v>
      </c>
      <c r="B8551" s="1" t="str">
        <f>"GK Flooring"</f>
        <v>GK Flooring</v>
      </c>
      <c r="C8551" s="1" t="s">
        <v>31226</v>
      </c>
      <c r="F8551" s="1" t="s">
        <v>27</v>
      </c>
      <c r="H8551" s="1" t="s">
        <v>31227</v>
      </c>
      <c r="I8551" s="1" t="s">
        <v>125</v>
      </c>
      <c r="J8551" s="1" t="s">
        <v>6</v>
      </c>
      <c r="K8551" s="1" t="s">
        <v>24</v>
      </c>
      <c r="M8551" s="2">
        <v>42326</v>
      </c>
      <c r="N8551" s="1" t="s">
        <v>8</v>
      </c>
      <c r="O8551" s="2">
        <v>44567</v>
      </c>
    </row>
    <row r="8552" spans="1:15" ht="28.8" x14ac:dyDescent="0.3">
      <c r="A8552" s="1" t="s">
        <v>32120</v>
      </c>
      <c r="B8552" s="1" t="str">
        <f>"Clare &amp; Jones Ltd"</f>
        <v>Clare &amp; Jones Ltd</v>
      </c>
      <c r="C8552" s="1" t="s">
        <v>32121</v>
      </c>
      <c r="F8552" s="1" t="s">
        <v>2757</v>
      </c>
      <c r="H8552" s="1" t="s">
        <v>32122</v>
      </c>
      <c r="I8552" s="1" t="s">
        <v>19</v>
      </c>
      <c r="J8552" s="1" t="s">
        <v>6</v>
      </c>
      <c r="K8552" s="1" t="s">
        <v>34</v>
      </c>
      <c r="L8552" s="1">
        <v>9590472</v>
      </c>
      <c r="M8552" s="2">
        <v>42326</v>
      </c>
      <c r="N8552" s="1" t="s">
        <v>8</v>
      </c>
      <c r="O8552" s="2">
        <v>44518</v>
      </c>
    </row>
    <row r="8553" spans="1:15" ht="43.2" x14ac:dyDescent="0.3">
      <c r="A8553" s="1" t="s">
        <v>3450</v>
      </c>
      <c r="B8553" s="1" t="str">
        <f>"Green Spark Productions Ltd"</f>
        <v>Green Spark Productions Ltd</v>
      </c>
      <c r="C8553" s="1" t="s">
        <v>3451</v>
      </c>
      <c r="F8553" s="1" t="s">
        <v>3452</v>
      </c>
      <c r="H8553" s="1" t="s">
        <v>3453</v>
      </c>
      <c r="I8553" s="1" t="s">
        <v>19</v>
      </c>
      <c r="J8553" s="1" t="s">
        <v>67</v>
      </c>
      <c r="K8553" s="1" t="s">
        <v>14</v>
      </c>
      <c r="M8553" s="2">
        <v>42325</v>
      </c>
      <c r="N8553" s="1" t="s">
        <v>8</v>
      </c>
      <c r="O8553" s="1" t="s">
        <v>68</v>
      </c>
    </row>
    <row r="8554" spans="1:15" ht="43.2" x14ac:dyDescent="0.3">
      <c r="A8554" s="1" t="s">
        <v>3454</v>
      </c>
      <c r="B8554" s="1" t="str">
        <f>"Bonaprene Products Ltd"</f>
        <v>Bonaprene Products Ltd</v>
      </c>
      <c r="C8554" s="1" t="s">
        <v>3455</v>
      </c>
      <c r="F8554" s="1" t="s">
        <v>198</v>
      </c>
      <c r="H8554" s="1" t="s">
        <v>3456</v>
      </c>
      <c r="I8554" s="1" t="s">
        <v>19</v>
      </c>
      <c r="J8554" s="1" t="s">
        <v>67</v>
      </c>
      <c r="K8554" s="1" t="s">
        <v>14</v>
      </c>
      <c r="M8554" s="2">
        <v>42325</v>
      </c>
      <c r="N8554" s="1" t="s">
        <v>8</v>
      </c>
      <c r="O8554" s="1" t="s">
        <v>68</v>
      </c>
    </row>
    <row r="8555" spans="1:15" ht="43.2" x14ac:dyDescent="0.3">
      <c r="A8555" s="1" t="s">
        <v>18730</v>
      </c>
      <c r="B8555" s="1" t="str">
        <f>"dan palmer"</f>
        <v>dan palmer</v>
      </c>
      <c r="C8555" s="1" t="s">
        <v>18731</v>
      </c>
      <c r="F8555" s="1" t="s">
        <v>6647</v>
      </c>
      <c r="H8555" s="1" t="s">
        <v>18732</v>
      </c>
      <c r="I8555" s="1" t="s">
        <v>5</v>
      </c>
      <c r="J8555" s="1" t="s">
        <v>67</v>
      </c>
      <c r="K8555" s="1" t="s">
        <v>14</v>
      </c>
      <c r="M8555" s="2">
        <v>42325</v>
      </c>
      <c r="N8555" s="1" t="s">
        <v>8</v>
      </c>
      <c r="O8555" s="1" t="s">
        <v>68</v>
      </c>
    </row>
    <row r="8556" spans="1:15" ht="43.2" x14ac:dyDescent="0.3">
      <c r="A8556" s="1" t="s">
        <v>18733</v>
      </c>
      <c r="B8556" s="1" t="str">
        <f>"David Lloyd"</f>
        <v>David Lloyd</v>
      </c>
      <c r="C8556" s="1" t="s">
        <v>18734</v>
      </c>
      <c r="F8556" s="1" t="s">
        <v>714</v>
      </c>
      <c r="H8556" s="1" t="s">
        <v>18735</v>
      </c>
      <c r="I8556" s="1" t="s">
        <v>5</v>
      </c>
      <c r="J8556" s="1" t="s">
        <v>67</v>
      </c>
      <c r="K8556" s="1" t="s">
        <v>14</v>
      </c>
      <c r="M8556" s="2">
        <v>42325</v>
      </c>
      <c r="N8556" s="1" t="s">
        <v>8</v>
      </c>
      <c r="O8556" s="1" t="s">
        <v>68</v>
      </c>
    </row>
    <row r="8557" spans="1:15" ht="43.2" x14ac:dyDescent="0.3">
      <c r="A8557" s="1" t="s">
        <v>18736</v>
      </c>
      <c r="B8557" s="1" t="str">
        <f>"armando montes"</f>
        <v>armando montes</v>
      </c>
      <c r="C8557" s="1" t="s">
        <v>18737</v>
      </c>
      <c r="F8557" s="1" t="s">
        <v>6637</v>
      </c>
      <c r="H8557" s="1" t="s">
        <v>18738</v>
      </c>
      <c r="I8557" s="1" t="s">
        <v>5</v>
      </c>
      <c r="J8557" s="1" t="s">
        <v>67</v>
      </c>
      <c r="K8557" s="1" t="s">
        <v>14</v>
      </c>
      <c r="M8557" s="2">
        <v>42325</v>
      </c>
      <c r="N8557" s="1" t="s">
        <v>8</v>
      </c>
      <c r="O8557" s="1" t="s">
        <v>68</v>
      </c>
    </row>
    <row r="8558" spans="1:15" ht="43.2" x14ac:dyDescent="0.3">
      <c r="A8558" s="1" t="s">
        <v>18739</v>
      </c>
      <c r="B8558" s="1" t="str">
        <f>"Steve Jones"</f>
        <v>Steve Jones</v>
      </c>
      <c r="C8558" s="1" t="s">
        <v>18740</v>
      </c>
      <c r="F8558" s="1" t="s">
        <v>96</v>
      </c>
      <c r="H8558" s="1" t="s">
        <v>18741</v>
      </c>
      <c r="I8558" s="1" t="s">
        <v>5</v>
      </c>
      <c r="J8558" s="1" t="s">
        <v>67</v>
      </c>
      <c r="K8558" s="1" t="s">
        <v>14</v>
      </c>
      <c r="M8558" s="2">
        <v>42325</v>
      </c>
      <c r="N8558" s="1" t="s">
        <v>8</v>
      </c>
      <c r="O8558" s="1" t="s">
        <v>68</v>
      </c>
    </row>
    <row r="8559" spans="1:15" ht="28.8" x14ac:dyDescent="0.3">
      <c r="A8559" s="1" t="s">
        <v>32021</v>
      </c>
      <c r="B8559" s="1" t="str">
        <f>"michael williams m j williams"</f>
        <v>michael williams m j williams</v>
      </c>
      <c r="C8559" s="1" t="s">
        <v>32022</v>
      </c>
      <c r="D8559" s="1" t="s">
        <v>32023</v>
      </c>
      <c r="E8559" s="1" t="s">
        <v>155</v>
      </c>
      <c r="F8559" s="1" t="s">
        <v>91</v>
      </c>
      <c r="H8559" s="1" t="s">
        <v>32024</v>
      </c>
      <c r="I8559" s="1" t="s">
        <v>5</v>
      </c>
      <c r="J8559" s="1" t="s">
        <v>6</v>
      </c>
      <c r="K8559" s="1" t="s">
        <v>24</v>
      </c>
      <c r="M8559" s="2">
        <v>42325</v>
      </c>
      <c r="N8559" s="1" t="s">
        <v>8</v>
      </c>
      <c r="O8559" s="2">
        <v>44517</v>
      </c>
    </row>
    <row r="8560" spans="1:15" ht="28.8" x14ac:dyDescent="0.3">
      <c r="A8560" s="1" t="s">
        <v>1151</v>
      </c>
      <c r="B8560" s="1" t="str">
        <f>"Gwyndaf Pritchard Roofing Ltd"</f>
        <v>Gwyndaf Pritchard Roofing Ltd</v>
      </c>
      <c r="C8560" s="1" t="s">
        <v>729</v>
      </c>
      <c r="F8560" s="1" t="s">
        <v>151</v>
      </c>
      <c r="H8560" s="1" t="s">
        <v>730</v>
      </c>
      <c r="I8560" s="1" t="s">
        <v>19</v>
      </c>
      <c r="J8560" s="1" t="s">
        <v>6</v>
      </c>
      <c r="K8560" s="1" t="s">
        <v>34</v>
      </c>
      <c r="L8560" s="1">
        <v>6056300</v>
      </c>
      <c r="M8560" s="2">
        <v>42324</v>
      </c>
      <c r="N8560" s="1" t="s">
        <v>8</v>
      </c>
      <c r="O8560" s="2">
        <v>44516</v>
      </c>
    </row>
    <row r="8561" spans="1:15" ht="43.2" x14ac:dyDescent="0.3">
      <c r="A8561" s="1" t="s">
        <v>18176</v>
      </c>
      <c r="B8561" s="1" t="str">
        <f>"Peter Brotherhood Ltd"</f>
        <v>Peter Brotherhood Ltd</v>
      </c>
      <c r="C8561" s="1" t="s">
        <v>18177</v>
      </c>
      <c r="F8561" s="1" t="s">
        <v>18178</v>
      </c>
      <c r="H8561" s="1" t="s">
        <v>18179</v>
      </c>
      <c r="I8561" s="1" t="s">
        <v>19</v>
      </c>
      <c r="J8561" s="1" t="s">
        <v>67</v>
      </c>
      <c r="K8561" s="1" t="s">
        <v>14</v>
      </c>
      <c r="M8561" s="2">
        <v>42324</v>
      </c>
      <c r="N8561" s="1" t="s">
        <v>8</v>
      </c>
      <c r="O8561" s="1" t="s">
        <v>68</v>
      </c>
    </row>
    <row r="8562" spans="1:15" ht="43.2" x14ac:dyDescent="0.3">
      <c r="A8562" s="1" t="s">
        <v>18180</v>
      </c>
      <c r="B8562" s="1" t="str">
        <f>"Intelligent Comfort Group Ltd"</f>
        <v>Intelligent Comfort Group Ltd</v>
      </c>
      <c r="C8562" s="1" t="s">
        <v>18181</v>
      </c>
      <c r="F8562" s="1" t="s">
        <v>5401</v>
      </c>
      <c r="H8562" s="1" t="s">
        <v>18182</v>
      </c>
      <c r="I8562" s="1" t="s">
        <v>19</v>
      </c>
      <c r="J8562" s="1" t="s">
        <v>67</v>
      </c>
      <c r="K8562" s="1" t="s">
        <v>14</v>
      </c>
      <c r="M8562" s="2">
        <v>42324</v>
      </c>
      <c r="N8562" s="1" t="s">
        <v>8</v>
      </c>
      <c r="O8562" s="1" t="s">
        <v>68</v>
      </c>
    </row>
    <row r="8563" spans="1:15" ht="43.2" x14ac:dyDescent="0.3">
      <c r="A8563" s="1" t="s">
        <v>29815</v>
      </c>
      <c r="B8563" s="1" t="str">
        <f>"richard gripton"</f>
        <v>richard gripton</v>
      </c>
      <c r="C8563" s="1" t="s">
        <v>29816</v>
      </c>
      <c r="F8563" s="1" t="s">
        <v>825</v>
      </c>
      <c r="H8563" s="1" t="s">
        <v>29817</v>
      </c>
      <c r="I8563" s="1" t="s">
        <v>5</v>
      </c>
      <c r="J8563" s="1" t="s">
        <v>67</v>
      </c>
      <c r="K8563" s="1" t="s">
        <v>14</v>
      </c>
      <c r="M8563" s="2">
        <v>42324</v>
      </c>
      <c r="N8563" s="1" t="s">
        <v>8</v>
      </c>
      <c r="O8563" s="1" t="s">
        <v>68</v>
      </c>
    </row>
    <row r="8564" spans="1:15" ht="43.2" x14ac:dyDescent="0.3">
      <c r="A8564" s="1" t="s">
        <v>29818</v>
      </c>
      <c r="B8564" s="1" t="str">
        <f>"William Slocombe"</f>
        <v>William Slocombe</v>
      </c>
      <c r="C8564" s="1" t="s">
        <v>29819</v>
      </c>
      <c r="D8564" s="1" t="s">
        <v>31</v>
      </c>
      <c r="F8564" s="1" t="s">
        <v>32</v>
      </c>
      <c r="H8564" s="1" t="s">
        <v>29820</v>
      </c>
      <c r="I8564" s="1" t="s">
        <v>5</v>
      </c>
      <c r="J8564" s="1" t="s">
        <v>67</v>
      </c>
      <c r="K8564" s="1" t="s">
        <v>14</v>
      </c>
      <c r="M8564" s="2">
        <v>42324</v>
      </c>
      <c r="N8564" s="1" t="s">
        <v>8</v>
      </c>
      <c r="O8564" s="1" t="s">
        <v>68</v>
      </c>
    </row>
    <row r="8565" spans="1:15" ht="28.8" x14ac:dyDescent="0.3">
      <c r="A8565" s="1" t="s">
        <v>2664</v>
      </c>
      <c r="B8565" s="1" t="str">
        <f>"Glyn Jones Building Contractors Limited"</f>
        <v>Glyn Jones Building Contractors Limited</v>
      </c>
      <c r="C8565" s="1" t="s">
        <v>2665</v>
      </c>
      <c r="F8565" s="1" t="s">
        <v>2666</v>
      </c>
      <c r="H8565" s="1" t="s">
        <v>2667</v>
      </c>
      <c r="I8565" s="1" t="s">
        <v>19</v>
      </c>
      <c r="J8565" s="1" t="s">
        <v>6</v>
      </c>
      <c r="K8565" s="1" t="s">
        <v>24</v>
      </c>
      <c r="L8565" s="1">
        <v>7986354</v>
      </c>
      <c r="M8565" s="2">
        <v>42321</v>
      </c>
      <c r="N8565" s="1" t="s">
        <v>8</v>
      </c>
      <c r="O8565" s="2">
        <v>44513</v>
      </c>
    </row>
    <row r="8566" spans="1:15" ht="43.2" x14ac:dyDescent="0.3">
      <c r="A8566" s="1" t="s">
        <v>17150</v>
      </c>
      <c r="B8566" s="1" t="str">
        <f>"SKT BUILDING SERVICES LTD"</f>
        <v>SKT BUILDING SERVICES LTD</v>
      </c>
      <c r="C8566" s="1" t="s">
        <v>17151</v>
      </c>
      <c r="F8566" s="1" t="s">
        <v>1180</v>
      </c>
      <c r="H8566" s="1" t="s">
        <v>17152</v>
      </c>
      <c r="I8566" s="1" t="s">
        <v>19</v>
      </c>
      <c r="J8566" s="1" t="s">
        <v>67</v>
      </c>
      <c r="K8566" s="1" t="s">
        <v>14</v>
      </c>
      <c r="M8566" s="2">
        <v>42321</v>
      </c>
      <c r="N8566" s="1" t="s">
        <v>8</v>
      </c>
      <c r="O8566" s="1" t="s">
        <v>68</v>
      </c>
    </row>
    <row r="8567" spans="1:15" ht="43.2" x14ac:dyDescent="0.3">
      <c r="A8567" s="1" t="s">
        <v>29072</v>
      </c>
      <c r="B8567" s="1" t="str">
        <f>"Barry Sullivan"</f>
        <v>Barry Sullivan</v>
      </c>
      <c r="C8567" s="1" t="s">
        <v>29073</v>
      </c>
      <c r="F8567" s="1" t="s">
        <v>739</v>
      </c>
      <c r="H8567" s="1" t="s">
        <v>29074</v>
      </c>
      <c r="I8567" s="1" t="s">
        <v>5</v>
      </c>
      <c r="J8567" s="1" t="s">
        <v>67</v>
      </c>
      <c r="K8567" s="1" t="s">
        <v>14</v>
      </c>
      <c r="M8567" s="2">
        <v>42321</v>
      </c>
      <c r="N8567" s="1" t="s">
        <v>8</v>
      </c>
      <c r="O8567" s="1" t="s">
        <v>68</v>
      </c>
    </row>
    <row r="8568" spans="1:15" ht="28.8" x14ac:dyDescent="0.3">
      <c r="A8568" s="1" t="s">
        <v>30926</v>
      </c>
      <c r="B8568" s="1" t="str">
        <f>"Kdk Metals Ltd."</f>
        <v>Kdk Metals Ltd.</v>
      </c>
      <c r="C8568" s="1" t="s">
        <v>30927</v>
      </c>
      <c r="F8568" s="1" t="s">
        <v>91</v>
      </c>
      <c r="H8568" s="1" t="s">
        <v>16480</v>
      </c>
      <c r="I8568" s="1" t="s">
        <v>19</v>
      </c>
      <c r="J8568" s="1" t="s">
        <v>6</v>
      </c>
      <c r="K8568" s="1" t="s">
        <v>24</v>
      </c>
      <c r="L8568" s="1">
        <v>6127432</v>
      </c>
      <c r="M8568" s="2">
        <v>42321</v>
      </c>
      <c r="N8568" s="1" t="s">
        <v>8</v>
      </c>
      <c r="O8568" s="2">
        <v>44513</v>
      </c>
    </row>
    <row r="8569" spans="1:15" ht="43.2" x14ac:dyDescent="0.3">
      <c r="A8569" s="1" t="s">
        <v>16187</v>
      </c>
      <c r="B8569" s="1" t="str">
        <f>"Millforge Ltd"</f>
        <v>Millforge Ltd</v>
      </c>
      <c r="C8569" s="1" t="s">
        <v>16188</v>
      </c>
      <c r="F8569" s="1" t="s">
        <v>15303</v>
      </c>
      <c r="H8569" s="1" t="s">
        <v>16189</v>
      </c>
      <c r="I8569" s="1" t="s">
        <v>19</v>
      </c>
      <c r="J8569" s="1" t="s">
        <v>67</v>
      </c>
      <c r="K8569" s="1" t="s">
        <v>14</v>
      </c>
      <c r="M8569" s="2">
        <v>42320</v>
      </c>
      <c r="N8569" s="1" t="s">
        <v>8</v>
      </c>
      <c r="O8569" s="1" t="s">
        <v>68</v>
      </c>
    </row>
    <row r="8570" spans="1:15" ht="43.2" x14ac:dyDescent="0.3">
      <c r="A8570" s="1" t="s">
        <v>28310</v>
      </c>
      <c r="B8570" s="1" t="str">
        <f>"Kevin Hollingworth"</f>
        <v>Kevin Hollingworth</v>
      </c>
      <c r="C8570" s="1" t="s">
        <v>28311</v>
      </c>
      <c r="F8570" s="1" t="s">
        <v>27</v>
      </c>
      <c r="H8570" s="1" t="s">
        <v>28312</v>
      </c>
      <c r="I8570" s="1" t="s">
        <v>5</v>
      </c>
      <c r="J8570" s="1" t="s">
        <v>67</v>
      </c>
      <c r="K8570" s="1" t="s">
        <v>14</v>
      </c>
      <c r="M8570" s="2">
        <v>42320</v>
      </c>
      <c r="N8570" s="1" t="s">
        <v>8</v>
      </c>
      <c r="O8570" s="1" t="s">
        <v>68</v>
      </c>
    </row>
    <row r="8571" spans="1:15" ht="43.2" x14ac:dyDescent="0.3">
      <c r="A8571" s="1" t="s">
        <v>28313</v>
      </c>
      <c r="B8571" s="1" t="str">
        <f>"peter williams"</f>
        <v>peter williams</v>
      </c>
      <c r="C8571" s="1" t="s">
        <v>28314</v>
      </c>
      <c r="D8571" s="1" t="s">
        <v>28315</v>
      </c>
      <c r="F8571" s="1" t="s">
        <v>28316</v>
      </c>
      <c r="H8571" s="1" t="s">
        <v>28317</v>
      </c>
      <c r="I8571" s="1" t="s">
        <v>5</v>
      </c>
      <c r="J8571" s="1" t="s">
        <v>67</v>
      </c>
      <c r="K8571" s="1" t="s">
        <v>14</v>
      </c>
      <c r="M8571" s="2">
        <v>42320</v>
      </c>
      <c r="N8571" s="1" t="s">
        <v>8</v>
      </c>
      <c r="O8571" s="1" t="s">
        <v>68</v>
      </c>
    </row>
    <row r="8572" spans="1:15" ht="43.2" x14ac:dyDescent="0.3">
      <c r="A8572" s="1" t="s">
        <v>28318</v>
      </c>
      <c r="B8572" s="1" t="str">
        <f>"Tom Lepere"</f>
        <v>Tom Lepere</v>
      </c>
      <c r="C8572" s="1" t="s">
        <v>28319</v>
      </c>
      <c r="F8572" s="1" t="s">
        <v>13292</v>
      </c>
      <c r="H8572" s="1" t="s">
        <v>28320</v>
      </c>
      <c r="I8572" s="1" t="s">
        <v>5</v>
      </c>
      <c r="J8572" s="1" t="s">
        <v>67</v>
      </c>
      <c r="K8572" s="1" t="s">
        <v>14</v>
      </c>
      <c r="M8572" s="2">
        <v>42320</v>
      </c>
      <c r="N8572" s="1" t="s">
        <v>8</v>
      </c>
      <c r="O8572" s="1" t="s">
        <v>68</v>
      </c>
    </row>
    <row r="8573" spans="1:15" x14ac:dyDescent="0.3">
      <c r="A8573" s="1" t="s">
        <v>31027</v>
      </c>
      <c r="B8573" s="1" t="str">
        <f>"Mark Daniel Morris"</f>
        <v>Mark Daniel Morris</v>
      </c>
      <c r="C8573" s="1" t="s">
        <v>31028</v>
      </c>
      <c r="D8573" s="1" t="s">
        <v>31029</v>
      </c>
      <c r="F8573" s="1" t="s">
        <v>3068</v>
      </c>
      <c r="G8573" s="1" t="s">
        <v>115</v>
      </c>
      <c r="H8573" s="1" t="s">
        <v>31030</v>
      </c>
      <c r="I8573" s="1" t="s">
        <v>5</v>
      </c>
      <c r="J8573" s="1" t="s">
        <v>6</v>
      </c>
      <c r="K8573" s="1" t="s">
        <v>24</v>
      </c>
      <c r="M8573" s="2">
        <v>42320</v>
      </c>
      <c r="N8573" s="1" t="s">
        <v>8</v>
      </c>
      <c r="O8573" s="2">
        <v>44511</v>
      </c>
    </row>
    <row r="8574" spans="1:15" ht="43.2" x14ac:dyDescent="0.3">
      <c r="A8574" s="1" t="s">
        <v>15191</v>
      </c>
      <c r="B8574" s="1" t="str">
        <f>"Lighting Integration Ltd"</f>
        <v>Lighting Integration Ltd</v>
      </c>
      <c r="C8574" s="1" t="s">
        <v>15192</v>
      </c>
      <c r="D8574" s="1" t="s">
        <v>15193</v>
      </c>
      <c r="E8574" s="1" t="s">
        <v>2130</v>
      </c>
      <c r="F8574" s="1" t="s">
        <v>42</v>
      </c>
      <c r="H8574" s="1" t="s">
        <v>9028</v>
      </c>
      <c r="I8574" s="1" t="s">
        <v>19</v>
      </c>
      <c r="J8574" s="1" t="s">
        <v>67</v>
      </c>
      <c r="K8574" s="1" t="s">
        <v>14</v>
      </c>
      <c r="M8574" s="2">
        <v>42319</v>
      </c>
      <c r="N8574" s="1" t="s">
        <v>8</v>
      </c>
      <c r="O8574" s="1" t="s">
        <v>68</v>
      </c>
    </row>
    <row r="8575" spans="1:15" ht="43.2" x14ac:dyDescent="0.3">
      <c r="A8575" s="1" t="s">
        <v>15194</v>
      </c>
      <c r="B8575" s="1" t="str">
        <f>"Lighting Integration Ltd"</f>
        <v>Lighting Integration Ltd</v>
      </c>
      <c r="C8575" s="1" t="s">
        <v>15192</v>
      </c>
      <c r="D8575" s="1" t="s">
        <v>15193</v>
      </c>
      <c r="E8575" s="1" t="s">
        <v>2130</v>
      </c>
      <c r="F8575" s="1" t="s">
        <v>42</v>
      </c>
      <c r="H8575" s="1" t="s">
        <v>9028</v>
      </c>
      <c r="I8575" s="1" t="s">
        <v>19</v>
      </c>
      <c r="J8575" s="1" t="s">
        <v>67</v>
      </c>
      <c r="K8575" s="1" t="s">
        <v>14</v>
      </c>
      <c r="M8575" s="2">
        <v>42319</v>
      </c>
      <c r="N8575" s="1" t="s">
        <v>8</v>
      </c>
      <c r="O8575" s="1" t="s">
        <v>68</v>
      </c>
    </row>
    <row r="8576" spans="1:15" ht="43.2" x14ac:dyDescent="0.3">
      <c r="A8576" s="1" t="s">
        <v>16184</v>
      </c>
      <c r="B8576" s="1" t="str">
        <f>"Gateway Cycles"</f>
        <v>Gateway Cycles</v>
      </c>
      <c r="C8576" s="1" t="s">
        <v>16185</v>
      </c>
      <c r="F8576" s="1" t="s">
        <v>205</v>
      </c>
      <c r="H8576" s="1" t="s">
        <v>16186</v>
      </c>
      <c r="I8576" s="1" t="s">
        <v>125</v>
      </c>
      <c r="J8576" s="1" t="s">
        <v>67</v>
      </c>
      <c r="K8576" s="1" t="s">
        <v>14</v>
      </c>
      <c r="M8576" s="2">
        <v>42319</v>
      </c>
      <c r="N8576" s="1" t="s">
        <v>8</v>
      </c>
      <c r="O8576" s="1" t="s">
        <v>68</v>
      </c>
    </row>
    <row r="8577" spans="1:15" ht="43.2" x14ac:dyDescent="0.3">
      <c r="A8577" s="1" t="s">
        <v>14291</v>
      </c>
      <c r="B8577" s="1" t="str">
        <f>"Mon Cleaning Services"</f>
        <v>Mon Cleaning Services</v>
      </c>
      <c r="C8577" s="1" t="s">
        <v>14292</v>
      </c>
      <c r="F8577" s="1" t="s">
        <v>328</v>
      </c>
      <c r="H8577" s="1" t="s">
        <v>14293</v>
      </c>
      <c r="I8577" s="1" t="s">
        <v>19</v>
      </c>
      <c r="J8577" s="1" t="s">
        <v>67</v>
      </c>
      <c r="K8577" s="1" t="s">
        <v>14</v>
      </c>
      <c r="M8577" s="2">
        <v>42318</v>
      </c>
      <c r="N8577" s="1" t="s">
        <v>8</v>
      </c>
      <c r="O8577" s="1" t="s">
        <v>68</v>
      </c>
    </row>
    <row r="8578" spans="1:15" ht="43.2" x14ac:dyDescent="0.3">
      <c r="A8578" s="1" t="s">
        <v>15188</v>
      </c>
      <c r="B8578" s="1" t="str">
        <f>"coedcae services"</f>
        <v>coedcae services</v>
      </c>
      <c r="C8578" s="1" t="s">
        <v>15189</v>
      </c>
      <c r="F8578" s="1" t="s">
        <v>865</v>
      </c>
      <c r="H8578" s="1" t="s">
        <v>15190</v>
      </c>
      <c r="I8578" s="1" t="s">
        <v>19</v>
      </c>
      <c r="J8578" s="1" t="s">
        <v>67</v>
      </c>
      <c r="K8578" s="1" t="s">
        <v>14</v>
      </c>
      <c r="M8578" s="2">
        <v>42318</v>
      </c>
      <c r="N8578" s="1" t="s">
        <v>8</v>
      </c>
      <c r="O8578" s="1" t="s">
        <v>68</v>
      </c>
    </row>
    <row r="8579" spans="1:15" ht="43.2" x14ac:dyDescent="0.3">
      <c r="A8579" s="1" t="s">
        <v>27536</v>
      </c>
      <c r="B8579" s="1" t="str">
        <f>"HAYLEY CAME"</f>
        <v>HAYLEY CAME</v>
      </c>
      <c r="C8579" s="1" t="s">
        <v>27537</v>
      </c>
      <c r="D8579" s="1" t="s">
        <v>500</v>
      </c>
      <c r="F8579" s="1" t="s">
        <v>27</v>
      </c>
      <c r="H8579" s="1" t="s">
        <v>27538</v>
      </c>
      <c r="I8579" s="1" t="s">
        <v>5</v>
      </c>
      <c r="J8579" s="1" t="s">
        <v>67</v>
      </c>
      <c r="K8579" s="1" t="s">
        <v>14</v>
      </c>
      <c r="M8579" s="2">
        <v>42318</v>
      </c>
      <c r="N8579" s="1" t="s">
        <v>8</v>
      </c>
      <c r="O8579" s="1" t="s">
        <v>68</v>
      </c>
    </row>
    <row r="8580" spans="1:15" ht="43.2" x14ac:dyDescent="0.3">
      <c r="A8580" s="1" t="s">
        <v>31088</v>
      </c>
      <c r="B8580" s="1" t="str">
        <f>"Air Water Treatments Ltd"</f>
        <v>Air Water Treatments Ltd</v>
      </c>
      <c r="C8580" s="1" t="s">
        <v>31089</v>
      </c>
      <c r="D8580" s="1" t="s">
        <v>8625</v>
      </c>
      <c r="F8580" s="1" t="s">
        <v>4252</v>
      </c>
      <c r="H8580" s="1" t="s">
        <v>31090</v>
      </c>
      <c r="I8580" s="1" t="s">
        <v>19</v>
      </c>
      <c r="J8580" s="1" t="s">
        <v>6</v>
      </c>
      <c r="K8580" s="1" t="s">
        <v>34</v>
      </c>
      <c r="L8580" s="1">
        <v>3149751</v>
      </c>
      <c r="M8580" s="2">
        <v>42318</v>
      </c>
      <c r="N8580" s="1" t="s">
        <v>8</v>
      </c>
      <c r="O8580" s="2">
        <v>44510</v>
      </c>
    </row>
    <row r="8581" spans="1:15" ht="28.8" x14ac:dyDescent="0.3">
      <c r="A8581" s="1" t="s">
        <v>31949</v>
      </c>
      <c r="B8581" s="1" t="str">
        <f>"D &amp; S Fabrications Ltd"</f>
        <v>D &amp; S Fabrications Ltd</v>
      </c>
      <c r="C8581" s="1" t="s">
        <v>2605</v>
      </c>
      <c r="D8581" s="1" t="s">
        <v>31950</v>
      </c>
      <c r="E8581" s="1" t="s">
        <v>31951</v>
      </c>
      <c r="F8581" s="1" t="s">
        <v>123</v>
      </c>
      <c r="H8581" s="1" t="s">
        <v>30262</v>
      </c>
      <c r="I8581" s="1" t="s">
        <v>19</v>
      </c>
      <c r="J8581" s="1" t="s">
        <v>6</v>
      </c>
      <c r="K8581" s="1" t="s">
        <v>34</v>
      </c>
      <c r="L8581" s="1">
        <v>9222936</v>
      </c>
      <c r="M8581" s="2">
        <v>42318</v>
      </c>
      <c r="N8581" s="1" t="s">
        <v>8</v>
      </c>
      <c r="O8581" s="2">
        <v>44510</v>
      </c>
    </row>
    <row r="8582" spans="1:15" ht="43.2" x14ac:dyDescent="0.3">
      <c r="A8582" s="1" t="s">
        <v>14288</v>
      </c>
      <c r="B8582" s="1" t="str">
        <f>"Jaspal sanghera"</f>
        <v>Jaspal sanghera</v>
      </c>
      <c r="C8582" s="1" t="s">
        <v>14289</v>
      </c>
      <c r="F8582" s="1" t="s">
        <v>1175</v>
      </c>
      <c r="H8582" s="1" t="s">
        <v>14290</v>
      </c>
      <c r="I8582" s="1" t="s">
        <v>125</v>
      </c>
      <c r="J8582" s="1" t="s">
        <v>67</v>
      </c>
      <c r="K8582" s="1" t="s">
        <v>14</v>
      </c>
      <c r="M8582" s="2">
        <v>42317</v>
      </c>
      <c r="N8582" s="1" t="s">
        <v>8</v>
      </c>
      <c r="O8582" s="1" t="s">
        <v>68</v>
      </c>
    </row>
    <row r="8583" spans="1:15" ht="43.2" x14ac:dyDescent="0.3">
      <c r="A8583" s="1" t="s">
        <v>25939</v>
      </c>
      <c r="B8583" s="1" t="str">
        <f>"mark mcfarlane"</f>
        <v>mark mcfarlane</v>
      </c>
      <c r="C8583" s="1" t="s">
        <v>25940</v>
      </c>
      <c r="F8583" s="1" t="s">
        <v>9049</v>
      </c>
      <c r="H8583" s="1" t="s">
        <v>25941</v>
      </c>
      <c r="I8583" s="1" t="s">
        <v>5</v>
      </c>
      <c r="J8583" s="1" t="s">
        <v>67</v>
      </c>
      <c r="K8583" s="1" t="s">
        <v>14</v>
      </c>
      <c r="M8583" s="2">
        <v>42317</v>
      </c>
      <c r="N8583" s="1" t="s">
        <v>8</v>
      </c>
      <c r="O8583" s="1" t="s">
        <v>68</v>
      </c>
    </row>
    <row r="8584" spans="1:15" ht="43.2" x14ac:dyDescent="0.3">
      <c r="A8584" s="1" t="s">
        <v>26653</v>
      </c>
      <c r="B8584" s="1" t="str">
        <f>"Paul  Harper "</f>
        <v xml:space="preserve">Paul  Harper </v>
      </c>
      <c r="C8584" s="1" t="s">
        <v>26654</v>
      </c>
      <c r="F8584" s="1" t="s">
        <v>170</v>
      </c>
      <c r="H8584" s="1" t="s">
        <v>26655</v>
      </c>
      <c r="I8584" s="1" t="s">
        <v>5</v>
      </c>
      <c r="J8584" s="1" t="s">
        <v>67</v>
      </c>
      <c r="K8584" s="1" t="s">
        <v>14</v>
      </c>
      <c r="M8584" s="2">
        <v>42317</v>
      </c>
      <c r="N8584" s="1" t="s">
        <v>8</v>
      </c>
      <c r="O8584" s="1" t="s">
        <v>68</v>
      </c>
    </row>
    <row r="8585" spans="1:15" ht="28.8" x14ac:dyDescent="0.3">
      <c r="A8585" s="1" t="s">
        <v>31123</v>
      </c>
      <c r="B8585" s="1" t="str">
        <f>"WRIGHT GLASS (CARDIFF) LTD"</f>
        <v>WRIGHT GLASS (CARDIFF) LTD</v>
      </c>
      <c r="C8585" s="1" t="s">
        <v>31124</v>
      </c>
      <c r="F8585" s="1" t="s">
        <v>123</v>
      </c>
      <c r="H8585" s="1" t="s">
        <v>31125</v>
      </c>
      <c r="I8585" s="1" t="s">
        <v>19</v>
      </c>
      <c r="J8585" s="1" t="s">
        <v>6</v>
      </c>
      <c r="K8585" s="1" t="s">
        <v>24</v>
      </c>
      <c r="L8585" s="1">
        <v>3948362</v>
      </c>
      <c r="M8585" s="2">
        <v>42317</v>
      </c>
      <c r="N8585" s="1" t="s">
        <v>8</v>
      </c>
      <c r="O8585" s="2">
        <v>44509</v>
      </c>
    </row>
    <row r="8586" spans="1:15" ht="28.8" x14ac:dyDescent="0.3">
      <c r="A8586" s="1" t="s">
        <v>31935</v>
      </c>
      <c r="B8586" s="1" t="str">
        <f>"A J Building &amp; Plastering Ltd."</f>
        <v>A J Building &amp; Plastering Ltd.</v>
      </c>
      <c r="C8586" s="1" t="s">
        <v>31936</v>
      </c>
      <c r="D8586" s="1" t="s">
        <v>31937</v>
      </c>
      <c r="F8586" s="1" t="s">
        <v>56</v>
      </c>
      <c r="G8586" s="1" t="s">
        <v>51</v>
      </c>
      <c r="H8586" s="1" t="s">
        <v>31938</v>
      </c>
      <c r="I8586" s="1" t="s">
        <v>19</v>
      </c>
      <c r="J8586" s="1" t="s">
        <v>6</v>
      </c>
      <c r="K8586" s="1" t="s">
        <v>24</v>
      </c>
      <c r="L8586" s="1">
        <v>3677120</v>
      </c>
      <c r="M8586" s="2">
        <v>42317</v>
      </c>
      <c r="N8586" s="1" t="s">
        <v>8</v>
      </c>
      <c r="O8586" s="2">
        <v>44509</v>
      </c>
    </row>
    <row r="8587" spans="1:15" ht="28.8" x14ac:dyDescent="0.3">
      <c r="A8587" s="1" t="s">
        <v>32078</v>
      </c>
      <c r="B8587" s="1" t="str">
        <f>"SIGNATURE SEAN HORLER LTD"</f>
        <v>SIGNATURE SEAN HORLER LTD</v>
      </c>
      <c r="C8587" s="1" t="s">
        <v>32079</v>
      </c>
      <c r="F8587" s="1" t="s">
        <v>401</v>
      </c>
      <c r="H8587" s="1" t="s">
        <v>32080</v>
      </c>
      <c r="I8587" s="1" t="s">
        <v>19</v>
      </c>
      <c r="J8587" s="1" t="s">
        <v>6</v>
      </c>
      <c r="K8587" s="1" t="s">
        <v>24</v>
      </c>
      <c r="L8587" s="1">
        <v>4562263</v>
      </c>
      <c r="M8587" s="2">
        <v>42317</v>
      </c>
      <c r="N8587" s="1" t="s">
        <v>8</v>
      </c>
      <c r="O8587" s="2">
        <v>44509</v>
      </c>
    </row>
    <row r="8588" spans="1:15" ht="43.2" x14ac:dyDescent="0.3">
      <c r="A8588" s="1" t="s">
        <v>13392</v>
      </c>
      <c r="B8588" s="1" t="str">
        <f>"Penddol Holiday Park"</f>
        <v>Penddol Holiday Park</v>
      </c>
      <c r="C8588" s="1" t="s">
        <v>13393</v>
      </c>
      <c r="F8588" s="1" t="s">
        <v>3142</v>
      </c>
      <c r="H8588" s="1" t="s">
        <v>13394</v>
      </c>
      <c r="I8588" s="1" t="s">
        <v>19</v>
      </c>
      <c r="J8588" s="1" t="s">
        <v>67</v>
      </c>
      <c r="K8588" s="1" t="s">
        <v>14</v>
      </c>
      <c r="M8588" s="2">
        <v>42316</v>
      </c>
      <c r="N8588" s="1" t="s">
        <v>8</v>
      </c>
      <c r="O8588" s="1" t="s">
        <v>68</v>
      </c>
    </row>
    <row r="8589" spans="1:15" ht="43.2" x14ac:dyDescent="0.3">
      <c r="A8589" s="1" t="s">
        <v>13395</v>
      </c>
      <c r="B8589" s="1" t="str">
        <f>"Jake Robinson Property Services Ltd"</f>
        <v>Jake Robinson Property Services Ltd</v>
      </c>
      <c r="C8589" s="1" t="s">
        <v>13396</v>
      </c>
      <c r="F8589" s="1" t="s">
        <v>5401</v>
      </c>
      <c r="H8589" s="1" t="s">
        <v>13397</v>
      </c>
      <c r="I8589" s="1" t="s">
        <v>19</v>
      </c>
      <c r="J8589" s="1" t="s">
        <v>67</v>
      </c>
      <c r="K8589" s="1" t="s">
        <v>14</v>
      </c>
      <c r="M8589" s="2">
        <v>42316</v>
      </c>
      <c r="N8589" s="1" t="s">
        <v>8</v>
      </c>
      <c r="O8589" s="1" t="s">
        <v>68</v>
      </c>
    </row>
    <row r="8590" spans="1:15" ht="43.2" x14ac:dyDescent="0.3">
      <c r="A8590" s="1" t="s">
        <v>25932</v>
      </c>
      <c r="B8590" s="1" t="str">
        <f>"Jamie Allanson"</f>
        <v>Jamie Allanson</v>
      </c>
      <c r="C8590" s="1" t="s">
        <v>25933</v>
      </c>
      <c r="D8590" s="1" t="s">
        <v>1362</v>
      </c>
      <c r="E8590" s="1" t="s">
        <v>25934</v>
      </c>
      <c r="F8590" s="1" t="s">
        <v>11028</v>
      </c>
      <c r="H8590" s="1" t="s">
        <v>25935</v>
      </c>
      <c r="I8590" s="1" t="s">
        <v>5</v>
      </c>
      <c r="J8590" s="1" t="s">
        <v>67</v>
      </c>
      <c r="K8590" s="1" t="s">
        <v>14</v>
      </c>
      <c r="M8590" s="2">
        <v>42316</v>
      </c>
      <c r="N8590" s="1" t="s">
        <v>8</v>
      </c>
      <c r="O8590" s="1" t="s">
        <v>68</v>
      </c>
    </row>
    <row r="8591" spans="1:15" ht="43.2" x14ac:dyDescent="0.3">
      <c r="A8591" s="1" t="s">
        <v>25936</v>
      </c>
      <c r="B8591" s="1" t="str">
        <f>"BARRY PONTING"</f>
        <v>BARRY PONTING</v>
      </c>
      <c r="C8591" s="1" t="s">
        <v>25937</v>
      </c>
      <c r="F8591" s="1" t="s">
        <v>380</v>
      </c>
      <c r="H8591" s="1" t="s">
        <v>25938</v>
      </c>
      <c r="I8591" s="1" t="s">
        <v>5</v>
      </c>
      <c r="J8591" s="1" t="s">
        <v>67</v>
      </c>
      <c r="K8591" s="1" t="s">
        <v>14</v>
      </c>
      <c r="M8591" s="2">
        <v>42316</v>
      </c>
      <c r="N8591" s="1" t="s">
        <v>8</v>
      </c>
      <c r="O8591" s="1" t="s">
        <v>68</v>
      </c>
    </row>
    <row r="8592" spans="1:15" ht="43.2" x14ac:dyDescent="0.3">
      <c r="A8592" s="1" t="s">
        <v>25926</v>
      </c>
      <c r="B8592" s="1" t="str">
        <f>"Keiron Davies K Davies Property Maintenance"</f>
        <v>Keiron Davies K Davies Property Maintenance</v>
      </c>
      <c r="C8592" s="1" t="s">
        <v>25927</v>
      </c>
      <c r="F8592" s="1" t="s">
        <v>27</v>
      </c>
      <c r="H8592" s="1" t="s">
        <v>25928</v>
      </c>
      <c r="I8592" s="1" t="s">
        <v>5</v>
      </c>
      <c r="J8592" s="1" t="s">
        <v>67</v>
      </c>
      <c r="K8592" s="1" t="s">
        <v>24</v>
      </c>
      <c r="M8592" s="2">
        <v>42315</v>
      </c>
      <c r="N8592" s="1" t="s">
        <v>8</v>
      </c>
      <c r="O8592" s="1" t="s">
        <v>68</v>
      </c>
    </row>
    <row r="8593" spans="1:15" ht="43.2" x14ac:dyDescent="0.3">
      <c r="A8593" s="1" t="s">
        <v>25929</v>
      </c>
      <c r="B8593" s="1" t="str">
        <f>"Huw Morris"</f>
        <v>Huw Morris</v>
      </c>
      <c r="C8593" s="1" t="s">
        <v>25930</v>
      </c>
      <c r="F8593" s="1" t="s">
        <v>3337</v>
      </c>
      <c r="H8593" s="1" t="s">
        <v>25931</v>
      </c>
      <c r="I8593" s="1" t="s">
        <v>5</v>
      </c>
      <c r="J8593" s="1" t="s">
        <v>67</v>
      </c>
      <c r="K8593" s="1" t="s">
        <v>14</v>
      </c>
      <c r="M8593" s="2">
        <v>42315</v>
      </c>
      <c r="N8593" s="1" t="s">
        <v>8</v>
      </c>
      <c r="O8593" s="1" t="s">
        <v>68</v>
      </c>
    </row>
    <row r="8594" spans="1:15" x14ac:dyDescent="0.3">
      <c r="A8594" s="1" t="s">
        <v>30862</v>
      </c>
      <c r="B8594" s="1" t="str">
        <f>"PNW ROOFING LTD"</f>
        <v>PNW ROOFING LTD</v>
      </c>
      <c r="C8594" s="1" t="s">
        <v>30863</v>
      </c>
      <c r="F8594" s="1" t="s">
        <v>1479</v>
      </c>
      <c r="G8594" s="1" t="s">
        <v>324</v>
      </c>
      <c r="H8594" s="1" t="s">
        <v>11843</v>
      </c>
      <c r="I8594" s="1" t="s">
        <v>19</v>
      </c>
      <c r="J8594" s="1" t="s">
        <v>6</v>
      </c>
      <c r="K8594" s="1" t="s">
        <v>24</v>
      </c>
      <c r="L8594" s="1">
        <v>3103801</v>
      </c>
      <c r="M8594" s="2">
        <v>42315</v>
      </c>
      <c r="N8594" s="1" t="s">
        <v>8</v>
      </c>
      <c r="O8594" s="2">
        <v>44507</v>
      </c>
    </row>
    <row r="8595" spans="1:15" ht="43.2" x14ac:dyDescent="0.3">
      <c r="A8595" s="1" t="s">
        <v>2692</v>
      </c>
      <c r="B8595" s="1" t="str">
        <f>"Homemakers"</f>
        <v>Homemakers</v>
      </c>
      <c r="C8595" s="1" t="s">
        <v>2693</v>
      </c>
      <c r="D8595" s="1" t="s">
        <v>2694</v>
      </c>
      <c r="F8595" s="1" t="s">
        <v>205</v>
      </c>
      <c r="H8595" s="1" t="s">
        <v>2695</v>
      </c>
      <c r="I8595" s="1" t="s">
        <v>19</v>
      </c>
      <c r="J8595" s="1" t="s">
        <v>6</v>
      </c>
      <c r="K8595" s="1" t="s">
        <v>24</v>
      </c>
      <c r="L8595" s="1">
        <v>4400718</v>
      </c>
      <c r="M8595" s="2">
        <v>42314</v>
      </c>
      <c r="N8595" s="1" t="s">
        <v>8</v>
      </c>
      <c r="O8595" s="2">
        <v>44506</v>
      </c>
    </row>
    <row r="8596" spans="1:15" ht="43.2" x14ac:dyDescent="0.3">
      <c r="A8596" s="1" t="s">
        <v>13389</v>
      </c>
      <c r="B8596" s="1" t="str">
        <f>"DAS Legal Expenses"</f>
        <v>DAS Legal Expenses</v>
      </c>
      <c r="C8596" s="1" t="s">
        <v>13390</v>
      </c>
      <c r="F8596" s="1" t="s">
        <v>5459</v>
      </c>
      <c r="H8596" s="1" t="s">
        <v>13391</v>
      </c>
      <c r="I8596" s="1" t="s">
        <v>19</v>
      </c>
      <c r="J8596" s="1" t="s">
        <v>67</v>
      </c>
      <c r="K8596" s="1" t="s">
        <v>14</v>
      </c>
      <c r="M8596" s="2">
        <v>42314</v>
      </c>
      <c r="N8596" s="1" t="s">
        <v>8</v>
      </c>
      <c r="O8596" s="1" t="s">
        <v>68</v>
      </c>
    </row>
    <row r="8597" spans="1:15" ht="43.2" x14ac:dyDescent="0.3">
      <c r="A8597" s="1" t="s">
        <v>14271</v>
      </c>
      <c r="B8597" s="1" t="str">
        <f>"A &amp; B Air Systems Ltd."</f>
        <v>A &amp; B Air Systems Ltd.</v>
      </c>
      <c r="C8597" s="1" t="s">
        <v>14272</v>
      </c>
      <c r="D8597" s="1" t="s">
        <v>197</v>
      </c>
      <c r="F8597" s="1" t="s">
        <v>198</v>
      </c>
      <c r="H8597" s="1" t="s">
        <v>14273</v>
      </c>
      <c r="I8597" s="1" t="s">
        <v>19</v>
      </c>
      <c r="J8597" s="1" t="s">
        <v>67</v>
      </c>
      <c r="K8597" s="1" t="s">
        <v>24</v>
      </c>
      <c r="L8597" s="1">
        <v>3228121</v>
      </c>
      <c r="M8597" s="2">
        <v>42314</v>
      </c>
      <c r="N8597" s="1" t="s">
        <v>8</v>
      </c>
      <c r="O8597" s="1" t="s">
        <v>68</v>
      </c>
    </row>
    <row r="8598" spans="1:15" ht="43.2" x14ac:dyDescent="0.3">
      <c r="A8598" s="1" t="s">
        <v>25922</v>
      </c>
      <c r="B8598" s="1" t="str">
        <f>"David Law"</f>
        <v>David Law</v>
      </c>
      <c r="C8598" s="1" t="s">
        <v>25923</v>
      </c>
      <c r="F8598" s="1" t="s">
        <v>25924</v>
      </c>
      <c r="H8598" s="1" t="s">
        <v>25925</v>
      </c>
      <c r="I8598" s="1" t="s">
        <v>5</v>
      </c>
      <c r="J8598" s="1" t="s">
        <v>67</v>
      </c>
      <c r="K8598" s="1" t="s">
        <v>14</v>
      </c>
      <c r="M8598" s="2">
        <v>42314</v>
      </c>
      <c r="N8598" s="1" t="s">
        <v>8</v>
      </c>
      <c r="O8598" s="1" t="s">
        <v>68</v>
      </c>
    </row>
    <row r="8599" spans="1:15" ht="43.2" x14ac:dyDescent="0.3">
      <c r="A8599" s="1" t="s">
        <v>26642</v>
      </c>
      <c r="B8599" s="1" t="str">
        <f>"Robert Hughes"</f>
        <v>Robert Hughes</v>
      </c>
      <c r="C8599" s="1" t="s">
        <v>26643</v>
      </c>
      <c r="D8599" s="1" t="s">
        <v>26644</v>
      </c>
      <c r="F8599" s="1" t="s">
        <v>198</v>
      </c>
      <c r="H8599" s="1" t="s">
        <v>26645</v>
      </c>
      <c r="I8599" s="1" t="s">
        <v>5</v>
      </c>
      <c r="J8599" s="1" t="s">
        <v>67</v>
      </c>
      <c r="K8599" s="1" t="s">
        <v>14</v>
      </c>
      <c r="M8599" s="2">
        <v>42314</v>
      </c>
      <c r="N8599" s="1" t="s">
        <v>8</v>
      </c>
      <c r="O8599" s="1" t="s">
        <v>68</v>
      </c>
    </row>
    <row r="8600" spans="1:15" ht="28.8" x14ac:dyDescent="0.3">
      <c r="A8600" s="1" t="s">
        <v>2864</v>
      </c>
      <c r="B8600" s="1" t="str">
        <f>"Lee Teesdale"</f>
        <v>Lee Teesdale</v>
      </c>
      <c r="C8600" s="1" t="s">
        <v>2865</v>
      </c>
      <c r="F8600" s="1" t="s">
        <v>65</v>
      </c>
      <c r="H8600" s="1" t="s">
        <v>2866</v>
      </c>
      <c r="I8600" s="1" t="s">
        <v>5</v>
      </c>
      <c r="J8600" s="1" t="s">
        <v>6</v>
      </c>
      <c r="K8600" s="1" t="s">
        <v>24</v>
      </c>
      <c r="M8600" s="2">
        <v>42313</v>
      </c>
      <c r="N8600" s="1" t="s">
        <v>8</v>
      </c>
      <c r="O8600" s="2">
        <v>44505</v>
      </c>
    </row>
    <row r="8601" spans="1:15" ht="43.2" x14ac:dyDescent="0.3">
      <c r="A8601" s="1" t="s">
        <v>13361</v>
      </c>
      <c r="B8601" s="1" t="str">
        <f>"Hampshire County Council"</f>
        <v>Hampshire County Council</v>
      </c>
      <c r="C8601" s="1" t="s">
        <v>13362</v>
      </c>
      <c r="F8601" s="1" t="s">
        <v>3415</v>
      </c>
      <c r="H8601" s="1" t="s">
        <v>13363</v>
      </c>
      <c r="I8601" s="1" t="s">
        <v>188</v>
      </c>
      <c r="J8601" s="1" t="s">
        <v>67</v>
      </c>
      <c r="K8601" s="1" t="s">
        <v>14</v>
      </c>
      <c r="M8601" s="2">
        <v>42313</v>
      </c>
      <c r="N8601" s="1" t="s">
        <v>8</v>
      </c>
      <c r="O8601" s="1" t="s">
        <v>68</v>
      </c>
    </row>
    <row r="8602" spans="1:15" ht="43.2" x14ac:dyDescent="0.3">
      <c r="A8602" s="1" t="s">
        <v>25897</v>
      </c>
      <c r="B8602" s="1" t="str">
        <f>"Steven  Davies"</f>
        <v>Steven  Davies</v>
      </c>
      <c r="C8602" s="1" t="s">
        <v>25898</v>
      </c>
      <c r="F8602" s="1" t="s">
        <v>65</v>
      </c>
      <c r="H8602" s="1" t="s">
        <v>3165</v>
      </c>
      <c r="I8602" s="1" t="s">
        <v>5</v>
      </c>
      <c r="J8602" s="1" t="s">
        <v>67</v>
      </c>
      <c r="K8602" s="1" t="s">
        <v>14</v>
      </c>
      <c r="M8602" s="2">
        <v>42313</v>
      </c>
      <c r="N8602" s="1" t="s">
        <v>8</v>
      </c>
      <c r="O8602" s="1" t="s">
        <v>68</v>
      </c>
    </row>
    <row r="8603" spans="1:15" ht="43.2" x14ac:dyDescent="0.3">
      <c r="A8603" s="1" t="s">
        <v>25899</v>
      </c>
      <c r="B8603" s="1" t="str">
        <f>"michael collett"</f>
        <v>michael collett</v>
      </c>
      <c r="C8603" s="1" t="s">
        <v>25900</v>
      </c>
      <c r="F8603" s="1" t="s">
        <v>27</v>
      </c>
      <c r="H8603" s="1" t="s">
        <v>25901</v>
      </c>
      <c r="I8603" s="1" t="s">
        <v>5</v>
      </c>
      <c r="J8603" s="1" t="s">
        <v>67</v>
      </c>
      <c r="K8603" s="1" t="s">
        <v>14</v>
      </c>
      <c r="M8603" s="2">
        <v>42313</v>
      </c>
      <c r="N8603" s="1" t="s">
        <v>8</v>
      </c>
      <c r="O8603" s="1" t="s">
        <v>68</v>
      </c>
    </row>
    <row r="8604" spans="1:15" ht="43.2" x14ac:dyDescent="0.3">
      <c r="A8604" s="1" t="s">
        <v>26639</v>
      </c>
      <c r="B8604" s="1" t="str">
        <f>"Adrian Cole Adrian cole"</f>
        <v>Adrian Cole Adrian cole</v>
      </c>
      <c r="C8604" s="1" t="s">
        <v>26640</v>
      </c>
      <c r="F8604" s="1" t="s">
        <v>2906</v>
      </c>
      <c r="H8604" s="1" t="s">
        <v>26641</v>
      </c>
      <c r="I8604" s="1" t="s">
        <v>5</v>
      </c>
      <c r="J8604" s="1" t="s">
        <v>67</v>
      </c>
      <c r="K8604" s="1" t="s">
        <v>24</v>
      </c>
      <c r="M8604" s="2">
        <v>42313</v>
      </c>
      <c r="N8604" s="1" t="s">
        <v>8</v>
      </c>
      <c r="O8604" s="1" t="s">
        <v>68</v>
      </c>
    </row>
    <row r="8605" spans="1:15" x14ac:dyDescent="0.3">
      <c r="A8605" s="1" t="s">
        <v>30968</v>
      </c>
      <c r="B8605" s="1" t="str">
        <f>"Ian Davies"</f>
        <v>Ian Davies</v>
      </c>
      <c r="C8605" s="1" t="s">
        <v>30969</v>
      </c>
      <c r="D8605" s="1" t="s">
        <v>2169</v>
      </c>
      <c r="F8605" s="1" t="s">
        <v>179</v>
      </c>
      <c r="G8605" s="1" t="s">
        <v>180</v>
      </c>
      <c r="H8605" s="1" t="s">
        <v>30970</v>
      </c>
      <c r="I8605" s="1" t="s">
        <v>5</v>
      </c>
      <c r="J8605" s="1" t="s">
        <v>6</v>
      </c>
      <c r="K8605" s="1" t="s">
        <v>24</v>
      </c>
      <c r="M8605" s="2">
        <v>42313</v>
      </c>
      <c r="N8605" s="1" t="s">
        <v>8</v>
      </c>
      <c r="O8605" s="2">
        <v>44505</v>
      </c>
    </row>
    <row r="8606" spans="1:15" ht="28.8" x14ac:dyDescent="0.3">
      <c r="A8606" s="1" t="s">
        <v>33009</v>
      </c>
      <c r="B8606" s="1" t="str">
        <f>"David Hughes hughes transport"</f>
        <v>David Hughes hughes transport</v>
      </c>
      <c r="C8606" s="1" t="s">
        <v>33010</v>
      </c>
      <c r="F8606" s="1" t="s">
        <v>790</v>
      </c>
      <c r="H8606" s="1" t="s">
        <v>33011</v>
      </c>
      <c r="I8606" s="1" t="s">
        <v>5</v>
      </c>
      <c r="J8606" s="1" t="s">
        <v>6</v>
      </c>
      <c r="K8606" s="1" t="s">
        <v>24</v>
      </c>
      <c r="M8606" s="2">
        <v>42313</v>
      </c>
      <c r="N8606" s="1" t="s">
        <v>8</v>
      </c>
      <c r="O8606" s="2">
        <v>44505</v>
      </c>
    </row>
    <row r="8607" spans="1:15" ht="43.2" x14ac:dyDescent="0.3">
      <c r="A8607" s="1" t="s">
        <v>13358</v>
      </c>
      <c r="B8607" s="1" t="str">
        <f>"Greenmeadow Community Farm"</f>
        <v>Greenmeadow Community Farm</v>
      </c>
      <c r="C8607" s="1" t="s">
        <v>13359</v>
      </c>
      <c r="F8607" s="1" t="s">
        <v>380</v>
      </c>
      <c r="H8607" s="1" t="s">
        <v>13360</v>
      </c>
      <c r="I8607" s="1" t="s">
        <v>188</v>
      </c>
      <c r="J8607" s="1" t="s">
        <v>67</v>
      </c>
      <c r="K8607" s="1" t="s">
        <v>14</v>
      </c>
      <c r="M8607" s="2">
        <v>42312</v>
      </c>
      <c r="N8607" s="1" t="s">
        <v>8</v>
      </c>
      <c r="O8607" s="1" t="s">
        <v>68</v>
      </c>
    </row>
    <row r="8608" spans="1:15" ht="43.2" x14ac:dyDescent="0.3">
      <c r="A8608" s="1" t="s">
        <v>25894</v>
      </c>
      <c r="B8608" s="1" t="str">
        <f>"Eirlys Mair Bartlett"</f>
        <v>Eirlys Mair Bartlett</v>
      </c>
      <c r="C8608" s="1" t="s">
        <v>25895</v>
      </c>
      <c r="F8608" s="1" t="s">
        <v>42</v>
      </c>
      <c r="H8608" s="1" t="s">
        <v>25896</v>
      </c>
      <c r="I8608" s="1" t="s">
        <v>5</v>
      </c>
      <c r="J8608" s="1" t="s">
        <v>67</v>
      </c>
      <c r="K8608" s="1" t="s">
        <v>14</v>
      </c>
      <c r="M8608" s="2">
        <v>42312</v>
      </c>
      <c r="N8608" s="1" t="s">
        <v>8</v>
      </c>
      <c r="O8608" s="1" t="s">
        <v>68</v>
      </c>
    </row>
    <row r="8609" spans="1:15" ht="43.2" x14ac:dyDescent="0.3">
      <c r="A8609" s="1" t="s">
        <v>25183</v>
      </c>
      <c r="B8609" s="1" t="str">
        <f>"Sue Powell"</f>
        <v>Sue Powell</v>
      </c>
      <c r="C8609" s="1" t="s">
        <v>25184</v>
      </c>
      <c r="F8609" s="1" t="s">
        <v>12</v>
      </c>
      <c r="H8609" s="1" t="s">
        <v>2163</v>
      </c>
      <c r="I8609" s="1" t="s">
        <v>5</v>
      </c>
      <c r="J8609" s="1" t="s">
        <v>67</v>
      </c>
      <c r="K8609" s="1" t="s">
        <v>14</v>
      </c>
      <c r="M8609" s="2">
        <v>42311</v>
      </c>
      <c r="N8609" s="1" t="s">
        <v>8</v>
      </c>
      <c r="O8609" s="1" t="s">
        <v>68</v>
      </c>
    </row>
    <row r="8610" spans="1:15" ht="43.2" x14ac:dyDescent="0.3">
      <c r="A8610" s="1" t="s">
        <v>25185</v>
      </c>
      <c r="B8610" s="1" t="str">
        <f>"BEN JONES"</f>
        <v>BEN JONES</v>
      </c>
      <c r="C8610" s="1" t="s">
        <v>25186</v>
      </c>
      <c r="F8610" s="1" t="s">
        <v>1278</v>
      </c>
      <c r="H8610" s="1" t="s">
        <v>5735</v>
      </c>
      <c r="I8610" s="1" t="s">
        <v>5</v>
      </c>
      <c r="J8610" s="1" t="s">
        <v>67</v>
      </c>
      <c r="K8610" s="1" t="s">
        <v>14</v>
      </c>
      <c r="M8610" s="2">
        <v>42311</v>
      </c>
      <c r="N8610" s="1" t="s">
        <v>8</v>
      </c>
      <c r="O8610" s="1" t="s">
        <v>68</v>
      </c>
    </row>
    <row r="8611" spans="1:15" ht="28.8" x14ac:dyDescent="0.3">
      <c r="A8611" s="1" t="s">
        <v>30924</v>
      </c>
      <c r="B8611" s="1" t="str">
        <f>"MFS (NW) LTD"</f>
        <v>MFS (NW) LTD</v>
      </c>
      <c r="C8611" s="1" t="s">
        <v>30925</v>
      </c>
      <c r="D8611" s="1" t="s">
        <v>5911</v>
      </c>
      <c r="F8611" s="1" t="s">
        <v>83</v>
      </c>
      <c r="H8611" s="1" t="s">
        <v>2237</v>
      </c>
      <c r="I8611" s="1" t="s">
        <v>19</v>
      </c>
      <c r="J8611" s="1" t="s">
        <v>6</v>
      </c>
      <c r="K8611" s="1" t="s">
        <v>34</v>
      </c>
      <c r="L8611" s="1">
        <v>6834102</v>
      </c>
      <c r="M8611" s="2">
        <v>42311</v>
      </c>
      <c r="N8611" s="1" t="s">
        <v>8</v>
      </c>
      <c r="O8611" s="2">
        <v>44552</v>
      </c>
    </row>
    <row r="8612" spans="1:15" ht="28.8" x14ac:dyDescent="0.3">
      <c r="A8612" s="1" t="s">
        <v>30938</v>
      </c>
      <c r="B8612" s="1" t="str">
        <f>"JE &amp; E &amp; IE Ritchie"</f>
        <v>JE &amp; E &amp; IE Ritchie</v>
      </c>
      <c r="C8612" s="1" t="s">
        <v>30939</v>
      </c>
      <c r="F8612" s="1" t="s">
        <v>1584</v>
      </c>
      <c r="H8612" s="1" t="s">
        <v>30940</v>
      </c>
      <c r="I8612" s="1" t="s">
        <v>125</v>
      </c>
      <c r="J8612" s="1" t="s">
        <v>6</v>
      </c>
      <c r="K8612" s="1" t="s">
        <v>24</v>
      </c>
      <c r="M8612" s="2">
        <v>42311</v>
      </c>
      <c r="N8612" s="1" t="s">
        <v>8</v>
      </c>
      <c r="O8612" s="2">
        <v>44502</v>
      </c>
    </row>
    <row r="8613" spans="1:15" x14ac:dyDescent="0.3">
      <c r="A8613" s="1" t="s">
        <v>30966</v>
      </c>
      <c r="B8613" s="1" t="str">
        <f>"KUSTEN VORLAND LTD"</f>
        <v>KUSTEN VORLAND LTD</v>
      </c>
      <c r="C8613" s="1" t="s">
        <v>30967</v>
      </c>
      <c r="D8613" s="1" t="s">
        <v>1025</v>
      </c>
      <c r="F8613" s="1" t="s">
        <v>27</v>
      </c>
      <c r="H8613" s="1" t="s">
        <v>6279</v>
      </c>
      <c r="I8613" s="1" t="s">
        <v>19</v>
      </c>
      <c r="J8613" s="1" t="s">
        <v>6</v>
      </c>
      <c r="K8613" s="1" t="s">
        <v>24</v>
      </c>
      <c r="L8613" s="1">
        <v>7062356</v>
      </c>
      <c r="M8613" s="2">
        <v>42311</v>
      </c>
      <c r="N8613" s="1" t="s">
        <v>8</v>
      </c>
      <c r="O8613" s="2">
        <v>44510</v>
      </c>
    </row>
    <row r="8614" spans="1:15" ht="28.8" x14ac:dyDescent="0.3">
      <c r="A8614" s="1" t="s">
        <v>32933</v>
      </c>
      <c r="B8614" s="1" t="str">
        <f>"Stuart White Vibrant gardens"</f>
        <v>Stuart White Vibrant gardens</v>
      </c>
      <c r="C8614" s="1" t="s">
        <v>32934</v>
      </c>
      <c r="F8614" s="1" t="s">
        <v>27</v>
      </c>
      <c r="H8614" s="1" t="s">
        <v>32935</v>
      </c>
      <c r="I8614" s="1" t="s">
        <v>5</v>
      </c>
      <c r="J8614" s="1" t="s">
        <v>6</v>
      </c>
      <c r="K8614" s="1" t="s">
        <v>34</v>
      </c>
      <c r="M8614" s="2">
        <v>42311</v>
      </c>
      <c r="N8614" s="1" t="s">
        <v>8</v>
      </c>
      <c r="O8614" s="2">
        <v>44503</v>
      </c>
    </row>
    <row r="8615" spans="1:15" ht="28.8" x14ac:dyDescent="0.3">
      <c r="A8615" s="1" t="s">
        <v>32998</v>
      </c>
      <c r="B8615" s="1" t="str">
        <f>"KM &amp; WE Owen ta KM Owen Plant Hire"</f>
        <v>KM &amp; WE Owen ta KM Owen Plant Hire</v>
      </c>
      <c r="C8615" s="1" t="s">
        <v>32999</v>
      </c>
      <c r="D8615" s="1" t="s">
        <v>13474</v>
      </c>
      <c r="F8615" s="1" t="s">
        <v>416</v>
      </c>
      <c r="G8615" s="1" t="s">
        <v>162</v>
      </c>
      <c r="H8615" s="1" t="s">
        <v>12063</v>
      </c>
      <c r="I8615" s="1" t="s">
        <v>125</v>
      </c>
      <c r="J8615" s="1" t="s">
        <v>6</v>
      </c>
      <c r="K8615" s="1" t="s">
        <v>34</v>
      </c>
      <c r="M8615" s="2">
        <v>42311</v>
      </c>
      <c r="N8615" s="1" t="s">
        <v>8</v>
      </c>
      <c r="O8615" s="2">
        <v>44503</v>
      </c>
    </row>
    <row r="8616" spans="1:15" ht="28.8" x14ac:dyDescent="0.3">
      <c r="A8616" s="1" t="s">
        <v>2629</v>
      </c>
      <c r="B8616" s="1" t="str">
        <f>"Ian Jones"</f>
        <v>Ian Jones</v>
      </c>
      <c r="C8616" s="1" t="s">
        <v>2630</v>
      </c>
      <c r="D8616" s="1" t="s">
        <v>2631</v>
      </c>
      <c r="E8616" s="1" t="s">
        <v>1067</v>
      </c>
      <c r="F8616" s="1" t="s">
        <v>179</v>
      </c>
      <c r="H8616" s="1" t="s">
        <v>2632</v>
      </c>
      <c r="I8616" s="1" t="s">
        <v>5</v>
      </c>
      <c r="J8616" s="1" t="s">
        <v>6</v>
      </c>
      <c r="K8616" s="1" t="s">
        <v>24</v>
      </c>
      <c r="M8616" s="2">
        <v>42310</v>
      </c>
      <c r="N8616" s="1" t="s">
        <v>8</v>
      </c>
      <c r="O8616" s="2">
        <v>44501</v>
      </c>
    </row>
    <row r="8617" spans="1:15" ht="43.2" x14ac:dyDescent="0.3">
      <c r="A8617" s="1" t="s">
        <v>11269</v>
      </c>
      <c r="B8617" s="1" t="str">
        <f>"lady Barn House School"</f>
        <v>lady Barn House School</v>
      </c>
      <c r="C8617" s="1" t="s">
        <v>11270</v>
      </c>
      <c r="F8617" s="1" t="s">
        <v>11271</v>
      </c>
      <c r="H8617" s="1" t="s">
        <v>11272</v>
      </c>
      <c r="I8617" s="1" t="s">
        <v>1872</v>
      </c>
      <c r="J8617" s="1" t="s">
        <v>67</v>
      </c>
      <c r="K8617" s="1" t="s">
        <v>14</v>
      </c>
      <c r="M8617" s="2">
        <v>42310</v>
      </c>
      <c r="N8617" s="1" t="s">
        <v>8</v>
      </c>
      <c r="O8617" s="1" t="s">
        <v>68</v>
      </c>
    </row>
    <row r="8618" spans="1:15" ht="43.2" x14ac:dyDescent="0.3">
      <c r="A8618" s="1" t="s">
        <v>11273</v>
      </c>
      <c r="B8618" s="1" t="str">
        <f>"L&amp;j plumbing and heating services "</f>
        <v xml:space="preserve">L&amp;j plumbing and heating services </v>
      </c>
      <c r="C8618" s="1" t="s">
        <v>11274</v>
      </c>
      <c r="F8618" s="1" t="s">
        <v>11275</v>
      </c>
      <c r="H8618" s="1" t="s">
        <v>11276</v>
      </c>
      <c r="I8618" s="1" t="s">
        <v>19</v>
      </c>
      <c r="J8618" s="1" t="s">
        <v>67</v>
      </c>
      <c r="K8618" s="1" t="s">
        <v>14</v>
      </c>
      <c r="M8618" s="2">
        <v>42310</v>
      </c>
      <c r="N8618" s="1" t="s">
        <v>8</v>
      </c>
      <c r="O8618" s="1" t="s">
        <v>68</v>
      </c>
    </row>
    <row r="8619" spans="1:15" ht="43.2" x14ac:dyDescent="0.3">
      <c r="A8619" s="1" t="s">
        <v>24331</v>
      </c>
      <c r="B8619" s="1" t="str">
        <f>"Tim Summerfield"</f>
        <v>Tim Summerfield</v>
      </c>
      <c r="C8619" s="1" t="s">
        <v>24332</v>
      </c>
      <c r="F8619" s="1" t="s">
        <v>24333</v>
      </c>
      <c r="H8619" s="1" t="s">
        <v>24334</v>
      </c>
      <c r="I8619" s="1" t="s">
        <v>5</v>
      </c>
      <c r="J8619" s="1" t="s">
        <v>67</v>
      </c>
      <c r="K8619" s="1" t="s">
        <v>14</v>
      </c>
      <c r="M8619" s="2">
        <v>42310</v>
      </c>
      <c r="N8619" s="1" t="s">
        <v>8</v>
      </c>
      <c r="O8619" s="1" t="s">
        <v>68</v>
      </c>
    </row>
    <row r="8620" spans="1:15" ht="43.2" x14ac:dyDescent="0.3">
      <c r="A8620" s="1" t="s">
        <v>24335</v>
      </c>
      <c r="B8620" s="1" t="str">
        <f>"Ashley roberts"</f>
        <v>Ashley roberts</v>
      </c>
      <c r="C8620" s="1" t="s">
        <v>24336</v>
      </c>
      <c r="F8620" s="1" t="s">
        <v>198</v>
      </c>
      <c r="H8620" s="1" t="s">
        <v>24337</v>
      </c>
      <c r="I8620" s="1" t="s">
        <v>5</v>
      </c>
      <c r="J8620" s="1" t="s">
        <v>67</v>
      </c>
      <c r="K8620" s="1" t="s">
        <v>14</v>
      </c>
      <c r="M8620" s="2">
        <v>42310</v>
      </c>
      <c r="N8620" s="1" t="s">
        <v>8</v>
      </c>
      <c r="O8620" s="1" t="s">
        <v>68</v>
      </c>
    </row>
    <row r="8621" spans="1:15" ht="28.8" x14ac:dyDescent="0.3">
      <c r="A8621" s="1" t="s">
        <v>30816</v>
      </c>
      <c r="B8621" s="1" t="str">
        <f>"J D E ELECTRICAL CONTRACTORS LTD"</f>
        <v>J D E ELECTRICAL CONTRACTORS LTD</v>
      </c>
      <c r="C8621" s="1" t="s">
        <v>30817</v>
      </c>
      <c r="D8621" s="1" t="s">
        <v>6522</v>
      </c>
      <c r="F8621" s="1" t="s">
        <v>720</v>
      </c>
      <c r="H8621" s="1" t="s">
        <v>30818</v>
      </c>
      <c r="I8621" s="1" t="s">
        <v>19</v>
      </c>
      <c r="J8621" s="1" t="s">
        <v>6</v>
      </c>
      <c r="K8621" s="1" t="s">
        <v>24</v>
      </c>
      <c r="L8621" s="1">
        <v>4392930</v>
      </c>
      <c r="M8621" s="2">
        <v>42310</v>
      </c>
      <c r="N8621" s="1" t="s">
        <v>8</v>
      </c>
      <c r="O8621" s="2">
        <v>44502</v>
      </c>
    </row>
    <row r="8622" spans="1:15" ht="43.2" x14ac:dyDescent="0.3">
      <c r="A8622" s="1" t="s">
        <v>10266</v>
      </c>
      <c r="B8622" s="1" t="str">
        <f>"Chs contract services ltd "</f>
        <v xml:space="preserve">Chs contract services ltd </v>
      </c>
      <c r="C8622" s="1" t="s">
        <v>10267</v>
      </c>
      <c r="F8622" s="1" t="s">
        <v>4630</v>
      </c>
      <c r="H8622" s="1" t="s">
        <v>10268</v>
      </c>
      <c r="I8622" s="1" t="s">
        <v>19</v>
      </c>
      <c r="J8622" s="1" t="s">
        <v>67</v>
      </c>
      <c r="K8622" s="1" t="s">
        <v>14</v>
      </c>
      <c r="M8622" s="2">
        <v>42308</v>
      </c>
      <c r="N8622" s="1" t="s">
        <v>8</v>
      </c>
      <c r="O8622" s="1" t="s">
        <v>68</v>
      </c>
    </row>
    <row r="8623" spans="1:15" ht="43.2" x14ac:dyDescent="0.3">
      <c r="A8623" s="1" t="s">
        <v>23488</v>
      </c>
      <c r="B8623" s="1" t="str">
        <f>"andrew evans"</f>
        <v>andrew evans</v>
      </c>
      <c r="C8623" s="1" t="s">
        <v>23489</v>
      </c>
      <c r="F8623" s="1" t="s">
        <v>1321</v>
      </c>
      <c r="H8623" s="1" t="s">
        <v>23490</v>
      </c>
      <c r="I8623" s="1" t="s">
        <v>5</v>
      </c>
      <c r="J8623" s="1" t="s">
        <v>67</v>
      </c>
      <c r="K8623" s="1" t="s">
        <v>14</v>
      </c>
      <c r="M8623" s="2">
        <v>42308</v>
      </c>
      <c r="N8623" s="1" t="s">
        <v>8</v>
      </c>
      <c r="O8623" s="1" t="s">
        <v>68</v>
      </c>
    </row>
    <row r="8624" spans="1:15" ht="28.8" x14ac:dyDescent="0.3">
      <c r="A8624" s="1" t="s">
        <v>2677</v>
      </c>
      <c r="B8624" s="1" t="str">
        <f>"Wayne  Jones  Brickin'it"</f>
        <v>Wayne  Jones  Brickin'it</v>
      </c>
      <c r="C8624" s="1" t="s">
        <v>2678</v>
      </c>
      <c r="F8624" s="1" t="s">
        <v>42</v>
      </c>
      <c r="G8624" s="1" t="s">
        <v>51</v>
      </c>
      <c r="H8624" s="1" t="s">
        <v>2679</v>
      </c>
      <c r="I8624" s="1" t="s">
        <v>5</v>
      </c>
      <c r="J8624" s="1" t="s">
        <v>6</v>
      </c>
      <c r="K8624" s="1" t="s">
        <v>34</v>
      </c>
      <c r="M8624" s="2">
        <v>42307</v>
      </c>
      <c r="N8624" s="1" t="s">
        <v>8</v>
      </c>
      <c r="O8624" s="2">
        <v>44499</v>
      </c>
    </row>
    <row r="8625" spans="1:15" ht="28.8" x14ac:dyDescent="0.3">
      <c r="A8625" s="1" t="s">
        <v>2702</v>
      </c>
      <c r="B8625" s="1" t="str">
        <f>"PRISTINE CEILINGS LTD"</f>
        <v>PRISTINE CEILINGS LTD</v>
      </c>
      <c r="C8625" s="1" t="s">
        <v>2703</v>
      </c>
      <c r="D8625" s="1" t="s">
        <v>344</v>
      </c>
      <c r="E8625" s="1" t="s">
        <v>955</v>
      </c>
      <c r="F8625" s="1" t="s">
        <v>1184</v>
      </c>
      <c r="H8625" s="1" t="s">
        <v>2704</v>
      </c>
      <c r="I8625" s="1" t="s">
        <v>19</v>
      </c>
      <c r="J8625" s="1" t="s">
        <v>6</v>
      </c>
      <c r="K8625" s="1" t="s">
        <v>24</v>
      </c>
      <c r="L8625" s="1">
        <v>6731899</v>
      </c>
      <c r="M8625" s="2">
        <v>42307</v>
      </c>
      <c r="N8625" s="1" t="s">
        <v>8</v>
      </c>
      <c r="O8625" s="2">
        <v>44498</v>
      </c>
    </row>
    <row r="8626" spans="1:15" ht="43.2" x14ac:dyDescent="0.3">
      <c r="A8626" s="1" t="s">
        <v>22712</v>
      </c>
      <c r="B8626" s="1" t="str">
        <f>"Ian Finlay"</f>
        <v>Ian Finlay</v>
      </c>
      <c r="C8626" s="1" t="s">
        <v>22713</v>
      </c>
      <c r="F8626" s="1" t="s">
        <v>1818</v>
      </c>
      <c r="H8626" s="1" t="s">
        <v>22714</v>
      </c>
      <c r="I8626" s="1" t="s">
        <v>5</v>
      </c>
      <c r="J8626" s="1" t="s">
        <v>67</v>
      </c>
      <c r="K8626" s="1" t="s">
        <v>14</v>
      </c>
      <c r="M8626" s="2">
        <v>42307</v>
      </c>
      <c r="N8626" s="1" t="s">
        <v>8</v>
      </c>
      <c r="O8626" s="1" t="s">
        <v>68</v>
      </c>
    </row>
    <row r="8627" spans="1:15" ht="43.2" x14ac:dyDescent="0.3">
      <c r="A8627" s="1" t="s">
        <v>23485</v>
      </c>
      <c r="B8627" s="1" t="str">
        <f>"Josh Lowe"</f>
        <v>Josh Lowe</v>
      </c>
      <c r="C8627" s="1" t="s">
        <v>23486</v>
      </c>
      <c r="F8627" s="1" t="s">
        <v>96</v>
      </c>
      <c r="H8627" s="1" t="s">
        <v>23487</v>
      </c>
      <c r="I8627" s="1" t="s">
        <v>5</v>
      </c>
      <c r="J8627" s="1" t="s">
        <v>67</v>
      </c>
      <c r="K8627" s="1" t="s">
        <v>14</v>
      </c>
      <c r="M8627" s="2">
        <v>42307</v>
      </c>
      <c r="N8627" s="1" t="s">
        <v>8</v>
      </c>
      <c r="O8627" s="1" t="s">
        <v>68</v>
      </c>
    </row>
    <row r="8628" spans="1:15" ht="28.8" x14ac:dyDescent="0.3">
      <c r="A8628" s="1" t="s">
        <v>30921</v>
      </c>
      <c r="B8628" s="1" t="str">
        <f>"Wayne Motley Brick-a-block"</f>
        <v>Wayne Motley Brick-a-block</v>
      </c>
      <c r="C8628" s="1" t="s">
        <v>30922</v>
      </c>
      <c r="F8628" s="1" t="s">
        <v>205</v>
      </c>
      <c r="H8628" s="1" t="s">
        <v>30923</v>
      </c>
      <c r="I8628" s="1" t="s">
        <v>5</v>
      </c>
      <c r="J8628" s="1" t="s">
        <v>6</v>
      </c>
      <c r="K8628" s="1" t="s">
        <v>24</v>
      </c>
      <c r="M8628" s="2">
        <v>42307</v>
      </c>
      <c r="N8628" s="1" t="s">
        <v>8</v>
      </c>
      <c r="O8628" s="2">
        <v>44499</v>
      </c>
    </row>
    <row r="8629" spans="1:15" ht="28.8" x14ac:dyDescent="0.3">
      <c r="A8629" s="1" t="s">
        <v>30983</v>
      </c>
      <c r="B8629" s="1" t="str">
        <f>"Ricky Jones R.J. Haulage "</f>
        <v xml:space="preserve">Ricky Jones R.J. Haulage </v>
      </c>
      <c r="C8629" s="1" t="s">
        <v>30984</v>
      </c>
      <c r="F8629" s="1" t="s">
        <v>205</v>
      </c>
      <c r="H8629" s="1" t="s">
        <v>30985</v>
      </c>
      <c r="I8629" s="1" t="s">
        <v>5</v>
      </c>
      <c r="J8629" s="1" t="s">
        <v>6</v>
      </c>
      <c r="K8629" s="1" t="s">
        <v>24</v>
      </c>
      <c r="M8629" s="2">
        <v>42307</v>
      </c>
      <c r="N8629" s="1" t="s">
        <v>8</v>
      </c>
      <c r="O8629" s="2">
        <v>44499</v>
      </c>
    </row>
    <row r="8630" spans="1:15" ht="28.8" x14ac:dyDescent="0.3">
      <c r="A8630" s="1" t="s">
        <v>33063</v>
      </c>
      <c r="B8630" s="1" t="str">
        <f>"Angelo Mazoni Angelo Mazoni"</f>
        <v>Angelo Mazoni Angelo Mazoni</v>
      </c>
      <c r="F8630" s="1" t="s">
        <v>739</v>
      </c>
      <c r="H8630" s="1" t="s">
        <v>33064</v>
      </c>
      <c r="I8630" s="1" t="s">
        <v>5</v>
      </c>
      <c r="J8630" s="1" t="s">
        <v>6</v>
      </c>
      <c r="K8630" s="1" t="s">
        <v>24</v>
      </c>
      <c r="M8630" s="2">
        <v>42307</v>
      </c>
      <c r="N8630" s="1" t="s">
        <v>8</v>
      </c>
      <c r="O8630" s="2">
        <v>44499</v>
      </c>
    </row>
    <row r="8631" spans="1:15" ht="28.8" x14ac:dyDescent="0.3">
      <c r="A8631" s="1" t="s">
        <v>2808</v>
      </c>
      <c r="B8631" s="1" t="str">
        <f>"TRAFALGAR BUSINESS INTERIORS LIMITED"</f>
        <v>TRAFALGAR BUSINESS INTERIORS LIMITED</v>
      </c>
      <c r="C8631" s="1" t="s">
        <v>2809</v>
      </c>
      <c r="F8631" s="1" t="s">
        <v>27</v>
      </c>
      <c r="H8631" s="1" t="s">
        <v>2810</v>
      </c>
      <c r="I8631" s="1" t="s">
        <v>19</v>
      </c>
      <c r="J8631" s="1" t="s">
        <v>6</v>
      </c>
      <c r="K8631" s="1" t="s">
        <v>34</v>
      </c>
      <c r="L8631" s="1">
        <v>6856312</v>
      </c>
      <c r="M8631" s="2">
        <v>42306</v>
      </c>
      <c r="N8631" s="1" t="s">
        <v>8</v>
      </c>
      <c r="O8631" s="2">
        <v>44498</v>
      </c>
    </row>
    <row r="8632" spans="1:15" ht="43.2" x14ac:dyDescent="0.3">
      <c r="A8632" s="1" t="s">
        <v>9141</v>
      </c>
      <c r="B8632" s="1" t="str">
        <f>"NORTH ROAD SERVICE STATION"</f>
        <v>NORTH ROAD SERVICE STATION</v>
      </c>
      <c r="C8632" s="1" t="s">
        <v>9142</v>
      </c>
      <c r="F8632" s="1" t="s">
        <v>65</v>
      </c>
      <c r="H8632" s="1" t="s">
        <v>9143</v>
      </c>
      <c r="I8632" s="1" t="s">
        <v>125</v>
      </c>
      <c r="J8632" s="1" t="s">
        <v>67</v>
      </c>
      <c r="K8632" s="1" t="s">
        <v>14</v>
      </c>
      <c r="M8632" s="2">
        <v>42306</v>
      </c>
      <c r="N8632" s="1" t="s">
        <v>8</v>
      </c>
      <c r="O8632" s="1" t="s">
        <v>68</v>
      </c>
    </row>
    <row r="8633" spans="1:15" ht="43.2" x14ac:dyDescent="0.3">
      <c r="A8633" s="1" t="s">
        <v>9144</v>
      </c>
      <c r="B8633" s="1" t="str">
        <f>"pennwood electrical services ltd"</f>
        <v>pennwood electrical services ltd</v>
      </c>
      <c r="C8633" s="1" t="s">
        <v>9145</v>
      </c>
      <c r="F8633" s="1" t="s">
        <v>3930</v>
      </c>
      <c r="H8633" s="1" t="s">
        <v>9146</v>
      </c>
      <c r="I8633" s="1" t="s">
        <v>19</v>
      </c>
      <c r="J8633" s="1" t="s">
        <v>67</v>
      </c>
      <c r="K8633" s="1" t="s">
        <v>14</v>
      </c>
      <c r="M8633" s="2">
        <v>42306</v>
      </c>
      <c r="N8633" s="1" t="s">
        <v>8</v>
      </c>
      <c r="O8633" s="1" t="s">
        <v>68</v>
      </c>
    </row>
    <row r="8634" spans="1:15" x14ac:dyDescent="0.3">
      <c r="A8634" s="1" t="s">
        <v>31880</v>
      </c>
      <c r="B8634" s="1" t="str">
        <f>"Sims Building LTD"</f>
        <v>Sims Building LTD</v>
      </c>
      <c r="C8634" s="1" t="s">
        <v>31881</v>
      </c>
      <c r="D8634" s="1" t="s">
        <v>31882</v>
      </c>
      <c r="F8634" s="1" t="s">
        <v>156</v>
      </c>
      <c r="G8634" s="1" t="s">
        <v>156</v>
      </c>
      <c r="H8634" s="1" t="s">
        <v>5166</v>
      </c>
      <c r="I8634" s="1" t="s">
        <v>19</v>
      </c>
      <c r="J8634" s="1" t="s">
        <v>6</v>
      </c>
      <c r="K8634" s="1" t="s">
        <v>24</v>
      </c>
      <c r="L8634" s="1">
        <v>9518666</v>
      </c>
      <c r="M8634" s="2">
        <v>42306</v>
      </c>
      <c r="N8634" s="1" t="s">
        <v>8</v>
      </c>
      <c r="O8634" s="2">
        <v>44497</v>
      </c>
    </row>
    <row r="8635" spans="1:15" ht="43.2" x14ac:dyDescent="0.3">
      <c r="A8635" s="1" t="s">
        <v>21921</v>
      </c>
      <c r="B8635" s="1" t="str">
        <f>"Alfie Simpson Northumbrian Car and Commercial"</f>
        <v>Alfie Simpson Northumbrian Car and Commercial</v>
      </c>
      <c r="C8635" s="1" t="s">
        <v>21922</v>
      </c>
      <c r="D8635" s="1" t="s">
        <v>21923</v>
      </c>
      <c r="F8635" s="1" t="s">
        <v>8841</v>
      </c>
      <c r="H8635" s="1" t="s">
        <v>21924</v>
      </c>
      <c r="I8635" s="1" t="s">
        <v>5</v>
      </c>
      <c r="J8635" s="1" t="s">
        <v>67</v>
      </c>
      <c r="K8635" s="1" t="s">
        <v>34</v>
      </c>
      <c r="M8635" s="2">
        <v>42305</v>
      </c>
      <c r="N8635" s="1" t="s">
        <v>8</v>
      </c>
      <c r="O8635" s="1" t="s">
        <v>68</v>
      </c>
    </row>
    <row r="8636" spans="1:15" ht="43.2" x14ac:dyDescent="0.3">
      <c r="A8636" s="1" t="s">
        <v>21925</v>
      </c>
      <c r="B8636" s="1" t="str">
        <f>"mark roy"</f>
        <v>mark roy</v>
      </c>
      <c r="C8636" s="1" t="s">
        <v>21926</v>
      </c>
      <c r="F8636" s="1" t="s">
        <v>8782</v>
      </c>
      <c r="H8636" s="1" t="s">
        <v>21927</v>
      </c>
      <c r="I8636" s="1" t="s">
        <v>5</v>
      </c>
      <c r="J8636" s="1" t="s">
        <v>67</v>
      </c>
      <c r="K8636" s="1" t="s">
        <v>14</v>
      </c>
      <c r="M8636" s="2">
        <v>42305</v>
      </c>
      <c r="N8636" s="1" t="s">
        <v>8</v>
      </c>
      <c r="O8636" s="1" t="s">
        <v>68</v>
      </c>
    </row>
    <row r="8637" spans="1:15" ht="28.8" x14ac:dyDescent="0.3">
      <c r="A8637" s="1" t="s">
        <v>32906</v>
      </c>
      <c r="B8637" s="1" t="str">
        <f>"Paul Richards  2me2u house clearances"</f>
        <v>Paul Richards  2me2u house clearances</v>
      </c>
      <c r="C8637" s="1" t="s">
        <v>32907</v>
      </c>
      <c r="F8637" s="1" t="s">
        <v>230</v>
      </c>
      <c r="G8637" s="1" t="s">
        <v>231</v>
      </c>
      <c r="H8637" s="1" t="s">
        <v>4905</v>
      </c>
      <c r="I8637" s="1" t="s">
        <v>5</v>
      </c>
      <c r="J8637" s="1" t="s">
        <v>6</v>
      </c>
      <c r="K8637" s="1" t="s">
        <v>24</v>
      </c>
      <c r="M8637" s="2">
        <v>42305</v>
      </c>
      <c r="N8637" s="1" t="s">
        <v>8</v>
      </c>
      <c r="O8637" s="2">
        <v>44497</v>
      </c>
    </row>
    <row r="8638" spans="1:15" ht="28.8" x14ac:dyDescent="0.3">
      <c r="A8638" s="1" t="s">
        <v>32954</v>
      </c>
      <c r="B8638" s="1" t="str">
        <f>"J.W.B. RECYCLING LIMITED"</f>
        <v>J.W.B. RECYCLING LIMITED</v>
      </c>
      <c r="C8638" s="1" t="s">
        <v>32955</v>
      </c>
      <c r="D8638" s="1" t="s">
        <v>781</v>
      </c>
      <c r="F8638" s="1" t="s">
        <v>211</v>
      </c>
      <c r="H8638" s="1" t="s">
        <v>783</v>
      </c>
      <c r="I8638" s="1" t="s">
        <v>19</v>
      </c>
      <c r="J8638" s="1" t="s">
        <v>6</v>
      </c>
      <c r="K8638" s="1" t="s">
        <v>34</v>
      </c>
      <c r="L8638" s="1">
        <v>4767659</v>
      </c>
      <c r="M8638" s="2">
        <v>42305</v>
      </c>
      <c r="N8638" s="1" t="s">
        <v>8</v>
      </c>
      <c r="O8638" s="2">
        <v>44497</v>
      </c>
    </row>
    <row r="8639" spans="1:15" ht="43.2" x14ac:dyDescent="0.3">
      <c r="A8639" s="1" t="s">
        <v>6891</v>
      </c>
      <c r="B8639" s="1" t="str">
        <f>"Speedy Cables (London) Ltd"</f>
        <v>Speedy Cables (London) Ltd</v>
      </c>
      <c r="C8639" s="1" t="s">
        <v>6892</v>
      </c>
      <c r="F8639" s="1" t="s">
        <v>65</v>
      </c>
      <c r="H8639" s="1" t="s">
        <v>6893</v>
      </c>
      <c r="I8639" s="1" t="s">
        <v>19</v>
      </c>
      <c r="J8639" s="1" t="s">
        <v>67</v>
      </c>
      <c r="K8639" s="1" t="s">
        <v>14</v>
      </c>
      <c r="M8639" s="2">
        <v>42304</v>
      </c>
      <c r="N8639" s="1" t="s">
        <v>8</v>
      </c>
      <c r="O8639" s="1" t="s">
        <v>68</v>
      </c>
    </row>
    <row r="8640" spans="1:15" ht="43.2" x14ac:dyDescent="0.3">
      <c r="A8640" s="1" t="s">
        <v>6894</v>
      </c>
      <c r="B8640" s="1" t="str">
        <f>"Jacks Sport Ltd"</f>
        <v>Jacks Sport Ltd</v>
      </c>
      <c r="C8640" s="1" t="s">
        <v>6895</v>
      </c>
      <c r="D8640" s="1" t="s">
        <v>6896</v>
      </c>
      <c r="F8640" s="1" t="s">
        <v>3834</v>
      </c>
      <c r="H8640" s="1" t="s">
        <v>6897</v>
      </c>
      <c r="I8640" s="1" t="s">
        <v>19</v>
      </c>
      <c r="J8640" s="1" t="s">
        <v>67</v>
      </c>
      <c r="K8640" s="1" t="s">
        <v>14</v>
      </c>
      <c r="M8640" s="2">
        <v>42304</v>
      </c>
      <c r="N8640" s="1" t="s">
        <v>8</v>
      </c>
      <c r="O8640" s="1" t="s">
        <v>68</v>
      </c>
    </row>
    <row r="8641" spans="1:15" ht="43.2" x14ac:dyDescent="0.3">
      <c r="A8641" s="1" t="s">
        <v>21146</v>
      </c>
      <c r="B8641" s="1" t="str">
        <f>"karl jones carpetfitter"</f>
        <v>karl jones carpetfitter</v>
      </c>
      <c r="C8641" s="1" t="s">
        <v>21147</v>
      </c>
      <c r="F8641" s="1" t="s">
        <v>198</v>
      </c>
      <c r="H8641" s="1" t="s">
        <v>21148</v>
      </c>
      <c r="I8641" s="1" t="s">
        <v>5</v>
      </c>
      <c r="J8641" s="1" t="s">
        <v>67</v>
      </c>
      <c r="K8641" s="1" t="s">
        <v>34</v>
      </c>
      <c r="M8641" s="2">
        <v>42304</v>
      </c>
      <c r="N8641" s="1" t="s">
        <v>8</v>
      </c>
      <c r="O8641" s="1" t="s">
        <v>68</v>
      </c>
    </row>
    <row r="8642" spans="1:15" ht="43.2" x14ac:dyDescent="0.3">
      <c r="A8642" s="1" t="s">
        <v>21149</v>
      </c>
      <c r="B8642" s="1" t="str">
        <f>"mark  webb"</f>
        <v>mark  webb</v>
      </c>
      <c r="C8642" s="1" t="s">
        <v>21150</v>
      </c>
      <c r="D8642" s="1" t="s">
        <v>108</v>
      </c>
      <c r="F8642" s="1" t="s">
        <v>65</v>
      </c>
      <c r="H8642" s="1" t="s">
        <v>21151</v>
      </c>
      <c r="I8642" s="1" t="s">
        <v>5</v>
      </c>
      <c r="J8642" s="1" t="s">
        <v>67</v>
      </c>
      <c r="K8642" s="1" t="s">
        <v>14</v>
      </c>
      <c r="M8642" s="2">
        <v>42304</v>
      </c>
      <c r="N8642" s="1" t="s">
        <v>8</v>
      </c>
      <c r="O8642" s="1" t="s">
        <v>68</v>
      </c>
    </row>
    <row r="8643" spans="1:15" ht="43.2" x14ac:dyDescent="0.3">
      <c r="A8643" s="1" t="s">
        <v>21915</v>
      </c>
      <c r="B8643" s="1" t="str">
        <f>"Ian Wootten"</f>
        <v>Ian Wootten</v>
      </c>
      <c r="C8643" s="1" t="s">
        <v>21916</v>
      </c>
      <c r="F8643" s="1" t="s">
        <v>65</v>
      </c>
      <c r="H8643" s="1" t="s">
        <v>21917</v>
      </c>
      <c r="I8643" s="1" t="s">
        <v>5</v>
      </c>
      <c r="J8643" s="1" t="s">
        <v>67</v>
      </c>
      <c r="K8643" s="1" t="s">
        <v>14</v>
      </c>
      <c r="M8643" s="2">
        <v>42304</v>
      </c>
      <c r="N8643" s="1" t="s">
        <v>8</v>
      </c>
      <c r="O8643" s="1" t="s">
        <v>68</v>
      </c>
    </row>
    <row r="8644" spans="1:15" ht="43.2" x14ac:dyDescent="0.3">
      <c r="A8644" s="1" t="s">
        <v>21918</v>
      </c>
      <c r="B8644" s="1" t="str">
        <f>"gillian probert"</f>
        <v>gillian probert</v>
      </c>
      <c r="C8644" s="1" t="s">
        <v>21919</v>
      </c>
      <c r="F8644" s="1" t="s">
        <v>1175</v>
      </c>
      <c r="H8644" s="1" t="s">
        <v>21920</v>
      </c>
      <c r="I8644" s="1" t="s">
        <v>5</v>
      </c>
      <c r="J8644" s="1" t="s">
        <v>67</v>
      </c>
      <c r="K8644" s="1" t="s">
        <v>14</v>
      </c>
      <c r="M8644" s="2">
        <v>42304</v>
      </c>
      <c r="N8644" s="1" t="s">
        <v>8</v>
      </c>
      <c r="O8644" s="1" t="s">
        <v>68</v>
      </c>
    </row>
    <row r="8645" spans="1:15" x14ac:dyDescent="0.3">
      <c r="A8645" s="1" t="s">
        <v>30845</v>
      </c>
      <c r="B8645" s="1" t="str">
        <f>"Jeremy Palmer"</f>
        <v>Jeremy Palmer</v>
      </c>
      <c r="C8645" s="1" t="s">
        <v>30846</v>
      </c>
      <c r="F8645" s="1" t="s">
        <v>1058</v>
      </c>
      <c r="G8645" s="1" t="s">
        <v>381</v>
      </c>
      <c r="H8645" s="1" t="s">
        <v>30847</v>
      </c>
      <c r="I8645" s="1" t="s">
        <v>5</v>
      </c>
      <c r="J8645" s="1" t="s">
        <v>6</v>
      </c>
      <c r="K8645" s="1" t="s">
        <v>24</v>
      </c>
      <c r="M8645" s="2">
        <v>42304</v>
      </c>
      <c r="N8645" s="1" t="s">
        <v>8</v>
      </c>
      <c r="O8645" s="2">
        <v>44495</v>
      </c>
    </row>
    <row r="8646" spans="1:15" ht="28.8" x14ac:dyDescent="0.3">
      <c r="A8646" s="1" t="s">
        <v>30977</v>
      </c>
      <c r="B8646" s="1" t="str">
        <f>"SMS Energy Services Ltd"</f>
        <v>SMS Energy Services Ltd</v>
      </c>
      <c r="C8646" s="1" t="s">
        <v>30978</v>
      </c>
      <c r="D8646" s="1" t="s">
        <v>5663</v>
      </c>
      <c r="F8646" s="1" t="s">
        <v>123</v>
      </c>
      <c r="H8646" s="1" t="s">
        <v>30979</v>
      </c>
      <c r="I8646" s="1" t="s">
        <v>19</v>
      </c>
      <c r="J8646" s="1" t="s">
        <v>6</v>
      </c>
      <c r="K8646" s="1" t="s">
        <v>24</v>
      </c>
      <c r="L8646" s="1">
        <v>3197379</v>
      </c>
      <c r="M8646" s="2">
        <v>42304</v>
      </c>
      <c r="N8646" s="1" t="s">
        <v>8</v>
      </c>
      <c r="O8646" s="2">
        <v>44496</v>
      </c>
    </row>
    <row r="8647" spans="1:15" ht="43.2" x14ac:dyDescent="0.3">
      <c r="A8647" s="1" t="s">
        <v>6888</v>
      </c>
      <c r="B8647" s="1" t="str">
        <f>"Penylan fallen stock services"</f>
        <v>Penylan fallen stock services</v>
      </c>
      <c r="C8647" s="1" t="s">
        <v>6889</v>
      </c>
      <c r="F8647" s="1" t="s">
        <v>22</v>
      </c>
      <c r="H8647" s="1" t="s">
        <v>6890</v>
      </c>
      <c r="I8647" s="1" t="s">
        <v>188</v>
      </c>
      <c r="J8647" s="1" t="s">
        <v>67</v>
      </c>
      <c r="K8647" s="1" t="s">
        <v>14</v>
      </c>
      <c r="M8647" s="2">
        <v>42303</v>
      </c>
      <c r="N8647" s="1" t="s">
        <v>8</v>
      </c>
      <c r="O8647" s="1" t="s">
        <v>68</v>
      </c>
    </row>
    <row r="8648" spans="1:15" ht="43.2" x14ac:dyDescent="0.3">
      <c r="A8648" s="1" t="s">
        <v>21143</v>
      </c>
      <c r="B8648" s="1" t="str">
        <f>"Barry Lloyd"</f>
        <v>Barry Lloyd</v>
      </c>
      <c r="C8648" s="1" t="s">
        <v>21144</v>
      </c>
      <c r="F8648" s="1" t="s">
        <v>2277</v>
      </c>
      <c r="H8648" s="1" t="s">
        <v>21145</v>
      </c>
      <c r="I8648" s="1" t="s">
        <v>5</v>
      </c>
      <c r="J8648" s="1" t="s">
        <v>67</v>
      </c>
      <c r="K8648" s="1" t="s">
        <v>14</v>
      </c>
      <c r="M8648" s="2">
        <v>42303</v>
      </c>
      <c r="N8648" s="1" t="s">
        <v>8</v>
      </c>
      <c r="O8648" s="1" t="s">
        <v>68</v>
      </c>
    </row>
    <row r="8649" spans="1:15" ht="28.8" x14ac:dyDescent="0.3">
      <c r="A8649" s="1" t="s">
        <v>31872</v>
      </c>
      <c r="B8649" s="1" t="str">
        <f>"ONS Developments Limited"</f>
        <v>ONS Developments Limited</v>
      </c>
      <c r="C8649" s="1" t="s">
        <v>31873</v>
      </c>
      <c r="D8649" s="1" t="s">
        <v>31874</v>
      </c>
      <c r="F8649" s="1" t="s">
        <v>56</v>
      </c>
      <c r="G8649" s="1" t="s">
        <v>51</v>
      </c>
      <c r="H8649" s="1" t="s">
        <v>31875</v>
      </c>
      <c r="I8649" s="1" t="s">
        <v>19</v>
      </c>
      <c r="J8649" s="1" t="s">
        <v>6</v>
      </c>
      <c r="K8649" s="1" t="s">
        <v>34</v>
      </c>
      <c r="L8649" s="1">
        <v>8966024</v>
      </c>
      <c r="M8649" s="2">
        <v>42303</v>
      </c>
      <c r="N8649" s="1" t="s">
        <v>8</v>
      </c>
      <c r="O8649" s="2">
        <v>44496</v>
      </c>
    </row>
    <row r="8650" spans="1:15" ht="43.2" x14ac:dyDescent="0.3">
      <c r="A8650" s="1" t="s">
        <v>5717</v>
      </c>
      <c r="B8650" s="1" t="str">
        <f>"Master Maintenance LTD"</f>
        <v>Master Maintenance LTD</v>
      </c>
      <c r="C8650" s="1" t="s">
        <v>5718</v>
      </c>
      <c r="F8650" s="1" t="s">
        <v>27</v>
      </c>
      <c r="H8650" s="1" t="s">
        <v>5719</v>
      </c>
      <c r="I8650" s="1" t="s">
        <v>19</v>
      </c>
      <c r="J8650" s="1" t="s">
        <v>67</v>
      </c>
      <c r="K8650" s="1" t="s">
        <v>24</v>
      </c>
      <c r="L8650" s="1">
        <v>8117411</v>
      </c>
      <c r="M8650" s="2">
        <v>42301</v>
      </c>
      <c r="N8650" s="1" t="s">
        <v>8</v>
      </c>
      <c r="O8650" s="1" t="s">
        <v>68</v>
      </c>
    </row>
    <row r="8651" spans="1:15" ht="43.2" x14ac:dyDescent="0.3">
      <c r="A8651" s="1" t="s">
        <v>20364</v>
      </c>
      <c r="B8651" s="1" t="str">
        <f>"GEOFF HUNTER"</f>
        <v>GEOFF HUNTER</v>
      </c>
      <c r="C8651" s="1" t="s">
        <v>20365</v>
      </c>
      <c r="F8651" s="1" t="s">
        <v>14815</v>
      </c>
      <c r="H8651" s="1" t="s">
        <v>20366</v>
      </c>
      <c r="I8651" s="1" t="s">
        <v>5</v>
      </c>
      <c r="J8651" s="1" t="s">
        <v>67</v>
      </c>
      <c r="K8651" s="1" t="s">
        <v>14</v>
      </c>
      <c r="M8651" s="2">
        <v>42301</v>
      </c>
      <c r="N8651" s="1" t="s">
        <v>8</v>
      </c>
      <c r="O8651" s="1" t="s">
        <v>68</v>
      </c>
    </row>
    <row r="8652" spans="1:15" ht="28.8" x14ac:dyDescent="0.3">
      <c r="A8652" s="1" t="s">
        <v>2553</v>
      </c>
      <c r="B8652" s="1" t="str">
        <f>"HOS Hire Ltd"</f>
        <v>HOS Hire Ltd</v>
      </c>
      <c r="C8652" s="1" t="s">
        <v>2554</v>
      </c>
      <c r="D8652" s="1" t="s">
        <v>2555</v>
      </c>
      <c r="F8652" s="1" t="s">
        <v>32</v>
      </c>
      <c r="G8652" s="1" t="s">
        <v>109</v>
      </c>
      <c r="H8652" s="1" t="s">
        <v>2556</v>
      </c>
      <c r="I8652" s="1" t="s">
        <v>19</v>
      </c>
      <c r="J8652" s="1" t="s">
        <v>6</v>
      </c>
      <c r="K8652" s="1" t="s">
        <v>24</v>
      </c>
      <c r="L8652" s="1">
        <v>5342935</v>
      </c>
      <c r="M8652" s="2">
        <v>42300</v>
      </c>
      <c r="N8652" s="1" t="s">
        <v>8</v>
      </c>
      <c r="O8652" s="2">
        <v>44491</v>
      </c>
    </row>
    <row r="8653" spans="1:15" ht="28.8" x14ac:dyDescent="0.3">
      <c r="A8653" s="1" t="s">
        <v>2771</v>
      </c>
      <c r="B8653" s="1" t="str">
        <f>"MCL Environmental Services Ltd "</f>
        <v xml:space="preserve">MCL Environmental Services Ltd </v>
      </c>
      <c r="C8653" s="1" t="s">
        <v>2772</v>
      </c>
      <c r="D8653" s="1" t="s">
        <v>2773</v>
      </c>
      <c r="F8653" s="1" t="s">
        <v>2774</v>
      </c>
      <c r="H8653" s="1" t="s">
        <v>2775</v>
      </c>
      <c r="I8653" s="1" t="s">
        <v>19</v>
      </c>
      <c r="J8653" s="1" t="s">
        <v>6</v>
      </c>
      <c r="K8653" s="1" t="s">
        <v>34</v>
      </c>
      <c r="L8653" s="1">
        <v>9669419</v>
      </c>
      <c r="M8653" s="2">
        <v>42300</v>
      </c>
      <c r="N8653" s="1" t="s">
        <v>8</v>
      </c>
      <c r="O8653" s="2">
        <v>44492</v>
      </c>
    </row>
    <row r="8654" spans="1:15" ht="43.2" x14ac:dyDescent="0.3">
      <c r="A8654" s="1" t="s">
        <v>4551</v>
      </c>
      <c r="B8654" s="1" t="str">
        <f>"LJP Owen Ltd"</f>
        <v>LJP Owen Ltd</v>
      </c>
      <c r="C8654" s="1" t="s">
        <v>4552</v>
      </c>
      <c r="F8654" s="1" t="s">
        <v>438</v>
      </c>
      <c r="H8654" s="1" t="s">
        <v>4553</v>
      </c>
      <c r="I8654" s="1" t="s">
        <v>19</v>
      </c>
      <c r="J8654" s="1" t="s">
        <v>67</v>
      </c>
      <c r="K8654" s="1" t="s">
        <v>24</v>
      </c>
      <c r="L8654" s="1">
        <v>5398009</v>
      </c>
      <c r="M8654" s="2">
        <v>42300</v>
      </c>
      <c r="N8654" s="1" t="s">
        <v>8</v>
      </c>
      <c r="O8654" s="1" t="s">
        <v>68</v>
      </c>
    </row>
    <row r="8655" spans="1:15" ht="43.2" x14ac:dyDescent="0.3">
      <c r="A8655" s="1" t="s">
        <v>19588</v>
      </c>
      <c r="B8655" s="1" t="str">
        <f>"Phillip Burgess"</f>
        <v>Phillip Burgess</v>
      </c>
      <c r="C8655" s="1" t="s">
        <v>19589</v>
      </c>
      <c r="F8655" s="1" t="s">
        <v>3415</v>
      </c>
      <c r="H8655" s="1" t="s">
        <v>19590</v>
      </c>
      <c r="I8655" s="1" t="s">
        <v>5</v>
      </c>
      <c r="J8655" s="1" t="s">
        <v>67</v>
      </c>
      <c r="K8655" s="1" t="s">
        <v>14</v>
      </c>
      <c r="M8655" s="2">
        <v>42300</v>
      </c>
      <c r="N8655" s="1" t="s">
        <v>8</v>
      </c>
      <c r="O8655" s="1" t="s">
        <v>68</v>
      </c>
    </row>
    <row r="8656" spans="1:15" ht="43.2" x14ac:dyDescent="0.3">
      <c r="A8656" s="1" t="s">
        <v>19591</v>
      </c>
      <c r="B8656" s="1" t="str">
        <f>"Michael Jones"</f>
        <v>Michael Jones</v>
      </c>
      <c r="C8656" s="1" t="s">
        <v>19592</v>
      </c>
      <c r="F8656" s="1" t="s">
        <v>1184</v>
      </c>
      <c r="H8656" s="1" t="s">
        <v>19593</v>
      </c>
      <c r="I8656" s="1" t="s">
        <v>5</v>
      </c>
      <c r="J8656" s="1" t="s">
        <v>67</v>
      </c>
      <c r="K8656" s="1" t="s">
        <v>14</v>
      </c>
      <c r="M8656" s="2">
        <v>42300</v>
      </c>
      <c r="N8656" s="1" t="s">
        <v>8</v>
      </c>
      <c r="O8656" s="1" t="s">
        <v>68</v>
      </c>
    </row>
    <row r="8657" spans="1:15" ht="43.2" x14ac:dyDescent="0.3">
      <c r="A8657" s="1" t="s">
        <v>19594</v>
      </c>
      <c r="B8657" s="1" t="str">
        <f>"Jonathan Celaschi"</f>
        <v>Jonathan Celaschi</v>
      </c>
      <c r="C8657" s="1" t="s">
        <v>19595</v>
      </c>
      <c r="F8657" s="1" t="s">
        <v>2906</v>
      </c>
      <c r="H8657" s="1" t="s">
        <v>19596</v>
      </c>
      <c r="I8657" s="1" t="s">
        <v>5</v>
      </c>
      <c r="J8657" s="1" t="s">
        <v>67</v>
      </c>
      <c r="K8657" s="1" t="s">
        <v>14</v>
      </c>
      <c r="M8657" s="2">
        <v>42300</v>
      </c>
      <c r="N8657" s="1" t="s">
        <v>8</v>
      </c>
      <c r="O8657" s="1" t="s">
        <v>68</v>
      </c>
    </row>
    <row r="8658" spans="1:15" ht="43.2" x14ac:dyDescent="0.3">
      <c r="A8658" s="1" t="s">
        <v>20357</v>
      </c>
      <c r="B8658" s="1" t="str">
        <f>"Robert Macgillivray Robert macgillivray "</f>
        <v xml:space="preserve">Robert Macgillivray Robert macgillivray </v>
      </c>
      <c r="C8658" s="1" t="s">
        <v>20358</v>
      </c>
      <c r="F8658" s="1" t="s">
        <v>930</v>
      </c>
      <c r="H8658" s="1" t="s">
        <v>20359</v>
      </c>
      <c r="I8658" s="1" t="s">
        <v>5</v>
      </c>
      <c r="J8658" s="1" t="s">
        <v>67</v>
      </c>
      <c r="K8658" s="1" t="s">
        <v>24</v>
      </c>
      <c r="M8658" s="2">
        <v>42300</v>
      </c>
      <c r="N8658" s="1" t="s">
        <v>8</v>
      </c>
      <c r="O8658" s="1" t="s">
        <v>68</v>
      </c>
    </row>
    <row r="8659" spans="1:15" ht="43.2" x14ac:dyDescent="0.3">
      <c r="A8659" s="1" t="s">
        <v>20360</v>
      </c>
      <c r="B8659" s="1" t="str">
        <f>"Darren  Rourke"</f>
        <v>Darren  Rourke</v>
      </c>
      <c r="C8659" s="1" t="s">
        <v>20361</v>
      </c>
      <c r="F8659" s="1" t="s">
        <v>20362</v>
      </c>
      <c r="H8659" s="1" t="s">
        <v>20363</v>
      </c>
      <c r="I8659" s="1" t="s">
        <v>5</v>
      </c>
      <c r="J8659" s="1" t="s">
        <v>67</v>
      </c>
      <c r="K8659" s="1" t="s">
        <v>14</v>
      </c>
      <c r="M8659" s="2">
        <v>42300</v>
      </c>
      <c r="N8659" s="1" t="s">
        <v>8</v>
      </c>
      <c r="O8659" s="1" t="s">
        <v>68</v>
      </c>
    </row>
    <row r="8660" spans="1:15" ht="28.8" x14ac:dyDescent="0.3">
      <c r="A8660" s="1" t="s">
        <v>30960</v>
      </c>
      <c r="B8660" s="1" t="str">
        <f>"leslie nicholas Skewen Building Contractors"</f>
        <v>leslie nicholas Skewen Building Contractors</v>
      </c>
      <c r="C8660" s="1" t="s">
        <v>30961</v>
      </c>
      <c r="F8660" s="1" t="s">
        <v>174</v>
      </c>
      <c r="H8660" s="1" t="s">
        <v>17328</v>
      </c>
      <c r="I8660" s="1" t="s">
        <v>5</v>
      </c>
      <c r="J8660" s="1" t="s">
        <v>6</v>
      </c>
      <c r="K8660" s="1" t="s">
        <v>34</v>
      </c>
      <c r="M8660" s="2">
        <v>42300</v>
      </c>
      <c r="N8660" s="1" t="s">
        <v>8</v>
      </c>
      <c r="O8660" s="2">
        <v>44492</v>
      </c>
    </row>
    <row r="8661" spans="1:15" ht="28.8" x14ac:dyDescent="0.3">
      <c r="A8661" s="1" t="s">
        <v>33006</v>
      </c>
      <c r="B8661" s="1" t="str">
        <f>"Dean Heycock Carpentry Ltd"</f>
        <v>Dean Heycock Carpentry Ltd</v>
      </c>
      <c r="C8661" s="1" t="s">
        <v>33007</v>
      </c>
      <c r="D8661" s="1" t="s">
        <v>19711</v>
      </c>
      <c r="F8661" s="1" t="s">
        <v>1351</v>
      </c>
      <c r="H8661" s="1" t="s">
        <v>33008</v>
      </c>
      <c r="I8661" s="1" t="s">
        <v>19</v>
      </c>
      <c r="J8661" s="1" t="s">
        <v>6</v>
      </c>
      <c r="K8661" s="1" t="s">
        <v>34</v>
      </c>
      <c r="L8661" s="1">
        <v>4825850</v>
      </c>
      <c r="M8661" s="2">
        <v>42300</v>
      </c>
      <c r="N8661" s="1" t="s">
        <v>8</v>
      </c>
      <c r="O8661" s="2">
        <v>44492</v>
      </c>
    </row>
    <row r="8662" spans="1:15" ht="43.2" x14ac:dyDescent="0.3">
      <c r="A8662" s="1" t="s">
        <v>4547</v>
      </c>
      <c r="B8662" s="1" t="str">
        <f>"Rrktrans ltd"</f>
        <v>Rrktrans ltd</v>
      </c>
      <c r="C8662" s="1" t="s">
        <v>4548</v>
      </c>
      <c r="F8662" s="1" t="s">
        <v>4549</v>
      </c>
      <c r="H8662" s="1" t="s">
        <v>4550</v>
      </c>
      <c r="I8662" s="1" t="s">
        <v>19</v>
      </c>
      <c r="J8662" s="1" t="s">
        <v>67</v>
      </c>
      <c r="K8662" s="1" t="s">
        <v>14</v>
      </c>
      <c r="M8662" s="2">
        <v>42299</v>
      </c>
      <c r="N8662" s="1" t="s">
        <v>8</v>
      </c>
      <c r="O8662" s="1" t="s">
        <v>68</v>
      </c>
    </row>
    <row r="8663" spans="1:15" ht="43.2" x14ac:dyDescent="0.3">
      <c r="A8663" s="1" t="s">
        <v>18718</v>
      </c>
      <c r="B8663" s="1" t="str">
        <f>"Simon Stone"</f>
        <v>Simon Stone</v>
      </c>
      <c r="C8663" s="1" t="s">
        <v>18719</v>
      </c>
      <c r="D8663" s="1" t="s">
        <v>1286</v>
      </c>
      <c r="F8663" s="1" t="s">
        <v>401</v>
      </c>
      <c r="H8663" s="1" t="s">
        <v>18720</v>
      </c>
      <c r="I8663" s="1" t="s">
        <v>5</v>
      </c>
      <c r="J8663" s="1" t="s">
        <v>67</v>
      </c>
      <c r="K8663" s="1" t="s">
        <v>24</v>
      </c>
      <c r="M8663" s="2">
        <v>42299</v>
      </c>
      <c r="N8663" s="1" t="s">
        <v>8</v>
      </c>
      <c r="O8663" s="1" t="s">
        <v>68</v>
      </c>
    </row>
    <row r="8664" spans="1:15" ht="43.2" x14ac:dyDescent="0.3">
      <c r="A8664" s="1" t="s">
        <v>18721</v>
      </c>
      <c r="B8664" s="1" t="str">
        <f>"Peter Garwood"</f>
        <v>Peter Garwood</v>
      </c>
      <c r="C8664" s="1" t="s">
        <v>18722</v>
      </c>
      <c r="D8664" s="1" t="s">
        <v>18723</v>
      </c>
      <c r="F8664" s="1" t="s">
        <v>2711</v>
      </c>
      <c r="H8664" s="1" t="s">
        <v>18724</v>
      </c>
      <c r="I8664" s="1" t="s">
        <v>5</v>
      </c>
      <c r="J8664" s="1" t="s">
        <v>67</v>
      </c>
      <c r="K8664" s="1" t="s">
        <v>14</v>
      </c>
      <c r="M8664" s="2">
        <v>42299</v>
      </c>
      <c r="N8664" s="1" t="s">
        <v>8</v>
      </c>
      <c r="O8664" s="1" t="s">
        <v>68</v>
      </c>
    </row>
    <row r="8665" spans="1:15" ht="43.2" x14ac:dyDescent="0.3">
      <c r="A8665" s="1" t="s">
        <v>18725</v>
      </c>
      <c r="B8665" s="1" t="str">
        <f>"Mark Jones"</f>
        <v>Mark Jones</v>
      </c>
      <c r="C8665" s="1" t="s">
        <v>18726</v>
      </c>
      <c r="F8665" s="1" t="s">
        <v>710</v>
      </c>
      <c r="H8665" s="1" t="s">
        <v>18727</v>
      </c>
      <c r="I8665" s="1" t="s">
        <v>5</v>
      </c>
      <c r="J8665" s="1" t="s">
        <v>67</v>
      </c>
      <c r="K8665" s="1" t="s">
        <v>14</v>
      </c>
      <c r="M8665" s="2">
        <v>42299</v>
      </c>
      <c r="N8665" s="1" t="s">
        <v>8</v>
      </c>
      <c r="O8665" s="1" t="s">
        <v>68</v>
      </c>
    </row>
    <row r="8666" spans="1:15" ht="43.2" x14ac:dyDescent="0.3">
      <c r="A8666" s="1" t="s">
        <v>18728</v>
      </c>
      <c r="B8666" s="1" t="str">
        <f>"Michael Plumb"</f>
        <v>Michael Plumb</v>
      </c>
      <c r="C8666" s="1" t="s">
        <v>18729</v>
      </c>
      <c r="F8666" s="1" t="s">
        <v>223</v>
      </c>
      <c r="H8666" s="1" t="s">
        <v>5747</v>
      </c>
      <c r="I8666" s="1" t="s">
        <v>5</v>
      </c>
      <c r="J8666" s="1" t="s">
        <v>67</v>
      </c>
      <c r="K8666" s="1" t="s">
        <v>24</v>
      </c>
      <c r="M8666" s="2">
        <v>42299</v>
      </c>
      <c r="N8666" s="1" t="s">
        <v>8</v>
      </c>
      <c r="O8666" s="1" t="s">
        <v>68</v>
      </c>
    </row>
    <row r="8667" spans="1:15" ht="43.2" x14ac:dyDescent="0.3">
      <c r="A8667" s="1" t="s">
        <v>19585</v>
      </c>
      <c r="B8667" s="1" t="str">
        <f>"Herbert Cranston"</f>
        <v>Herbert Cranston</v>
      </c>
      <c r="C8667" s="1" t="s">
        <v>19586</v>
      </c>
      <c r="F8667" s="1" t="s">
        <v>2757</v>
      </c>
      <c r="H8667" s="1" t="s">
        <v>19587</v>
      </c>
      <c r="I8667" s="1" t="s">
        <v>5</v>
      </c>
      <c r="J8667" s="1" t="s">
        <v>67</v>
      </c>
      <c r="K8667" s="1" t="s">
        <v>34</v>
      </c>
      <c r="M8667" s="2">
        <v>42299</v>
      </c>
      <c r="N8667" s="1" t="s">
        <v>8</v>
      </c>
      <c r="O8667" s="1" t="s">
        <v>68</v>
      </c>
    </row>
    <row r="8668" spans="1:15" ht="28.8" x14ac:dyDescent="0.3">
      <c r="A8668" s="1" t="s">
        <v>30880</v>
      </c>
      <c r="B8668" s="1" t="str">
        <f>"Dave Crewe Dave Crewe"</f>
        <v>Dave Crewe Dave Crewe</v>
      </c>
      <c r="C8668" s="1" t="s">
        <v>30881</v>
      </c>
      <c r="F8668" s="1" t="s">
        <v>91</v>
      </c>
      <c r="H8668" s="1" t="s">
        <v>30882</v>
      </c>
      <c r="I8668" s="1" t="s">
        <v>5</v>
      </c>
      <c r="J8668" s="1" t="s">
        <v>6</v>
      </c>
      <c r="K8668" s="1" t="s">
        <v>34</v>
      </c>
      <c r="M8668" s="2">
        <v>42299</v>
      </c>
      <c r="N8668" s="1" t="s">
        <v>8</v>
      </c>
      <c r="O8668" s="2">
        <v>44491</v>
      </c>
    </row>
    <row r="8669" spans="1:15" ht="28.8" x14ac:dyDescent="0.3">
      <c r="A8669" s="1" t="s">
        <v>33094</v>
      </c>
      <c r="B8669" s="1" t="str">
        <f>"REDWITHER LTD"</f>
        <v>REDWITHER LTD</v>
      </c>
      <c r="C8669" s="1" t="s">
        <v>33095</v>
      </c>
      <c r="D8669" s="1" t="s">
        <v>5030</v>
      </c>
      <c r="F8669" s="1" t="s">
        <v>4507</v>
      </c>
      <c r="H8669" s="1" t="s">
        <v>4508</v>
      </c>
      <c r="I8669" s="1" t="s">
        <v>19</v>
      </c>
      <c r="J8669" s="1" t="s">
        <v>6</v>
      </c>
      <c r="K8669" s="1" t="s">
        <v>34</v>
      </c>
      <c r="L8669" s="1">
        <v>2688023</v>
      </c>
      <c r="M8669" s="2">
        <v>42299</v>
      </c>
      <c r="N8669" s="1" t="s">
        <v>8</v>
      </c>
      <c r="O8669" s="2">
        <v>44491</v>
      </c>
    </row>
    <row r="8670" spans="1:15" ht="43.2" x14ac:dyDescent="0.3">
      <c r="A8670" s="1" t="s">
        <v>2591</v>
      </c>
      <c r="B8670" s="1" t="str">
        <f>"Thomas Brothers"</f>
        <v>Thomas Brothers</v>
      </c>
      <c r="C8670" s="1" t="s">
        <v>2592</v>
      </c>
      <c r="D8670" s="1" t="s">
        <v>1004</v>
      </c>
      <c r="F8670" s="1" t="s">
        <v>513</v>
      </c>
      <c r="H8670" s="1" t="s">
        <v>2593</v>
      </c>
      <c r="I8670" s="1" t="s">
        <v>125</v>
      </c>
      <c r="J8670" s="1" t="s">
        <v>6</v>
      </c>
      <c r="K8670" s="1" t="s">
        <v>24</v>
      </c>
      <c r="M8670" s="2">
        <v>42298</v>
      </c>
      <c r="N8670" s="1" t="s">
        <v>8</v>
      </c>
      <c r="O8670" s="2">
        <v>44490</v>
      </c>
    </row>
    <row r="8671" spans="1:15" ht="43.2" x14ac:dyDescent="0.3">
      <c r="A8671" s="1" t="s">
        <v>3446</v>
      </c>
      <c r="B8671" s="1" t="str">
        <f>"L Johnson &amp; Son"</f>
        <v>L Johnson &amp; Son</v>
      </c>
      <c r="C8671" s="1" t="s">
        <v>3447</v>
      </c>
      <c r="D8671" s="1" t="s">
        <v>3448</v>
      </c>
      <c r="F8671" s="1" t="s">
        <v>277</v>
      </c>
      <c r="H8671" s="1" t="s">
        <v>3449</v>
      </c>
      <c r="I8671" s="1" t="s">
        <v>125</v>
      </c>
      <c r="J8671" s="1" t="s">
        <v>67</v>
      </c>
      <c r="K8671" s="1" t="s">
        <v>14</v>
      </c>
      <c r="M8671" s="2">
        <v>42298</v>
      </c>
      <c r="N8671" s="1" t="s">
        <v>8</v>
      </c>
      <c r="O8671" s="1" t="s">
        <v>68</v>
      </c>
    </row>
    <row r="8672" spans="1:15" ht="43.2" x14ac:dyDescent="0.3">
      <c r="A8672" s="1" t="s">
        <v>18149</v>
      </c>
      <c r="B8672" s="1" t="str">
        <f>"EMP Jones A'I Gwmni"</f>
        <v>EMP Jones A'I Gwmni</v>
      </c>
      <c r="C8672" s="1" t="s">
        <v>18150</v>
      </c>
      <c r="F8672" s="1" t="s">
        <v>2030</v>
      </c>
      <c r="H8672" s="1" t="s">
        <v>18151</v>
      </c>
      <c r="I8672" s="1" t="s">
        <v>125</v>
      </c>
      <c r="J8672" s="1" t="s">
        <v>67</v>
      </c>
      <c r="K8672" s="1" t="s">
        <v>24</v>
      </c>
      <c r="M8672" s="2">
        <v>42298</v>
      </c>
      <c r="N8672" s="1" t="s">
        <v>8</v>
      </c>
      <c r="O8672" s="1" t="s">
        <v>68</v>
      </c>
    </row>
    <row r="8673" spans="1:15" ht="43.2" x14ac:dyDescent="0.3">
      <c r="A8673" s="1" t="s">
        <v>18152</v>
      </c>
      <c r="B8673" s="1" t="str">
        <f>"J.H Hanmer &amp; Son"</f>
        <v>J.H Hanmer &amp; Son</v>
      </c>
      <c r="C8673" s="1" t="s">
        <v>18153</v>
      </c>
      <c r="F8673" s="1" t="s">
        <v>1700</v>
      </c>
      <c r="H8673" s="1" t="s">
        <v>18154</v>
      </c>
      <c r="I8673" s="1" t="s">
        <v>125</v>
      </c>
      <c r="J8673" s="1" t="s">
        <v>67</v>
      </c>
      <c r="K8673" s="1" t="s">
        <v>14</v>
      </c>
      <c r="M8673" s="2">
        <v>42298</v>
      </c>
      <c r="N8673" s="1" t="s">
        <v>8</v>
      </c>
      <c r="O8673" s="1" t="s">
        <v>68</v>
      </c>
    </row>
    <row r="8674" spans="1:15" ht="43.2" x14ac:dyDescent="0.3">
      <c r="A8674" s="1" t="s">
        <v>18155</v>
      </c>
      <c r="B8674" s="1" t="str">
        <f>"J &amp; L THOMPSON LTD"</f>
        <v>J &amp; L THOMPSON LTD</v>
      </c>
      <c r="C8674" s="1" t="s">
        <v>18156</v>
      </c>
      <c r="F8674" s="1" t="s">
        <v>5645</v>
      </c>
      <c r="H8674" s="1" t="s">
        <v>18157</v>
      </c>
      <c r="I8674" s="1" t="s">
        <v>19</v>
      </c>
      <c r="J8674" s="1" t="s">
        <v>67</v>
      </c>
      <c r="K8674" s="1" t="s">
        <v>34</v>
      </c>
      <c r="L8674" s="1">
        <v>5806398</v>
      </c>
      <c r="M8674" s="2">
        <v>42298</v>
      </c>
      <c r="N8674" s="1" t="s">
        <v>8</v>
      </c>
      <c r="O8674" s="1" t="s">
        <v>68</v>
      </c>
    </row>
    <row r="8675" spans="1:15" ht="43.2" x14ac:dyDescent="0.3">
      <c r="A8675" s="1" t="s">
        <v>18158</v>
      </c>
      <c r="B8675" s="1" t="str">
        <f>"The Red Lion"</f>
        <v>The Red Lion</v>
      </c>
      <c r="C8675" s="1" t="s">
        <v>18159</v>
      </c>
      <c r="F8675" s="1" t="s">
        <v>5683</v>
      </c>
      <c r="H8675" s="1" t="s">
        <v>3218</v>
      </c>
      <c r="I8675" s="1" t="s">
        <v>19</v>
      </c>
      <c r="J8675" s="1" t="s">
        <v>67</v>
      </c>
      <c r="K8675" s="1" t="s">
        <v>14</v>
      </c>
      <c r="M8675" s="2">
        <v>42298</v>
      </c>
      <c r="N8675" s="1" t="s">
        <v>8</v>
      </c>
      <c r="O8675" s="1" t="s">
        <v>68</v>
      </c>
    </row>
    <row r="8676" spans="1:15" ht="43.2" x14ac:dyDescent="0.3">
      <c r="A8676" s="1" t="s">
        <v>18715</v>
      </c>
      <c r="B8676" s="1" t="str">
        <f>"Nick Merrick"</f>
        <v>Nick Merrick</v>
      </c>
      <c r="C8676" s="1" t="s">
        <v>18716</v>
      </c>
      <c r="F8676" s="1" t="s">
        <v>12675</v>
      </c>
      <c r="H8676" s="1" t="s">
        <v>18717</v>
      </c>
      <c r="I8676" s="1" t="s">
        <v>5</v>
      </c>
      <c r="J8676" s="1" t="s">
        <v>67</v>
      </c>
      <c r="K8676" s="1" t="s">
        <v>14</v>
      </c>
      <c r="M8676" s="2">
        <v>42298</v>
      </c>
      <c r="N8676" s="1" t="s">
        <v>8</v>
      </c>
      <c r="O8676" s="1" t="s">
        <v>68</v>
      </c>
    </row>
    <row r="8677" spans="1:15" ht="43.2" x14ac:dyDescent="0.3">
      <c r="A8677" s="1" t="s">
        <v>29796</v>
      </c>
      <c r="B8677" s="1" t="str">
        <f>"Frank Ackland"</f>
        <v>Frank Ackland</v>
      </c>
      <c r="C8677" s="1" t="s">
        <v>29797</v>
      </c>
      <c r="D8677" s="1" t="s">
        <v>29798</v>
      </c>
      <c r="F8677" s="1" t="s">
        <v>2859</v>
      </c>
      <c r="H8677" s="1" t="s">
        <v>29799</v>
      </c>
      <c r="I8677" s="1" t="s">
        <v>5</v>
      </c>
      <c r="J8677" s="1" t="s">
        <v>67</v>
      </c>
      <c r="K8677" s="1" t="s">
        <v>14</v>
      </c>
      <c r="M8677" s="2">
        <v>42298</v>
      </c>
      <c r="N8677" s="1" t="s">
        <v>8</v>
      </c>
      <c r="O8677" s="1" t="s">
        <v>68</v>
      </c>
    </row>
    <row r="8678" spans="1:15" ht="43.2" x14ac:dyDescent="0.3">
      <c r="A8678" s="1" t="s">
        <v>29800</v>
      </c>
      <c r="B8678" s="1" t="str">
        <f>"Paul Taylor"</f>
        <v>Paul Taylor</v>
      </c>
      <c r="C8678" s="1" t="s">
        <v>29801</v>
      </c>
      <c r="F8678" s="1" t="s">
        <v>6637</v>
      </c>
      <c r="H8678" s="1" t="s">
        <v>29802</v>
      </c>
      <c r="I8678" s="1" t="s">
        <v>5</v>
      </c>
      <c r="J8678" s="1" t="s">
        <v>67</v>
      </c>
      <c r="K8678" s="1" t="s">
        <v>14</v>
      </c>
      <c r="M8678" s="2">
        <v>42298</v>
      </c>
      <c r="N8678" s="1" t="s">
        <v>8</v>
      </c>
      <c r="O8678" s="1" t="s">
        <v>68</v>
      </c>
    </row>
    <row r="8679" spans="1:15" ht="28.8" x14ac:dyDescent="0.3">
      <c r="A8679" s="1" t="s">
        <v>30950</v>
      </c>
      <c r="B8679" s="1" t="str">
        <f>"Roberts &amp; Thomas"</f>
        <v>Roberts &amp; Thomas</v>
      </c>
      <c r="C8679" s="1" t="s">
        <v>30951</v>
      </c>
      <c r="F8679" s="1" t="s">
        <v>2281</v>
      </c>
      <c r="H8679" s="1" t="s">
        <v>28512</v>
      </c>
      <c r="I8679" s="1" t="s">
        <v>125</v>
      </c>
      <c r="J8679" s="1" t="s">
        <v>6</v>
      </c>
      <c r="K8679" s="1" t="s">
        <v>34</v>
      </c>
      <c r="M8679" s="2">
        <v>42298</v>
      </c>
      <c r="N8679" s="1" t="s">
        <v>8</v>
      </c>
      <c r="O8679" s="2">
        <v>44490</v>
      </c>
    </row>
    <row r="8680" spans="1:15" ht="28.8" x14ac:dyDescent="0.3">
      <c r="A8680" s="1" t="s">
        <v>32882</v>
      </c>
      <c r="B8680" s="1" t="str">
        <f>"Gibbon Equipment Hire Ltd."</f>
        <v>Gibbon Equipment Hire Ltd.</v>
      </c>
      <c r="C8680" s="1" t="s">
        <v>32883</v>
      </c>
      <c r="D8680" s="1" t="s">
        <v>1010</v>
      </c>
      <c r="F8680" s="1" t="s">
        <v>1341</v>
      </c>
      <c r="G8680" s="1" t="s">
        <v>103</v>
      </c>
      <c r="H8680" s="1" t="s">
        <v>32884</v>
      </c>
      <c r="I8680" s="1" t="s">
        <v>19</v>
      </c>
      <c r="J8680" s="1" t="s">
        <v>6</v>
      </c>
      <c r="K8680" s="1" t="s">
        <v>34</v>
      </c>
      <c r="L8680" s="1">
        <v>1470783</v>
      </c>
      <c r="M8680" s="2">
        <v>42298</v>
      </c>
      <c r="N8680" s="1" t="s">
        <v>8</v>
      </c>
      <c r="O8680" s="2">
        <v>44489</v>
      </c>
    </row>
    <row r="8681" spans="1:15" ht="28.8" x14ac:dyDescent="0.3">
      <c r="A8681" s="1" t="s">
        <v>32936</v>
      </c>
      <c r="B8681" s="1" t="str">
        <f>"Facilities Maintenance Group Ltd."</f>
        <v>Facilities Maintenance Group Ltd.</v>
      </c>
      <c r="C8681" s="1" t="s">
        <v>32937</v>
      </c>
      <c r="F8681" s="1" t="s">
        <v>380</v>
      </c>
      <c r="H8681" s="1" t="s">
        <v>9824</v>
      </c>
      <c r="I8681" s="1" t="s">
        <v>19</v>
      </c>
      <c r="J8681" s="1" t="s">
        <v>6</v>
      </c>
      <c r="K8681" s="1" t="s">
        <v>34</v>
      </c>
      <c r="L8681" s="1">
        <v>4660489</v>
      </c>
      <c r="M8681" s="2">
        <v>42298</v>
      </c>
      <c r="N8681" s="1" t="s">
        <v>8</v>
      </c>
      <c r="O8681" s="2">
        <v>44490</v>
      </c>
    </row>
    <row r="8682" spans="1:15" ht="28.8" x14ac:dyDescent="0.3">
      <c r="A8682" s="1" t="s">
        <v>32986</v>
      </c>
      <c r="B8682" s="1" t="str">
        <f>"M &amp; J Plant &amp; Transport Ltd."</f>
        <v>M &amp; J Plant &amp; Transport Ltd.</v>
      </c>
      <c r="C8682" s="1" t="s">
        <v>32987</v>
      </c>
      <c r="F8682" s="1" t="s">
        <v>3371</v>
      </c>
      <c r="H8682" s="1" t="s">
        <v>32988</v>
      </c>
      <c r="I8682" s="1" t="s">
        <v>19</v>
      </c>
      <c r="J8682" s="1" t="s">
        <v>6</v>
      </c>
      <c r="K8682" s="1" t="s">
        <v>34</v>
      </c>
      <c r="L8682" s="1">
        <v>4096903</v>
      </c>
      <c r="M8682" s="2">
        <v>42298</v>
      </c>
      <c r="N8682" s="1" t="s">
        <v>8</v>
      </c>
      <c r="O8682" s="2">
        <v>44490</v>
      </c>
    </row>
    <row r="8683" spans="1:15" ht="43.2" x14ac:dyDescent="0.3">
      <c r="A8683" s="1" t="s">
        <v>17120</v>
      </c>
      <c r="B8683" s="1" t="str">
        <f>"Smith &amp; Jennings Ltd"</f>
        <v>Smith &amp; Jennings Ltd</v>
      </c>
      <c r="C8683" s="1" t="s">
        <v>17121</v>
      </c>
      <c r="F8683" s="1" t="s">
        <v>2718</v>
      </c>
      <c r="H8683" s="1" t="s">
        <v>17122</v>
      </c>
      <c r="I8683" s="1" t="s">
        <v>19</v>
      </c>
      <c r="J8683" s="1" t="s">
        <v>67</v>
      </c>
      <c r="K8683" s="1" t="s">
        <v>14</v>
      </c>
      <c r="M8683" s="2">
        <v>42297</v>
      </c>
      <c r="N8683" s="1" t="s">
        <v>8</v>
      </c>
      <c r="O8683" s="1" t="s">
        <v>68</v>
      </c>
    </row>
    <row r="8684" spans="1:15" ht="43.2" x14ac:dyDescent="0.3">
      <c r="A8684" s="1" t="s">
        <v>17123</v>
      </c>
      <c r="B8684" s="1" t="str">
        <f>"GSF Car Parts"</f>
        <v>GSF Car Parts</v>
      </c>
      <c r="C8684" s="1" t="s">
        <v>17124</v>
      </c>
      <c r="D8684" s="1" t="s">
        <v>1345</v>
      </c>
      <c r="E8684" s="1" t="s">
        <v>17125</v>
      </c>
      <c r="F8684" s="1" t="s">
        <v>5350</v>
      </c>
      <c r="H8684" s="1" t="s">
        <v>17126</v>
      </c>
      <c r="I8684" s="1" t="s">
        <v>19</v>
      </c>
      <c r="J8684" s="1" t="s">
        <v>67</v>
      </c>
      <c r="K8684" s="1" t="s">
        <v>14</v>
      </c>
      <c r="M8684" s="2">
        <v>42297</v>
      </c>
      <c r="N8684" s="1" t="s">
        <v>8</v>
      </c>
      <c r="O8684" s="1" t="s">
        <v>68</v>
      </c>
    </row>
    <row r="8685" spans="1:15" ht="43.2" x14ac:dyDescent="0.3">
      <c r="A8685" s="1" t="s">
        <v>17127</v>
      </c>
      <c r="B8685" s="1" t="str">
        <f>"Upholland Village Store Ltd"</f>
        <v>Upholland Village Store Ltd</v>
      </c>
      <c r="C8685" s="1" t="s">
        <v>17128</v>
      </c>
      <c r="F8685" s="1" t="s">
        <v>17129</v>
      </c>
      <c r="H8685" s="1" t="s">
        <v>17130</v>
      </c>
      <c r="I8685" s="1" t="s">
        <v>19</v>
      </c>
      <c r="J8685" s="1" t="s">
        <v>67</v>
      </c>
      <c r="K8685" s="1" t="s">
        <v>14</v>
      </c>
      <c r="M8685" s="2">
        <v>42297</v>
      </c>
      <c r="N8685" s="1" t="s">
        <v>8</v>
      </c>
      <c r="O8685" s="1" t="s">
        <v>68</v>
      </c>
    </row>
    <row r="8686" spans="1:15" ht="43.2" x14ac:dyDescent="0.3">
      <c r="A8686" s="1" t="s">
        <v>17131</v>
      </c>
      <c r="B8686" s="1" t="str">
        <f>"The Stuffed Olive"</f>
        <v>The Stuffed Olive</v>
      </c>
      <c r="C8686" s="1" t="s">
        <v>17132</v>
      </c>
      <c r="F8686" s="1" t="s">
        <v>416</v>
      </c>
      <c r="H8686" s="1" t="s">
        <v>17133</v>
      </c>
      <c r="I8686" s="1" t="s">
        <v>125</v>
      </c>
      <c r="J8686" s="1" t="s">
        <v>67</v>
      </c>
      <c r="K8686" s="1" t="s">
        <v>14</v>
      </c>
      <c r="M8686" s="2">
        <v>42297</v>
      </c>
      <c r="N8686" s="1" t="s">
        <v>8</v>
      </c>
      <c r="O8686" s="1" t="s">
        <v>68</v>
      </c>
    </row>
    <row r="8687" spans="1:15" ht="43.2" x14ac:dyDescent="0.3">
      <c r="A8687" s="1" t="s">
        <v>18144</v>
      </c>
      <c r="B8687" s="1" t="str">
        <f>"Nationwide Service Care Ltd"</f>
        <v>Nationwide Service Care Ltd</v>
      </c>
      <c r="C8687" s="1" t="s">
        <v>18145</v>
      </c>
      <c r="D8687" s="1" t="s">
        <v>18146</v>
      </c>
      <c r="E8687" s="1" t="s">
        <v>18147</v>
      </c>
      <c r="F8687" s="1" t="s">
        <v>4614</v>
      </c>
      <c r="H8687" s="1" t="s">
        <v>18148</v>
      </c>
      <c r="I8687" s="1" t="s">
        <v>19</v>
      </c>
      <c r="J8687" s="1" t="s">
        <v>67</v>
      </c>
      <c r="K8687" s="1" t="s">
        <v>14</v>
      </c>
      <c r="M8687" s="2">
        <v>42297</v>
      </c>
      <c r="N8687" s="1" t="s">
        <v>8</v>
      </c>
      <c r="O8687" s="1" t="s">
        <v>68</v>
      </c>
    </row>
    <row r="8688" spans="1:15" ht="43.2" x14ac:dyDescent="0.3">
      <c r="A8688" s="1" t="s">
        <v>30911</v>
      </c>
      <c r="B8688" s="1" t="str">
        <f>"Michael Holliday AVONNES GARDEN SERVICES"</f>
        <v>Michael Holliday AVONNES GARDEN SERVICES</v>
      </c>
      <c r="C8688" s="1" t="s">
        <v>30912</v>
      </c>
      <c r="D8688" s="1" t="s">
        <v>30913</v>
      </c>
      <c r="F8688" s="1" t="s">
        <v>65</v>
      </c>
      <c r="H8688" s="1" t="s">
        <v>30914</v>
      </c>
      <c r="I8688" s="1" t="s">
        <v>5</v>
      </c>
      <c r="J8688" s="1" t="s">
        <v>6</v>
      </c>
      <c r="K8688" s="1" t="s">
        <v>24</v>
      </c>
      <c r="M8688" s="2">
        <v>42297</v>
      </c>
      <c r="N8688" s="1" t="s">
        <v>8</v>
      </c>
      <c r="O8688" s="2">
        <v>44489</v>
      </c>
    </row>
    <row r="8689" spans="1:15" ht="43.2" x14ac:dyDescent="0.3">
      <c r="A8689" s="1" t="s">
        <v>2819</v>
      </c>
      <c r="B8689" s="1" t="str">
        <f>"Martin Cawley MCProperty Maintenance Services"</f>
        <v>Martin Cawley MCProperty Maintenance Services</v>
      </c>
      <c r="C8689" s="1" t="s">
        <v>2820</v>
      </c>
      <c r="F8689" s="1" t="s">
        <v>123</v>
      </c>
      <c r="H8689" s="1" t="s">
        <v>2821</v>
      </c>
      <c r="I8689" s="1" t="s">
        <v>5</v>
      </c>
      <c r="J8689" s="1" t="s">
        <v>6</v>
      </c>
      <c r="K8689" s="1" t="s">
        <v>24</v>
      </c>
      <c r="M8689" s="2">
        <v>42296</v>
      </c>
      <c r="N8689" s="1" t="s">
        <v>8</v>
      </c>
      <c r="O8689" s="2">
        <v>44488</v>
      </c>
    </row>
    <row r="8690" spans="1:15" ht="43.2" x14ac:dyDescent="0.3">
      <c r="A8690" s="1" t="s">
        <v>16143</v>
      </c>
      <c r="B8690" s="1" t="str">
        <f>"Shine Food Machinery Ltd."</f>
        <v>Shine Food Machinery Ltd.</v>
      </c>
      <c r="C8690" s="1" t="s">
        <v>11732</v>
      </c>
      <c r="F8690" s="1" t="s">
        <v>91</v>
      </c>
      <c r="H8690" s="1" t="s">
        <v>11733</v>
      </c>
      <c r="I8690" s="1" t="s">
        <v>19</v>
      </c>
      <c r="J8690" s="1" t="s">
        <v>67</v>
      </c>
      <c r="K8690" s="1" t="s">
        <v>24</v>
      </c>
      <c r="L8690" s="1">
        <v>1443265</v>
      </c>
      <c r="M8690" s="2">
        <v>42296</v>
      </c>
      <c r="N8690" s="1" t="s">
        <v>8</v>
      </c>
      <c r="O8690" s="1" t="s">
        <v>68</v>
      </c>
    </row>
    <row r="8691" spans="1:15" ht="43.2" x14ac:dyDescent="0.3">
      <c r="A8691" s="1" t="s">
        <v>16144</v>
      </c>
      <c r="B8691" s="1" t="str">
        <f>"pk refrigeration ltd"</f>
        <v>pk refrigeration ltd</v>
      </c>
      <c r="C8691" s="1" t="s">
        <v>16145</v>
      </c>
      <c r="D8691" s="1" t="s">
        <v>16146</v>
      </c>
      <c r="F8691" s="1" t="s">
        <v>16147</v>
      </c>
      <c r="H8691" s="1" t="s">
        <v>16148</v>
      </c>
      <c r="I8691" s="1" t="s">
        <v>19</v>
      </c>
      <c r="J8691" s="1" t="s">
        <v>67</v>
      </c>
      <c r="K8691" s="1" t="s">
        <v>14</v>
      </c>
      <c r="M8691" s="2">
        <v>42296</v>
      </c>
      <c r="N8691" s="1" t="s">
        <v>8</v>
      </c>
      <c r="O8691" s="1" t="s">
        <v>68</v>
      </c>
    </row>
    <row r="8692" spans="1:15" ht="43.2" x14ac:dyDescent="0.3">
      <c r="A8692" s="1" t="s">
        <v>17116</v>
      </c>
      <c r="B8692" s="1" t="str">
        <f>"baytree restaurant"</f>
        <v>baytree restaurant</v>
      </c>
      <c r="C8692" s="1" t="s">
        <v>16683</v>
      </c>
      <c r="F8692" s="1" t="s">
        <v>714</v>
      </c>
      <c r="H8692" s="1" t="s">
        <v>5731</v>
      </c>
      <c r="I8692" s="1" t="s">
        <v>125</v>
      </c>
      <c r="J8692" s="1" t="s">
        <v>67</v>
      </c>
      <c r="K8692" s="1" t="s">
        <v>14</v>
      </c>
      <c r="M8692" s="2">
        <v>42296</v>
      </c>
      <c r="N8692" s="1" t="s">
        <v>8</v>
      </c>
      <c r="O8692" s="1" t="s">
        <v>68</v>
      </c>
    </row>
    <row r="8693" spans="1:15" ht="43.2" x14ac:dyDescent="0.3">
      <c r="A8693" s="1" t="s">
        <v>17117</v>
      </c>
      <c r="B8693" s="1" t="str">
        <f>"beacons environmental ltd"</f>
        <v>beacons environmental ltd</v>
      </c>
      <c r="C8693" s="1" t="s">
        <v>17118</v>
      </c>
      <c r="F8693" s="1" t="s">
        <v>205</v>
      </c>
      <c r="H8693" s="1" t="s">
        <v>17119</v>
      </c>
      <c r="I8693" s="1" t="s">
        <v>19</v>
      </c>
      <c r="J8693" s="1" t="s">
        <v>67</v>
      </c>
      <c r="K8693" s="1" t="s">
        <v>14</v>
      </c>
      <c r="M8693" s="2">
        <v>42296</v>
      </c>
      <c r="N8693" s="1" t="s">
        <v>8</v>
      </c>
      <c r="O8693" s="1" t="s">
        <v>68</v>
      </c>
    </row>
    <row r="8694" spans="1:15" ht="43.2" x14ac:dyDescent="0.3">
      <c r="A8694" s="1" t="s">
        <v>29050</v>
      </c>
      <c r="B8694" s="1" t="str">
        <f>"Sarah McVeigh"</f>
        <v>Sarah McVeigh</v>
      </c>
      <c r="C8694" s="1" t="s">
        <v>29051</v>
      </c>
      <c r="F8694" s="1" t="s">
        <v>65</v>
      </c>
      <c r="H8694" s="1" t="s">
        <v>29052</v>
      </c>
      <c r="I8694" s="1" t="s">
        <v>5</v>
      </c>
      <c r="J8694" s="1" t="s">
        <v>67</v>
      </c>
      <c r="K8694" s="1" t="s">
        <v>14</v>
      </c>
      <c r="M8694" s="2">
        <v>42296</v>
      </c>
      <c r="N8694" s="1" t="s">
        <v>8</v>
      </c>
      <c r="O8694" s="1" t="s">
        <v>68</v>
      </c>
    </row>
    <row r="8695" spans="1:15" ht="43.2" x14ac:dyDescent="0.3">
      <c r="A8695" s="1" t="s">
        <v>29053</v>
      </c>
      <c r="B8695" s="1" t="str">
        <f>"Costas Andreou"</f>
        <v>Costas Andreou</v>
      </c>
      <c r="C8695" s="1" t="s">
        <v>29054</v>
      </c>
      <c r="F8695" s="1" t="s">
        <v>2459</v>
      </c>
      <c r="H8695" s="1" t="s">
        <v>29055</v>
      </c>
      <c r="I8695" s="1" t="s">
        <v>5</v>
      </c>
      <c r="J8695" s="1" t="s">
        <v>67</v>
      </c>
      <c r="K8695" s="1" t="s">
        <v>24</v>
      </c>
      <c r="M8695" s="2">
        <v>42296</v>
      </c>
      <c r="N8695" s="1" t="s">
        <v>8</v>
      </c>
      <c r="O8695" s="1" t="s">
        <v>68</v>
      </c>
    </row>
    <row r="8696" spans="1:15" ht="43.2" x14ac:dyDescent="0.3">
      <c r="A8696" s="1" t="s">
        <v>29056</v>
      </c>
      <c r="B8696" s="1" t="str">
        <f>"rabea hands"</f>
        <v>rabea hands</v>
      </c>
      <c r="C8696" s="1" t="s">
        <v>29057</v>
      </c>
      <c r="F8696" s="1" t="s">
        <v>4831</v>
      </c>
      <c r="H8696" s="1" t="s">
        <v>29058</v>
      </c>
      <c r="I8696" s="1" t="s">
        <v>5</v>
      </c>
      <c r="J8696" s="1" t="s">
        <v>67</v>
      </c>
      <c r="K8696" s="1" t="s">
        <v>14</v>
      </c>
      <c r="M8696" s="2">
        <v>42296</v>
      </c>
      <c r="N8696" s="1" t="s">
        <v>8</v>
      </c>
      <c r="O8696" s="1" t="s">
        <v>68</v>
      </c>
    </row>
    <row r="8697" spans="1:15" ht="28.8" x14ac:dyDescent="0.3">
      <c r="A8697" s="1" t="s">
        <v>32989</v>
      </c>
      <c r="B8697" s="1" t="str">
        <f>"Robert Diment Robert Diment"</f>
        <v>Robert Diment Robert Diment</v>
      </c>
      <c r="C8697" s="1" t="s">
        <v>32990</v>
      </c>
      <c r="D8697" s="1" t="s">
        <v>30913</v>
      </c>
      <c r="F8697" s="1" t="s">
        <v>64</v>
      </c>
      <c r="G8697" s="1" t="s">
        <v>65</v>
      </c>
      <c r="H8697" s="1" t="s">
        <v>32991</v>
      </c>
      <c r="I8697" s="1" t="s">
        <v>5</v>
      </c>
      <c r="J8697" s="1" t="s">
        <v>6</v>
      </c>
      <c r="K8697" s="1" t="s">
        <v>24</v>
      </c>
      <c r="M8697" s="2">
        <v>42296</v>
      </c>
      <c r="N8697" s="1" t="s">
        <v>8</v>
      </c>
      <c r="O8697" s="2">
        <v>44488</v>
      </c>
    </row>
    <row r="8698" spans="1:15" x14ac:dyDescent="0.3">
      <c r="A8698" s="1" t="s">
        <v>2562</v>
      </c>
      <c r="B8698" s="1" t="str">
        <f>"davies contractors ltd"</f>
        <v>davies contractors ltd</v>
      </c>
      <c r="C8698" s="1" t="s">
        <v>2563</v>
      </c>
      <c r="F8698" s="1" t="s">
        <v>156</v>
      </c>
      <c r="G8698" s="1" t="s">
        <v>156</v>
      </c>
      <c r="H8698" s="1" t="s">
        <v>2564</v>
      </c>
      <c r="I8698" s="1" t="s">
        <v>19</v>
      </c>
      <c r="J8698" s="1" t="s">
        <v>6</v>
      </c>
      <c r="K8698" s="1" t="s">
        <v>24</v>
      </c>
      <c r="L8698" s="1">
        <v>9821239</v>
      </c>
      <c r="M8698" s="2">
        <v>42295</v>
      </c>
      <c r="N8698" s="1" t="s">
        <v>8</v>
      </c>
      <c r="O8698" s="2">
        <v>44486</v>
      </c>
    </row>
    <row r="8699" spans="1:15" ht="43.2" x14ac:dyDescent="0.3">
      <c r="A8699" s="1" t="s">
        <v>28296</v>
      </c>
      <c r="B8699" s="1" t="str">
        <f>"Ian  Crouch"</f>
        <v>Ian  Crouch</v>
      </c>
      <c r="C8699" s="1" t="s">
        <v>28297</v>
      </c>
      <c r="F8699" s="1" t="s">
        <v>4630</v>
      </c>
      <c r="H8699" s="1" t="s">
        <v>28298</v>
      </c>
      <c r="I8699" s="1" t="s">
        <v>5</v>
      </c>
      <c r="J8699" s="1" t="s">
        <v>67</v>
      </c>
      <c r="K8699" s="1" t="s">
        <v>14</v>
      </c>
      <c r="M8699" s="2">
        <v>42294</v>
      </c>
      <c r="N8699" s="1" t="s">
        <v>8</v>
      </c>
      <c r="O8699" s="1" t="s">
        <v>68</v>
      </c>
    </row>
    <row r="8700" spans="1:15" ht="28.8" x14ac:dyDescent="0.3">
      <c r="A8700" s="1" t="s">
        <v>2658</v>
      </c>
      <c r="B8700" s="1" t="str">
        <f>"T.G. HOWELL &amp; SONS LTD"</f>
        <v>T.G. HOWELL &amp; SONS LTD</v>
      </c>
      <c r="C8700" s="1" t="s">
        <v>2659</v>
      </c>
      <c r="F8700" s="1" t="s">
        <v>91</v>
      </c>
      <c r="H8700" s="1" t="s">
        <v>2660</v>
      </c>
      <c r="I8700" s="1" t="s">
        <v>19</v>
      </c>
      <c r="J8700" s="1" t="s">
        <v>6</v>
      </c>
      <c r="K8700" s="1" t="s">
        <v>34</v>
      </c>
      <c r="L8700" s="1">
        <v>1762349</v>
      </c>
      <c r="M8700" s="2">
        <v>42293</v>
      </c>
      <c r="N8700" s="1" t="s">
        <v>8</v>
      </c>
      <c r="O8700" s="2">
        <v>44485</v>
      </c>
    </row>
    <row r="8701" spans="1:15" ht="28.8" x14ac:dyDescent="0.3">
      <c r="A8701" s="1" t="s">
        <v>31838</v>
      </c>
      <c r="B8701" s="1" t="str">
        <f>"Derek Richards LTD"</f>
        <v>Derek Richards LTD</v>
      </c>
      <c r="C8701" s="1" t="s">
        <v>31839</v>
      </c>
      <c r="D8701" s="1" t="s">
        <v>929</v>
      </c>
      <c r="F8701" s="1" t="s">
        <v>930</v>
      </c>
      <c r="G8701" s="1" t="s">
        <v>211</v>
      </c>
      <c r="H8701" s="1" t="s">
        <v>31840</v>
      </c>
      <c r="I8701" s="1" t="s">
        <v>19</v>
      </c>
      <c r="J8701" s="1" t="s">
        <v>6</v>
      </c>
      <c r="K8701" s="1" t="s">
        <v>34</v>
      </c>
      <c r="L8701" s="1">
        <v>4464475</v>
      </c>
      <c r="M8701" s="2">
        <v>42293</v>
      </c>
      <c r="N8701" s="1" t="s">
        <v>8</v>
      </c>
      <c r="O8701" s="2">
        <v>44485</v>
      </c>
    </row>
    <row r="8702" spans="1:15" ht="28.8" x14ac:dyDescent="0.3">
      <c r="A8702" s="1" t="s">
        <v>31952</v>
      </c>
      <c r="B8702" s="1" t="str">
        <f>"Paul Denyer"</f>
        <v>Paul Denyer</v>
      </c>
      <c r="C8702" s="1" t="s">
        <v>31953</v>
      </c>
      <c r="D8702" s="1" t="s">
        <v>29582</v>
      </c>
      <c r="E8702" s="1" t="s">
        <v>7521</v>
      </c>
      <c r="F8702" s="1" t="s">
        <v>179</v>
      </c>
      <c r="H8702" s="1" t="s">
        <v>673</v>
      </c>
      <c r="I8702" s="1" t="s">
        <v>5</v>
      </c>
      <c r="J8702" s="1" t="s">
        <v>6</v>
      </c>
      <c r="K8702" s="1" t="s">
        <v>34</v>
      </c>
      <c r="M8702" s="2">
        <v>42293</v>
      </c>
      <c r="N8702" s="1" t="s">
        <v>8</v>
      </c>
      <c r="O8702" s="2">
        <v>44485</v>
      </c>
    </row>
    <row r="8703" spans="1:15" ht="28.8" x14ac:dyDescent="0.3">
      <c r="A8703" s="1" t="s">
        <v>32659</v>
      </c>
      <c r="B8703" s="1" t="str">
        <f>"Huw Evans HUWS RECOVERY SERVICE"</f>
        <v>Huw Evans HUWS RECOVERY SERVICE</v>
      </c>
      <c r="C8703" s="1" t="s">
        <v>32660</v>
      </c>
      <c r="D8703" s="1" t="s">
        <v>1017</v>
      </c>
      <c r="F8703" s="1" t="s">
        <v>42</v>
      </c>
      <c r="G8703" s="1" t="s">
        <v>51</v>
      </c>
      <c r="H8703" s="1" t="s">
        <v>32661</v>
      </c>
      <c r="I8703" s="1" t="s">
        <v>5</v>
      </c>
      <c r="J8703" s="1" t="s">
        <v>6</v>
      </c>
      <c r="K8703" s="1" t="s">
        <v>24</v>
      </c>
      <c r="M8703" s="2">
        <v>42293</v>
      </c>
      <c r="N8703" s="1" t="s">
        <v>8</v>
      </c>
      <c r="O8703" s="2">
        <v>44485</v>
      </c>
    </row>
    <row r="8704" spans="1:15" ht="43.2" x14ac:dyDescent="0.3">
      <c r="A8704" s="1" t="s">
        <v>14268</v>
      </c>
      <c r="B8704" s="1" t="str">
        <f>"Saveeasy Credit Union"</f>
        <v>Saveeasy Credit Union</v>
      </c>
      <c r="C8704" s="1" t="s">
        <v>14269</v>
      </c>
      <c r="F8704" s="1" t="s">
        <v>42</v>
      </c>
      <c r="H8704" s="1" t="s">
        <v>14270</v>
      </c>
      <c r="I8704" s="1" t="s">
        <v>19</v>
      </c>
      <c r="J8704" s="1" t="s">
        <v>67</v>
      </c>
      <c r="K8704" s="1" t="s">
        <v>14</v>
      </c>
      <c r="M8704" s="2">
        <v>42292</v>
      </c>
      <c r="N8704" s="1" t="s">
        <v>8</v>
      </c>
      <c r="O8704" s="1" t="s">
        <v>68</v>
      </c>
    </row>
    <row r="8705" spans="1:15" ht="43.2" x14ac:dyDescent="0.3">
      <c r="A8705" s="1" t="s">
        <v>26637</v>
      </c>
      <c r="B8705" s="1" t="str">
        <f>"KENNETH KING"</f>
        <v>KENNETH KING</v>
      </c>
      <c r="C8705" s="1" t="s">
        <v>26638</v>
      </c>
      <c r="D8705" s="1" t="s">
        <v>344</v>
      </c>
      <c r="E8705" s="1" t="s">
        <v>955</v>
      </c>
      <c r="F8705" s="1" t="s">
        <v>1184</v>
      </c>
      <c r="H8705" s="1" t="s">
        <v>2704</v>
      </c>
      <c r="I8705" s="1" t="s">
        <v>5</v>
      </c>
      <c r="J8705" s="1" t="s">
        <v>67</v>
      </c>
      <c r="K8705" s="1" t="s">
        <v>14</v>
      </c>
      <c r="M8705" s="2">
        <v>42292</v>
      </c>
      <c r="N8705" s="1" t="s">
        <v>8</v>
      </c>
      <c r="O8705" s="1" t="s">
        <v>68</v>
      </c>
    </row>
    <row r="8706" spans="1:15" ht="43.2" x14ac:dyDescent="0.3">
      <c r="A8706" s="1" t="s">
        <v>27506</v>
      </c>
      <c r="B8706" s="1" t="str">
        <f>"Sean fox"</f>
        <v>Sean fox</v>
      </c>
      <c r="C8706" s="1" t="s">
        <v>27507</v>
      </c>
      <c r="F8706" s="1" t="s">
        <v>65</v>
      </c>
      <c r="H8706" s="1" t="s">
        <v>26074</v>
      </c>
      <c r="I8706" s="1" t="s">
        <v>5</v>
      </c>
      <c r="J8706" s="1" t="s">
        <v>67</v>
      </c>
      <c r="K8706" s="1" t="s">
        <v>14</v>
      </c>
      <c r="M8706" s="2">
        <v>42292</v>
      </c>
      <c r="N8706" s="1" t="s">
        <v>8</v>
      </c>
      <c r="O8706" s="1" t="s">
        <v>68</v>
      </c>
    </row>
    <row r="8707" spans="1:15" ht="43.2" x14ac:dyDescent="0.3">
      <c r="A8707" s="1" t="s">
        <v>27508</v>
      </c>
      <c r="B8707" s="1" t="str">
        <f>"James Tobin"</f>
        <v>James Tobin</v>
      </c>
      <c r="C8707" s="1" t="s">
        <v>27509</v>
      </c>
      <c r="F8707" s="1" t="s">
        <v>27</v>
      </c>
      <c r="H8707" s="1" t="s">
        <v>27510</v>
      </c>
      <c r="I8707" s="1" t="s">
        <v>5</v>
      </c>
      <c r="J8707" s="1" t="s">
        <v>67</v>
      </c>
      <c r="K8707" s="1" t="s">
        <v>14</v>
      </c>
      <c r="M8707" s="2">
        <v>42292</v>
      </c>
      <c r="N8707" s="1" t="s">
        <v>8</v>
      </c>
      <c r="O8707" s="1" t="s">
        <v>68</v>
      </c>
    </row>
    <row r="8708" spans="1:15" ht="28.8" x14ac:dyDescent="0.3">
      <c r="A8708" s="1" t="s">
        <v>31782</v>
      </c>
      <c r="B8708" s="1" t="str">
        <f>"Owendale Construction"</f>
        <v>Owendale Construction</v>
      </c>
      <c r="C8708" s="1" t="s">
        <v>31783</v>
      </c>
      <c r="D8708" s="1" t="s">
        <v>31784</v>
      </c>
      <c r="E8708" s="1" t="s">
        <v>21772</v>
      </c>
      <c r="F8708" s="1" t="s">
        <v>1058</v>
      </c>
      <c r="G8708" s="1" t="s">
        <v>381</v>
      </c>
      <c r="H8708" s="1" t="s">
        <v>31785</v>
      </c>
      <c r="I8708" s="1" t="s">
        <v>125</v>
      </c>
      <c r="J8708" s="1" t="s">
        <v>6</v>
      </c>
      <c r="K8708" s="1" t="s">
        <v>34</v>
      </c>
      <c r="M8708" s="2">
        <v>42292</v>
      </c>
      <c r="N8708" s="1" t="s">
        <v>8</v>
      </c>
      <c r="O8708" s="2">
        <v>44484</v>
      </c>
    </row>
    <row r="8709" spans="1:15" ht="28.8" x14ac:dyDescent="0.3">
      <c r="A8709" s="1" t="s">
        <v>31812</v>
      </c>
      <c r="B8709" s="1" t="str">
        <f>"John James"</f>
        <v>John James</v>
      </c>
      <c r="C8709" s="1" t="s">
        <v>31813</v>
      </c>
      <c r="D8709" s="1" t="s">
        <v>108</v>
      </c>
      <c r="F8709" s="1" t="s">
        <v>65</v>
      </c>
      <c r="H8709" s="1" t="s">
        <v>31814</v>
      </c>
      <c r="I8709" s="1" t="s">
        <v>5</v>
      </c>
      <c r="J8709" s="1" t="s">
        <v>6</v>
      </c>
      <c r="K8709" s="1" t="s">
        <v>24</v>
      </c>
      <c r="M8709" s="2">
        <v>42292</v>
      </c>
      <c r="N8709" s="1" t="s">
        <v>8</v>
      </c>
      <c r="O8709" s="2">
        <v>44483</v>
      </c>
    </row>
    <row r="8710" spans="1:15" ht="28.8" x14ac:dyDescent="0.3">
      <c r="A8710" s="1" t="s">
        <v>2533</v>
      </c>
      <c r="B8710" s="1" t="str">
        <f>"CRICCIETH CLEANING LTD"</f>
        <v>CRICCIETH CLEANING LTD</v>
      </c>
      <c r="C8710" s="1" t="s">
        <v>2534</v>
      </c>
      <c r="F8710" s="1" t="s">
        <v>2535</v>
      </c>
      <c r="H8710" s="1" t="s">
        <v>2536</v>
      </c>
      <c r="I8710" s="1" t="s">
        <v>19</v>
      </c>
      <c r="J8710" s="1" t="s">
        <v>6</v>
      </c>
      <c r="K8710" s="1" t="s">
        <v>24</v>
      </c>
      <c r="L8710" s="1">
        <v>4212171</v>
      </c>
      <c r="M8710" s="2">
        <v>42291</v>
      </c>
      <c r="N8710" s="1" t="s">
        <v>8</v>
      </c>
      <c r="O8710" s="2">
        <v>44482</v>
      </c>
    </row>
    <row r="8711" spans="1:15" x14ac:dyDescent="0.3">
      <c r="A8711" s="1" t="s">
        <v>2582</v>
      </c>
      <c r="B8711" s="1" t="str">
        <f>"Hector Construction"</f>
        <v>Hector Construction</v>
      </c>
      <c r="C8711" s="1" t="s">
        <v>2583</v>
      </c>
      <c r="D8711" s="1" t="s">
        <v>2584</v>
      </c>
      <c r="F8711" s="1" t="s">
        <v>123</v>
      </c>
      <c r="G8711" s="1" t="s">
        <v>27</v>
      </c>
      <c r="H8711" s="1" t="s">
        <v>2585</v>
      </c>
      <c r="I8711" s="1" t="s">
        <v>125</v>
      </c>
      <c r="J8711" s="1" t="s">
        <v>6</v>
      </c>
      <c r="K8711" s="1" t="s">
        <v>24</v>
      </c>
      <c r="M8711" s="2">
        <v>42291</v>
      </c>
      <c r="N8711" s="1" t="s">
        <v>8</v>
      </c>
      <c r="O8711" s="2">
        <v>44483</v>
      </c>
    </row>
    <row r="8712" spans="1:15" ht="28.8" x14ac:dyDescent="0.3">
      <c r="A8712" s="1" t="s">
        <v>2625</v>
      </c>
      <c r="B8712" s="1" t="str">
        <f>"CGL LTD T/A CGL Services"</f>
        <v>CGL LTD T/A CGL Services</v>
      </c>
      <c r="C8712" s="1" t="s">
        <v>2626</v>
      </c>
      <c r="D8712" s="1" t="s">
        <v>2627</v>
      </c>
      <c r="E8712" s="1" t="s">
        <v>1350</v>
      </c>
      <c r="F8712" s="1" t="s">
        <v>1351</v>
      </c>
      <c r="H8712" s="1" t="s">
        <v>2628</v>
      </c>
      <c r="I8712" s="1" t="s">
        <v>19</v>
      </c>
      <c r="J8712" s="1" t="s">
        <v>6</v>
      </c>
      <c r="K8712" s="1" t="s">
        <v>34</v>
      </c>
      <c r="L8712" s="1">
        <v>5422313</v>
      </c>
      <c r="M8712" s="2">
        <v>42291</v>
      </c>
      <c r="N8712" s="1" t="s">
        <v>8</v>
      </c>
      <c r="O8712" s="2">
        <v>44483</v>
      </c>
    </row>
    <row r="8713" spans="1:15" ht="28.8" x14ac:dyDescent="0.3">
      <c r="A8713" s="1" t="s">
        <v>30813</v>
      </c>
      <c r="B8713" s="1" t="str">
        <f>"Coastline Building Services"</f>
        <v>Coastline Building Services</v>
      </c>
      <c r="C8713" s="1" t="s">
        <v>30814</v>
      </c>
      <c r="D8713" s="1" t="s">
        <v>611</v>
      </c>
      <c r="F8713" s="1" t="s">
        <v>64</v>
      </c>
      <c r="G8713" s="1" t="s">
        <v>65</v>
      </c>
      <c r="H8713" s="1" t="s">
        <v>30815</v>
      </c>
      <c r="I8713" s="1" t="s">
        <v>125</v>
      </c>
      <c r="J8713" s="1" t="s">
        <v>6</v>
      </c>
      <c r="K8713" s="1" t="s">
        <v>34</v>
      </c>
      <c r="M8713" s="2">
        <v>42291</v>
      </c>
      <c r="N8713" s="1" t="s">
        <v>8</v>
      </c>
      <c r="O8713" s="2">
        <v>44483</v>
      </c>
    </row>
    <row r="8714" spans="1:15" ht="43.2" x14ac:dyDescent="0.3">
      <c r="A8714" s="1" t="s">
        <v>30886</v>
      </c>
      <c r="B8714" s="1" t="str">
        <f>"Richard Edwards RJ Edwards Building Contractor"</f>
        <v>Richard Edwards RJ Edwards Building Contractor</v>
      </c>
      <c r="C8714" s="1" t="s">
        <v>30887</v>
      </c>
      <c r="F8714" s="1" t="s">
        <v>65</v>
      </c>
      <c r="H8714" s="1" t="s">
        <v>30888</v>
      </c>
      <c r="I8714" s="1" t="s">
        <v>5</v>
      </c>
      <c r="J8714" s="1" t="s">
        <v>6</v>
      </c>
      <c r="K8714" s="1" t="s">
        <v>24</v>
      </c>
      <c r="M8714" s="2">
        <v>42291</v>
      </c>
      <c r="N8714" s="1" t="s">
        <v>8</v>
      </c>
      <c r="O8714" s="2">
        <v>44483</v>
      </c>
    </row>
    <row r="8715" spans="1:15" ht="28.8" x14ac:dyDescent="0.3">
      <c r="A8715" s="1" t="s">
        <v>2713</v>
      </c>
      <c r="B8715" s="1" t="str">
        <f>"A40 Roofing Services Ltd"</f>
        <v>A40 Roofing Services Ltd</v>
      </c>
      <c r="C8715" s="1" t="s">
        <v>2714</v>
      </c>
      <c r="F8715" s="1" t="s">
        <v>1776</v>
      </c>
      <c r="G8715" s="1" t="s">
        <v>115</v>
      </c>
      <c r="H8715" s="1" t="s">
        <v>2715</v>
      </c>
      <c r="I8715" s="1" t="s">
        <v>19</v>
      </c>
      <c r="J8715" s="1" t="s">
        <v>6</v>
      </c>
      <c r="K8715" s="1" t="s">
        <v>24</v>
      </c>
      <c r="L8715" s="1">
        <v>7071871</v>
      </c>
      <c r="M8715" s="2">
        <v>42290</v>
      </c>
      <c r="N8715" s="1" t="s">
        <v>8</v>
      </c>
      <c r="O8715" s="2">
        <v>44488</v>
      </c>
    </row>
    <row r="8716" spans="1:15" ht="28.8" x14ac:dyDescent="0.3">
      <c r="A8716" s="1" t="s">
        <v>2725</v>
      </c>
      <c r="B8716" s="1" t="str">
        <f>"Lacepail Ltd."</f>
        <v>Lacepail Ltd.</v>
      </c>
      <c r="C8716" s="1" t="s">
        <v>2726</v>
      </c>
      <c r="D8716" s="1" t="s">
        <v>578</v>
      </c>
      <c r="F8716" s="1" t="s">
        <v>65</v>
      </c>
      <c r="H8716" s="1" t="s">
        <v>2727</v>
      </c>
      <c r="I8716" s="1" t="s">
        <v>19</v>
      </c>
      <c r="J8716" s="1" t="s">
        <v>6</v>
      </c>
      <c r="K8716" s="1" t="s">
        <v>24</v>
      </c>
      <c r="L8716" s="1">
        <v>2105138</v>
      </c>
      <c r="M8716" s="2">
        <v>42290</v>
      </c>
      <c r="N8716" s="1" t="s">
        <v>8</v>
      </c>
      <c r="O8716" s="2">
        <v>44482</v>
      </c>
    </row>
    <row r="8717" spans="1:15" ht="43.2" x14ac:dyDescent="0.3">
      <c r="A8717" s="1" t="s">
        <v>13356</v>
      </c>
      <c r="B8717" s="1" t="str">
        <f>"ROBERTSTOWN JOINERY LTD"</f>
        <v>ROBERTSTOWN JOINERY LTD</v>
      </c>
      <c r="C8717" s="1" t="s">
        <v>13357</v>
      </c>
      <c r="F8717" s="1" t="s">
        <v>996</v>
      </c>
      <c r="H8717" s="1" t="s">
        <v>10977</v>
      </c>
      <c r="I8717" s="1" t="s">
        <v>19</v>
      </c>
      <c r="J8717" s="1" t="s">
        <v>67</v>
      </c>
      <c r="K8717" s="1" t="s">
        <v>14</v>
      </c>
      <c r="M8717" s="2">
        <v>42290</v>
      </c>
      <c r="N8717" s="1" t="s">
        <v>8</v>
      </c>
      <c r="O8717" s="1" t="s">
        <v>68</v>
      </c>
    </row>
    <row r="8718" spans="1:15" ht="43.2" x14ac:dyDescent="0.3">
      <c r="A8718" s="1" t="s">
        <v>25891</v>
      </c>
      <c r="B8718" s="1" t="str">
        <f>"Chris Hill"</f>
        <v>Chris Hill</v>
      </c>
      <c r="C8718" s="1" t="s">
        <v>25892</v>
      </c>
      <c r="F8718" s="1" t="s">
        <v>96</v>
      </c>
      <c r="H8718" s="1" t="s">
        <v>25893</v>
      </c>
      <c r="I8718" s="1" t="s">
        <v>5</v>
      </c>
      <c r="J8718" s="1" t="s">
        <v>67</v>
      </c>
      <c r="K8718" s="1" t="s">
        <v>14</v>
      </c>
      <c r="M8718" s="2">
        <v>42290</v>
      </c>
      <c r="N8718" s="1" t="s">
        <v>8</v>
      </c>
      <c r="O8718" s="1" t="s">
        <v>68</v>
      </c>
    </row>
    <row r="8719" spans="1:15" x14ac:dyDescent="0.3">
      <c r="A8719" s="1" t="s">
        <v>2608</v>
      </c>
      <c r="B8719" s="1" t="str">
        <f>"Mathew Vincent"</f>
        <v>Mathew Vincent</v>
      </c>
      <c r="C8719" s="1" t="s">
        <v>2609</v>
      </c>
      <c r="D8719" s="1" t="s">
        <v>2610</v>
      </c>
      <c r="F8719" s="1" t="s">
        <v>1093</v>
      </c>
      <c r="H8719" s="1" t="s">
        <v>2611</v>
      </c>
      <c r="I8719" s="1" t="s">
        <v>5</v>
      </c>
      <c r="J8719" s="1" t="s">
        <v>6</v>
      </c>
      <c r="K8719" s="1" t="s">
        <v>24</v>
      </c>
      <c r="M8719" s="2">
        <v>42289</v>
      </c>
      <c r="N8719" s="1" t="s">
        <v>8</v>
      </c>
      <c r="O8719" s="2">
        <v>44480</v>
      </c>
    </row>
    <row r="8720" spans="1:15" ht="43.2" x14ac:dyDescent="0.3">
      <c r="A8720" s="1" t="s">
        <v>12242</v>
      </c>
      <c r="B8720" s="1" t="str">
        <f>"Fast Forward Distribution Ltd"</f>
        <v>Fast Forward Distribution Ltd</v>
      </c>
      <c r="C8720" s="1" t="s">
        <v>12243</v>
      </c>
      <c r="D8720" s="1" t="s">
        <v>238</v>
      </c>
      <c r="F8720" s="1" t="s">
        <v>42</v>
      </c>
      <c r="H8720" s="1" t="s">
        <v>239</v>
      </c>
      <c r="I8720" s="1" t="s">
        <v>19</v>
      </c>
      <c r="J8720" s="1" t="s">
        <v>67</v>
      </c>
      <c r="K8720" s="1" t="s">
        <v>14</v>
      </c>
      <c r="M8720" s="2">
        <v>42289</v>
      </c>
      <c r="N8720" s="1" t="s">
        <v>8</v>
      </c>
      <c r="O8720" s="1" t="s">
        <v>68</v>
      </c>
    </row>
    <row r="8721" spans="1:15" ht="43.2" x14ac:dyDescent="0.3">
      <c r="A8721" s="1" t="s">
        <v>12244</v>
      </c>
      <c r="B8721" s="1" t="str">
        <f>"TWILTEX MANUFACTURING CO LTD"</f>
        <v>TWILTEX MANUFACTURING CO LTD</v>
      </c>
      <c r="C8721" s="1" t="s">
        <v>12068</v>
      </c>
      <c r="F8721" s="1" t="s">
        <v>83</v>
      </c>
      <c r="H8721" s="1" t="s">
        <v>12069</v>
      </c>
      <c r="I8721" s="1" t="s">
        <v>19</v>
      </c>
      <c r="J8721" s="1" t="s">
        <v>67</v>
      </c>
      <c r="K8721" s="1" t="s">
        <v>24</v>
      </c>
      <c r="L8721" s="1">
        <v>1268066</v>
      </c>
      <c r="M8721" s="2">
        <v>42289</v>
      </c>
      <c r="N8721" s="1" t="s">
        <v>8</v>
      </c>
      <c r="O8721" s="1" t="s">
        <v>68</v>
      </c>
    </row>
    <row r="8722" spans="1:15" ht="43.2" x14ac:dyDescent="0.3">
      <c r="A8722" s="1" t="s">
        <v>13353</v>
      </c>
      <c r="B8722" s="1" t="str">
        <f>"A.F. THOMAS &amp; SONS LTD"</f>
        <v>A.F. THOMAS &amp; SONS LTD</v>
      </c>
      <c r="C8722" s="1" t="s">
        <v>13354</v>
      </c>
      <c r="F8722" s="1" t="s">
        <v>91</v>
      </c>
      <c r="H8722" s="1" t="s">
        <v>13355</v>
      </c>
      <c r="I8722" s="1" t="s">
        <v>19</v>
      </c>
      <c r="J8722" s="1" t="s">
        <v>67</v>
      </c>
      <c r="K8722" s="1" t="s">
        <v>24</v>
      </c>
      <c r="L8722" s="1">
        <v>650450</v>
      </c>
      <c r="M8722" s="2">
        <v>42289</v>
      </c>
      <c r="N8722" s="1" t="s">
        <v>8</v>
      </c>
      <c r="O8722" s="1" t="s">
        <v>68</v>
      </c>
    </row>
    <row r="8723" spans="1:15" ht="43.2" x14ac:dyDescent="0.3">
      <c r="A8723" s="1" t="s">
        <v>25178</v>
      </c>
      <c r="B8723" s="1" t="str">
        <f>"Nick Evans"</f>
        <v>Nick Evans</v>
      </c>
      <c r="C8723" s="1" t="s">
        <v>25179</v>
      </c>
      <c r="F8723" s="1" t="s">
        <v>214</v>
      </c>
      <c r="H8723" s="1" t="s">
        <v>4174</v>
      </c>
      <c r="I8723" s="1" t="s">
        <v>5</v>
      </c>
      <c r="J8723" s="1" t="s">
        <v>67</v>
      </c>
      <c r="K8723" s="1" t="s">
        <v>14</v>
      </c>
      <c r="M8723" s="2">
        <v>42289</v>
      </c>
      <c r="N8723" s="1" t="s">
        <v>8</v>
      </c>
      <c r="O8723" s="1" t="s">
        <v>68</v>
      </c>
    </row>
    <row r="8724" spans="1:15" ht="43.2" x14ac:dyDescent="0.3">
      <c r="A8724" s="1" t="s">
        <v>25180</v>
      </c>
      <c r="B8724" s="1" t="str">
        <f>"janet Watkins"</f>
        <v>janet Watkins</v>
      </c>
      <c r="C8724" s="1" t="s">
        <v>25181</v>
      </c>
      <c r="F8724" s="1" t="s">
        <v>96</v>
      </c>
      <c r="H8724" s="1" t="s">
        <v>25182</v>
      </c>
      <c r="I8724" s="1" t="s">
        <v>5</v>
      </c>
      <c r="J8724" s="1" t="s">
        <v>67</v>
      </c>
      <c r="K8724" s="1" t="s">
        <v>14</v>
      </c>
      <c r="M8724" s="2">
        <v>42289</v>
      </c>
      <c r="N8724" s="1" t="s">
        <v>8</v>
      </c>
      <c r="O8724" s="1" t="s">
        <v>68</v>
      </c>
    </row>
    <row r="8725" spans="1:15" ht="28.8" x14ac:dyDescent="0.3">
      <c r="A8725" s="1" t="s">
        <v>30883</v>
      </c>
      <c r="B8725" s="1" t="str">
        <f>"John Fowlie Ash hill landscapes"</f>
        <v>John Fowlie Ash hill landscapes</v>
      </c>
      <c r="C8725" s="1" t="s">
        <v>30884</v>
      </c>
      <c r="F8725" s="1" t="s">
        <v>1169</v>
      </c>
      <c r="H8725" s="1" t="s">
        <v>30885</v>
      </c>
      <c r="I8725" s="1" t="s">
        <v>5</v>
      </c>
      <c r="J8725" s="1" t="s">
        <v>6</v>
      </c>
      <c r="K8725" s="1" t="s">
        <v>34</v>
      </c>
      <c r="M8725" s="2">
        <v>42289</v>
      </c>
      <c r="N8725" s="1" t="s">
        <v>8</v>
      </c>
      <c r="O8725" s="2">
        <v>44481</v>
      </c>
    </row>
    <row r="8726" spans="1:15" ht="28.8" x14ac:dyDescent="0.3">
      <c r="A8726" s="1" t="s">
        <v>31945</v>
      </c>
      <c r="B8726" s="1" t="str">
        <f>"Anthony Whittle ASW Landscaping"</f>
        <v>Anthony Whittle ASW Landscaping</v>
      </c>
      <c r="C8726" s="1" t="s">
        <v>31946</v>
      </c>
      <c r="D8726" s="1" t="s">
        <v>31947</v>
      </c>
      <c r="E8726" s="1" t="s">
        <v>2965</v>
      </c>
      <c r="F8726" s="1" t="s">
        <v>641</v>
      </c>
      <c r="G8726" s="1" t="s">
        <v>642</v>
      </c>
      <c r="H8726" s="1" t="s">
        <v>31948</v>
      </c>
      <c r="I8726" s="1" t="s">
        <v>5</v>
      </c>
      <c r="J8726" s="1" t="s">
        <v>6</v>
      </c>
      <c r="K8726" s="1" t="s">
        <v>34</v>
      </c>
      <c r="M8726" s="2">
        <v>42289</v>
      </c>
      <c r="N8726" s="1" t="s">
        <v>8</v>
      </c>
      <c r="O8726" s="2">
        <v>44481</v>
      </c>
    </row>
    <row r="8727" spans="1:15" ht="43.2" x14ac:dyDescent="0.3">
      <c r="A8727" s="1" t="s">
        <v>25172</v>
      </c>
      <c r="B8727" s="1" t="str">
        <f>"mark johnson"</f>
        <v>mark johnson</v>
      </c>
      <c r="C8727" s="1" t="s">
        <v>25173</v>
      </c>
      <c r="F8727" s="1" t="s">
        <v>277</v>
      </c>
      <c r="H8727" s="1" t="s">
        <v>25174</v>
      </c>
      <c r="I8727" s="1" t="s">
        <v>5</v>
      </c>
      <c r="J8727" s="1" t="s">
        <v>67</v>
      </c>
      <c r="K8727" s="1" t="s">
        <v>14</v>
      </c>
      <c r="M8727" s="2">
        <v>42287</v>
      </c>
      <c r="N8727" s="1" t="s">
        <v>8</v>
      </c>
      <c r="O8727" s="1" t="s">
        <v>68</v>
      </c>
    </row>
    <row r="8728" spans="1:15" ht="43.2" x14ac:dyDescent="0.3">
      <c r="A8728" s="1" t="s">
        <v>25175</v>
      </c>
      <c r="B8728" s="1" t="str">
        <f>"paul barnett"</f>
        <v>paul barnett</v>
      </c>
      <c r="C8728" s="1" t="s">
        <v>25176</v>
      </c>
      <c r="F8728" s="1" t="s">
        <v>930</v>
      </c>
      <c r="H8728" s="1" t="s">
        <v>25177</v>
      </c>
      <c r="I8728" s="1" t="s">
        <v>5</v>
      </c>
      <c r="J8728" s="1" t="s">
        <v>67</v>
      </c>
      <c r="K8728" s="1" t="s">
        <v>14</v>
      </c>
      <c r="M8728" s="2">
        <v>42287</v>
      </c>
      <c r="N8728" s="1" t="s">
        <v>8</v>
      </c>
      <c r="O8728" s="1" t="s">
        <v>68</v>
      </c>
    </row>
    <row r="8729" spans="1:15" ht="28.8" x14ac:dyDescent="0.3">
      <c r="A8729" s="1" t="s">
        <v>2540</v>
      </c>
      <c r="B8729" s="1" t="str">
        <f>"Evans Brothers Haulage"</f>
        <v>Evans Brothers Haulage</v>
      </c>
      <c r="C8729" s="1" t="s">
        <v>2541</v>
      </c>
      <c r="F8729" s="1" t="s">
        <v>65</v>
      </c>
      <c r="H8729" s="1" t="s">
        <v>2542</v>
      </c>
      <c r="I8729" s="1" t="s">
        <v>19</v>
      </c>
      <c r="J8729" s="1" t="s">
        <v>6</v>
      </c>
      <c r="K8729" s="1" t="s">
        <v>24</v>
      </c>
      <c r="L8729" s="1">
        <v>856018</v>
      </c>
      <c r="M8729" s="2">
        <v>42286</v>
      </c>
      <c r="N8729" s="1" t="s">
        <v>8</v>
      </c>
      <c r="O8729" s="2">
        <v>44477</v>
      </c>
    </row>
    <row r="8730" spans="1:15" ht="43.2" x14ac:dyDescent="0.3">
      <c r="A8730" s="1" t="s">
        <v>11259</v>
      </c>
      <c r="B8730" s="1" t="str">
        <f>"THAMES VALLEY PRINTERS &amp; CARTRIDGES"</f>
        <v>THAMES VALLEY PRINTERS &amp; CARTRIDGES</v>
      </c>
      <c r="C8730" s="1" t="s">
        <v>11260</v>
      </c>
      <c r="F8730" s="1" t="s">
        <v>11261</v>
      </c>
      <c r="H8730" s="1" t="s">
        <v>11262</v>
      </c>
      <c r="I8730" s="1" t="s">
        <v>19</v>
      </c>
      <c r="J8730" s="1" t="s">
        <v>67</v>
      </c>
      <c r="K8730" s="1" t="s">
        <v>14</v>
      </c>
      <c r="M8730" s="2">
        <v>42286</v>
      </c>
      <c r="N8730" s="1" t="s">
        <v>8</v>
      </c>
      <c r="O8730" s="1" t="s">
        <v>68</v>
      </c>
    </row>
    <row r="8731" spans="1:15" ht="43.2" x14ac:dyDescent="0.3">
      <c r="A8731" s="1" t="s">
        <v>11263</v>
      </c>
      <c r="B8731" s="1" t="str">
        <f>"The Log Feller"</f>
        <v>The Log Feller</v>
      </c>
      <c r="C8731" s="1" t="s">
        <v>11264</v>
      </c>
      <c r="F8731" s="1" t="s">
        <v>4630</v>
      </c>
      <c r="H8731" s="1" t="s">
        <v>11265</v>
      </c>
      <c r="I8731" s="1" t="s">
        <v>125</v>
      </c>
      <c r="J8731" s="1" t="s">
        <v>67</v>
      </c>
      <c r="K8731" s="1" t="s">
        <v>14</v>
      </c>
      <c r="M8731" s="2">
        <v>42286</v>
      </c>
      <c r="N8731" s="1" t="s">
        <v>8</v>
      </c>
      <c r="O8731" s="1" t="s">
        <v>68</v>
      </c>
    </row>
    <row r="8732" spans="1:15" ht="43.2" x14ac:dyDescent="0.3">
      <c r="A8732" s="1" t="s">
        <v>11266</v>
      </c>
      <c r="B8732" s="1" t="str">
        <f>"Ifix Electrical Services LTD"</f>
        <v>Ifix Electrical Services LTD</v>
      </c>
      <c r="C8732" s="1" t="s">
        <v>11267</v>
      </c>
      <c r="F8732" s="1" t="s">
        <v>865</v>
      </c>
      <c r="H8732" s="1" t="s">
        <v>11268</v>
      </c>
      <c r="I8732" s="1" t="s">
        <v>19</v>
      </c>
      <c r="J8732" s="1" t="s">
        <v>67</v>
      </c>
      <c r="K8732" s="1" t="s">
        <v>14</v>
      </c>
      <c r="M8732" s="2">
        <v>42286</v>
      </c>
      <c r="N8732" s="1" t="s">
        <v>8</v>
      </c>
      <c r="O8732" s="1" t="s">
        <v>68</v>
      </c>
    </row>
    <row r="8733" spans="1:15" ht="28.8" x14ac:dyDescent="0.3">
      <c r="A8733" s="1" t="s">
        <v>2618</v>
      </c>
      <c r="B8733" s="1" t="str">
        <f>"BKR (Wales) Ltd."</f>
        <v>BKR (Wales) Ltd.</v>
      </c>
      <c r="C8733" s="1" t="s">
        <v>2619</v>
      </c>
      <c r="F8733" s="1" t="s">
        <v>706</v>
      </c>
      <c r="G8733" s="1" t="s">
        <v>211</v>
      </c>
      <c r="H8733" s="1" t="s">
        <v>2620</v>
      </c>
      <c r="I8733" s="1" t="s">
        <v>19</v>
      </c>
      <c r="J8733" s="1" t="s">
        <v>6</v>
      </c>
      <c r="K8733" s="1" t="s">
        <v>34</v>
      </c>
      <c r="L8733" s="1">
        <v>8961440</v>
      </c>
      <c r="M8733" s="2">
        <v>42285</v>
      </c>
      <c r="N8733" s="1" t="s">
        <v>8</v>
      </c>
      <c r="O8733" s="2">
        <v>44477</v>
      </c>
    </row>
    <row r="8734" spans="1:15" ht="43.2" x14ac:dyDescent="0.3">
      <c r="A8734" s="1" t="s">
        <v>24328</v>
      </c>
      <c r="B8734" s="1" t="str">
        <f>"Jamie  Coles"</f>
        <v>Jamie  Coles</v>
      </c>
      <c r="C8734" s="1" t="s">
        <v>24329</v>
      </c>
      <c r="F8734" s="1" t="s">
        <v>8319</v>
      </c>
      <c r="H8734" s="1" t="s">
        <v>24330</v>
      </c>
      <c r="I8734" s="1" t="s">
        <v>5</v>
      </c>
      <c r="J8734" s="1" t="s">
        <v>67</v>
      </c>
      <c r="K8734" s="1" t="s">
        <v>14</v>
      </c>
      <c r="M8734" s="2">
        <v>42285</v>
      </c>
      <c r="N8734" s="1" t="s">
        <v>8</v>
      </c>
      <c r="O8734" s="1" t="s">
        <v>68</v>
      </c>
    </row>
    <row r="8735" spans="1:15" ht="28.8" x14ac:dyDescent="0.3">
      <c r="A8735" s="1" t="s">
        <v>32805</v>
      </c>
      <c r="B8735" s="1" t="str">
        <f>"Tremorfa Ltd"</f>
        <v>Tremorfa Ltd</v>
      </c>
      <c r="C8735" s="1" t="s">
        <v>32806</v>
      </c>
      <c r="D8735" s="1" t="s">
        <v>420</v>
      </c>
      <c r="F8735" s="1" t="s">
        <v>27</v>
      </c>
      <c r="H8735" s="1" t="s">
        <v>32807</v>
      </c>
      <c r="I8735" s="1" t="s">
        <v>19</v>
      </c>
      <c r="J8735" s="1" t="s">
        <v>6</v>
      </c>
      <c r="K8735" s="1" t="s">
        <v>24</v>
      </c>
      <c r="L8735" s="1">
        <v>1825211</v>
      </c>
      <c r="M8735" s="2">
        <v>42285</v>
      </c>
      <c r="N8735" s="1" t="s">
        <v>8</v>
      </c>
      <c r="O8735" s="2">
        <v>44476</v>
      </c>
    </row>
    <row r="8736" spans="1:15" ht="28.8" x14ac:dyDescent="0.3">
      <c r="A8736" s="1" t="s">
        <v>2421</v>
      </c>
      <c r="B8736" s="1" t="str">
        <f>"CMU Infrastructure Ltd"</f>
        <v>CMU Infrastructure Ltd</v>
      </c>
      <c r="C8736" s="1" t="s">
        <v>2422</v>
      </c>
      <c r="F8736" s="1" t="s">
        <v>564</v>
      </c>
      <c r="H8736" s="1" t="s">
        <v>673</v>
      </c>
      <c r="I8736" s="1" t="s">
        <v>19</v>
      </c>
      <c r="J8736" s="1" t="s">
        <v>6</v>
      </c>
      <c r="K8736" s="1" t="s">
        <v>34</v>
      </c>
      <c r="L8736" s="1">
        <v>9019200</v>
      </c>
      <c r="M8736" s="2">
        <v>42284</v>
      </c>
      <c r="N8736" s="1" t="s">
        <v>8</v>
      </c>
      <c r="O8736" s="2">
        <v>44475</v>
      </c>
    </row>
    <row r="8737" spans="1:15" ht="43.2" x14ac:dyDescent="0.3">
      <c r="A8737" s="1" t="s">
        <v>9140</v>
      </c>
      <c r="B8737" s="1" t="str">
        <f>"PRIME FUELLING SYSTEMS LTD"</f>
        <v>PRIME FUELLING SYSTEMS LTD</v>
      </c>
      <c r="C8737" s="1" t="s">
        <v>5785</v>
      </c>
      <c r="D8737" s="1" t="s">
        <v>5786</v>
      </c>
      <c r="F8737" s="1" t="s">
        <v>1051</v>
      </c>
      <c r="H8737" s="1" t="s">
        <v>5787</v>
      </c>
      <c r="I8737" s="1" t="s">
        <v>19</v>
      </c>
      <c r="J8737" s="1" t="s">
        <v>67</v>
      </c>
      <c r="K8737" s="1" t="s">
        <v>24</v>
      </c>
      <c r="L8737" s="1">
        <v>3690374</v>
      </c>
      <c r="M8737" s="2">
        <v>42284</v>
      </c>
      <c r="N8737" s="1" t="s">
        <v>8</v>
      </c>
      <c r="O8737" s="1" t="s">
        <v>68</v>
      </c>
    </row>
    <row r="8738" spans="1:15" ht="43.2" x14ac:dyDescent="0.3">
      <c r="A8738" s="1" t="s">
        <v>10257</v>
      </c>
      <c r="B8738" s="1" t="str">
        <f>"Blinkin Bananas Limited"</f>
        <v>Blinkin Bananas Limited</v>
      </c>
      <c r="C8738" s="1" t="s">
        <v>10258</v>
      </c>
      <c r="F8738" s="1" t="s">
        <v>174</v>
      </c>
      <c r="H8738" s="1" t="s">
        <v>10259</v>
      </c>
      <c r="I8738" s="1" t="s">
        <v>19</v>
      </c>
      <c r="J8738" s="1" t="s">
        <v>67</v>
      </c>
      <c r="K8738" s="1" t="s">
        <v>14</v>
      </c>
      <c r="M8738" s="2">
        <v>42284</v>
      </c>
      <c r="N8738" s="1" t="s">
        <v>8</v>
      </c>
      <c r="O8738" s="1" t="s">
        <v>68</v>
      </c>
    </row>
    <row r="8739" spans="1:15" ht="43.2" x14ac:dyDescent="0.3">
      <c r="A8739" s="1" t="s">
        <v>10260</v>
      </c>
      <c r="B8739" s="1" t="str">
        <f>"paul travers"</f>
        <v>paul travers</v>
      </c>
      <c r="C8739" s="1" t="s">
        <v>10261</v>
      </c>
      <c r="F8739" s="1" t="s">
        <v>91</v>
      </c>
      <c r="H8739" s="1" t="s">
        <v>10262</v>
      </c>
      <c r="I8739" s="1" t="s">
        <v>188</v>
      </c>
      <c r="J8739" s="1" t="s">
        <v>67</v>
      </c>
      <c r="K8739" s="1" t="s">
        <v>14</v>
      </c>
      <c r="M8739" s="2">
        <v>42284</v>
      </c>
      <c r="N8739" s="1" t="s">
        <v>8</v>
      </c>
      <c r="O8739" s="1" t="s">
        <v>68</v>
      </c>
    </row>
    <row r="8740" spans="1:15" ht="43.2" x14ac:dyDescent="0.3">
      <c r="A8740" s="1" t="s">
        <v>10263</v>
      </c>
      <c r="B8740" s="1" t="str">
        <f>"Capital Fire Protection Ltd."</f>
        <v>Capital Fire Protection Ltd.</v>
      </c>
      <c r="C8740" s="1" t="s">
        <v>10264</v>
      </c>
      <c r="F8740" s="1" t="s">
        <v>27</v>
      </c>
      <c r="H8740" s="1" t="s">
        <v>10265</v>
      </c>
      <c r="I8740" s="1" t="s">
        <v>19</v>
      </c>
      <c r="J8740" s="1" t="s">
        <v>67</v>
      </c>
      <c r="K8740" s="1" t="s">
        <v>24</v>
      </c>
      <c r="L8740" s="1">
        <v>5399832</v>
      </c>
      <c r="M8740" s="2">
        <v>42284</v>
      </c>
      <c r="N8740" s="1" t="s">
        <v>8</v>
      </c>
      <c r="O8740" s="1" t="s">
        <v>68</v>
      </c>
    </row>
    <row r="8741" spans="1:15" ht="43.2" x14ac:dyDescent="0.3">
      <c r="A8741" s="1" t="s">
        <v>22711</v>
      </c>
      <c r="B8741" s="1" t="str">
        <f>"Mark Jones"</f>
        <v>Mark Jones</v>
      </c>
      <c r="C8741" s="1" t="s">
        <v>18726</v>
      </c>
      <c r="F8741" s="1" t="s">
        <v>710</v>
      </c>
      <c r="H8741" s="1" t="s">
        <v>18727</v>
      </c>
      <c r="I8741" s="1" t="s">
        <v>5</v>
      </c>
      <c r="J8741" s="1" t="s">
        <v>67</v>
      </c>
      <c r="K8741" s="1" t="s">
        <v>14</v>
      </c>
      <c r="M8741" s="2">
        <v>42284</v>
      </c>
      <c r="N8741" s="1" t="s">
        <v>8</v>
      </c>
      <c r="O8741" s="1" t="s">
        <v>68</v>
      </c>
    </row>
    <row r="8742" spans="1:15" ht="43.2" x14ac:dyDescent="0.3">
      <c r="A8742" s="1" t="s">
        <v>23479</v>
      </c>
      <c r="B8742" s="1" t="str">
        <f>"lyndon price"</f>
        <v>lyndon price</v>
      </c>
      <c r="C8742" s="1" t="s">
        <v>23480</v>
      </c>
      <c r="D8742" s="1" t="s">
        <v>343</v>
      </c>
      <c r="F8742" s="1" t="s">
        <v>65</v>
      </c>
      <c r="H8742" s="1" t="s">
        <v>23481</v>
      </c>
      <c r="I8742" s="1" t="s">
        <v>5</v>
      </c>
      <c r="J8742" s="1" t="s">
        <v>67</v>
      </c>
      <c r="K8742" s="1" t="s">
        <v>14</v>
      </c>
      <c r="M8742" s="2">
        <v>42284</v>
      </c>
      <c r="N8742" s="1" t="s">
        <v>8</v>
      </c>
      <c r="O8742" s="1" t="s">
        <v>68</v>
      </c>
    </row>
    <row r="8743" spans="1:15" ht="43.2" x14ac:dyDescent="0.3">
      <c r="A8743" s="1" t="s">
        <v>23482</v>
      </c>
      <c r="B8743" s="1" t="str">
        <f>"Matthew Wootton"</f>
        <v>Matthew Wootton</v>
      </c>
      <c r="C8743" s="1" t="s">
        <v>23483</v>
      </c>
      <c r="F8743" s="1" t="s">
        <v>9473</v>
      </c>
      <c r="H8743" s="1" t="s">
        <v>23484</v>
      </c>
      <c r="I8743" s="1" t="s">
        <v>5</v>
      </c>
      <c r="J8743" s="1" t="s">
        <v>67</v>
      </c>
      <c r="K8743" s="1" t="s">
        <v>14</v>
      </c>
      <c r="M8743" s="2">
        <v>42284</v>
      </c>
      <c r="N8743" s="1" t="s">
        <v>8</v>
      </c>
      <c r="O8743" s="1" t="s">
        <v>68</v>
      </c>
    </row>
    <row r="8744" spans="1:15" x14ac:dyDescent="0.3">
      <c r="A8744" s="1" t="s">
        <v>30686</v>
      </c>
      <c r="B8744" s="1" t="str">
        <f>"RECCLESIA LTD"</f>
        <v>RECCLESIA LTD</v>
      </c>
      <c r="C8744" s="1" t="s">
        <v>30687</v>
      </c>
      <c r="D8744" s="1" t="s">
        <v>959</v>
      </c>
      <c r="E8744" s="1" t="s">
        <v>746</v>
      </c>
      <c r="F8744" s="1" t="s">
        <v>1346</v>
      </c>
      <c r="H8744" s="1" t="s">
        <v>3118</v>
      </c>
      <c r="I8744" s="1" t="s">
        <v>19</v>
      </c>
      <c r="J8744" s="1" t="s">
        <v>6</v>
      </c>
      <c r="K8744" s="1" t="s">
        <v>24</v>
      </c>
      <c r="L8744" s="1">
        <v>6853306</v>
      </c>
      <c r="M8744" s="2">
        <v>42284</v>
      </c>
      <c r="N8744" s="1" t="s">
        <v>8</v>
      </c>
      <c r="O8744" s="2">
        <v>44475</v>
      </c>
    </row>
    <row r="8745" spans="1:15" ht="28.8" x14ac:dyDescent="0.3">
      <c r="A8745" s="1" t="s">
        <v>31776</v>
      </c>
      <c r="B8745" s="1" t="str">
        <f>"Johns Electrics (1989) Ltd"</f>
        <v>Johns Electrics (1989) Ltd</v>
      </c>
      <c r="C8745" s="1" t="s">
        <v>31777</v>
      </c>
      <c r="D8745" s="1" t="s">
        <v>156</v>
      </c>
      <c r="F8745" s="1" t="s">
        <v>2774</v>
      </c>
      <c r="H8745" s="1" t="s">
        <v>5986</v>
      </c>
      <c r="I8745" s="1" t="s">
        <v>19</v>
      </c>
      <c r="J8745" s="1" t="s">
        <v>6</v>
      </c>
      <c r="K8745" s="1" t="s">
        <v>24</v>
      </c>
      <c r="L8745" s="1">
        <v>3734232</v>
      </c>
      <c r="M8745" s="2">
        <v>42284</v>
      </c>
      <c r="N8745" s="1" t="s">
        <v>8</v>
      </c>
      <c r="O8745" s="2">
        <v>44476</v>
      </c>
    </row>
    <row r="8746" spans="1:15" x14ac:dyDescent="0.3">
      <c r="A8746" s="1" t="s">
        <v>31921</v>
      </c>
      <c r="B8746" s="1" t="str">
        <f>"Berriman Roofing Ltd"</f>
        <v>Berriman Roofing Ltd</v>
      </c>
      <c r="C8746" s="1" t="s">
        <v>31922</v>
      </c>
      <c r="F8746" s="1" t="s">
        <v>123</v>
      </c>
      <c r="G8746" s="1" t="s">
        <v>27</v>
      </c>
      <c r="H8746" s="1" t="s">
        <v>31923</v>
      </c>
      <c r="I8746" s="1" t="s">
        <v>19</v>
      </c>
      <c r="J8746" s="1" t="s">
        <v>6</v>
      </c>
      <c r="K8746" s="1" t="s">
        <v>24</v>
      </c>
      <c r="L8746" s="1">
        <v>7672948</v>
      </c>
      <c r="M8746" s="2">
        <v>42284</v>
      </c>
      <c r="N8746" s="1" t="s">
        <v>8</v>
      </c>
      <c r="O8746" s="2">
        <v>44475</v>
      </c>
    </row>
    <row r="8747" spans="1:15" ht="43.2" x14ac:dyDescent="0.3">
      <c r="A8747" s="1" t="s">
        <v>7930</v>
      </c>
      <c r="B8747" s="1" t="str">
        <f>"Dovey Valley Shooting Ground"</f>
        <v>Dovey Valley Shooting Ground</v>
      </c>
      <c r="C8747" s="1" t="s">
        <v>7931</v>
      </c>
      <c r="F8747" s="1" t="s">
        <v>1818</v>
      </c>
      <c r="H8747" s="1" t="s">
        <v>7932</v>
      </c>
      <c r="I8747" s="1" t="s">
        <v>125</v>
      </c>
      <c r="J8747" s="1" t="s">
        <v>67</v>
      </c>
      <c r="K8747" s="1" t="s">
        <v>14</v>
      </c>
      <c r="M8747" s="2">
        <v>42283</v>
      </c>
      <c r="N8747" s="1" t="s">
        <v>8</v>
      </c>
      <c r="O8747" s="1" t="s">
        <v>68</v>
      </c>
    </row>
    <row r="8748" spans="1:15" ht="43.2" x14ac:dyDescent="0.3">
      <c r="A8748" s="1" t="s">
        <v>7933</v>
      </c>
      <c r="B8748" s="1" t="str">
        <f>"EG Evans and Sons LTD"</f>
        <v>EG Evans and Sons LTD</v>
      </c>
      <c r="C8748" s="1" t="s">
        <v>7934</v>
      </c>
      <c r="F8748" s="1" t="s">
        <v>428</v>
      </c>
      <c r="H8748" s="1" t="s">
        <v>7935</v>
      </c>
      <c r="I8748" s="1" t="s">
        <v>19</v>
      </c>
      <c r="J8748" s="1" t="s">
        <v>67</v>
      </c>
      <c r="K8748" s="1" t="s">
        <v>14</v>
      </c>
      <c r="M8748" s="2">
        <v>42283</v>
      </c>
      <c r="N8748" s="1" t="s">
        <v>8</v>
      </c>
      <c r="O8748" s="1" t="s">
        <v>68</v>
      </c>
    </row>
    <row r="8749" spans="1:15" ht="43.2" x14ac:dyDescent="0.3">
      <c r="A8749" s="1" t="s">
        <v>21909</v>
      </c>
      <c r="B8749" s="1" t="str">
        <f>"Darryl Elliott"</f>
        <v>Darryl Elliott</v>
      </c>
      <c r="C8749" s="1" t="s">
        <v>21910</v>
      </c>
      <c r="F8749" s="1" t="s">
        <v>27</v>
      </c>
      <c r="H8749" s="1" t="s">
        <v>21911</v>
      </c>
      <c r="I8749" s="1" t="s">
        <v>5</v>
      </c>
      <c r="J8749" s="1" t="s">
        <v>67</v>
      </c>
      <c r="K8749" s="1" t="s">
        <v>14</v>
      </c>
      <c r="M8749" s="2">
        <v>42283</v>
      </c>
      <c r="N8749" s="1" t="s">
        <v>8</v>
      </c>
      <c r="O8749" s="1" t="s">
        <v>68</v>
      </c>
    </row>
    <row r="8750" spans="1:15" ht="43.2" x14ac:dyDescent="0.3">
      <c r="A8750" s="1" t="s">
        <v>21912</v>
      </c>
      <c r="B8750" s="1" t="str">
        <f>"Dave Cornish"</f>
        <v>Dave Cornish</v>
      </c>
      <c r="C8750" s="1" t="s">
        <v>21913</v>
      </c>
      <c r="D8750" s="1" t="s">
        <v>3465</v>
      </c>
      <c r="F8750" s="1" t="s">
        <v>21914</v>
      </c>
      <c r="H8750" s="1" t="s">
        <v>8911</v>
      </c>
      <c r="I8750" s="1" t="s">
        <v>5</v>
      </c>
      <c r="J8750" s="1" t="s">
        <v>67</v>
      </c>
      <c r="K8750" s="1" t="s">
        <v>14</v>
      </c>
      <c r="M8750" s="2">
        <v>42283</v>
      </c>
      <c r="N8750" s="1" t="s">
        <v>8</v>
      </c>
      <c r="O8750" s="1" t="s">
        <v>68</v>
      </c>
    </row>
    <row r="8751" spans="1:15" ht="43.2" x14ac:dyDescent="0.3">
      <c r="A8751" s="1" t="s">
        <v>22708</v>
      </c>
      <c r="B8751" s="1" t="str">
        <f>"Mark morris"</f>
        <v>Mark morris</v>
      </c>
      <c r="C8751" s="1" t="s">
        <v>22709</v>
      </c>
      <c r="F8751" s="1" t="s">
        <v>1321</v>
      </c>
      <c r="H8751" s="1" t="s">
        <v>22710</v>
      </c>
      <c r="I8751" s="1" t="s">
        <v>5</v>
      </c>
      <c r="J8751" s="1" t="s">
        <v>67</v>
      </c>
      <c r="K8751" s="1" t="s">
        <v>24</v>
      </c>
      <c r="M8751" s="2">
        <v>42283</v>
      </c>
      <c r="N8751" s="1" t="s">
        <v>8</v>
      </c>
      <c r="O8751" s="1" t="s">
        <v>68</v>
      </c>
    </row>
    <row r="8752" spans="1:15" ht="28.8" x14ac:dyDescent="0.3">
      <c r="A8752" s="1" t="s">
        <v>2612</v>
      </c>
      <c r="B8752" s="1" t="str">
        <f>"C D Liley Ltd."</f>
        <v>C D Liley Ltd.</v>
      </c>
      <c r="C8752" s="1" t="s">
        <v>2613</v>
      </c>
      <c r="F8752" s="1" t="s">
        <v>873</v>
      </c>
      <c r="H8752" s="1" t="s">
        <v>2614</v>
      </c>
      <c r="I8752" s="1" t="s">
        <v>19</v>
      </c>
      <c r="J8752" s="1" t="s">
        <v>6</v>
      </c>
      <c r="K8752" s="1" t="s">
        <v>34</v>
      </c>
      <c r="L8752" s="1">
        <v>4945332</v>
      </c>
      <c r="M8752" s="2">
        <v>42282</v>
      </c>
      <c r="N8752" s="1" t="s">
        <v>8</v>
      </c>
      <c r="O8752" s="2">
        <v>44474</v>
      </c>
    </row>
    <row r="8753" spans="1:15" ht="43.2" x14ac:dyDescent="0.3">
      <c r="A8753" s="1" t="s">
        <v>6879</v>
      </c>
      <c r="B8753" s="1" t="str">
        <f>"Cambrian Pet Foods Ltd."</f>
        <v>Cambrian Pet Foods Ltd.</v>
      </c>
      <c r="C8753" s="1" t="s">
        <v>6880</v>
      </c>
      <c r="D8753" s="1" t="s">
        <v>344</v>
      </c>
      <c r="F8753" s="1" t="s">
        <v>6881</v>
      </c>
      <c r="H8753" s="1" t="s">
        <v>6882</v>
      </c>
      <c r="I8753" s="1" t="s">
        <v>19</v>
      </c>
      <c r="J8753" s="1" t="s">
        <v>67</v>
      </c>
      <c r="K8753" s="1" t="s">
        <v>34</v>
      </c>
      <c r="L8753" s="1">
        <v>1624292</v>
      </c>
      <c r="M8753" s="2">
        <v>42282</v>
      </c>
      <c r="N8753" s="1" t="s">
        <v>8</v>
      </c>
      <c r="O8753" s="1" t="s">
        <v>68</v>
      </c>
    </row>
    <row r="8754" spans="1:15" ht="43.2" x14ac:dyDescent="0.3">
      <c r="A8754" s="1" t="s">
        <v>6883</v>
      </c>
      <c r="B8754" s="1" t="str">
        <f>"Commercial Vehicle Products Ltd"</f>
        <v>Commercial Vehicle Products Ltd</v>
      </c>
      <c r="C8754" s="1" t="s">
        <v>6884</v>
      </c>
      <c r="D8754" s="1" t="s">
        <v>6885</v>
      </c>
      <c r="F8754" s="1" t="s">
        <v>6886</v>
      </c>
      <c r="H8754" s="1" t="s">
        <v>6887</v>
      </c>
      <c r="I8754" s="1" t="s">
        <v>19</v>
      </c>
      <c r="J8754" s="1" t="s">
        <v>67</v>
      </c>
      <c r="K8754" s="1" t="s">
        <v>14</v>
      </c>
      <c r="M8754" s="2">
        <v>42282</v>
      </c>
      <c r="N8754" s="1" t="s">
        <v>8</v>
      </c>
      <c r="O8754" s="1" t="s">
        <v>68</v>
      </c>
    </row>
    <row r="8755" spans="1:15" ht="43.2" x14ac:dyDescent="0.3">
      <c r="A8755" s="1" t="s">
        <v>7904</v>
      </c>
      <c r="B8755" s="1" t="str">
        <f>"Your Matters Ltd"</f>
        <v>Your Matters Ltd</v>
      </c>
      <c r="C8755" s="1" t="s">
        <v>7905</v>
      </c>
      <c r="D8755" s="1" t="s">
        <v>7906</v>
      </c>
      <c r="F8755" s="1" t="s">
        <v>7907</v>
      </c>
      <c r="H8755" s="1" t="s">
        <v>7908</v>
      </c>
      <c r="I8755" s="1" t="s">
        <v>19</v>
      </c>
      <c r="J8755" s="1" t="s">
        <v>67</v>
      </c>
      <c r="K8755" s="1" t="s">
        <v>14</v>
      </c>
      <c r="M8755" s="2">
        <v>42282</v>
      </c>
      <c r="N8755" s="1" t="s">
        <v>8</v>
      </c>
      <c r="O8755" s="1" t="s">
        <v>68</v>
      </c>
    </row>
    <row r="8756" spans="1:15" ht="43.2" x14ac:dyDescent="0.3">
      <c r="A8756" s="1" t="s">
        <v>7909</v>
      </c>
      <c r="B8756" s="1" t="str">
        <f>"Greenlands Heating Supplies Ltd"</f>
        <v>Greenlands Heating Supplies Ltd</v>
      </c>
      <c r="C8756" s="1" t="s">
        <v>7910</v>
      </c>
      <c r="F8756" s="1" t="s">
        <v>641</v>
      </c>
      <c r="H8756" s="1" t="s">
        <v>7911</v>
      </c>
      <c r="I8756" s="1" t="s">
        <v>19</v>
      </c>
      <c r="J8756" s="1" t="s">
        <v>67</v>
      </c>
      <c r="K8756" s="1" t="s">
        <v>14</v>
      </c>
      <c r="M8756" s="2">
        <v>42282</v>
      </c>
      <c r="N8756" s="1" t="s">
        <v>8</v>
      </c>
      <c r="O8756" s="1" t="s">
        <v>68</v>
      </c>
    </row>
    <row r="8757" spans="1:15" ht="43.2" x14ac:dyDescent="0.3">
      <c r="A8757" s="1" t="s">
        <v>7912</v>
      </c>
      <c r="B8757" s="1" t="str">
        <f>"BPE EUROPE CONVEYOR SOLUTIONS LTD"</f>
        <v>BPE EUROPE CONVEYOR SOLUTIONS LTD</v>
      </c>
      <c r="C8757" s="1" t="s">
        <v>7913</v>
      </c>
      <c r="F8757" s="1" t="s">
        <v>5042</v>
      </c>
      <c r="H8757" s="1" t="s">
        <v>7914</v>
      </c>
      <c r="I8757" s="1" t="s">
        <v>19</v>
      </c>
      <c r="J8757" s="1" t="s">
        <v>67</v>
      </c>
      <c r="K8757" s="1" t="s">
        <v>14</v>
      </c>
      <c r="M8757" s="2">
        <v>42282</v>
      </c>
      <c r="N8757" s="1" t="s">
        <v>8</v>
      </c>
      <c r="O8757" s="1" t="s">
        <v>68</v>
      </c>
    </row>
    <row r="8758" spans="1:15" ht="43.2" x14ac:dyDescent="0.3">
      <c r="A8758" s="1" t="s">
        <v>7915</v>
      </c>
      <c r="B8758" s="1" t="str">
        <f>"ME Poston Motors"</f>
        <v>ME Poston Motors</v>
      </c>
      <c r="C8758" s="1" t="s">
        <v>7916</v>
      </c>
      <c r="F8758" s="1" t="s">
        <v>1366</v>
      </c>
      <c r="H8758" s="1" t="s">
        <v>7917</v>
      </c>
      <c r="I8758" s="1" t="s">
        <v>125</v>
      </c>
      <c r="J8758" s="1" t="s">
        <v>67</v>
      </c>
      <c r="K8758" s="1" t="s">
        <v>14</v>
      </c>
      <c r="M8758" s="2">
        <v>42282</v>
      </c>
      <c r="N8758" s="1" t="s">
        <v>8</v>
      </c>
      <c r="O8758" s="1" t="s">
        <v>68</v>
      </c>
    </row>
    <row r="8759" spans="1:15" ht="43.2" x14ac:dyDescent="0.3">
      <c r="A8759" s="1" t="s">
        <v>7918</v>
      </c>
      <c r="B8759" s="1" t="str">
        <f>"D M Jones Electrical Contractors"</f>
        <v>D M Jones Electrical Contractors</v>
      </c>
      <c r="C8759" s="1" t="s">
        <v>7919</v>
      </c>
      <c r="F8759" s="1" t="s">
        <v>37</v>
      </c>
      <c r="H8759" s="1" t="s">
        <v>7920</v>
      </c>
      <c r="I8759" s="1" t="s">
        <v>125</v>
      </c>
      <c r="J8759" s="1" t="s">
        <v>67</v>
      </c>
      <c r="K8759" s="1" t="s">
        <v>24</v>
      </c>
      <c r="M8759" s="2">
        <v>42282</v>
      </c>
      <c r="N8759" s="1" t="s">
        <v>8</v>
      </c>
      <c r="O8759" s="1" t="s">
        <v>68</v>
      </c>
    </row>
    <row r="8760" spans="1:15" ht="43.2" x14ac:dyDescent="0.3">
      <c r="A8760" s="1" t="s">
        <v>7921</v>
      </c>
      <c r="B8760" s="1" t="str">
        <f>"Satellite and Digital Services Ltd"</f>
        <v>Satellite and Digital Services Ltd</v>
      </c>
      <c r="C8760" s="1" t="s">
        <v>7922</v>
      </c>
      <c r="D8760" s="1" t="s">
        <v>7923</v>
      </c>
      <c r="F8760" s="1" t="s">
        <v>7924</v>
      </c>
      <c r="H8760" s="1" t="s">
        <v>7925</v>
      </c>
      <c r="I8760" s="1" t="s">
        <v>19</v>
      </c>
      <c r="J8760" s="1" t="s">
        <v>67</v>
      </c>
      <c r="K8760" s="1" t="s">
        <v>14</v>
      </c>
      <c r="M8760" s="2">
        <v>42282</v>
      </c>
      <c r="N8760" s="1" t="s">
        <v>8</v>
      </c>
      <c r="O8760" s="1" t="s">
        <v>68</v>
      </c>
    </row>
    <row r="8761" spans="1:15" ht="43.2" x14ac:dyDescent="0.3">
      <c r="A8761" s="1" t="s">
        <v>7926</v>
      </c>
      <c r="B8761" s="1" t="str">
        <f>"Smart removals ltd"</f>
        <v>Smart removals ltd</v>
      </c>
      <c r="C8761" s="1" t="s">
        <v>7927</v>
      </c>
      <c r="F8761" s="1" t="s">
        <v>7928</v>
      </c>
      <c r="H8761" s="1" t="s">
        <v>7929</v>
      </c>
      <c r="I8761" s="1" t="s">
        <v>19</v>
      </c>
      <c r="J8761" s="1" t="s">
        <v>67</v>
      </c>
      <c r="K8761" s="1" t="s">
        <v>14</v>
      </c>
      <c r="M8761" s="2">
        <v>42282</v>
      </c>
      <c r="N8761" s="1" t="s">
        <v>8</v>
      </c>
      <c r="O8761" s="1" t="s">
        <v>68</v>
      </c>
    </row>
    <row r="8762" spans="1:15" ht="43.2" x14ac:dyDescent="0.3">
      <c r="A8762" s="1" t="s">
        <v>21903</v>
      </c>
      <c r="B8762" s="1" t="str">
        <f>"michael finch"</f>
        <v>michael finch</v>
      </c>
      <c r="C8762" s="1" t="s">
        <v>21904</v>
      </c>
      <c r="F8762" s="1" t="s">
        <v>1260</v>
      </c>
      <c r="H8762" s="1" t="s">
        <v>21905</v>
      </c>
      <c r="I8762" s="1" t="s">
        <v>5</v>
      </c>
      <c r="J8762" s="1" t="s">
        <v>67</v>
      </c>
      <c r="K8762" s="1" t="s">
        <v>14</v>
      </c>
      <c r="M8762" s="2">
        <v>42282</v>
      </c>
      <c r="N8762" s="1" t="s">
        <v>8</v>
      </c>
      <c r="O8762" s="1" t="s">
        <v>68</v>
      </c>
    </row>
    <row r="8763" spans="1:15" ht="43.2" x14ac:dyDescent="0.3">
      <c r="A8763" s="1" t="s">
        <v>21906</v>
      </c>
      <c r="B8763" s="1" t="str">
        <f>"carl worledge "</f>
        <v xml:space="preserve">carl worledge </v>
      </c>
      <c r="C8763" s="1" t="s">
        <v>21907</v>
      </c>
      <c r="F8763" s="1" t="s">
        <v>11706</v>
      </c>
      <c r="H8763" s="1" t="s">
        <v>21908</v>
      </c>
      <c r="I8763" s="1" t="s">
        <v>5</v>
      </c>
      <c r="J8763" s="1" t="s">
        <v>67</v>
      </c>
      <c r="K8763" s="1" t="s">
        <v>14</v>
      </c>
      <c r="M8763" s="2">
        <v>42282</v>
      </c>
      <c r="N8763" s="1" t="s">
        <v>8</v>
      </c>
      <c r="O8763" s="1" t="s">
        <v>68</v>
      </c>
    </row>
    <row r="8764" spans="1:15" ht="28.8" x14ac:dyDescent="0.3">
      <c r="A8764" s="1" t="s">
        <v>30702</v>
      </c>
      <c r="B8764" s="1" t="str">
        <f>"Cambrian Pet Foods Ltd"</f>
        <v>Cambrian Pet Foods Ltd</v>
      </c>
      <c r="C8764" s="1" t="s">
        <v>6880</v>
      </c>
      <c r="D8764" s="1" t="s">
        <v>344</v>
      </c>
      <c r="F8764" s="1" t="s">
        <v>6881</v>
      </c>
      <c r="H8764" s="1" t="s">
        <v>6882</v>
      </c>
      <c r="I8764" s="1" t="s">
        <v>19</v>
      </c>
      <c r="J8764" s="1" t="s">
        <v>6</v>
      </c>
      <c r="K8764" s="1" t="s">
        <v>34</v>
      </c>
      <c r="L8764" s="1">
        <v>1624292</v>
      </c>
      <c r="M8764" s="2">
        <v>42282</v>
      </c>
      <c r="N8764" s="1" t="s">
        <v>8</v>
      </c>
      <c r="O8764" s="2">
        <v>44474</v>
      </c>
    </row>
    <row r="8765" spans="1:15" ht="28.8" x14ac:dyDescent="0.3">
      <c r="A8765" s="1" t="s">
        <v>30876</v>
      </c>
      <c r="B8765" s="1" t="str">
        <f>"Pritchard Services 2011 Limited"</f>
        <v>Pritchard Services 2011 Limited</v>
      </c>
      <c r="C8765" s="1" t="s">
        <v>30877</v>
      </c>
      <c r="D8765" s="1" t="s">
        <v>379</v>
      </c>
      <c r="F8765" s="1" t="s">
        <v>380</v>
      </c>
      <c r="H8765" s="1" t="s">
        <v>382</v>
      </c>
      <c r="I8765" s="1" t="s">
        <v>19</v>
      </c>
      <c r="J8765" s="1" t="s">
        <v>6</v>
      </c>
      <c r="K8765" s="1" t="s">
        <v>24</v>
      </c>
      <c r="L8765" s="1">
        <v>7826435</v>
      </c>
      <c r="M8765" s="2">
        <v>42282</v>
      </c>
      <c r="N8765" s="1" t="s">
        <v>8</v>
      </c>
      <c r="O8765" s="2">
        <v>44474</v>
      </c>
    </row>
    <row r="8766" spans="1:15" ht="28.8" x14ac:dyDescent="0.3">
      <c r="A8766" s="1" t="s">
        <v>31924</v>
      </c>
      <c r="B8766" s="1" t="str">
        <f>"D White Glass &amp; Plastics"</f>
        <v>D White Glass &amp; Plastics</v>
      </c>
      <c r="C8766" s="1" t="s">
        <v>31925</v>
      </c>
      <c r="F8766" s="1" t="s">
        <v>359</v>
      </c>
      <c r="G8766" s="1" t="s">
        <v>359</v>
      </c>
      <c r="H8766" s="1" t="s">
        <v>31926</v>
      </c>
      <c r="I8766" s="1" t="s">
        <v>125</v>
      </c>
      <c r="J8766" s="1" t="s">
        <v>6</v>
      </c>
      <c r="K8766" s="1" t="s">
        <v>24</v>
      </c>
      <c r="M8766" s="2">
        <v>42282</v>
      </c>
      <c r="N8766" s="1" t="s">
        <v>8</v>
      </c>
      <c r="O8766" s="2">
        <v>44473</v>
      </c>
    </row>
    <row r="8767" spans="1:15" ht="43.2" x14ac:dyDescent="0.3">
      <c r="A8767" s="1" t="s">
        <v>21138</v>
      </c>
      <c r="B8767" s="1" t="str">
        <f>"David Booton"</f>
        <v>David Booton</v>
      </c>
      <c r="C8767" s="1" t="s">
        <v>21139</v>
      </c>
      <c r="F8767" s="1" t="s">
        <v>714</v>
      </c>
      <c r="H8767" s="1" t="s">
        <v>16687</v>
      </c>
      <c r="I8767" s="1" t="s">
        <v>5</v>
      </c>
      <c r="J8767" s="1" t="s">
        <v>67</v>
      </c>
      <c r="K8767" s="1" t="s">
        <v>14</v>
      </c>
      <c r="M8767" s="2">
        <v>42281</v>
      </c>
      <c r="N8767" s="1" t="s">
        <v>8</v>
      </c>
      <c r="O8767" s="1" t="s">
        <v>68</v>
      </c>
    </row>
    <row r="8768" spans="1:15" ht="43.2" x14ac:dyDescent="0.3">
      <c r="A8768" s="1" t="s">
        <v>21140</v>
      </c>
      <c r="B8768" s="1" t="str">
        <f>"anthony taylor"</f>
        <v>anthony taylor</v>
      </c>
      <c r="C8768" s="1" t="s">
        <v>21141</v>
      </c>
      <c r="F8768" s="1" t="s">
        <v>37</v>
      </c>
      <c r="H8768" s="1" t="s">
        <v>21142</v>
      </c>
      <c r="I8768" s="1" t="s">
        <v>5</v>
      </c>
      <c r="J8768" s="1" t="s">
        <v>67</v>
      </c>
      <c r="K8768" s="1" t="s">
        <v>14</v>
      </c>
      <c r="M8768" s="2">
        <v>42281</v>
      </c>
      <c r="N8768" s="1" t="s">
        <v>8</v>
      </c>
      <c r="O8768" s="1" t="s">
        <v>68</v>
      </c>
    </row>
    <row r="8769" spans="1:15" ht="43.2" x14ac:dyDescent="0.3">
      <c r="A8769" s="1" t="s">
        <v>6876</v>
      </c>
      <c r="B8769" s="1" t="str">
        <f>"The arches ltd"</f>
        <v>The arches ltd</v>
      </c>
      <c r="C8769" s="1" t="s">
        <v>6877</v>
      </c>
      <c r="F8769" s="1" t="s">
        <v>714</v>
      </c>
      <c r="H8769" s="1" t="s">
        <v>6878</v>
      </c>
      <c r="I8769" s="1" t="s">
        <v>19</v>
      </c>
      <c r="J8769" s="1" t="s">
        <v>67</v>
      </c>
      <c r="K8769" s="1" t="s">
        <v>14</v>
      </c>
      <c r="M8769" s="2">
        <v>42280</v>
      </c>
      <c r="N8769" s="1" t="s">
        <v>8</v>
      </c>
      <c r="O8769" s="1" t="s">
        <v>68</v>
      </c>
    </row>
    <row r="8770" spans="1:15" ht="28.8" x14ac:dyDescent="0.3">
      <c r="A8770" s="1" t="s">
        <v>2594</v>
      </c>
      <c r="B8770" s="1" t="str">
        <f>"Marlin Industries (Wrexham) Ltd."</f>
        <v>Marlin Industries (Wrexham) Ltd.</v>
      </c>
      <c r="C8770" s="1" t="s">
        <v>2595</v>
      </c>
      <c r="D8770" s="1" t="s">
        <v>2596</v>
      </c>
      <c r="F8770" s="1" t="s">
        <v>198</v>
      </c>
      <c r="H8770" s="1" t="s">
        <v>2597</v>
      </c>
      <c r="I8770" s="1" t="s">
        <v>19</v>
      </c>
      <c r="J8770" s="1" t="s">
        <v>6</v>
      </c>
      <c r="K8770" s="1" t="s">
        <v>34</v>
      </c>
      <c r="L8770" s="1">
        <v>2831738</v>
      </c>
      <c r="M8770" s="2">
        <v>42279</v>
      </c>
      <c r="N8770" s="1" t="s">
        <v>8</v>
      </c>
      <c r="O8770" s="2">
        <v>44471</v>
      </c>
    </row>
    <row r="8771" spans="1:15" ht="43.2" x14ac:dyDescent="0.3">
      <c r="A8771" s="1" t="s">
        <v>5708</v>
      </c>
      <c r="B8771" s="1" t="str">
        <f>"Snowdonia Fire Protection Ltd."</f>
        <v>Snowdonia Fire Protection Ltd.</v>
      </c>
      <c r="C8771" s="1" t="s">
        <v>5709</v>
      </c>
      <c r="F8771" s="1" t="s">
        <v>710</v>
      </c>
      <c r="H8771" s="1" t="s">
        <v>5710</v>
      </c>
      <c r="I8771" s="1" t="s">
        <v>19</v>
      </c>
      <c r="J8771" s="1" t="s">
        <v>67</v>
      </c>
      <c r="K8771" s="1" t="s">
        <v>24</v>
      </c>
      <c r="L8771" s="1">
        <v>4674757</v>
      </c>
      <c r="M8771" s="2">
        <v>42279</v>
      </c>
      <c r="N8771" s="1" t="s">
        <v>8</v>
      </c>
      <c r="O8771" s="1" t="s">
        <v>68</v>
      </c>
    </row>
    <row r="8772" spans="1:15" ht="43.2" x14ac:dyDescent="0.3">
      <c r="A8772" s="1" t="s">
        <v>5711</v>
      </c>
      <c r="B8772" s="1" t="str">
        <f>"Station Road Surgery"</f>
        <v>Station Road Surgery</v>
      </c>
      <c r="C8772" s="1" t="s">
        <v>5712</v>
      </c>
      <c r="F8772" s="1" t="s">
        <v>930</v>
      </c>
      <c r="H8772" s="1" t="s">
        <v>5713</v>
      </c>
      <c r="I8772" s="1" t="s">
        <v>125</v>
      </c>
      <c r="J8772" s="1" t="s">
        <v>67</v>
      </c>
      <c r="K8772" s="1" t="s">
        <v>14</v>
      </c>
      <c r="M8772" s="2">
        <v>42279</v>
      </c>
      <c r="N8772" s="1" t="s">
        <v>8</v>
      </c>
      <c r="O8772" s="1" t="s">
        <v>68</v>
      </c>
    </row>
    <row r="8773" spans="1:15" ht="43.2" x14ac:dyDescent="0.3">
      <c r="A8773" s="1" t="s">
        <v>5714</v>
      </c>
      <c r="B8773" s="1" t="str">
        <f>"DAVID HOLLY MOBILE TYRES LTD"</f>
        <v>DAVID HOLLY MOBILE TYRES LTD</v>
      </c>
      <c r="C8773" s="1" t="s">
        <v>5715</v>
      </c>
      <c r="F8773" s="1" t="s">
        <v>103</v>
      </c>
      <c r="H8773" s="1" t="s">
        <v>5716</v>
      </c>
      <c r="I8773" s="1" t="s">
        <v>19</v>
      </c>
      <c r="J8773" s="1" t="s">
        <v>67</v>
      </c>
      <c r="K8773" s="1" t="s">
        <v>24</v>
      </c>
      <c r="L8773" s="1">
        <v>6669149</v>
      </c>
      <c r="M8773" s="2">
        <v>42279</v>
      </c>
      <c r="N8773" s="1" t="s">
        <v>8</v>
      </c>
      <c r="O8773" s="1" t="s">
        <v>68</v>
      </c>
    </row>
    <row r="8774" spans="1:15" ht="28.8" x14ac:dyDescent="0.3">
      <c r="A8774" s="1" t="s">
        <v>31861</v>
      </c>
      <c r="B8774" s="1" t="str">
        <f>"Gareth Davies Gareth Davies Transport"</f>
        <v>Gareth Davies Gareth Davies Transport</v>
      </c>
      <c r="C8774" s="1" t="s">
        <v>31862</v>
      </c>
      <c r="D8774" s="1" t="s">
        <v>31863</v>
      </c>
      <c r="F8774" s="1" t="s">
        <v>532</v>
      </c>
      <c r="G8774" s="1" t="s">
        <v>198</v>
      </c>
      <c r="H8774" s="1" t="s">
        <v>31864</v>
      </c>
      <c r="I8774" s="1" t="s">
        <v>5</v>
      </c>
      <c r="J8774" s="1" t="s">
        <v>6</v>
      </c>
      <c r="K8774" s="1" t="s">
        <v>24</v>
      </c>
      <c r="M8774" s="2">
        <v>42279</v>
      </c>
      <c r="N8774" s="1" t="s">
        <v>8</v>
      </c>
      <c r="O8774" s="2">
        <v>44471</v>
      </c>
    </row>
    <row r="8775" spans="1:15" ht="28.8" x14ac:dyDescent="0.3">
      <c r="A8775" s="1" t="s">
        <v>2557</v>
      </c>
      <c r="B8775" s="1" t="str">
        <f>"Thomas Lewis IAN LEWIS SERVICES"</f>
        <v>Thomas Lewis IAN LEWIS SERVICES</v>
      </c>
      <c r="C8775" s="1" t="s">
        <v>2558</v>
      </c>
      <c r="F8775" s="1" t="s">
        <v>665</v>
      </c>
      <c r="G8775" s="1" t="s">
        <v>51</v>
      </c>
      <c r="H8775" s="1" t="s">
        <v>2559</v>
      </c>
      <c r="I8775" s="1" t="s">
        <v>5</v>
      </c>
      <c r="J8775" s="1" t="s">
        <v>6</v>
      </c>
      <c r="K8775" s="1" t="s">
        <v>24</v>
      </c>
      <c r="M8775" s="2">
        <v>42278</v>
      </c>
      <c r="N8775" s="1" t="s">
        <v>8</v>
      </c>
      <c r="O8775" s="2">
        <v>44469</v>
      </c>
    </row>
    <row r="8776" spans="1:15" ht="28.8" x14ac:dyDescent="0.3">
      <c r="A8776" s="1" t="s">
        <v>2680</v>
      </c>
      <c r="B8776" s="1" t="str">
        <f>"Adrian Burgess Seiont Construction 2000"</f>
        <v>Adrian Burgess Seiont Construction 2000</v>
      </c>
      <c r="C8776" s="1" t="s">
        <v>2681</v>
      </c>
      <c r="F8776" s="1" t="s">
        <v>710</v>
      </c>
      <c r="H8776" s="1" t="s">
        <v>2682</v>
      </c>
      <c r="I8776" s="1" t="s">
        <v>5</v>
      </c>
      <c r="J8776" s="1" t="s">
        <v>6</v>
      </c>
      <c r="K8776" s="1" t="s">
        <v>24</v>
      </c>
      <c r="M8776" s="2">
        <v>42278</v>
      </c>
      <c r="N8776" s="1" t="s">
        <v>8</v>
      </c>
      <c r="O8776" s="2">
        <v>44470</v>
      </c>
    </row>
    <row r="8777" spans="1:15" ht="43.2" x14ac:dyDescent="0.3">
      <c r="A8777" s="1" t="s">
        <v>5704</v>
      </c>
      <c r="B8777" s="1" t="str">
        <f>"Essentra Packaging and Security"</f>
        <v>Essentra Packaging and Security</v>
      </c>
      <c r="C8777" s="1" t="s">
        <v>5705</v>
      </c>
      <c r="D8777" s="1" t="s">
        <v>5706</v>
      </c>
      <c r="F8777" s="1" t="s">
        <v>91</v>
      </c>
      <c r="H8777" s="1" t="s">
        <v>5707</v>
      </c>
      <c r="I8777" s="1" t="s">
        <v>19</v>
      </c>
      <c r="J8777" s="1" t="s">
        <v>67</v>
      </c>
      <c r="K8777" s="1" t="s">
        <v>14</v>
      </c>
      <c r="M8777" s="2">
        <v>42278</v>
      </c>
      <c r="N8777" s="1" t="s">
        <v>8</v>
      </c>
      <c r="O8777" s="1" t="s">
        <v>68</v>
      </c>
    </row>
    <row r="8778" spans="1:15" ht="43.2" x14ac:dyDescent="0.3">
      <c r="A8778" s="1" t="s">
        <v>19579</v>
      </c>
      <c r="B8778" s="1" t="str">
        <f>"Carl Colella Carl colella"</f>
        <v>Carl Colella Carl colella</v>
      </c>
      <c r="C8778" s="1" t="s">
        <v>19580</v>
      </c>
      <c r="F8778" s="1" t="s">
        <v>438</v>
      </c>
      <c r="H8778" s="1" t="s">
        <v>19581</v>
      </c>
      <c r="I8778" s="1" t="s">
        <v>5</v>
      </c>
      <c r="J8778" s="1" t="s">
        <v>67</v>
      </c>
      <c r="K8778" s="1" t="s">
        <v>24</v>
      </c>
      <c r="M8778" s="2">
        <v>42278</v>
      </c>
      <c r="N8778" s="1" t="s">
        <v>8</v>
      </c>
      <c r="O8778" s="1" t="s">
        <v>68</v>
      </c>
    </row>
    <row r="8779" spans="1:15" ht="43.2" x14ac:dyDescent="0.3">
      <c r="A8779" s="1" t="s">
        <v>19582</v>
      </c>
      <c r="B8779" s="1" t="str">
        <f>"Manuela Frosch"</f>
        <v>Manuela Frosch</v>
      </c>
      <c r="C8779" s="1" t="s">
        <v>19583</v>
      </c>
      <c r="F8779" s="1" t="s">
        <v>2200</v>
      </c>
      <c r="H8779" s="1" t="s">
        <v>19584</v>
      </c>
      <c r="I8779" s="1" t="s">
        <v>5</v>
      </c>
      <c r="J8779" s="1" t="s">
        <v>67</v>
      </c>
      <c r="K8779" s="1" t="s">
        <v>14</v>
      </c>
      <c r="M8779" s="2">
        <v>42278</v>
      </c>
      <c r="N8779" s="1" t="s">
        <v>8</v>
      </c>
      <c r="O8779" s="1" t="s">
        <v>68</v>
      </c>
    </row>
    <row r="8780" spans="1:15" ht="28.8" x14ac:dyDescent="0.3">
      <c r="A8780" s="1" t="s">
        <v>2565</v>
      </c>
      <c r="B8780" s="1" t="str">
        <f>"Ammanford Self Storage"</f>
        <v>Ammanford Self Storage</v>
      </c>
      <c r="F8780" s="1" t="s">
        <v>12</v>
      </c>
      <c r="H8780" s="1" t="s">
        <v>2338</v>
      </c>
      <c r="I8780" s="1" t="s">
        <v>19</v>
      </c>
      <c r="J8780" s="1" t="s">
        <v>6</v>
      </c>
      <c r="K8780" s="1" t="s">
        <v>24</v>
      </c>
      <c r="L8780" s="1">
        <v>7365733</v>
      </c>
      <c r="M8780" s="2">
        <v>42277</v>
      </c>
      <c r="N8780" s="1" t="s">
        <v>8</v>
      </c>
      <c r="O8780" s="2">
        <v>44468</v>
      </c>
    </row>
    <row r="8781" spans="1:15" ht="28.8" x14ac:dyDescent="0.3">
      <c r="A8781" s="1" t="s">
        <v>2615</v>
      </c>
      <c r="B8781" s="1" t="str">
        <f>"BRT INTERNATIONAL LIMITED"</f>
        <v>BRT INTERNATIONAL LIMITED</v>
      </c>
      <c r="C8781" s="1" t="s">
        <v>2616</v>
      </c>
      <c r="F8781" s="1" t="s">
        <v>123</v>
      </c>
      <c r="H8781" s="1" t="s">
        <v>2617</v>
      </c>
      <c r="I8781" s="1" t="s">
        <v>19</v>
      </c>
      <c r="J8781" s="1" t="s">
        <v>6</v>
      </c>
      <c r="K8781" s="1" t="s">
        <v>24</v>
      </c>
      <c r="L8781" s="1">
        <v>6963149</v>
      </c>
      <c r="M8781" s="2">
        <v>42277</v>
      </c>
      <c r="N8781" s="1" t="s">
        <v>8</v>
      </c>
      <c r="O8781" s="2">
        <v>44469</v>
      </c>
    </row>
    <row r="8782" spans="1:15" ht="43.2" x14ac:dyDescent="0.3">
      <c r="A8782" s="1" t="s">
        <v>4544</v>
      </c>
      <c r="B8782" s="1" t="str">
        <f>"Lilo's"</f>
        <v>Lilo's</v>
      </c>
      <c r="C8782" s="1" t="s">
        <v>4545</v>
      </c>
      <c r="F8782" s="1" t="s">
        <v>865</v>
      </c>
      <c r="H8782" s="1" t="s">
        <v>4546</v>
      </c>
      <c r="I8782" s="1" t="s">
        <v>125</v>
      </c>
      <c r="J8782" s="1" t="s">
        <v>67</v>
      </c>
      <c r="K8782" s="1" t="s">
        <v>14</v>
      </c>
      <c r="M8782" s="2">
        <v>42277</v>
      </c>
      <c r="N8782" s="1" t="s">
        <v>8</v>
      </c>
      <c r="O8782" s="1" t="s">
        <v>68</v>
      </c>
    </row>
    <row r="8783" spans="1:15" ht="43.2" x14ac:dyDescent="0.3">
      <c r="A8783" s="1" t="s">
        <v>18711</v>
      </c>
      <c r="B8783" s="1" t="str">
        <f>"Basil Potterton"</f>
        <v>Basil Potterton</v>
      </c>
      <c r="C8783" s="1" t="s">
        <v>18712</v>
      </c>
      <c r="D8783" s="1" t="s">
        <v>18713</v>
      </c>
      <c r="F8783" s="1" t="s">
        <v>5354</v>
      </c>
      <c r="H8783" s="1" t="s">
        <v>18714</v>
      </c>
      <c r="I8783" s="1" t="s">
        <v>5</v>
      </c>
      <c r="J8783" s="1" t="s">
        <v>67</v>
      </c>
      <c r="K8783" s="1" t="s">
        <v>14</v>
      </c>
      <c r="M8783" s="2">
        <v>42277</v>
      </c>
      <c r="N8783" s="1" t="s">
        <v>8</v>
      </c>
      <c r="O8783" s="1" t="s">
        <v>68</v>
      </c>
    </row>
    <row r="8784" spans="1:15" ht="43.2" x14ac:dyDescent="0.3">
      <c r="A8784" s="1" t="s">
        <v>19573</v>
      </c>
      <c r="B8784" s="1" t="str">
        <f>"Anthony Danaher"</f>
        <v>Anthony Danaher</v>
      </c>
      <c r="C8784" s="1" t="s">
        <v>19574</v>
      </c>
      <c r="F8784" s="1" t="s">
        <v>27</v>
      </c>
      <c r="H8784" s="1" t="s">
        <v>19575</v>
      </c>
      <c r="I8784" s="1" t="s">
        <v>5</v>
      </c>
      <c r="J8784" s="1" t="s">
        <v>67</v>
      </c>
      <c r="K8784" s="1" t="s">
        <v>24</v>
      </c>
      <c r="M8784" s="2">
        <v>42277</v>
      </c>
      <c r="N8784" s="1" t="s">
        <v>8</v>
      </c>
      <c r="O8784" s="1" t="s">
        <v>68</v>
      </c>
    </row>
    <row r="8785" spans="1:15" ht="43.2" x14ac:dyDescent="0.3">
      <c r="A8785" s="1" t="s">
        <v>19576</v>
      </c>
      <c r="B8785" s="1" t="str">
        <f>"andrew williams"</f>
        <v>andrew williams</v>
      </c>
      <c r="C8785" s="1" t="s">
        <v>19577</v>
      </c>
      <c r="F8785" s="1" t="s">
        <v>65</v>
      </c>
      <c r="H8785" s="1" t="s">
        <v>19578</v>
      </c>
      <c r="I8785" s="1" t="s">
        <v>5</v>
      </c>
      <c r="J8785" s="1" t="s">
        <v>67</v>
      </c>
      <c r="K8785" s="1" t="s">
        <v>14</v>
      </c>
      <c r="M8785" s="2">
        <v>42277</v>
      </c>
      <c r="N8785" s="1" t="s">
        <v>8</v>
      </c>
      <c r="O8785" s="1" t="s">
        <v>68</v>
      </c>
    </row>
    <row r="8786" spans="1:15" ht="28.8" x14ac:dyDescent="0.3">
      <c r="A8786" s="1" t="s">
        <v>31802</v>
      </c>
      <c r="B8786" s="1" t="str">
        <f>"H.Bedford &amp; Sons"</f>
        <v>H.Bedford &amp; Sons</v>
      </c>
      <c r="C8786" s="1" t="s">
        <v>31803</v>
      </c>
      <c r="F8786" s="1" t="s">
        <v>1108</v>
      </c>
      <c r="G8786" s="1" t="s">
        <v>679</v>
      </c>
      <c r="H8786" s="1" t="s">
        <v>31804</v>
      </c>
      <c r="I8786" s="1" t="s">
        <v>125</v>
      </c>
      <c r="J8786" s="1" t="s">
        <v>6</v>
      </c>
      <c r="K8786" s="1" t="s">
        <v>34</v>
      </c>
      <c r="M8786" s="2">
        <v>42277</v>
      </c>
      <c r="N8786" s="1" t="s">
        <v>8</v>
      </c>
      <c r="O8786" s="2">
        <v>44469</v>
      </c>
    </row>
    <row r="8787" spans="1:15" x14ac:dyDescent="0.3">
      <c r="A8787" s="1" t="s">
        <v>32730</v>
      </c>
      <c r="B8787" s="1" t="str">
        <f>"R P Jones Groundworks"</f>
        <v>R P Jones Groundworks</v>
      </c>
      <c r="C8787" s="1" t="s">
        <v>32731</v>
      </c>
      <c r="D8787" s="1" t="s">
        <v>344</v>
      </c>
      <c r="E8787" s="1" t="s">
        <v>821</v>
      </c>
      <c r="F8787" s="1" t="s">
        <v>370</v>
      </c>
      <c r="G8787" s="1" t="s">
        <v>3</v>
      </c>
      <c r="H8787" s="1" t="s">
        <v>16142</v>
      </c>
      <c r="I8787" s="1" t="s">
        <v>125</v>
      </c>
      <c r="J8787" s="1" t="s">
        <v>6</v>
      </c>
      <c r="K8787" s="1" t="s">
        <v>24</v>
      </c>
      <c r="M8787" s="2">
        <v>42277</v>
      </c>
      <c r="N8787" s="1" t="s">
        <v>8</v>
      </c>
      <c r="O8787" s="2">
        <v>44469</v>
      </c>
    </row>
    <row r="8788" spans="1:15" ht="28.8" x14ac:dyDescent="0.3">
      <c r="A8788" s="1" t="s">
        <v>32904</v>
      </c>
      <c r="B8788" s="1" t="str">
        <f>"Afan Electrical Ltd."</f>
        <v>Afan Electrical Ltd.</v>
      </c>
      <c r="C8788" s="1" t="s">
        <v>32905</v>
      </c>
      <c r="D8788" s="1" t="s">
        <v>878</v>
      </c>
      <c r="F8788" s="1" t="s">
        <v>37</v>
      </c>
      <c r="H8788" s="1" t="s">
        <v>879</v>
      </c>
      <c r="I8788" s="1" t="s">
        <v>19</v>
      </c>
      <c r="J8788" s="1" t="s">
        <v>6</v>
      </c>
      <c r="K8788" s="1" t="s">
        <v>24</v>
      </c>
      <c r="L8788" s="1">
        <v>4596255</v>
      </c>
      <c r="M8788" s="2">
        <v>42277</v>
      </c>
      <c r="N8788" s="1" t="s">
        <v>8</v>
      </c>
      <c r="O8788" s="2">
        <v>44469</v>
      </c>
    </row>
    <row r="8789" spans="1:15" ht="28.8" x14ac:dyDescent="0.3">
      <c r="A8789" s="1" t="s">
        <v>2335</v>
      </c>
      <c r="B8789" s="1" t="str">
        <f>"INDEPENDENCE UK LTD"</f>
        <v>INDEPENDENCE UK LTD</v>
      </c>
      <c r="C8789" s="1" t="s">
        <v>2336</v>
      </c>
      <c r="D8789" s="1" t="s">
        <v>2337</v>
      </c>
      <c r="F8789" s="1" t="s">
        <v>665</v>
      </c>
      <c r="G8789" s="1" t="s">
        <v>51</v>
      </c>
      <c r="H8789" s="1" t="s">
        <v>2338</v>
      </c>
      <c r="I8789" s="1" t="s">
        <v>19</v>
      </c>
      <c r="J8789" s="1" t="s">
        <v>6</v>
      </c>
      <c r="K8789" s="1" t="s">
        <v>24</v>
      </c>
      <c r="L8789" s="1">
        <v>6475280</v>
      </c>
      <c r="M8789" s="2">
        <v>42276</v>
      </c>
      <c r="N8789" s="1" t="s">
        <v>8</v>
      </c>
      <c r="O8789" s="2">
        <v>44468</v>
      </c>
    </row>
    <row r="8790" spans="1:15" ht="28.8" x14ac:dyDescent="0.3">
      <c r="A8790" s="1" t="s">
        <v>2517</v>
      </c>
      <c r="B8790" s="1" t="str">
        <f>"JMS AGGREGATE SUPPLIES LTD"</f>
        <v>JMS AGGREGATE SUPPLIES LTD</v>
      </c>
      <c r="C8790" s="1" t="s">
        <v>2518</v>
      </c>
      <c r="D8790" s="1" t="s">
        <v>2519</v>
      </c>
      <c r="F8790" s="1" t="s">
        <v>42</v>
      </c>
      <c r="H8790" s="1" t="s">
        <v>2520</v>
      </c>
      <c r="I8790" s="1" t="s">
        <v>19</v>
      </c>
      <c r="J8790" s="1" t="s">
        <v>6</v>
      </c>
      <c r="K8790" s="1" t="s">
        <v>24</v>
      </c>
      <c r="L8790" s="1">
        <v>7835269</v>
      </c>
      <c r="M8790" s="2">
        <v>42276</v>
      </c>
      <c r="N8790" s="1" t="s">
        <v>8</v>
      </c>
      <c r="O8790" s="2">
        <v>44467</v>
      </c>
    </row>
    <row r="8791" spans="1:15" ht="28.8" x14ac:dyDescent="0.3">
      <c r="A8791" s="1" t="s">
        <v>2849</v>
      </c>
      <c r="B8791" s="1" t="str">
        <f>"Jeff Morgan and Sons ltd"</f>
        <v>Jeff Morgan and Sons ltd</v>
      </c>
      <c r="C8791" s="1" t="s">
        <v>2850</v>
      </c>
      <c r="D8791" s="1" t="s">
        <v>2851</v>
      </c>
      <c r="F8791" s="1" t="s">
        <v>2852</v>
      </c>
      <c r="H8791" s="1" t="s">
        <v>2520</v>
      </c>
      <c r="I8791" s="1" t="s">
        <v>19</v>
      </c>
      <c r="J8791" s="1" t="s">
        <v>6</v>
      </c>
      <c r="K8791" s="1" t="s">
        <v>24</v>
      </c>
      <c r="L8791" s="1">
        <v>7835230</v>
      </c>
      <c r="M8791" s="2">
        <v>42276</v>
      </c>
      <c r="N8791" s="1" t="s">
        <v>8</v>
      </c>
      <c r="O8791" s="2">
        <v>44468</v>
      </c>
    </row>
    <row r="8792" spans="1:15" ht="43.2" x14ac:dyDescent="0.3">
      <c r="A8792" s="1" t="s">
        <v>3435</v>
      </c>
      <c r="B8792" s="1" t="str">
        <f>"Premier Jam and Fess Stores"</f>
        <v>Premier Jam and Fess Stores</v>
      </c>
      <c r="C8792" s="1" t="s">
        <v>3436</v>
      </c>
      <c r="D8792" s="1" t="s">
        <v>3437</v>
      </c>
      <c r="F8792" s="1" t="s">
        <v>123</v>
      </c>
      <c r="H8792" s="1" t="s">
        <v>3438</v>
      </c>
      <c r="I8792" s="1" t="s">
        <v>125</v>
      </c>
      <c r="J8792" s="1" t="s">
        <v>67</v>
      </c>
      <c r="K8792" s="1" t="s">
        <v>24</v>
      </c>
      <c r="M8792" s="2">
        <v>42276</v>
      </c>
      <c r="N8792" s="1" t="s">
        <v>8</v>
      </c>
      <c r="O8792" s="1" t="s">
        <v>68</v>
      </c>
    </row>
    <row r="8793" spans="1:15" ht="43.2" x14ac:dyDescent="0.3">
      <c r="A8793" s="1" t="s">
        <v>3439</v>
      </c>
      <c r="B8793" s="1" t="str">
        <f>"Anderson Brecon UK LTD"</f>
        <v>Anderson Brecon UK LTD</v>
      </c>
      <c r="C8793" s="1" t="s">
        <v>3440</v>
      </c>
      <c r="D8793" s="1" t="s">
        <v>1705</v>
      </c>
      <c r="E8793" s="1" t="s">
        <v>3441</v>
      </c>
      <c r="F8793" s="1" t="s">
        <v>3337</v>
      </c>
      <c r="H8793" s="1" t="s">
        <v>3442</v>
      </c>
      <c r="I8793" s="1" t="s">
        <v>19</v>
      </c>
      <c r="J8793" s="1" t="s">
        <v>67</v>
      </c>
      <c r="K8793" s="1" t="s">
        <v>14</v>
      </c>
      <c r="M8793" s="2">
        <v>42276</v>
      </c>
      <c r="N8793" s="1" t="s">
        <v>8</v>
      </c>
      <c r="O8793" s="1" t="s">
        <v>68</v>
      </c>
    </row>
    <row r="8794" spans="1:15" ht="43.2" x14ac:dyDescent="0.3">
      <c r="A8794" s="1" t="s">
        <v>3443</v>
      </c>
      <c r="B8794" s="1" t="str">
        <f>"Tygris Ltd"</f>
        <v>Tygris Ltd</v>
      </c>
      <c r="C8794" s="1" t="s">
        <v>3444</v>
      </c>
      <c r="F8794" s="1" t="s">
        <v>3142</v>
      </c>
      <c r="H8794" s="1" t="s">
        <v>3445</v>
      </c>
      <c r="I8794" s="1" t="s">
        <v>19</v>
      </c>
      <c r="J8794" s="1" t="s">
        <v>67</v>
      </c>
      <c r="K8794" s="1" t="s">
        <v>14</v>
      </c>
      <c r="M8794" s="2">
        <v>42276</v>
      </c>
      <c r="N8794" s="1" t="s">
        <v>8</v>
      </c>
      <c r="O8794" s="1" t="s">
        <v>68</v>
      </c>
    </row>
    <row r="8795" spans="1:15" ht="43.2" x14ac:dyDescent="0.3">
      <c r="A8795" s="1" t="s">
        <v>18142</v>
      </c>
      <c r="B8795" s="1" t="str">
        <f>"Jacks clearances"</f>
        <v>Jacks clearances</v>
      </c>
      <c r="C8795" s="1" t="s">
        <v>18143</v>
      </c>
      <c r="F8795" s="1" t="s">
        <v>65</v>
      </c>
      <c r="H8795" s="1" t="s">
        <v>14436</v>
      </c>
      <c r="I8795" s="1" t="s">
        <v>188</v>
      </c>
      <c r="J8795" s="1" t="s">
        <v>67</v>
      </c>
      <c r="K8795" s="1" t="s">
        <v>24</v>
      </c>
      <c r="M8795" s="2">
        <v>42276</v>
      </c>
      <c r="N8795" s="1" t="s">
        <v>8</v>
      </c>
      <c r="O8795" s="1" t="s">
        <v>68</v>
      </c>
    </row>
    <row r="8796" spans="1:15" ht="43.2" x14ac:dyDescent="0.3">
      <c r="A8796" s="1" t="s">
        <v>18703</v>
      </c>
      <c r="B8796" s="1" t="str">
        <f>"Glenn Lewinton"</f>
        <v>Glenn Lewinton</v>
      </c>
      <c r="C8796" s="1" t="s">
        <v>18704</v>
      </c>
      <c r="F8796" s="1" t="s">
        <v>1818</v>
      </c>
      <c r="H8796" s="1" t="s">
        <v>18705</v>
      </c>
      <c r="I8796" s="1" t="s">
        <v>5</v>
      </c>
      <c r="J8796" s="1" t="s">
        <v>67</v>
      </c>
      <c r="K8796" s="1" t="s">
        <v>14</v>
      </c>
      <c r="M8796" s="2">
        <v>42276</v>
      </c>
      <c r="N8796" s="1" t="s">
        <v>8</v>
      </c>
      <c r="O8796" s="1" t="s">
        <v>68</v>
      </c>
    </row>
    <row r="8797" spans="1:15" ht="43.2" x14ac:dyDescent="0.3">
      <c r="A8797" s="1" t="s">
        <v>18706</v>
      </c>
      <c r="B8797" s="1" t="str">
        <f>"Benjamin Robbins"</f>
        <v>Benjamin Robbins</v>
      </c>
      <c r="C8797" s="1" t="s">
        <v>18707</v>
      </c>
      <c r="F8797" s="1" t="s">
        <v>873</v>
      </c>
      <c r="H8797" s="1" t="s">
        <v>15821</v>
      </c>
      <c r="I8797" s="1" t="s">
        <v>5</v>
      </c>
      <c r="J8797" s="1" t="s">
        <v>67</v>
      </c>
      <c r="K8797" s="1" t="s">
        <v>14</v>
      </c>
      <c r="M8797" s="2">
        <v>42276</v>
      </c>
      <c r="N8797" s="1" t="s">
        <v>8</v>
      </c>
      <c r="O8797" s="1" t="s">
        <v>68</v>
      </c>
    </row>
    <row r="8798" spans="1:15" ht="43.2" x14ac:dyDescent="0.3">
      <c r="A8798" s="1" t="s">
        <v>18708</v>
      </c>
      <c r="B8798" s="1" t="str">
        <f>"Christopher John"</f>
        <v>Christopher John</v>
      </c>
      <c r="C8798" s="1" t="s">
        <v>18709</v>
      </c>
      <c r="F8798" s="1" t="s">
        <v>865</v>
      </c>
      <c r="H8798" s="1" t="s">
        <v>18710</v>
      </c>
      <c r="I8798" s="1" t="s">
        <v>5</v>
      </c>
      <c r="J8798" s="1" t="s">
        <v>67</v>
      </c>
      <c r="K8798" s="1" t="s">
        <v>14</v>
      </c>
      <c r="M8798" s="2">
        <v>42276</v>
      </c>
      <c r="N8798" s="1" t="s">
        <v>8</v>
      </c>
      <c r="O8798" s="1" t="s">
        <v>68</v>
      </c>
    </row>
    <row r="8799" spans="1:15" ht="28.8" x14ac:dyDescent="0.3">
      <c r="A8799" s="1" t="s">
        <v>30745</v>
      </c>
      <c r="B8799" s="1" t="str">
        <f>"Simon Stanton  S.S Carpentry"</f>
        <v>Simon Stanton  S.S Carpentry</v>
      </c>
      <c r="C8799" s="1" t="s">
        <v>30746</v>
      </c>
      <c r="D8799" s="1" t="s">
        <v>95</v>
      </c>
      <c r="F8799" s="1" t="s">
        <v>56</v>
      </c>
      <c r="G8799" s="1" t="s">
        <v>51</v>
      </c>
      <c r="H8799" s="1" t="s">
        <v>30747</v>
      </c>
      <c r="I8799" s="1" t="s">
        <v>5</v>
      </c>
      <c r="J8799" s="1" t="s">
        <v>6</v>
      </c>
      <c r="K8799" s="1" t="s">
        <v>34</v>
      </c>
      <c r="M8799" s="2">
        <v>42276</v>
      </c>
      <c r="N8799" s="1" t="s">
        <v>8</v>
      </c>
      <c r="O8799" s="2">
        <v>44468</v>
      </c>
    </row>
    <row r="8800" spans="1:15" ht="43.2" x14ac:dyDescent="0.3">
      <c r="A8800" s="1" t="s">
        <v>18133</v>
      </c>
      <c r="B8800" s="1" t="str">
        <f>"Consort Equipment Products Ltd"</f>
        <v>Consort Equipment Products Ltd</v>
      </c>
      <c r="C8800" s="1" t="s">
        <v>18134</v>
      </c>
      <c r="F8800" s="1" t="s">
        <v>134</v>
      </c>
      <c r="H8800" s="1" t="s">
        <v>18135</v>
      </c>
      <c r="I8800" s="1" t="s">
        <v>19</v>
      </c>
      <c r="J8800" s="1" t="s">
        <v>67</v>
      </c>
      <c r="K8800" s="1" t="s">
        <v>14</v>
      </c>
      <c r="M8800" s="2">
        <v>42275</v>
      </c>
      <c r="N8800" s="1" t="s">
        <v>8</v>
      </c>
      <c r="O8800" s="1" t="s">
        <v>68</v>
      </c>
    </row>
    <row r="8801" spans="1:15" ht="43.2" x14ac:dyDescent="0.3">
      <c r="A8801" s="1" t="s">
        <v>18136</v>
      </c>
      <c r="B8801" s="1" t="str">
        <f>"DMS Recycling Ltd"</f>
        <v>DMS Recycling Ltd</v>
      </c>
      <c r="C8801" s="1" t="s">
        <v>18137</v>
      </c>
      <c r="F8801" s="1" t="s">
        <v>5645</v>
      </c>
      <c r="H8801" s="1" t="s">
        <v>18138</v>
      </c>
      <c r="I8801" s="1" t="s">
        <v>19</v>
      </c>
      <c r="J8801" s="1" t="s">
        <v>67</v>
      </c>
      <c r="K8801" s="1" t="s">
        <v>14</v>
      </c>
      <c r="M8801" s="2">
        <v>42275</v>
      </c>
      <c r="N8801" s="1" t="s">
        <v>8</v>
      </c>
      <c r="O8801" s="1" t="s">
        <v>68</v>
      </c>
    </row>
    <row r="8802" spans="1:15" ht="43.2" x14ac:dyDescent="0.3">
      <c r="A8802" s="1" t="s">
        <v>18139</v>
      </c>
      <c r="B8802" s="1" t="str">
        <f>"Harries Automation &amp; Control Ltd"</f>
        <v>Harries Automation &amp; Control Ltd</v>
      </c>
      <c r="C8802" s="1" t="s">
        <v>18140</v>
      </c>
      <c r="F8802" s="1" t="s">
        <v>2852</v>
      </c>
      <c r="H8802" s="1" t="s">
        <v>18141</v>
      </c>
      <c r="I8802" s="1" t="s">
        <v>19</v>
      </c>
      <c r="J8802" s="1" t="s">
        <v>67</v>
      </c>
      <c r="K8802" s="1" t="s">
        <v>14</v>
      </c>
      <c r="M8802" s="2">
        <v>42275</v>
      </c>
      <c r="N8802" s="1" t="s">
        <v>8</v>
      </c>
      <c r="O8802" s="1" t="s">
        <v>68</v>
      </c>
    </row>
    <row r="8803" spans="1:15" x14ac:dyDescent="0.3">
      <c r="A8803" s="1" t="s">
        <v>32759</v>
      </c>
      <c r="B8803" s="1" t="str">
        <f>"Andrew Hicks"</f>
        <v>Andrew Hicks</v>
      </c>
      <c r="C8803" s="1" t="s">
        <v>32760</v>
      </c>
      <c r="D8803" s="1" t="s">
        <v>312</v>
      </c>
      <c r="F8803" s="1" t="s">
        <v>179</v>
      </c>
      <c r="G8803" s="1" t="s">
        <v>180</v>
      </c>
      <c r="H8803" s="1" t="s">
        <v>32761</v>
      </c>
      <c r="I8803" s="1" t="s">
        <v>5</v>
      </c>
      <c r="J8803" s="1" t="s">
        <v>6</v>
      </c>
      <c r="K8803" s="1" t="s">
        <v>24</v>
      </c>
      <c r="M8803" s="2">
        <v>42275</v>
      </c>
      <c r="N8803" s="1" t="s">
        <v>8</v>
      </c>
      <c r="O8803" s="2">
        <v>44467</v>
      </c>
    </row>
    <row r="8804" spans="1:15" ht="28.8" x14ac:dyDescent="0.3">
      <c r="A8804" s="1" t="s">
        <v>32891</v>
      </c>
      <c r="B8804" s="1" t="str">
        <f>"Andrea Lightwood"</f>
        <v>Andrea Lightwood</v>
      </c>
      <c r="C8804" s="1" t="s">
        <v>32892</v>
      </c>
      <c r="D8804" s="1" t="s">
        <v>197</v>
      </c>
      <c r="F8804" s="1" t="s">
        <v>198</v>
      </c>
      <c r="H8804" s="1" t="s">
        <v>16835</v>
      </c>
      <c r="I8804" s="1" t="s">
        <v>5</v>
      </c>
      <c r="J8804" s="1" t="s">
        <v>6</v>
      </c>
      <c r="K8804" s="1" t="s">
        <v>24</v>
      </c>
      <c r="M8804" s="2">
        <v>42275</v>
      </c>
      <c r="N8804" s="1" t="s">
        <v>8</v>
      </c>
      <c r="O8804" s="2">
        <v>44467</v>
      </c>
    </row>
    <row r="8805" spans="1:15" ht="28.8" x14ac:dyDescent="0.3">
      <c r="A8805" s="1" t="s">
        <v>31902</v>
      </c>
      <c r="B8805" s="1" t="str">
        <f>"Huw Jones Tegfan Groundworks"</f>
        <v>Huw Jones Tegfan Groundworks</v>
      </c>
      <c r="C8805" s="1" t="s">
        <v>31903</v>
      </c>
      <c r="D8805" s="1" t="s">
        <v>31904</v>
      </c>
      <c r="F8805" s="1" t="s">
        <v>32</v>
      </c>
      <c r="G8805" s="1" t="s">
        <v>109</v>
      </c>
      <c r="H8805" s="1" t="s">
        <v>3857</v>
      </c>
      <c r="I8805" s="1" t="s">
        <v>5</v>
      </c>
      <c r="J8805" s="1" t="s">
        <v>6</v>
      </c>
      <c r="K8805" s="1" t="s">
        <v>34</v>
      </c>
      <c r="M8805" s="2">
        <v>42274</v>
      </c>
      <c r="N8805" s="1" t="s">
        <v>8</v>
      </c>
      <c r="O8805" s="2">
        <v>44466</v>
      </c>
    </row>
    <row r="8806" spans="1:15" ht="28.8" x14ac:dyDescent="0.3">
      <c r="A8806" s="1" t="s">
        <v>30715</v>
      </c>
      <c r="B8806" s="1" t="str">
        <f>"Eirian Emanuel E Emanuel Heating"</f>
        <v>Eirian Emanuel E Emanuel Heating</v>
      </c>
      <c r="C8806" s="1" t="s">
        <v>30716</v>
      </c>
      <c r="F8806" s="1" t="s">
        <v>42</v>
      </c>
      <c r="H8806" s="1" t="s">
        <v>9784</v>
      </c>
      <c r="I8806" s="1" t="s">
        <v>5</v>
      </c>
      <c r="J8806" s="1" t="s">
        <v>6</v>
      </c>
      <c r="K8806" s="1" t="s">
        <v>34</v>
      </c>
      <c r="M8806" s="2">
        <v>42272</v>
      </c>
      <c r="N8806" s="1" t="s">
        <v>8</v>
      </c>
      <c r="O8806" s="2">
        <v>44463</v>
      </c>
    </row>
    <row r="8807" spans="1:15" x14ac:dyDescent="0.3">
      <c r="A8807" s="1" t="s">
        <v>2339</v>
      </c>
      <c r="B8807" s="1" t="str">
        <f>"Jones And Johnson"</f>
        <v>Jones And Johnson</v>
      </c>
      <c r="C8807" s="1" t="s">
        <v>2340</v>
      </c>
      <c r="D8807" s="1" t="s">
        <v>2341</v>
      </c>
      <c r="F8807" s="1" t="s">
        <v>2342</v>
      </c>
      <c r="G8807" s="1" t="s">
        <v>51</v>
      </c>
      <c r="H8807" s="1" t="s">
        <v>2343</v>
      </c>
      <c r="I8807" s="1" t="s">
        <v>125</v>
      </c>
      <c r="J8807" s="1" t="s">
        <v>6</v>
      </c>
      <c r="K8807" s="1" t="s">
        <v>24</v>
      </c>
      <c r="M8807" s="2">
        <v>42271</v>
      </c>
      <c r="N8807" s="1" t="s">
        <v>8</v>
      </c>
      <c r="O8807" s="2">
        <v>44463</v>
      </c>
    </row>
    <row r="8808" spans="1:15" ht="43.2" x14ac:dyDescent="0.3">
      <c r="A8808" s="1" t="s">
        <v>28293</v>
      </c>
      <c r="B8808" s="1" t="str">
        <f>"Lyndon  Brooks"</f>
        <v>Lyndon  Brooks</v>
      </c>
      <c r="C8808" s="1" t="s">
        <v>28294</v>
      </c>
      <c r="F8808" s="1" t="s">
        <v>739</v>
      </c>
      <c r="H8808" s="1" t="s">
        <v>28295</v>
      </c>
      <c r="I8808" s="1" t="s">
        <v>5</v>
      </c>
      <c r="J8808" s="1" t="s">
        <v>67</v>
      </c>
      <c r="K8808" s="1" t="s">
        <v>14</v>
      </c>
      <c r="M8808" s="2">
        <v>42271</v>
      </c>
      <c r="N8808" s="1" t="s">
        <v>8</v>
      </c>
      <c r="O8808" s="1" t="s">
        <v>68</v>
      </c>
    </row>
    <row r="8809" spans="1:15" ht="28.8" x14ac:dyDescent="0.3">
      <c r="A8809" s="1" t="s">
        <v>32703</v>
      </c>
      <c r="B8809" s="1" t="str">
        <f>"STYLES ELECTRICAL LTD"</f>
        <v>STYLES ELECTRICAL LTD</v>
      </c>
      <c r="C8809" s="1" t="s">
        <v>32704</v>
      </c>
      <c r="D8809" s="1" t="s">
        <v>32705</v>
      </c>
      <c r="F8809" s="1" t="s">
        <v>1093</v>
      </c>
      <c r="G8809" s="1" t="s">
        <v>103</v>
      </c>
      <c r="H8809" s="1" t="s">
        <v>32706</v>
      </c>
      <c r="I8809" s="1" t="s">
        <v>19</v>
      </c>
      <c r="J8809" s="1" t="s">
        <v>6</v>
      </c>
      <c r="K8809" s="1" t="s">
        <v>24</v>
      </c>
      <c r="L8809" s="1">
        <v>5404486</v>
      </c>
      <c r="M8809" s="2">
        <v>42271</v>
      </c>
      <c r="N8809" s="1" t="s">
        <v>8</v>
      </c>
      <c r="O8809" s="2">
        <v>44463</v>
      </c>
    </row>
    <row r="8810" spans="1:15" ht="28.8" x14ac:dyDescent="0.3">
      <c r="A8810" s="1" t="s">
        <v>32707</v>
      </c>
      <c r="B8810" s="1" t="str">
        <f>"TALIESIN CONSERVATION LTD"</f>
        <v>TALIESIN CONSERVATION LTD</v>
      </c>
      <c r="C8810" s="1" t="s">
        <v>32708</v>
      </c>
      <c r="D8810" s="1" t="s">
        <v>32709</v>
      </c>
      <c r="E8810" s="1" t="s">
        <v>1757</v>
      </c>
      <c r="F8810" s="1" t="s">
        <v>1341</v>
      </c>
      <c r="G8810" s="1" t="s">
        <v>103</v>
      </c>
      <c r="H8810" s="1" t="s">
        <v>1758</v>
      </c>
      <c r="I8810" s="1" t="s">
        <v>19</v>
      </c>
      <c r="J8810" s="1" t="s">
        <v>6</v>
      </c>
      <c r="K8810" s="1" t="s">
        <v>24</v>
      </c>
      <c r="L8810" s="1">
        <v>6817470</v>
      </c>
      <c r="M8810" s="2">
        <v>42271</v>
      </c>
      <c r="N8810" s="1" t="s">
        <v>8</v>
      </c>
      <c r="O8810" s="2">
        <v>44463</v>
      </c>
    </row>
    <row r="8811" spans="1:15" x14ac:dyDescent="0.3">
      <c r="A8811" s="1" t="s">
        <v>32751</v>
      </c>
      <c r="B8811" s="1" t="str">
        <f>"Davies Logistics Limited"</f>
        <v>Davies Logistics Limited</v>
      </c>
      <c r="C8811" s="1" t="s">
        <v>32752</v>
      </c>
      <c r="D8811" s="1" t="s">
        <v>32753</v>
      </c>
      <c r="F8811" s="1" t="s">
        <v>179</v>
      </c>
      <c r="G8811" s="1" t="s">
        <v>180</v>
      </c>
      <c r="H8811" s="1" t="s">
        <v>32754</v>
      </c>
      <c r="I8811" s="1" t="s">
        <v>19</v>
      </c>
      <c r="J8811" s="1" t="s">
        <v>6</v>
      </c>
      <c r="K8811" s="1" t="s">
        <v>24</v>
      </c>
      <c r="L8811" s="1">
        <v>4412534</v>
      </c>
      <c r="M8811" s="2">
        <v>42271</v>
      </c>
      <c r="N8811" s="1" t="s">
        <v>8</v>
      </c>
      <c r="O8811" s="2">
        <v>44463</v>
      </c>
    </row>
    <row r="8812" spans="1:15" ht="28.8" x14ac:dyDescent="0.3">
      <c r="A8812" s="1" t="s">
        <v>2525</v>
      </c>
      <c r="B8812" s="1" t="str">
        <f>"Aled Hughes"</f>
        <v>Aled Hughes</v>
      </c>
      <c r="C8812" s="1" t="s">
        <v>2526</v>
      </c>
      <c r="F8812" s="1" t="s">
        <v>2527</v>
      </c>
      <c r="G8812" s="1" t="s">
        <v>654</v>
      </c>
      <c r="H8812" s="1" t="s">
        <v>2528</v>
      </c>
      <c r="I8812" s="1" t="s">
        <v>5</v>
      </c>
      <c r="J8812" s="1" t="s">
        <v>6</v>
      </c>
      <c r="K8812" s="1" t="s">
        <v>34</v>
      </c>
      <c r="M8812" s="2">
        <v>42270</v>
      </c>
      <c r="N8812" s="1" t="s">
        <v>8</v>
      </c>
      <c r="O8812" s="2">
        <v>44461</v>
      </c>
    </row>
    <row r="8813" spans="1:15" ht="28.8" x14ac:dyDescent="0.3">
      <c r="A8813" s="1" t="s">
        <v>2637</v>
      </c>
      <c r="B8813" s="1" t="str">
        <f>"Sofia Rose Transport Limited"</f>
        <v>Sofia Rose Transport Limited</v>
      </c>
      <c r="C8813" s="1" t="s">
        <v>2638</v>
      </c>
      <c r="D8813" s="1" t="s">
        <v>2639</v>
      </c>
      <c r="F8813" s="1" t="s">
        <v>1184</v>
      </c>
      <c r="H8813" s="1" t="s">
        <v>2640</v>
      </c>
      <c r="I8813" s="1" t="s">
        <v>19</v>
      </c>
      <c r="J8813" s="1" t="s">
        <v>6</v>
      </c>
      <c r="K8813" s="1" t="s">
        <v>24</v>
      </c>
      <c r="L8813" s="1">
        <v>9419174</v>
      </c>
      <c r="M8813" s="2">
        <v>42270</v>
      </c>
      <c r="N8813" s="1" t="s">
        <v>8</v>
      </c>
      <c r="O8813" s="2">
        <v>44462</v>
      </c>
    </row>
    <row r="8814" spans="1:15" ht="43.2" x14ac:dyDescent="0.3">
      <c r="A8814" s="1" t="s">
        <v>16140</v>
      </c>
      <c r="B8814" s="1" t="str">
        <f>"RP Jones Groundworks"</f>
        <v>RP Jones Groundworks</v>
      </c>
      <c r="C8814" s="1" t="s">
        <v>16141</v>
      </c>
      <c r="D8814" s="1" t="s">
        <v>821</v>
      </c>
      <c r="F8814" s="1" t="s">
        <v>370</v>
      </c>
      <c r="H8814" s="1" t="s">
        <v>16142</v>
      </c>
      <c r="I8814" s="1" t="s">
        <v>125</v>
      </c>
      <c r="J8814" s="1" t="s">
        <v>67</v>
      </c>
      <c r="K8814" s="1" t="s">
        <v>14</v>
      </c>
      <c r="M8814" s="2">
        <v>42270</v>
      </c>
      <c r="N8814" s="1" t="s">
        <v>8</v>
      </c>
      <c r="O8814" s="1" t="s">
        <v>68</v>
      </c>
    </row>
    <row r="8815" spans="1:15" ht="43.2" x14ac:dyDescent="0.3">
      <c r="A8815" s="1" t="s">
        <v>28291</v>
      </c>
      <c r="B8815" s="1" t="str">
        <f>"David  Williams"</f>
        <v>David  Williams</v>
      </c>
      <c r="C8815" s="1" t="s">
        <v>28292</v>
      </c>
      <c r="F8815" s="1" t="s">
        <v>12</v>
      </c>
      <c r="H8815" s="1" t="s">
        <v>9758</v>
      </c>
      <c r="I8815" s="1" t="s">
        <v>5</v>
      </c>
      <c r="J8815" s="1" t="s">
        <v>67</v>
      </c>
      <c r="K8815" s="1" t="s">
        <v>14</v>
      </c>
      <c r="M8815" s="2">
        <v>42269</v>
      </c>
      <c r="N8815" s="1" t="s">
        <v>8</v>
      </c>
      <c r="O8815" s="1" t="s">
        <v>68</v>
      </c>
    </row>
    <row r="8816" spans="1:15" ht="43.2" x14ac:dyDescent="0.3">
      <c r="A8816" s="1" t="s">
        <v>15160</v>
      </c>
      <c r="B8816" s="1" t="str">
        <f>"C&amp;L Stripes LTD"</f>
        <v>C&amp;L Stripes LTD</v>
      </c>
      <c r="C8816" s="1" t="s">
        <v>4863</v>
      </c>
      <c r="F8816" s="1" t="s">
        <v>4731</v>
      </c>
      <c r="H8816" s="1" t="s">
        <v>4864</v>
      </c>
      <c r="I8816" s="1" t="s">
        <v>19</v>
      </c>
      <c r="J8816" s="1" t="s">
        <v>67</v>
      </c>
      <c r="K8816" s="1" t="s">
        <v>14</v>
      </c>
      <c r="M8816" s="2">
        <v>42268</v>
      </c>
      <c r="N8816" s="1" t="s">
        <v>8</v>
      </c>
      <c r="O8816" s="1" t="s">
        <v>68</v>
      </c>
    </row>
    <row r="8817" spans="1:15" ht="43.2" x14ac:dyDescent="0.3">
      <c r="A8817" s="1" t="s">
        <v>15161</v>
      </c>
      <c r="B8817" s="1" t="str">
        <f>"Tovali Limited"</f>
        <v>Tovali Limited</v>
      </c>
      <c r="C8817" s="1" t="s">
        <v>15162</v>
      </c>
      <c r="F8817" s="1" t="s">
        <v>56</v>
      </c>
      <c r="H8817" s="1" t="s">
        <v>15163</v>
      </c>
      <c r="I8817" s="1" t="s">
        <v>19</v>
      </c>
      <c r="J8817" s="1" t="s">
        <v>67</v>
      </c>
      <c r="K8817" s="1" t="s">
        <v>14</v>
      </c>
      <c r="M8817" s="2">
        <v>42268</v>
      </c>
      <c r="N8817" s="1" t="s">
        <v>8</v>
      </c>
      <c r="O8817" s="1" t="s">
        <v>68</v>
      </c>
    </row>
    <row r="8818" spans="1:15" ht="43.2" x14ac:dyDescent="0.3">
      <c r="A8818" s="1" t="s">
        <v>15164</v>
      </c>
      <c r="B8818" s="1" t="str">
        <f>"LE BRETON ENGINEERING LIMITED"</f>
        <v>LE BRETON ENGINEERING LIMITED</v>
      </c>
      <c r="C8818" s="1" t="s">
        <v>15165</v>
      </c>
      <c r="D8818" s="1" t="s">
        <v>437</v>
      </c>
      <c r="F8818" s="1" t="s">
        <v>438</v>
      </c>
      <c r="H8818" s="1" t="s">
        <v>15166</v>
      </c>
      <c r="I8818" s="1" t="s">
        <v>19</v>
      </c>
      <c r="J8818" s="1" t="s">
        <v>67</v>
      </c>
      <c r="K8818" s="1" t="s">
        <v>24</v>
      </c>
      <c r="L8818" s="1">
        <v>7959542</v>
      </c>
      <c r="M8818" s="2">
        <v>42268</v>
      </c>
      <c r="N8818" s="1" t="s">
        <v>8</v>
      </c>
      <c r="O8818" s="1" t="s">
        <v>68</v>
      </c>
    </row>
    <row r="8819" spans="1:15" ht="43.2" x14ac:dyDescent="0.3">
      <c r="A8819" s="1" t="s">
        <v>27496</v>
      </c>
      <c r="B8819" s="1" t="str">
        <f>"Paul Harris"</f>
        <v>Paul Harris</v>
      </c>
      <c r="C8819" s="1" t="s">
        <v>27497</v>
      </c>
      <c r="F8819" s="1" t="s">
        <v>3337</v>
      </c>
      <c r="H8819" s="1" t="s">
        <v>5437</v>
      </c>
      <c r="I8819" s="1" t="s">
        <v>5</v>
      </c>
      <c r="J8819" s="1" t="s">
        <v>67</v>
      </c>
      <c r="K8819" s="1" t="s">
        <v>14</v>
      </c>
      <c r="M8819" s="2">
        <v>42268</v>
      </c>
      <c r="N8819" s="1" t="s">
        <v>8</v>
      </c>
      <c r="O8819" s="1" t="s">
        <v>68</v>
      </c>
    </row>
    <row r="8820" spans="1:15" ht="43.2" x14ac:dyDescent="0.3">
      <c r="A8820" s="1" t="s">
        <v>27498</v>
      </c>
      <c r="B8820" s="1" t="str">
        <f>"Ian James"</f>
        <v>Ian James</v>
      </c>
      <c r="C8820" s="1" t="s">
        <v>27499</v>
      </c>
      <c r="F8820" s="1" t="s">
        <v>174</v>
      </c>
      <c r="H8820" s="1" t="s">
        <v>27500</v>
      </c>
      <c r="I8820" s="1" t="s">
        <v>5</v>
      </c>
      <c r="J8820" s="1" t="s">
        <v>67</v>
      </c>
      <c r="K8820" s="1" t="s">
        <v>14</v>
      </c>
      <c r="M8820" s="2">
        <v>42268</v>
      </c>
      <c r="N8820" s="1" t="s">
        <v>8</v>
      </c>
      <c r="O8820" s="1" t="s">
        <v>68</v>
      </c>
    </row>
    <row r="8821" spans="1:15" ht="43.2" x14ac:dyDescent="0.3">
      <c r="A8821" s="1" t="s">
        <v>27501</v>
      </c>
      <c r="B8821" s="1" t="str">
        <f>"Karen  McCarthy"</f>
        <v>Karen  McCarthy</v>
      </c>
      <c r="C8821" s="1" t="s">
        <v>27502</v>
      </c>
      <c r="F8821" s="1" t="s">
        <v>123</v>
      </c>
      <c r="H8821" s="1" t="s">
        <v>27503</v>
      </c>
      <c r="I8821" s="1" t="s">
        <v>5</v>
      </c>
      <c r="J8821" s="1" t="s">
        <v>67</v>
      </c>
      <c r="K8821" s="1" t="s">
        <v>14</v>
      </c>
      <c r="M8821" s="2">
        <v>42268</v>
      </c>
      <c r="N8821" s="1" t="s">
        <v>8</v>
      </c>
      <c r="O8821" s="1" t="s">
        <v>68</v>
      </c>
    </row>
    <row r="8822" spans="1:15" ht="43.2" x14ac:dyDescent="0.3">
      <c r="A8822" s="1" t="s">
        <v>27504</v>
      </c>
      <c r="B8822" s="1" t="str">
        <f>"Norman Drinkwater"</f>
        <v>Norman Drinkwater</v>
      </c>
      <c r="C8822" s="1" t="s">
        <v>27505</v>
      </c>
      <c r="D8822" s="1" t="s">
        <v>21800</v>
      </c>
      <c r="F8822" s="1" t="s">
        <v>922</v>
      </c>
      <c r="H8822" s="1" t="s">
        <v>21801</v>
      </c>
      <c r="I8822" s="1" t="s">
        <v>5</v>
      </c>
      <c r="J8822" s="1" t="s">
        <v>67</v>
      </c>
      <c r="K8822" s="1" t="s">
        <v>14</v>
      </c>
      <c r="M8822" s="2">
        <v>42268</v>
      </c>
      <c r="N8822" s="1" t="s">
        <v>8</v>
      </c>
      <c r="O8822" s="1" t="s">
        <v>68</v>
      </c>
    </row>
    <row r="8823" spans="1:15" ht="43.2" x14ac:dyDescent="0.3">
      <c r="A8823" s="1" t="s">
        <v>28289</v>
      </c>
      <c r="B8823" s="1" t="str">
        <f>"kenneth king"</f>
        <v>kenneth king</v>
      </c>
      <c r="C8823" s="1" t="s">
        <v>28290</v>
      </c>
      <c r="F8823" s="1" t="s">
        <v>1184</v>
      </c>
      <c r="H8823" s="1" t="s">
        <v>25305</v>
      </c>
      <c r="I8823" s="1" t="s">
        <v>5</v>
      </c>
      <c r="J8823" s="1" t="s">
        <v>67</v>
      </c>
      <c r="K8823" s="1" t="s">
        <v>14</v>
      </c>
      <c r="M8823" s="2">
        <v>42268</v>
      </c>
      <c r="N8823" s="1" t="s">
        <v>8</v>
      </c>
      <c r="O8823" s="1" t="s">
        <v>68</v>
      </c>
    </row>
    <row r="8824" spans="1:15" ht="43.2" x14ac:dyDescent="0.3">
      <c r="A8824" s="1" t="s">
        <v>26634</v>
      </c>
      <c r="B8824" s="1" t="str">
        <f>"Ian Cox"</f>
        <v>Ian Cox</v>
      </c>
      <c r="C8824" s="1" t="s">
        <v>26635</v>
      </c>
      <c r="F8824" s="1" t="s">
        <v>1260</v>
      </c>
      <c r="H8824" s="1" t="s">
        <v>26636</v>
      </c>
      <c r="I8824" s="1" t="s">
        <v>5</v>
      </c>
      <c r="J8824" s="1" t="s">
        <v>67</v>
      </c>
      <c r="K8824" s="1" t="s">
        <v>14</v>
      </c>
      <c r="M8824" s="2">
        <v>42265</v>
      </c>
      <c r="N8824" s="1" t="s">
        <v>8</v>
      </c>
      <c r="O8824" s="1" t="s">
        <v>68</v>
      </c>
    </row>
    <row r="8825" spans="1:15" ht="43.2" x14ac:dyDescent="0.3">
      <c r="A8825" s="1" t="s">
        <v>14265</v>
      </c>
      <c r="B8825" s="1" t="str">
        <f>"christine price"</f>
        <v>christine price</v>
      </c>
      <c r="C8825" s="1" t="s">
        <v>14266</v>
      </c>
      <c r="F8825" s="1" t="s">
        <v>12</v>
      </c>
      <c r="H8825" s="1" t="s">
        <v>14267</v>
      </c>
      <c r="I8825" s="1" t="s">
        <v>188</v>
      </c>
      <c r="J8825" s="1" t="s">
        <v>67</v>
      </c>
      <c r="K8825" s="1" t="s">
        <v>14</v>
      </c>
      <c r="M8825" s="2">
        <v>42264</v>
      </c>
      <c r="N8825" s="1" t="s">
        <v>8</v>
      </c>
      <c r="O8825" s="1" t="s">
        <v>68</v>
      </c>
    </row>
    <row r="8826" spans="1:15" ht="43.2" x14ac:dyDescent="0.3">
      <c r="A8826" s="1" t="s">
        <v>26629</v>
      </c>
      <c r="B8826" s="1" t="str">
        <f>"Rosemarie Williams"</f>
        <v>Rosemarie Williams</v>
      </c>
      <c r="C8826" s="1" t="s">
        <v>26630</v>
      </c>
      <c r="F8826" s="1" t="s">
        <v>42</v>
      </c>
      <c r="H8826" s="1" t="s">
        <v>25259</v>
      </c>
      <c r="I8826" s="1" t="s">
        <v>5</v>
      </c>
      <c r="J8826" s="1" t="s">
        <v>67</v>
      </c>
      <c r="K8826" s="1" t="s">
        <v>14</v>
      </c>
      <c r="M8826" s="2">
        <v>42264</v>
      </c>
      <c r="N8826" s="1" t="s">
        <v>8</v>
      </c>
      <c r="O8826" s="1" t="s">
        <v>68</v>
      </c>
    </row>
    <row r="8827" spans="1:15" ht="43.2" x14ac:dyDescent="0.3">
      <c r="A8827" s="1" t="s">
        <v>26631</v>
      </c>
      <c r="B8827" s="1" t="str">
        <f>"Brian Roy Morris"</f>
        <v>Brian Roy Morris</v>
      </c>
      <c r="C8827" s="1" t="s">
        <v>26632</v>
      </c>
      <c r="F8827" s="1" t="s">
        <v>26633</v>
      </c>
      <c r="H8827" s="1" t="s">
        <v>23849</v>
      </c>
      <c r="I8827" s="1" t="s">
        <v>5</v>
      </c>
      <c r="J8827" s="1" t="s">
        <v>67</v>
      </c>
      <c r="K8827" s="1" t="s">
        <v>24</v>
      </c>
      <c r="M8827" s="2">
        <v>42264</v>
      </c>
      <c r="N8827" s="1" t="s">
        <v>8</v>
      </c>
      <c r="O8827" s="1" t="s">
        <v>68</v>
      </c>
    </row>
    <row r="8828" spans="1:15" ht="28.8" x14ac:dyDescent="0.3">
      <c r="A8828" s="1" t="s">
        <v>30901</v>
      </c>
      <c r="B8828" s="1" t="str">
        <f>"B&amp;H CLEARANCE LTD"</f>
        <v>B&amp;H CLEARANCE LTD</v>
      </c>
      <c r="C8828" s="1" t="s">
        <v>30902</v>
      </c>
      <c r="D8828" s="1" t="s">
        <v>30903</v>
      </c>
      <c r="F8828" s="1" t="s">
        <v>91</v>
      </c>
      <c r="H8828" s="1" t="s">
        <v>30904</v>
      </c>
      <c r="I8828" s="1" t="s">
        <v>19</v>
      </c>
      <c r="J8828" s="1" t="s">
        <v>6</v>
      </c>
      <c r="K8828" s="1" t="s">
        <v>24</v>
      </c>
      <c r="L8828" s="1">
        <v>6700153</v>
      </c>
      <c r="M8828" s="2">
        <v>42264</v>
      </c>
      <c r="N8828" s="1" t="s">
        <v>8</v>
      </c>
      <c r="O8828" s="2">
        <v>44456</v>
      </c>
    </row>
    <row r="8829" spans="1:15" ht="43.2" x14ac:dyDescent="0.3">
      <c r="A8829" s="1" t="s">
        <v>13347</v>
      </c>
      <c r="B8829" s="1" t="str">
        <f>"The Bank Bar &amp; Kitchen"</f>
        <v>The Bank Bar &amp; Kitchen</v>
      </c>
      <c r="C8829" s="1" t="s">
        <v>13348</v>
      </c>
      <c r="F8829" s="1" t="s">
        <v>3415</v>
      </c>
      <c r="H8829" s="1" t="s">
        <v>13349</v>
      </c>
      <c r="I8829" s="1" t="s">
        <v>19</v>
      </c>
      <c r="J8829" s="1" t="s">
        <v>67</v>
      </c>
      <c r="K8829" s="1" t="s">
        <v>14</v>
      </c>
      <c r="M8829" s="2">
        <v>42263</v>
      </c>
      <c r="N8829" s="1" t="s">
        <v>8</v>
      </c>
      <c r="O8829" s="1" t="s">
        <v>68</v>
      </c>
    </row>
    <row r="8830" spans="1:15" ht="43.2" x14ac:dyDescent="0.3">
      <c r="A8830" s="1" t="s">
        <v>13350</v>
      </c>
      <c r="B8830" s="1" t="str">
        <f>"PROARB LTD"</f>
        <v>PROARB LTD</v>
      </c>
      <c r="C8830" s="1" t="s">
        <v>13351</v>
      </c>
      <c r="D8830" s="1" t="s">
        <v>6799</v>
      </c>
      <c r="F8830" s="1" t="s">
        <v>73</v>
      </c>
      <c r="H8830" s="1" t="s">
        <v>13352</v>
      </c>
      <c r="I8830" s="1" t="s">
        <v>19</v>
      </c>
      <c r="J8830" s="1" t="s">
        <v>67</v>
      </c>
      <c r="K8830" s="1" t="s">
        <v>24</v>
      </c>
      <c r="L8830" s="1">
        <v>4516313</v>
      </c>
      <c r="M8830" s="2">
        <v>42263</v>
      </c>
      <c r="N8830" s="1" t="s">
        <v>8</v>
      </c>
      <c r="O8830" s="1" t="s">
        <v>68</v>
      </c>
    </row>
    <row r="8831" spans="1:15" ht="43.2" x14ac:dyDescent="0.3">
      <c r="A8831" s="1" t="s">
        <v>25883</v>
      </c>
      <c r="B8831" s="1" t="str">
        <f>"Haydn Griffiths"</f>
        <v>Haydn Griffiths</v>
      </c>
      <c r="C8831" s="1" t="s">
        <v>25884</v>
      </c>
      <c r="D8831" s="1" t="s">
        <v>25885</v>
      </c>
      <c r="E8831" s="1" t="s">
        <v>25886</v>
      </c>
      <c r="F8831" s="1" t="s">
        <v>607</v>
      </c>
      <c r="H8831" s="1" t="s">
        <v>25887</v>
      </c>
      <c r="I8831" s="1" t="s">
        <v>5</v>
      </c>
      <c r="J8831" s="1" t="s">
        <v>67</v>
      </c>
      <c r="K8831" s="1" t="s">
        <v>14</v>
      </c>
      <c r="M8831" s="2">
        <v>42263</v>
      </c>
      <c r="N8831" s="1" t="s">
        <v>8</v>
      </c>
      <c r="O8831" s="1" t="s">
        <v>68</v>
      </c>
    </row>
    <row r="8832" spans="1:15" ht="43.2" x14ac:dyDescent="0.3">
      <c r="A8832" s="1" t="s">
        <v>25888</v>
      </c>
      <c r="B8832" s="1" t="str">
        <f>"David Vickers"</f>
        <v>David Vickers</v>
      </c>
      <c r="C8832" s="1" t="s">
        <v>25889</v>
      </c>
      <c r="F8832" s="1" t="s">
        <v>445</v>
      </c>
      <c r="H8832" s="1" t="s">
        <v>25890</v>
      </c>
      <c r="I8832" s="1" t="s">
        <v>5</v>
      </c>
      <c r="J8832" s="1" t="s">
        <v>67</v>
      </c>
      <c r="K8832" s="1" t="s">
        <v>14</v>
      </c>
      <c r="M8832" s="2">
        <v>42263</v>
      </c>
      <c r="N8832" s="1" t="s">
        <v>8</v>
      </c>
      <c r="O8832" s="1" t="s">
        <v>68</v>
      </c>
    </row>
    <row r="8833" spans="1:15" ht="28.8" x14ac:dyDescent="0.3">
      <c r="A8833" s="1" t="s">
        <v>30670</v>
      </c>
      <c r="B8833" s="1" t="str">
        <f>"Crest Co-Operative Limited"</f>
        <v>Crest Co-Operative Limited</v>
      </c>
      <c r="C8833" s="1" t="s">
        <v>30671</v>
      </c>
      <c r="F8833" s="1" t="s">
        <v>6080</v>
      </c>
      <c r="H8833" s="1" t="s">
        <v>30672</v>
      </c>
      <c r="I8833" s="1" t="s">
        <v>19</v>
      </c>
      <c r="J8833" s="1" t="s">
        <v>6</v>
      </c>
      <c r="K8833" s="1" t="s">
        <v>34</v>
      </c>
      <c r="L8833" s="1">
        <v>3588496</v>
      </c>
      <c r="M8833" s="2">
        <v>42263</v>
      </c>
      <c r="N8833" s="1" t="s">
        <v>8</v>
      </c>
      <c r="O8833" s="2">
        <v>44459</v>
      </c>
    </row>
    <row r="8834" spans="1:15" x14ac:dyDescent="0.3">
      <c r="A8834" s="1" t="s">
        <v>31747</v>
      </c>
      <c r="B8834" s="1" t="str">
        <f>"Robert Lewis"</f>
        <v>Robert Lewis</v>
      </c>
      <c r="C8834" s="1" t="s">
        <v>31748</v>
      </c>
      <c r="F8834" s="1" t="s">
        <v>873</v>
      </c>
      <c r="H8834" s="1" t="s">
        <v>31749</v>
      </c>
      <c r="I8834" s="1" t="s">
        <v>5</v>
      </c>
      <c r="J8834" s="1" t="s">
        <v>6</v>
      </c>
      <c r="K8834" s="1" t="s">
        <v>24</v>
      </c>
      <c r="M8834" s="2">
        <v>42263</v>
      </c>
      <c r="N8834" s="1" t="s">
        <v>8</v>
      </c>
      <c r="O8834" s="2">
        <v>44454</v>
      </c>
    </row>
    <row r="8835" spans="1:15" x14ac:dyDescent="0.3">
      <c r="A8835" s="1" t="s">
        <v>2546</v>
      </c>
      <c r="B8835" s="1" t="str">
        <f>"Dion Hunter"</f>
        <v>Dion Hunter</v>
      </c>
      <c r="C8835" s="1" t="s">
        <v>2547</v>
      </c>
      <c r="F8835" s="1" t="s">
        <v>706</v>
      </c>
      <c r="G8835" s="1" t="s">
        <v>211</v>
      </c>
      <c r="H8835" s="1" t="s">
        <v>2548</v>
      </c>
      <c r="I8835" s="1" t="s">
        <v>5</v>
      </c>
      <c r="J8835" s="1" t="s">
        <v>6</v>
      </c>
      <c r="K8835" s="1" t="s">
        <v>24</v>
      </c>
      <c r="M8835" s="2">
        <v>42262</v>
      </c>
      <c r="N8835" s="1" t="s">
        <v>8</v>
      </c>
      <c r="O8835" s="2">
        <v>44456</v>
      </c>
    </row>
    <row r="8836" spans="1:15" ht="28.8" x14ac:dyDescent="0.3">
      <c r="A8836" s="1" t="s">
        <v>30675</v>
      </c>
      <c r="B8836" s="1" t="str">
        <f>"Specialist Transport Services (Wales) Ltd."</f>
        <v>Specialist Transport Services (Wales) Ltd.</v>
      </c>
      <c r="C8836" s="1" t="s">
        <v>30676</v>
      </c>
      <c r="D8836" s="1" t="s">
        <v>13525</v>
      </c>
      <c r="E8836" s="1" t="s">
        <v>13526</v>
      </c>
      <c r="F8836" s="1" t="s">
        <v>380</v>
      </c>
      <c r="G8836" s="1" t="s">
        <v>381</v>
      </c>
      <c r="H8836" s="1" t="s">
        <v>13527</v>
      </c>
      <c r="I8836" s="1" t="s">
        <v>19</v>
      </c>
      <c r="J8836" s="1" t="s">
        <v>6</v>
      </c>
      <c r="K8836" s="1" t="s">
        <v>34</v>
      </c>
      <c r="L8836" s="1">
        <v>4751179</v>
      </c>
      <c r="M8836" s="2">
        <v>42262</v>
      </c>
      <c r="N8836" s="1" t="s">
        <v>8</v>
      </c>
      <c r="O8836" s="2">
        <v>44474</v>
      </c>
    </row>
    <row r="8837" spans="1:15" ht="28.8" x14ac:dyDescent="0.3">
      <c r="A8837" s="1" t="s">
        <v>2521</v>
      </c>
      <c r="B8837" s="1" t="str">
        <f>"Amico Electrical Services Ltd."</f>
        <v>Amico Electrical Services Ltd.</v>
      </c>
      <c r="C8837" s="1" t="s">
        <v>2522</v>
      </c>
      <c r="D8837" s="1" t="s">
        <v>2523</v>
      </c>
      <c r="E8837" s="1" t="s">
        <v>578</v>
      </c>
      <c r="F8837" s="1" t="s">
        <v>65</v>
      </c>
      <c r="H8837" s="1" t="s">
        <v>2524</v>
      </c>
      <c r="I8837" s="1" t="s">
        <v>19</v>
      </c>
      <c r="J8837" s="1" t="s">
        <v>6</v>
      </c>
      <c r="K8837" s="1" t="s">
        <v>24</v>
      </c>
      <c r="L8837" s="1">
        <v>3996299</v>
      </c>
      <c r="M8837" s="2">
        <v>42261</v>
      </c>
      <c r="N8837" s="1" t="s">
        <v>8</v>
      </c>
      <c r="O8837" s="2">
        <v>44452</v>
      </c>
    </row>
    <row r="8838" spans="1:15" ht="43.2" x14ac:dyDescent="0.3">
      <c r="A8838" s="1" t="s">
        <v>24325</v>
      </c>
      <c r="B8838" s="1" t="str">
        <f>"Thomas Richard Evans"</f>
        <v>Thomas Richard Evans</v>
      </c>
      <c r="C8838" s="1" t="s">
        <v>24326</v>
      </c>
      <c r="F8838" s="1" t="s">
        <v>17</v>
      </c>
      <c r="H8838" s="1" t="s">
        <v>24327</v>
      </c>
      <c r="I8838" s="1" t="s">
        <v>5</v>
      </c>
      <c r="J8838" s="1" t="s">
        <v>67</v>
      </c>
      <c r="K8838" s="1" t="s">
        <v>24</v>
      </c>
      <c r="M8838" s="2">
        <v>42261</v>
      </c>
      <c r="N8838" s="1" t="s">
        <v>8</v>
      </c>
      <c r="O8838" s="1" t="s">
        <v>68</v>
      </c>
    </row>
    <row r="8839" spans="1:15" x14ac:dyDescent="0.3">
      <c r="A8839" s="1" t="s">
        <v>30603</v>
      </c>
      <c r="B8839" s="1" t="str">
        <f>"R G  Owen Ltd"</f>
        <v>R G  Owen Ltd</v>
      </c>
      <c r="C8839" s="1" t="s">
        <v>30604</v>
      </c>
      <c r="D8839" s="1" t="s">
        <v>30605</v>
      </c>
      <c r="F8839" s="1" t="s">
        <v>710</v>
      </c>
      <c r="G8839" s="1" t="s">
        <v>3</v>
      </c>
      <c r="H8839" s="1" t="s">
        <v>30606</v>
      </c>
      <c r="I8839" s="1" t="s">
        <v>19</v>
      </c>
      <c r="J8839" s="1" t="s">
        <v>6</v>
      </c>
      <c r="K8839" s="1" t="s">
        <v>24</v>
      </c>
      <c r="L8839" s="1">
        <v>4610334</v>
      </c>
      <c r="M8839" s="2">
        <v>42261</v>
      </c>
      <c r="N8839" s="1" t="s">
        <v>8</v>
      </c>
      <c r="O8839" s="2">
        <v>44453</v>
      </c>
    </row>
    <row r="8840" spans="1:15" ht="28.8" x14ac:dyDescent="0.3">
      <c r="A8840" s="1" t="s">
        <v>31815</v>
      </c>
      <c r="B8840" s="1" t="str">
        <f>"swansea &amp; district cleaning services"</f>
        <v>swansea &amp; district cleaning services</v>
      </c>
      <c r="C8840" s="1" t="s">
        <v>31816</v>
      </c>
      <c r="F8840" s="1" t="s">
        <v>65</v>
      </c>
      <c r="H8840" s="1" t="s">
        <v>31817</v>
      </c>
      <c r="I8840" s="1" t="s">
        <v>125</v>
      </c>
      <c r="J8840" s="1" t="s">
        <v>6</v>
      </c>
      <c r="K8840" s="1" t="s">
        <v>24</v>
      </c>
      <c r="M8840" s="2">
        <v>42261</v>
      </c>
      <c r="N8840" s="1" t="s">
        <v>8</v>
      </c>
      <c r="O8840" s="2">
        <v>44452</v>
      </c>
    </row>
    <row r="8841" spans="1:15" ht="28.8" x14ac:dyDescent="0.3">
      <c r="A8841" s="1" t="s">
        <v>2418</v>
      </c>
      <c r="B8841" s="1" t="str">
        <f>"Paul Dyer Paul's Gardening Services"</f>
        <v>Paul Dyer Paul's Gardening Services</v>
      </c>
      <c r="C8841" s="1" t="s">
        <v>2419</v>
      </c>
      <c r="D8841" s="1" t="s">
        <v>343</v>
      </c>
      <c r="F8841" s="1" t="s">
        <v>64</v>
      </c>
      <c r="G8841" s="1" t="s">
        <v>65</v>
      </c>
      <c r="H8841" s="1" t="s">
        <v>2420</v>
      </c>
      <c r="I8841" s="1" t="s">
        <v>5</v>
      </c>
      <c r="J8841" s="1" t="s">
        <v>6</v>
      </c>
      <c r="K8841" s="1" t="s">
        <v>24</v>
      </c>
      <c r="M8841" s="2">
        <v>42260</v>
      </c>
      <c r="N8841" s="1" t="s">
        <v>8</v>
      </c>
      <c r="O8841" s="2">
        <v>44451</v>
      </c>
    </row>
    <row r="8842" spans="1:15" ht="43.2" x14ac:dyDescent="0.3">
      <c r="A8842" s="1" t="s">
        <v>24321</v>
      </c>
      <c r="B8842" s="1" t="str">
        <f>"steven bennett"</f>
        <v>steven bennett</v>
      </c>
      <c r="C8842" s="1" t="s">
        <v>24322</v>
      </c>
      <c r="F8842" s="1" t="s">
        <v>24323</v>
      </c>
      <c r="H8842" s="1" t="s">
        <v>24324</v>
      </c>
      <c r="I8842" s="1" t="s">
        <v>5</v>
      </c>
      <c r="J8842" s="1" t="s">
        <v>67</v>
      </c>
      <c r="K8842" s="1" t="s">
        <v>14</v>
      </c>
      <c r="M8842" s="2">
        <v>42260</v>
      </c>
      <c r="N8842" s="1" t="s">
        <v>8</v>
      </c>
      <c r="O8842" s="1" t="s">
        <v>68</v>
      </c>
    </row>
    <row r="8843" spans="1:15" x14ac:dyDescent="0.3">
      <c r="A8843" s="1" t="s">
        <v>30644</v>
      </c>
      <c r="B8843" s="1" t="str">
        <f>"David King"</f>
        <v>David King</v>
      </c>
      <c r="C8843" s="1" t="s">
        <v>30645</v>
      </c>
      <c r="F8843" s="1" t="s">
        <v>214</v>
      </c>
      <c r="G8843" s="1" t="s">
        <v>73</v>
      </c>
      <c r="H8843" s="1" t="s">
        <v>30646</v>
      </c>
      <c r="I8843" s="1" t="s">
        <v>5</v>
      </c>
      <c r="J8843" s="1" t="s">
        <v>6</v>
      </c>
      <c r="K8843" s="1" t="s">
        <v>24</v>
      </c>
      <c r="M8843" s="2">
        <v>42260</v>
      </c>
      <c r="N8843" s="1" t="s">
        <v>8</v>
      </c>
      <c r="O8843" s="2">
        <v>44451</v>
      </c>
    </row>
    <row r="8844" spans="1:15" ht="28.8" x14ac:dyDescent="0.3">
      <c r="A8844" s="1" t="s">
        <v>31741</v>
      </c>
      <c r="B8844" s="1" t="str">
        <f>"Matthews Commercial Services Ltd."</f>
        <v>Matthews Commercial Services Ltd.</v>
      </c>
      <c r="C8844" s="1" t="s">
        <v>31742</v>
      </c>
      <c r="D8844" s="1" t="s">
        <v>817</v>
      </c>
      <c r="F8844" s="1" t="s">
        <v>64</v>
      </c>
      <c r="H8844" s="1" t="s">
        <v>31743</v>
      </c>
      <c r="I8844" s="1" t="s">
        <v>19</v>
      </c>
      <c r="J8844" s="1" t="s">
        <v>6</v>
      </c>
      <c r="K8844" s="1" t="s">
        <v>34</v>
      </c>
      <c r="L8844" s="1">
        <v>3453295</v>
      </c>
      <c r="M8844" s="2">
        <v>42260</v>
      </c>
      <c r="N8844" s="1" t="s">
        <v>8</v>
      </c>
      <c r="O8844" s="2">
        <v>44451</v>
      </c>
    </row>
    <row r="8845" spans="1:15" ht="43.2" x14ac:dyDescent="0.3">
      <c r="A8845" s="1" t="s">
        <v>10254</v>
      </c>
      <c r="B8845" s="1" t="str">
        <f>"D r l"</f>
        <v>D r l</v>
      </c>
      <c r="C8845" s="1" t="s">
        <v>10255</v>
      </c>
      <c r="F8845" s="1" t="s">
        <v>767</v>
      </c>
      <c r="H8845" s="1" t="s">
        <v>10256</v>
      </c>
      <c r="I8845" s="1" t="s">
        <v>188</v>
      </c>
      <c r="J8845" s="1" t="s">
        <v>67</v>
      </c>
      <c r="K8845" s="1" t="s">
        <v>14</v>
      </c>
      <c r="M8845" s="2">
        <v>42259</v>
      </c>
      <c r="N8845" s="1" t="s">
        <v>8</v>
      </c>
      <c r="O8845" s="1" t="s">
        <v>68</v>
      </c>
    </row>
    <row r="8846" spans="1:15" ht="28.8" x14ac:dyDescent="0.3">
      <c r="A8846" s="1" t="s">
        <v>2470</v>
      </c>
      <c r="B8846" s="1" t="str">
        <f>"Stove &amp; Flue Services Ltd"</f>
        <v>Stove &amp; Flue Services Ltd</v>
      </c>
      <c r="C8846" s="1" t="s">
        <v>2471</v>
      </c>
      <c r="D8846" s="1" t="s">
        <v>2472</v>
      </c>
      <c r="E8846" s="1" t="s">
        <v>2473</v>
      </c>
      <c r="F8846" s="1" t="s">
        <v>710</v>
      </c>
      <c r="G8846" s="1" t="s">
        <v>3</v>
      </c>
      <c r="H8846" s="1" t="s">
        <v>2474</v>
      </c>
      <c r="I8846" s="1" t="s">
        <v>19</v>
      </c>
      <c r="J8846" s="1" t="s">
        <v>6</v>
      </c>
      <c r="K8846" s="1" t="s">
        <v>34</v>
      </c>
      <c r="L8846" s="1">
        <v>9499918</v>
      </c>
      <c r="M8846" s="2">
        <v>42258</v>
      </c>
      <c r="N8846" s="1" t="s">
        <v>8</v>
      </c>
      <c r="O8846" s="2">
        <v>44450</v>
      </c>
    </row>
    <row r="8847" spans="1:15" ht="43.2" x14ac:dyDescent="0.3">
      <c r="A8847" s="1" t="s">
        <v>2621</v>
      </c>
      <c r="B8847" s="1" t="str">
        <f>"Refrigeration Airconditioning Catering Services Ltd."</f>
        <v>Refrigeration Airconditioning Catering Services Ltd.</v>
      </c>
      <c r="C8847" s="1" t="s">
        <v>2622</v>
      </c>
      <c r="D8847" s="1" t="s">
        <v>2623</v>
      </c>
      <c r="F8847" s="1" t="s">
        <v>65</v>
      </c>
      <c r="H8847" s="1" t="s">
        <v>2624</v>
      </c>
      <c r="I8847" s="1" t="s">
        <v>19</v>
      </c>
      <c r="J8847" s="1" t="s">
        <v>6</v>
      </c>
      <c r="K8847" s="1" t="s">
        <v>24</v>
      </c>
      <c r="L8847" s="1">
        <v>2227560</v>
      </c>
      <c r="M8847" s="2">
        <v>42258</v>
      </c>
      <c r="N8847" s="1" t="s">
        <v>8</v>
      </c>
      <c r="O8847" s="2">
        <v>44449</v>
      </c>
    </row>
    <row r="8848" spans="1:15" ht="43.2" x14ac:dyDescent="0.3">
      <c r="A8848" s="1" t="s">
        <v>23475</v>
      </c>
      <c r="B8848" s="1" t="str">
        <f>"stuart Prichard "</f>
        <v xml:space="preserve">stuart Prichard </v>
      </c>
      <c r="C8848" s="1" t="s">
        <v>23476</v>
      </c>
      <c r="F8848" s="1" t="s">
        <v>23477</v>
      </c>
      <c r="H8848" s="1" t="s">
        <v>23478</v>
      </c>
      <c r="I8848" s="1" t="s">
        <v>5</v>
      </c>
      <c r="J8848" s="1" t="s">
        <v>67</v>
      </c>
      <c r="K8848" s="1" t="s">
        <v>14</v>
      </c>
      <c r="M8848" s="2">
        <v>42258</v>
      </c>
      <c r="N8848" s="1" t="s">
        <v>8</v>
      </c>
      <c r="O8848" s="1" t="s">
        <v>68</v>
      </c>
    </row>
    <row r="8849" spans="1:15" ht="28.8" x14ac:dyDescent="0.3">
      <c r="A8849" s="1" t="s">
        <v>31786</v>
      </c>
      <c r="B8849" s="1" t="str">
        <f>"Just Wales Ltd"</f>
        <v>Just Wales Ltd</v>
      </c>
      <c r="C8849" s="1" t="s">
        <v>31787</v>
      </c>
      <c r="D8849" s="1" t="s">
        <v>31788</v>
      </c>
      <c r="E8849" s="1" t="s">
        <v>31789</v>
      </c>
      <c r="F8849" s="1" t="s">
        <v>42</v>
      </c>
      <c r="G8849" s="1" t="s">
        <v>51</v>
      </c>
      <c r="H8849" s="1" t="s">
        <v>10606</v>
      </c>
      <c r="I8849" s="1" t="s">
        <v>19</v>
      </c>
      <c r="J8849" s="1" t="s">
        <v>6</v>
      </c>
      <c r="K8849" s="1" t="s">
        <v>34</v>
      </c>
      <c r="L8849" s="1">
        <v>4690915</v>
      </c>
      <c r="M8849" s="2">
        <v>42258</v>
      </c>
      <c r="N8849" s="1" t="s">
        <v>8</v>
      </c>
      <c r="O8849" s="2">
        <v>44450</v>
      </c>
    </row>
    <row r="8850" spans="1:15" ht="43.2" x14ac:dyDescent="0.3">
      <c r="A8850" s="1" t="s">
        <v>10251</v>
      </c>
      <c r="B8850" s="1" t="str">
        <f>"Park Surgery"</f>
        <v>Park Surgery</v>
      </c>
      <c r="C8850" s="1" t="s">
        <v>10252</v>
      </c>
      <c r="F8850" s="1" t="s">
        <v>91</v>
      </c>
      <c r="H8850" s="1" t="s">
        <v>10253</v>
      </c>
      <c r="I8850" s="1" t="s">
        <v>125</v>
      </c>
      <c r="J8850" s="1" t="s">
        <v>67</v>
      </c>
      <c r="K8850" s="1" t="s">
        <v>14</v>
      </c>
      <c r="M8850" s="2">
        <v>42257</v>
      </c>
      <c r="N8850" s="1" t="s">
        <v>8</v>
      </c>
      <c r="O8850" s="1" t="s">
        <v>68</v>
      </c>
    </row>
    <row r="8851" spans="1:15" ht="43.2" x14ac:dyDescent="0.3">
      <c r="A8851" s="1" t="s">
        <v>23472</v>
      </c>
      <c r="B8851" s="1" t="str">
        <f>"Dafydd Evans"</f>
        <v>Dafydd Evans</v>
      </c>
      <c r="C8851" s="1" t="s">
        <v>23473</v>
      </c>
      <c r="F8851" s="1" t="s">
        <v>65</v>
      </c>
      <c r="H8851" s="1" t="s">
        <v>23474</v>
      </c>
      <c r="I8851" s="1" t="s">
        <v>5</v>
      </c>
      <c r="J8851" s="1" t="s">
        <v>67</v>
      </c>
      <c r="K8851" s="1" t="s">
        <v>14</v>
      </c>
      <c r="M8851" s="2">
        <v>42257</v>
      </c>
      <c r="N8851" s="1" t="s">
        <v>8</v>
      </c>
      <c r="O8851" s="1" t="s">
        <v>68</v>
      </c>
    </row>
    <row r="8852" spans="1:15" ht="43.2" x14ac:dyDescent="0.3">
      <c r="A8852" s="1" t="s">
        <v>30673</v>
      </c>
      <c r="B8852" s="1" t="str">
        <f>"Rhydian  Phillips Rhydian Phillips building contracto"</f>
        <v>Rhydian  Phillips Rhydian Phillips building contracto</v>
      </c>
      <c r="C8852" s="1" t="s">
        <v>30674</v>
      </c>
      <c r="D8852" s="1" t="s">
        <v>3150</v>
      </c>
      <c r="F8852" s="1" t="s">
        <v>96</v>
      </c>
      <c r="H8852" s="1" t="s">
        <v>3151</v>
      </c>
      <c r="I8852" s="1" t="s">
        <v>5</v>
      </c>
      <c r="J8852" s="1" t="s">
        <v>6</v>
      </c>
      <c r="K8852" s="1" t="s">
        <v>24</v>
      </c>
      <c r="M8852" s="2">
        <v>42257</v>
      </c>
      <c r="N8852" s="1" t="s">
        <v>8</v>
      </c>
      <c r="O8852" s="2">
        <v>44448</v>
      </c>
    </row>
    <row r="8853" spans="1:15" ht="28.8" x14ac:dyDescent="0.3">
      <c r="A8853" s="1" t="s">
        <v>31634</v>
      </c>
      <c r="B8853" s="1" t="str">
        <f>"Westhaven Construction Ltd."</f>
        <v>Westhaven Construction Ltd.</v>
      </c>
      <c r="C8853" s="1" t="s">
        <v>31635</v>
      </c>
      <c r="F8853" s="1" t="s">
        <v>438</v>
      </c>
      <c r="H8853" s="1" t="s">
        <v>31636</v>
      </c>
      <c r="I8853" s="1" t="s">
        <v>19</v>
      </c>
      <c r="J8853" s="1" t="s">
        <v>6</v>
      </c>
      <c r="K8853" s="1" t="s">
        <v>34</v>
      </c>
      <c r="L8853" s="1">
        <v>2304131</v>
      </c>
      <c r="M8853" s="2">
        <v>42257</v>
      </c>
      <c r="N8853" s="1" t="s">
        <v>8</v>
      </c>
      <c r="O8853" s="2">
        <v>44448</v>
      </c>
    </row>
    <row r="8854" spans="1:15" ht="43.2" x14ac:dyDescent="0.3">
      <c r="A8854" s="1" t="s">
        <v>9134</v>
      </c>
      <c r="B8854" s="1" t="str">
        <f>"Radyr Medical Centre"</f>
        <v>Radyr Medical Centre</v>
      </c>
      <c r="C8854" s="1" t="s">
        <v>9135</v>
      </c>
      <c r="D8854" s="1" t="s">
        <v>6747</v>
      </c>
      <c r="F8854" s="1" t="s">
        <v>123</v>
      </c>
      <c r="H8854" s="1" t="s">
        <v>9136</v>
      </c>
      <c r="I8854" s="1" t="s">
        <v>125</v>
      </c>
      <c r="J8854" s="1" t="s">
        <v>67</v>
      </c>
      <c r="K8854" s="1" t="s">
        <v>14</v>
      </c>
      <c r="M8854" s="2">
        <v>42256</v>
      </c>
      <c r="N8854" s="1" t="s">
        <v>8</v>
      </c>
      <c r="O8854" s="1" t="s">
        <v>68</v>
      </c>
    </row>
    <row r="8855" spans="1:15" ht="43.2" x14ac:dyDescent="0.3">
      <c r="A8855" s="1" t="s">
        <v>9137</v>
      </c>
      <c r="B8855" s="1" t="str">
        <f>"Welsh Ambulance Services"</f>
        <v>Welsh Ambulance Services</v>
      </c>
      <c r="C8855" s="1" t="s">
        <v>9138</v>
      </c>
      <c r="F8855" s="1" t="s">
        <v>4731</v>
      </c>
      <c r="H8855" s="1" t="s">
        <v>9139</v>
      </c>
      <c r="I8855" s="1" t="s">
        <v>188</v>
      </c>
      <c r="J8855" s="1" t="s">
        <v>67</v>
      </c>
      <c r="K8855" s="1" t="s">
        <v>24</v>
      </c>
      <c r="M8855" s="2">
        <v>42256</v>
      </c>
      <c r="N8855" s="1" t="s">
        <v>8</v>
      </c>
      <c r="O8855" s="1" t="s">
        <v>68</v>
      </c>
    </row>
    <row r="8856" spans="1:15" ht="43.2" x14ac:dyDescent="0.3">
      <c r="A8856" s="1" t="s">
        <v>22702</v>
      </c>
      <c r="B8856" s="1" t="str">
        <f>"Nick Hill Nick hill electrical contractor"</f>
        <v>Nick Hill Nick hill electrical contractor</v>
      </c>
      <c r="C8856" s="1" t="s">
        <v>22703</v>
      </c>
      <c r="F8856" s="1" t="s">
        <v>1260</v>
      </c>
      <c r="H8856" s="1" t="s">
        <v>22704</v>
      </c>
      <c r="I8856" s="1" t="s">
        <v>5</v>
      </c>
      <c r="J8856" s="1" t="s">
        <v>67</v>
      </c>
      <c r="K8856" s="1" t="s">
        <v>24</v>
      </c>
      <c r="M8856" s="2">
        <v>42256</v>
      </c>
      <c r="N8856" s="1" t="s">
        <v>8</v>
      </c>
      <c r="O8856" s="1" t="s">
        <v>68</v>
      </c>
    </row>
    <row r="8857" spans="1:15" ht="43.2" x14ac:dyDescent="0.3">
      <c r="A8857" s="1" t="s">
        <v>22705</v>
      </c>
      <c r="B8857" s="1" t="str">
        <f>"richard jones"</f>
        <v>richard jones</v>
      </c>
      <c r="C8857" s="1" t="s">
        <v>22706</v>
      </c>
      <c r="F8857" s="1" t="s">
        <v>27</v>
      </c>
      <c r="H8857" s="1" t="s">
        <v>22707</v>
      </c>
      <c r="I8857" s="1" t="s">
        <v>5</v>
      </c>
      <c r="J8857" s="1" t="s">
        <v>67</v>
      </c>
      <c r="K8857" s="1" t="s">
        <v>14</v>
      </c>
      <c r="M8857" s="2">
        <v>42256</v>
      </c>
      <c r="N8857" s="1" t="s">
        <v>8</v>
      </c>
      <c r="O8857" s="1" t="s">
        <v>68</v>
      </c>
    </row>
    <row r="8858" spans="1:15" ht="28.8" x14ac:dyDescent="0.3">
      <c r="A8858" s="1" t="s">
        <v>31605</v>
      </c>
      <c r="B8858" s="1" t="str">
        <f>"John Pearce (Glynneath) Ltd."</f>
        <v>John Pearce (Glynneath) Ltd.</v>
      </c>
      <c r="C8858" s="1" t="s">
        <v>31606</v>
      </c>
      <c r="D8858" s="1" t="s">
        <v>31607</v>
      </c>
      <c r="F8858" s="1" t="s">
        <v>31608</v>
      </c>
      <c r="H8858" s="1" t="s">
        <v>31609</v>
      </c>
      <c r="I8858" s="1" t="s">
        <v>19</v>
      </c>
      <c r="J8858" s="1" t="s">
        <v>6</v>
      </c>
      <c r="K8858" s="1" t="s">
        <v>24</v>
      </c>
      <c r="L8858" s="1">
        <v>2666622</v>
      </c>
      <c r="M8858" s="2">
        <v>42256</v>
      </c>
      <c r="N8858" s="1" t="s">
        <v>8</v>
      </c>
      <c r="O8858" s="2">
        <v>44447</v>
      </c>
    </row>
    <row r="8859" spans="1:15" x14ac:dyDescent="0.3">
      <c r="A8859" s="1" t="s">
        <v>32762</v>
      </c>
      <c r="B8859" s="1" t="str">
        <f>"O J JONES &amp; SON LTD"</f>
        <v>O J JONES &amp; SON LTD</v>
      </c>
      <c r="C8859" s="1" t="s">
        <v>32763</v>
      </c>
      <c r="F8859" s="1" t="s">
        <v>2504</v>
      </c>
      <c r="G8859" s="1" t="s">
        <v>3</v>
      </c>
      <c r="H8859" s="1" t="s">
        <v>10690</v>
      </c>
      <c r="I8859" s="1" t="s">
        <v>19</v>
      </c>
      <c r="J8859" s="1" t="s">
        <v>6</v>
      </c>
      <c r="K8859" s="1" t="s">
        <v>24</v>
      </c>
      <c r="L8859" s="1">
        <v>5887158</v>
      </c>
      <c r="M8859" s="2">
        <v>42256</v>
      </c>
      <c r="N8859" s="1" t="s">
        <v>8</v>
      </c>
      <c r="O8859" s="2">
        <v>44448</v>
      </c>
    </row>
    <row r="8860" spans="1:15" ht="28.8" x14ac:dyDescent="0.3">
      <c r="A8860" s="1" t="s">
        <v>32772</v>
      </c>
      <c r="B8860" s="1" t="str">
        <f>"CYMRU HYDRAULICS LTD"</f>
        <v>CYMRU HYDRAULICS LTD</v>
      </c>
      <c r="C8860" s="1" t="s">
        <v>2045</v>
      </c>
      <c r="D8860" s="1" t="s">
        <v>1128</v>
      </c>
      <c r="E8860" s="1" t="s">
        <v>258</v>
      </c>
      <c r="F8860" s="1" t="s">
        <v>64</v>
      </c>
      <c r="G8860" s="1" t="s">
        <v>65</v>
      </c>
      <c r="H8860" s="1" t="s">
        <v>1129</v>
      </c>
      <c r="I8860" s="1" t="s">
        <v>19</v>
      </c>
      <c r="J8860" s="1" t="s">
        <v>6</v>
      </c>
      <c r="K8860" s="1" t="s">
        <v>24</v>
      </c>
      <c r="L8860" s="1">
        <v>6807115</v>
      </c>
      <c r="M8860" s="2">
        <v>42256</v>
      </c>
      <c r="N8860" s="1" t="s">
        <v>8</v>
      </c>
      <c r="O8860" s="2">
        <v>44448</v>
      </c>
    </row>
    <row r="8861" spans="1:15" x14ac:dyDescent="0.3">
      <c r="A8861" s="1" t="s">
        <v>2549</v>
      </c>
      <c r="B8861" s="1" t="str">
        <f>"P A R  Homes Ltd."</f>
        <v>P A R  Homes Ltd.</v>
      </c>
      <c r="C8861" s="1" t="s">
        <v>2550</v>
      </c>
      <c r="D8861" s="1" t="s">
        <v>2551</v>
      </c>
      <c r="F8861" s="1" t="s">
        <v>798</v>
      </c>
      <c r="G8861" s="1" t="s">
        <v>162</v>
      </c>
      <c r="H8861" s="1" t="s">
        <v>2552</v>
      </c>
      <c r="I8861" s="1" t="s">
        <v>19</v>
      </c>
      <c r="J8861" s="1" t="s">
        <v>6</v>
      </c>
      <c r="K8861" s="1" t="s">
        <v>24</v>
      </c>
      <c r="L8861" s="1">
        <v>3401539</v>
      </c>
      <c r="M8861" s="2">
        <v>42255</v>
      </c>
      <c r="N8861" s="1" t="s">
        <v>8</v>
      </c>
      <c r="O8861" s="2">
        <v>44469</v>
      </c>
    </row>
    <row r="8862" spans="1:15" ht="43.2" x14ac:dyDescent="0.3">
      <c r="A8862" s="1" t="s">
        <v>6873</v>
      </c>
      <c r="B8862" s="1" t="str">
        <f>"Japanese Knotweed Removal Wales"</f>
        <v>Japanese Knotweed Removal Wales</v>
      </c>
      <c r="C8862" s="1" t="s">
        <v>6874</v>
      </c>
      <c r="F8862" s="1" t="s">
        <v>27</v>
      </c>
      <c r="H8862" s="1" t="s">
        <v>6875</v>
      </c>
      <c r="I8862" s="1" t="s">
        <v>19</v>
      </c>
      <c r="J8862" s="1" t="s">
        <v>67</v>
      </c>
      <c r="K8862" s="1" t="s">
        <v>14</v>
      </c>
      <c r="M8862" s="2">
        <v>42255</v>
      </c>
      <c r="N8862" s="1" t="s">
        <v>8</v>
      </c>
      <c r="O8862" s="1" t="s">
        <v>68</v>
      </c>
    </row>
    <row r="8863" spans="1:15" ht="43.2" x14ac:dyDescent="0.3">
      <c r="A8863" s="1" t="s">
        <v>21900</v>
      </c>
      <c r="B8863" s="1" t="str">
        <f>"Alyson Pritchard"</f>
        <v>Alyson Pritchard</v>
      </c>
      <c r="C8863" s="1" t="s">
        <v>21901</v>
      </c>
      <c r="F8863" s="1" t="s">
        <v>151</v>
      </c>
      <c r="H8863" s="1" t="s">
        <v>21902</v>
      </c>
      <c r="I8863" s="1" t="s">
        <v>5</v>
      </c>
      <c r="J8863" s="1" t="s">
        <v>67</v>
      </c>
      <c r="K8863" s="1" t="s">
        <v>14</v>
      </c>
      <c r="M8863" s="2">
        <v>42255</v>
      </c>
      <c r="N8863" s="1" t="s">
        <v>8</v>
      </c>
      <c r="O8863" s="1" t="s">
        <v>68</v>
      </c>
    </row>
    <row r="8864" spans="1:15" ht="43.2" x14ac:dyDescent="0.3">
      <c r="A8864" s="1" t="s">
        <v>30734</v>
      </c>
      <c r="B8864" s="1" t="str">
        <f>"Paul Caruana Moorland Garden Maintenance Services"</f>
        <v>Paul Caruana Moorland Garden Maintenance Services</v>
      </c>
      <c r="C8864" s="1" t="s">
        <v>30735</v>
      </c>
      <c r="F8864" s="1" t="s">
        <v>123</v>
      </c>
      <c r="G8864" s="1" t="s">
        <v>27</v>
      </c>
      <c r="H8864" s="1" t="s">
        <v>30736</v>
      </c>
      <c r="I8864" s="1" t="s">
        <v>5</v>
      </c>
      <c r="J8864" s="1" t="s">
        <v>6</v>
      </c>
      <c r="K8864" s="1" t="s">
        <v>34</v>
      </c>
      <c r="M8864" s="2">
        <v>42255</v>
      </c>
      <c r="N8864" s="1" t="s">
        <v>8</v>
      </c>
      <c r="O8864" s="2">
        <v>44447</v>
      </c>
    </row>
    <row r="8865" spans="1:15" ht="28.8" x14ac:dyDescent="0.3">
      <c r="A8865" s="1" t="s">
        <v>31795</v>
      </c>
      <c r="B8865" s="1" t="str">
        <f>"Wynford Jenkins J &amp; S Plant Hire"</f>
        <v>Wynford Jenkins J &amp; S Plant Hire</v>
      </c>
      <c r="C8865" s="1" t="s">
        <v>31796</v>
      </c>
      <c r="D8865" s="1" t="s">
        <v>31797</v>
      </c>
      <c r="E8865" s="1" t="s">
        <v>29723</v>
      </c>
      <c r="F8865" s="1" t="s">
        <v>491</v>
      </c>
      <c r="G8865" s="1" t="s">
        <v>115</v>
      </c>
      <c r="H8865" s="1" t="s">
        <v>31798</v>
      </c>
      <c r="I8865" s="1" t="s">
        <v>5</v>
      </c>
      <c r="J8865" s="1" t="s">
        <v>6</v>
      </c>
      <c r="K8865" s="1" t="s">
        <v>34</v>
      </c>
      <c r="M8865" s="2">
        <v>42255</v>
      </c>
      <c r="N8865" s="1" t="s">
        <v>8</v>
      </c>
      <c r="O8865" s="2">
        <v>44447</v>
      </c>
    </row>
    <row r="8866" spans="1:15" ht="28.8" x14ac:dyDescent="0.3">
      <c r="A8866" s="1" t="s">
        <v>31858</v>
      </c>
      <c r="B8866" s="1" t="str">
        <f>"Jeffrey Coombs Jeff's Garden Service"</f>
        <v>Jeffrey Coombs Jeff's Garden Service</v>
      </c>
      <c r="C8866" s="1" t="s">
        <v>31859</v>
      </c>
      <c r="F8866" s="1" t="s">
        <v>123</v>
      </c>
      <c r="G8866" s="1" t="s">
        <v>27</v>
      </c>
      <c r="H8866" s="1" t="s">
        <v>31860</v>
      </c>
      <c r="I8866" s="1" t="s">
        <v>5</v>
      </c>
      <c r="J8866" s="1" t="s">
        <v>6</v>
      </c>
      <c r="K8866" s="1" t="s">
        <v>24</v>
      </c>
      <c r="M8866" s="2">
        <v>42255</v>
      </c>
      <c r="N8866" s="1" t="s">
        <v>8</v>
      </c>
      <c r="O8866" s="2">
        <v>44447</v>
      </c>
    </row>
    <row r="8867" spans="1:15" ht="43.2" x14ac:dyDescent="0.3">
      <c r="A8867" s="1" t="s">
        <v>21135</v>
      </c>
      <c r="B8867" s="1" t="str">
        <f>"Gareth Lewis"</f>
        <v>Gareth Lewis</v>
      </c>
      <c r="C8867" s="1" t="s">
        <v>21136</v>
      </c>
      <c r="F8867" s="1" t="s">
        <v>653</v>
      </c>
      <c r="H8867" s="1" t="s">
        <v>21137</v>
      </c>
      <c r="I8867" s="1" t="s">
        <v>5</v>
      </c>
      <c r="J8867" s="1" t="s">
        <v>67</v>
      </c>
      <c r="K8867" s="1" t="s">
        <v>14</v>
      </c>
      <c r="M8867" s="2">
        <v>42254</v>
      </c>
      <c r="N8867" s="1" t="s">
        <v>8</v>
      </c>
      <c r="O8867" s="1" t="s">
        <v>68</v>
      </c>
    </row>
    <row r="8868" spans="1:15" ht="28.8" x14ac:dyDescent="0.3">
      <c r="A8868" s="1" t="s">
        <v>2481</v>
      </c>
      <c r="B8868" s="1" t="str">
        <f>"Alun Williams Construction Ltd."</f>
        <v>Alun Williams Construction Ltd.</v>
      </c>
      <c r="C8868" s="1" t="s">
        <v>2482</v>
      </c>
      <c r="D8868" s="1" t="s">
        <v>2483</v>
      </c>
      <c r="F8868" s="1" t="s">
        <v>1991</v>
      </c>
      <c r="G8868" s="1" t="s">
        <v>115</v>
      </c>
      <c r="H8868" s="1" t="s">
        <v>2484</v>
      </c>
      <c r="I8868" s="1" t="s">
        <v>19</v>
      </c>
      <c r="J8868" s="1" t="s">
        <v>6</v>
      </c>
      <c r="K8868" s="1" t="s">
        <v>34</v>
      </c>
      <c r="L8868" s="1">
        <v>4878252</v>
      </c>
      <c r="M8868" s="2">
        <v>42253</v>
      </c>
      <c r="N8868" s="1" t="s">
        <v>8</v>
      </c>
      <c r="O8868" s="2">
        <v>44445</v>
      </c>
    </row>
    <row r="8869" spans="1:15" ht="43.2" x14ac:dyDescent="0.3">
      <c r="A8869" s="1" t="s">
        <v>21131</v>
      </c>
      <c r="B8869" s="1" t="str">
        <f>"Nicola Davies"</f>
        <v>Nicola Davies</v>
      </c>
      <c r="C8869" s="1" t="s">
        <v>21132</v>
      </c>
      <c r="D8869" s="1" t="s">
        <v>21133</v>
      </c>
      <c r="F8869" s="1" t="s">
        <v>438</v>
      </c>
      <c r="H8869" s="1" t="s">
        <v>21134</v>
      </c>
      <c r="I8869" s="1" t="s">
        <v>5</v>
      </c>
      <c r="J8869" s="1" t="s">
        <v>67</v>
      </c>
      <c r="K8869" s="1" t="s">
        <v>14</v>
      </c>
      <c r="M8869" s="2">
        <v>42252</v>
      </c>
      <c r="N8869" s="1" t="s">
        <v>8</v>
      </c>
      <c r="O8869" s="1" t="s">
        <v>68</v>
      </c>
    </row>
    <row r="8870" spans="1:15" ht="28.8" x14ac:dyDescent="0.3">
      <c r="A8870" s="1" t="s">
        <v>31883</v>
      </c>
      <c r="B8870" s="1" t="str">
        <f>"H J Landscapes Ltd"</f>
        <v>H J Landscapes Ltd</v>
      </c>
      <c r="C8870" s="1" t="s">
        <v>31884</v>
      </c>
      <c r="D8870" s="1" t="s">
        <v>31885</v>
      </c>
      <c r="E8870" s="1" t="s">
        <v>2104</v>
      </c>
      <c r="F8870" s="1" t="s">
        <v>1321</v>
      </c>
      <c r="G8870" s="1" t="s">
        <v>3</v>
      </c>
      <c r="H8870" s="1" t="s">
        <v>12202</v>
      </c>
      <c r="I8870" s="1" t="s">
        <v>19</v>
      </c>
      <c r="J8870" s="1" t="s">
        <v>6</v>
      </c>
      <c r="K8870" s="1" t="s">
        <v>34</v>
      </c>
      <c r="L8870" s="1">
        <v>6666219</v>
      </c>
      <c r="M8870" s="2">
        <v>42252</v>
      </c>
      <c r="N8870" s="1" t="s">
        <v>8</v>
      </c>
      <c r="O8870" s="2">
        <v>44444</v>
      </c>
    </row>
    <row r="8871" spans="1:15" ht="43.2" x14ac:dyDescent="0.3">
      <c r="A8871" s="1" t="s">
        <v>5698</v>
      </c>
      <c r="B8871" s="1" t="str">
        <f>"Penguin Flooring"</f>
        <v>Penguin Flooring</v>
      </c>
      <c r="C8871" s="1" t="s">
        <v>5699</v>
      </c>
      <c r="F8871" s="1" t="s">
        <v>123</v>
      </c>
      <c r="G8871" s="1" t="s">
        <v>27</v>
      </c>
      <c r="H8871" s="1" t="s">
        <v>5700</v>
      </c>
      <c r="I8871" s="1" t="s">
        <v>125</v>
      </c>
      <c r="J8871" s="1" t="s">
        <v>67</v>
      </c>
      <c r="K8871" s="1" t="s">
        <v>24</v>
      </c>
      <c r="M8871" s="2">
        <v>42251</v>
      </c>
      <c r="N8871" s="1" t="s">
        <v>8</v>
      </c>
      <c r="O8871" s="1" t="s">
        <v>68</v>
      </c>
    </row>
    <row r="8872" spans="1:15" ht="43.2" x14ac:dyDescent="0.3">
      <c r="A8872" s="1" t="s">
        <v>5701</v>
      </c>
      <c r="B8872" s="1" t="str">
        <f>"Atal Contracting Ltd"</f>
        <v>Atal Contracting Ltd</v>
      </c>
      <c r="C8872" s="1" t="s">
        <v>5702</v>
      </c>
      <c r="D8872" s="1" t="s">
        <v>102</v>
      </c>
      <c r="F8872" s="1" t="s">
        <v>1240</v>
      </c>
      <c r="H8872" s="1" t="s">
        <v>5703</v>
      </c>
      <c r="I8872" s="1" t="s">
        <v>19</v>
      </c>
      <c r="J8872" s="1" t="s">
        <v>67</v>
      </c>
      <c r="K8872" s="1" t="s">
        <v>14</v>
      </c>
      <c r="M8872" s="2">
        <v>42251</v>
      </c>
      <c r="N8872" s="1" t="s">
        <v>8</v>
      </c>
      <c r="O8872" s="1" t="s">
        <v>68</v>
      </c>
    </row>
    <row r="8873" spans="1:15" ht="43.2" x14ac:dyDescent="0.3">
      <c r="A8873" s="1" t="s">
        <v>20354</v>
      </c>
      <c r="B8873" s="1" t="str">
        <f>"steven rowland"</f>
        <v>steven rowland</v>
      </c>
      <c r="C8873" s="1" t="s">
        <v>20355</v>
      </c>
      <c r="F8873" s="1" t="s">
        <v>65</v>
      </c>
      <c r="H8873" s="1" t="s">
        <v>20356</v>
      </c>
      <c r="I8873" s="1" t="s">
        <v>5</v>
      </c>
      <c r="J8873" s="1" t="s">
        <v>67</v>
      </c>
      <c r="K8873" s="1" t="s">
        <v>14</v>
      </c>
      <c r="M8873" s="2">
        <v>42251</v>
      </c>
      <c r="N8873" s="1" t="s">
        <v>8</v>
      </c>
      <c r="O8873" s="1" t="s">
        <v>68</v>
      </c>
    </row>
    <row r="8874" spans="1:15" ht="43.2" x14ac:dyDescent="0.3">
      <c r="A8874" s="1" t="s">
        <v>21128</v>
      </c>
      <c r="B8874" s="1" t="str">
        <f>"Sarah Peters Inside and Out"</f>
        <v>Sarah Peters Inside and Out</v>
      </c>
      <c r="C8874" s="1" t="s">
        <v>21129</v>
      </c>
      <c r="F8874" s="1" t="s">
        <v>65</v>
      </c>
      <c r="H8874" s="1" t="s">
        <v>21130</v>
      </c>
      <c r="I8874" s="1" t="s">
        <v>5</v>
      </c>
      <c r="J8874" s="1" t="s">
        <v>67</v>
      </c>
      <c r="K8874" s="1" t="s">
        <v>24</v>
      </c>
      <c r="M8874" s="2">
        <v>42251</v>
      </c>
      <c r="N8874" s="1" t="s">
        <v>8</v>
      </c>
      <c r="O8874" s="1" t="s">
        <v>68</v>
      </c>
    </row>
    <row r="8875" spans="1:15" ht="28.8" x14ac:dyDescent="0.3">
      <c r="A8875" s="1" t="s">
        <v>31610</v>
      </c>
      <c r="B8875" s="1" t="str">
        <f>"Rob Nightingale Red Dragon Removals"</f>
        <v>Rob Nightingale Red Dragon Removals</v>
      </c>
      <c r="C8875" s="1" t="s">
        <v>31611</v>
      </c>
      <c r="F8875" s="1" t="s">
        <v>31612</v>
      </c>
      <c r="G8875" s="1" t="s">
        <v>679</v>
      </c>
      <c r="H8875" s="1" t="s">
        <v>31613</v>
      </c>
      <c r="I8875" s="1" t="s">
        <v>5</v>
      </c>
      <c r="J8875" s="1" t="s">
        <v>6</v>
      </c>
      <c r="K8875" s="1" t="s">
        <v>24</v>
      </c>
      <c r="M8875" s="2">
        <v>42251</v>
      </c>
      <c r="N8875" s="1" t="s">
        <v>8</v>
      </c>
      <c r="O8875" s="2">
        <v>44442</v>
      </c>
    </row>
    <row r="8876" spans="1:15" ht="28.8" x14ac:dyDescent="0.3">
      <c r="A8876" s="1" t="s">
        <v>31790</v>
      </c>
      <c r="B8876" s="1" t="str">
        <f>"Phillip david Mordecai"</f>
        <v>Phillip david Mordecai</v>
      </c>
      <c r="C8876" s="1" t="s">
        <v>31791</v>
      </c>
      <c r="D8876" s="1" t="s">
        <v>31792</v>
      </c>
      <c r="E8876" s="1" t="s">
        <v>31793</v>
      </c>
      <c r="F8876" s="1" t="s">
        <v>179</v>
      </c>
      <c r="G8876" s="1" t="s">
        <v>211</v>
      </c>
      <c r="H8876" s="1" t="s">
        <v>31794</v>
      </c>
      <c r="I8876" s="1" t="s">
        <v>5</v>
      </c>
      <c r="J8876" s="1" t="s">
        <v>6</v>
      </c>
      <c r="K8876" s="1" t="s">
        <v>34</v>
      </c>
      <c r="M8876" s="2">
        <v>42251</v>
      </c>
      <c r="N8876" s="1" t="s">
        <v>8</v>
      </c>
      <c r="O8876" s="2">
        <v>44443</v>
      </c>
    </row>
    <row r="8877" spans="1:15" ht="28.8" x14ac:dyDescent="0.3">
      <c r="A8877" s="1" t="s">
        <v>2708</v>
      </c>
      <c r="B8877" s="1" t="str">
        <f>"D&amp;R Maintenance Solutions Ltd"</f>
        <v>D&amp;R Maintenance Solutions Ltd</v>
      </c>
      <c r="C8877" s="1" t="s">
        <v>2709</v>
      </c>
      <c r="D8877" s="1" t="s">
        <v>2710</v>
      </c>
      <c r="F8877" s="1" t="s">
        <v>2711</v>
      </c>
      <c r="H8877" s="1" t="s">
        <v>2712</v>
      </c>
      <c r="I8877" s="1" t="s">
        <v>19</v>
      </c>
      <c r="J8877" s="1" t="s">
        <v>6</v>
      </c>
      <c r="K8877" s="1" t="s">
        <v>24</v>
      </c>
      <c r="L8877" s="1">
        <v>4829250</v>
      </c>
      <c r="M8877" s="2">
        <v>42250</v>
      </c>
      <c r="N8877" s="1" t="s">
        <v>8</v>
      </c>
      <c r="O8877" s="2">
        <v>44442</v>
      </c>
    </row>
    <row r="8878" spans="1:15" ht="43.2" x14ac:dyDescent="0.3">
      <c r="A8878" s="1" t="s">
        <v>20351</v>
      </c>
      <c r="B8878" s="1" t="str">
        <f>"Mark Hobbs"</f>
        <v>Mark Hobbs</v>
      </c>
      <c r="C8878" s="1" t="s">
        <v>20352</v>
      </c>
      <c r="F8878" s="1" t="s">
        <v>298</v>
      </c>
      <c r="H8878" s="1" t="s">
        <v>20353</v>
      </c>
      <c r="I8878" s="1" t="s">
        <v>5</v>
      </c>
      <c r="J8878" s="1" t="s">
        <v>67</v>
      </c>
      <c r="K8878" s="1" t="s">
        <v>14</v>
      </c>
      <c r="M8878" s="2">
        <v>42250</v>
      </c>
      <c r="N8878" s="1" t="s">
        <v>8</v>
      </c>
      <c r="O8878" s="1" t="s">
        <v>68</v>
      </c>
    </row>
    <row r="8879" spans="1:15" ht="28.8" x14ac:dyDescent="0.3">
      <c r="A8879" s="1" t="s">
        <v>30898</v>
      </c>
      <c r="B8879" s="1" t="str">
        <f>"TREE CONTROL LIMITED"</f>
        <v>TREE CONTROL LIMITED</v>
      </c>
      <c r="C8879" s="1" t="s">
        <v>30899</v>
      </c>
      <c r="F8879" s="1" t="s">
        <v>123</v>
      </c>
      <c r="G8879" s="1" t="s">
        <v>27</v>
      </c>
      <c r="H8879" s="1" t="s">
        <v>30900</v>
      </c>
      <c r="I8879" s="1" t="s">
        <v>19</v>
      </c>
      <c r="J8879" s="1" t="s">
        <v>6</v>
      </c>
      <c r="K8879" s="1" t="s">
        <v>24</v>
      </c>
      <c r="L8879" s="1">
        <v>8016806</v>
      </c>
      <c r="M8879" s="2">
        <v>42250</v>
      </c>
      <c r="N8879" s="1" t="s">
        <v>8</v>
      </c>
      <c r="O8879" s="2">
        <v>44491</v>
      </c>
    </row>
    <row r="8880" spans="1:15" ht="28.8" x14ac:dyDescent="0.3">
      <c r="A8880" s="1" t="s">
        <v>31799</v>
      </c>
      <c r="B8880" s="1" t="str">
        <f>"Shane Griffiths &amp; Son"</f>
        <v>Shane Griffiths &amp; Son</v>
      </c>
      <c r="C8880" s="1" t="s">
        <v>2777</v>
      </c>
      <c r="D8880" s="1" t="s">
        <v>31800</v>
      </c>
      <c r="F8880" s="1" t="s">
        <v>2961</v>
      </c>
      <c r="G8880" s="1" t="s">
        <v>51</v>
      </c>
      <c r="H8880" s="1" t="s">
        <v>31801</v>
      </c>
      <c r="I8880" s="1" t="s">
        <v>19</v>
      </c>
      <c r="J8880" s="1" t="s">
        <v>6</v>
      </c>
      <c r="K8880" s="1" t="s">
        <v>34</v>
      </c>
      <c r="L8880" s="1">
        <v>7239112</v>
      </c>
      <c r="M8880" s="2">
        <v>42250</v>
      </c>
      <c r="N8880" s="1" t="s">
        <v>8</v>
      </c>
      <c r="O8880" s="2">
        <v>44442</v>
      </c>
    </row>
    <row r="8881" spans="1:15" ht="28.8" x14ac:dyDescent="0.3">
      <c r="A8881" s="1" t="s">
        <v>2529</v>
      </c>
      <c r="B8881" s="1" t="str">
        <f>"Alan Phillips Alan Phillips"</f>
        <v>Alan Phillips Alan Phillips</v>
      </c>
      <c r="C8881" s="1" t="s">
        <v>2530</v>
      </c>
      <c r="D8881" s="1" t="s">
        <v>2531</v>
      </c>
      <c r="F8881" s="1" t="s">
        <v>179</v>
      </c>
      <c r="G8881" s="1" t="s">
        <v>180</v>
      </c>
      <c r="H8881" s="1" t="s">
        <v>2532</v>
      </c>
      <c r="I8881" s="1" t="s">
        <v>5</v>
      </c>
      <c r="J8881" s="1" t="s">
        <v>6</v>
      </c>
      <c r="K8881" s="1" t="s">
        <v>24</v>
      </c>
      <c r="M8881" s="2">
        <v>42249</v>
      </c>
      <c r="N8881" s="1" t="s">
        <v>8</v>
      </c>
      <c r="O8881" s="2">
        <v>44440</v>
      </c>
    </row>
    <row r="8882" spans="1:15" ht="43.2" x14ac:dyDescent="0.3">
      <c r="A8882" s="1" t="s">
        <v>5692</v>
      </c>
      <c r="B8882" s="1" t="str">
        <f>"Mid Wales Food and Land Trust"</f>
        <v>Mid Wales Food and Land Trust</v>
      </c>
      <c r="C8882" s="1" t="s">
        <v>5693</v>
      </c>
      <c r="F8882" s="1" t="s">
        <v>445</v>
      </c>
      <c r="H8882" s="1" t="s">
        <v>5694</v>
      </c>
      <c r="I8882" s="1" t="s">
        <v>19</v>
      </c>
      <c r="J8882" s="1" t="s">
        <v>67</v>
      </c>
      <c r="K8882" s="1" t="s">
        <v>14</v>
      </c>
      <c r="M8882" s="2">
        <v>42249</v>
      </c>
      <c r="N8882" s="1" t="s">
        <v>8</v>
      </c>
      <c r="O8882" s="1" t="s">
        <v>68</v>
      </c>
    </row>
    <row r="8883" spans="1:15" ht="43.2" x14ac:dyDescent="0.3">
      <c r="A8883" s="1" t="s">
        <v>5695</v>
      </c>
      <c r="B8883" s="1" t="str">
        <f>"Oil Boiler Servicing"</f>
        <v>Oil Boiler Servicing</v>
      </c>
      <c r="C8883" s="1" t="s">
        <v>5696</v>
      </c>
      <c r="F8883" s="1" t="s">
        <v>445</v>
      </c>
      <c r="H8883" s="1" t="s">
        <v>5697</v>
      </c>
      <c r="I8883" s="1" t="s">
        <v>125</v>
      </c>
      <c r="J8883" s="1" t="s">
        <v>67</v>
      </c>
      <c r="K8883" s="1" t="s">
        <v>14</v>
      </c>
      <c r="M8883" s="2">
        <v>42249</v>
      </c>
      <c r="N8883" s="1" t="s">
        <v>8</v>
      </c>
      <c r="O8883" s="1" t="s">
        <v>68</v>
      </c>
    </row>
    <row r="8884" spans="1:15" ht="43.2" x14ac:dyDescent="0.3">
      <c r="A8884" s="1" t="s">
        <v>30607</v>
      </c>
      <c r="B8884" s="1" t="str">
        <f>"Creating Enterprise CIC"</f>
        <v>Creating Enterprise CIC</v>
      </c>
      <c r="C8884" s="1" t="s">
        <v>30608</v>
      </c>
      <c r="D8884" s="1" t="s">
        <v>344</v>
      </c>
      <c r="F8884" s="1" t="s">
        <v>955</v>
      </c>
      <c r="H8884" s="1" t="s">
        <v>2704</v>
      </c>
      <c r="I8884" s="1" t="s">
        <v>19</v>
      </c>
      <c r="J8884" s="1" t="s">
        <v>6</v>
      </c>
      <c r="K8884" s="1" t="s">
        <v>34</v>
      </c>
      <c r="L8884" s="1">
        <v>9134089</v>
      </c>
      <c r="M8884" s="2">
        <v>42249</v>
      </c>
      <c r="N8884" s="1" t="s">
        <v>8</v>
      </c>
      <c r="O8884" s="2">
        <v>44440</v>
      </c>
    </row>
    <row r="8885" spans="1:15" ht="28.8" x14ac:dyDescent="0.3">
      <c r="A8885" s="1" t="s">
        <v>31614</v>
      </c>
      <c r="B8885" s="1" t="str">
        <f>"CAERPHILLY SKIP HIRE (CWS) LTD"</f>
        <v>CAERPHILLY SKIP HIRE (CWS) LTD</v>
      </c>
      <c r="C8885" s="1" t="s">
        <v>11384</v>
      </c>
      <c r="D8885" s="1" t="s">
        <v>4273</v>
      </c>
      <c r="E8885" s="1" t="s">
        <v>3176</v>
      </c>
      <c r="F8885" s="1" t="s">
        <v>103</v>
      </c>
      <c r="H8885" s="1" t="s">
        <v>4274</v>
      </c>
      <c r="I8885" s="1" t="s">
        <v>19</v>
      </c>
      <c r="J8885" s="1" t="s">
        <v>6</v>
      </c>
      <c r="K8885" s="1" t="s">
        <v>24</v>
      </c>
      <c r="L8885" s="1">
        <v>6940313</v>
      </c>
      <c r="M8885" s="2">
        <v>42249</v>
      </c>
      <c r="N8885" s="1" t="s">
        <v>8</v>
      </c>
      <c r="O8885" s="2">
        <v>44440</v>
      </c>
    </row>
    <row r="8886" spans="1:15" ht="43.2" x14ac:dyDescent="0.3">
      <c r="A8886" s="1" t="s">
        <v>4541</v>
      </c>
      <c r="B8886" s="1" t="str">
        <f>"JC Carpets and Beds of Monmouth"</f>
        <v>JC Carpets and Beds of Monmouth</v>
      </c>
      <c r="C8886" s="1" t="s">
        <v>4542</v>
      </c>
      <c r="F8886" s="1" t="s">
        <v>2711</v>
      </c>
      <c r="H8886" s="1" t="s">
        <v>4543</v>
      </c>
      <c r="I8886" s="1" t="s">
        <v>125</v>
      </c>
      <c r="J8886" s="1" t="s">
        <v>67</v>
      </c>
      <c r="K8886" s="1" t="s">
        <v>14</v>
      </c>
      <c r="M8886" s="2">
        <v>42248</v>
      </c>
      <c r="N8886" s="1" t="s">
        <v>8</v>
      </c>
      <c r="O8886" s="1" t="s">
        <v>68</v>
      </c>
    </row>
    <row r="8887" spans="1:15" ht="43.2" x14ac:dyDescent="0.3">
      <c r="A8887" s="1" t="s">
        <v>18700</v>
      </c>
      <c r="B8887" s="1" t="str">
        <f>"sneha prathipati"</f>
        <v>sneha prathipati</v>
      </c>
      <c r="C8887" s="1" t="s">
        <v>18701</v>
      </c>
      <c r="F8887" s="1" t="s">
        <v>8841</v>
      </c>
      <c r="H8887" s="1" t="s">
        <v>18702</v>
      </c>
      <c r="I8887" s="1" t="s">
        <v>5</v>
      </c>
      <c r="J8887" s="1" t="s">
        <v>67</v>
      </c>
      <c r="K8887" s="1" t="s">
        <v>14</v>
      </c>
      <c r="M8887" s="2">
        <v>42248</v>
      </c>
      <c r="N8887" s="1" t="s">
        <v>8</v>
      </c>
      <c r="O8887" s="1" t="s">
        <v>68</v>
      </c>
    </row>
    <row r="8888" spans="1:15" ht="43.2" x14ac:dyDescent="0.3">
      <c r="A8888" s="1" t="s">
        <v>19570</v>
      </c>
      <c r="B8888" s="1" t="str">
        <f>"Daryl Panayiotiou"</f>
        <v>Daryl Panayiotiou</v>
      </c>
      <c r="C8888" s="1" t="s">
        <v>19571</v>
      </c>
      <c r="F8888" s="1" t="s">
        <v>42</v>
      </c>
      <c r="H8888" s="1" t="s">
        <v>19572</v>
      </c>
      <c r="I8888" s="1" t="s">
        <v>5</v>
      </c>
      <c r="J8888" s="1" t="s">
        <v>67</v>
      </c>
      <c r="K8888" s="1" t="s">
        <v>14</v>
      </c>
      <c r="M8888" s="2">
        <v>42248</v>
      </c>
      <c r="N8888" s="1" t="s">
        <v>8</v>
      </c>
      <c r="O8888" s="1" t="s">
        <v>68</v>
      </c>
    </row>
    <row r="8889" spans="1:15" ht="28.8" x14ac:dyDescent="0.3">
      <c r="A8889" s="1" t="s">
        <v>30717</v>
      </c>
      <c r="B8889" s="1" t="str">
        <f>"Nu-Look Builders Ltd."</f>
        <v>Nu-Look Builders Ltd.</v>
      </c>
      <c r="C8889" s="1" t="s">
        <v>30718</v>
      </c>
      <c r="F8889" s="1" t="s">
        <v>42</v>
      </c>
      <c r="H8889" s="1" t="s">
        <v>30719</v>
      </c>
      <c r="I8889" s="1" t="s">
        <v>19</v>
      </c>
      <c r="J8889" s="1" t="s">
        <v>6</v>
      </c>
      <c r="K8889" s="1" t="s">
        <v>24</v>
      </c>
      <c r="L8889" s="1">
        <v>3425783</v>
      </c>
      <c r="M8889" s="2">
        <v>42248</v>
      </c>
      <c r="N8889" s="1" t="s">
        <v>8</v>
      </c>
      <c r="O8889" s="2">
        <v>44439</v>
      </c>
    </row>
    <row r="8890" spans="1:15" ht="28.8" x14ac:dyDescent="0.3">
      <c r="A8890" s="1" t="s">
        <v>31643</v>
      </c>
      <c r="B8890" s="1" t="str">
        <f>"Ian Harcourt Ian Harcourt Tree Services"</f>
        <v>Ian Harcourt Ian Harcourt Tree Services</v>
      </c>
      <c r="C8890" s="1" t="s">
        <v>31644</v>
      </c>
      <c r="F8890" s="1" t="s">
        <v>96</v>
      </c>
      <c r="H8890" s="1" t="s">
        <v>31645</v>
      </c>
      <c r="I8890" s="1" t="s">
        <v>5</v>
      </c>
      <c r="J8890" s="1" t="s">
        <v>6</v>
      </c>
      <c r="K8890" s="1" t="s">
        <v>24</v>
      </c>
      <c r="M8890" s="2">
        <v>42248</v>
      </c>
      <c r="N8890" s="1" t="s">
        <v>8</v>
      </c>
      <c r="O8890" s="2">
        <v>44439</v>
      </c>
    </row>
    <row r="8891" spans="1:15" ht="43.2" x14ac:dyDescent="0.3">
      <c r="A8891" s="1" t="s">
        <v>31656</v>
      </c>
      <c r="B8891" s="1" t="str">
        <f>"CWM RHONDDA WASTE MANAGEMENT SERVICES LTD"</f>
        <v>CWM RHONDDA WASTE MANAGEMENT SERVICES LTD</v>
      </c>
      <c r="C8891" s="1" t="s">
        <v>31657</v>
      </c>
      <c r="D8891" s="1" t="s">
        <v>5001</v>
      </c>
      <c r="F8891" s="1" t="s">
        <v>457</v>
      </c>
      <c r="H8891" s="1" t="s">
        <v>31658</v>
      </c>
      <c r="I8891" s="1" t="s">
        <v>19</v>
      </c>
      <c r="J8891" s="1" t="s">
        <v>6</v>
      </c>
      <c r="K8891" s="1" t="s">
        <v>24</v>
      </c>
      <c r="L8891" s="1">
        <v>7298552</v>
      </c>
      <c r="M8891" s="2">
        <v>42248</v>
      </c>
      <c r="N8891" s="1" t="s">
        <v>8</v>
      </c>
      <c r="O8891" s="2">
        <v>44439</v>
      </c>
    </row>
    <row r="8892" spans="1:15" ht="28.8" x14ac:dyDescent="0.3">
      <c r="A8892" s="1" t="s">
        <v>32722</v>
      </c>
      <c r="B8892" s="1" t="str">
        <f>"Dragon Civil Engineering Ltd."</f>
        <v>Dragon Civil Engineering Ltd.</v>
      </c>
      <c r="C8892" s="1" t="s">
        <v>32723</v>
      </c>
      <c r="D8892" s="1" t="s">
        <v>32724</v>
      </c>
      <c r="F8892" s="1" t="s">
        <v>790</v>
      </c>
      <c r="G8892" s="1" t="s">
        <v>3</v>
      </c>
      <c r="H8892" s="1" t="s">
        <v>32725</v>
      </c>
      <c r="I8892" s="1" t="s">
        <v>19</v>
      </c>
      <c r="J8892" s="1" t="s">
        <v>6</v>
      </c>
      <c r="K8892" s="1" t="s">
        <v>24</v>
      </c>
      <c r="L8892" s="1">
        <v>3677245</v>
      </c>
      <c r="M8892" s="2">
        <v>42248</v>
      </c>
      <c r="N8892" s="1" t="s">
        <v>8</v>
      </c>
      <c r="O8892" s="2">
        <v>44440</v>
      </c>
    </row>
    <row r="8893" spans="1:15" ht="43.2" x14ac:dyDescent="0.3">
      <c r="A8893" s="1" t="s">
        <v>18696</v>
      </c>
      <c r="B8893" s="1" t="str">
        <f>"john james"</f>
        <v>john james</v>
      </c>
      <c r="C8893" s="1" t="s">
        <v>18697</v>
      </c>
      <c r="D8893" s="1" t="s">
        <v>18698</v>
      </c>
      <c r="E8893" s="1" t="s">
        <v>5248</v>
      </c>
      <c r="F8893" s="1" t="s">
        <v>1175</v>
      </c>
      <c r="H8893" s="1" t="s">
        <v>18699</v>
      </c>
      <c r="I8893" s="1" t="s">
        <v>5</v>
      </c>
      <c r="J8893" s="1" t="s">
        <v>67</v>
      </c>
      <c r="K8893" s="1" t="s">
        <v>14</v>
      </c>
      <c r="M8893" s="2">
        <v>42247</v>
      </c>
      <c r="N8893" s="1" t="s">
        <v>8</v>
      </c>
      <c r="O8893" s="1" t="s">
        <v>68</v>
      </c>
    </row>
    <row r="8894" spans="1:15" ht="28.8" x14ac:dyDescent="0.3">
      <c r="A8894" s="1" t="s">
        <v>30659</v>
      </c>
      <c r="B8894" s="1" t="str">
        <f>"COBA ELECTRICAL SERVICES LTD"</f>
        <v>COBA ELECTRICAL SERVICES LTD</v>
      </c>
      <c r="C8894" s="1" t="s">
        <v>30660</v>
      </c>
      <c r="D8894" s="1" t="s">
        <v>475</v>
      </c>
      <c r="F8894" s="1" t="s">
        <v>83</v>
      </c>
      <c r="H8894" s="1" t="s">
        <v>7108</v>
      </c>
      <c r="I8894" s="1" t="s">
        <v>19</v>
      </c>
      <c r="J8894" s="1" t="s">
        <v>6</v>
      </c>
      <c r="K8894" s="1" t="s">
        <v>24</v>
      </c>
      <c r="L8894" s="1">
        <v>6385538</v>
      </c>
      <c r="M8894" s="2">
        <v>42246</v>
      </c>
      <c r="N8894" s="1" t="s">
        <v>8</v>
      </c>
      <c r="O8894" s="2">
        <v>44437</v>
      </c>
    </row>
    <row r="8895" spans="1:15" ht="28.8" x14ac:dyDescent="0.3">
      <c r="A8895" s="1" t="s">
        <v>2566</v>
      </c>
      <c r="B8895" s="1" t="str">
        <f>"R &amp; C TRANSPORT TIPPER &amp; PLANT HIRE"</f>
        <v>R &amp; C TRANSPORT TIPPER &amp; PLANT HIRE</v>
      </c>
      <c r="C8895" s="1" t="s">
        <v>2567</v>
      </c>
      <c r="D8895" s="1" t="s">
        <v>2568</v>
      </c>
      <c r="F8895" s="1" t="s">
        <v>103</v>
      </c>
      <c r="H8895" s="1" t="s">
        <v>2569</v>
      </c>
      <c r="I8895" s="1" t="s">
        <v>19</v>
      </c>
      <c r="J8895" s="1" t="s">
        <v>6</v>
      </c>
      <c r="K8895" s="1" t="s">
        <v>34</v>
      </c>
      <c r="L8895" s="1">
        <v>9542502</v>
      </c>
      <c r="M8895" s="2">
        <v>42244</v>
      </c>
      <c r="N8895" s="1" t="s">
        <v>8</v>
      </c>
      <c r="O8895" s="2">
        <v>44435</v>
      </c>
    </row>
    <row r="8896" spans="1:15" ht="43.2" x14ac:dyDescent="0.3">
      <c r="A8896" s="1" t="s">
        <v>21122</v>
      </c>
      <c r="B8896" s="1" t="str">
        <f>"Gary Evans"</f>
        <v>Gary Evans</v>
      </c>
      <c r="C8896" s="1" t="s">
        <v>21123</v>
      </c>
      <c r="F8896" s="1" t="s">
        <v>1184</v>
      </c>
      <c r="H8896" s="1" t="s">
        <v>21124</v>
      </c>
      <c r="I8896" s="1" t="s">
        <v>5</v>
      </c>
      <c r="J8896" s="1" t="s">
        <v>67</v>
      </c>
      <c r="K8896" s="1" t="s">
        <v>14</v>
      </c>
      <c r="M8896" s="2">
        <v>42244</v>
      </c>
      <c r="N8896" s="1" t="s">
        <v>8</v>
      </c>
      <c r="O8896" s="1" t="s">
        <v>68</v>
      </c>
    </row>
    <row r="8897" spans="1:15" ht="43.2" x14ac:dyDescent="0.3">
      <c r="A8897" s="1" t="s">
        <v>21125</v>
      </c>
      <c r="B8897" s="1" t="str">
        <f>"David Price"</f>
        <v>David Price</v>
      </c>
      <c r="C8897" s="1" t="s">
        <v>21126</v>
      </c>
      <c r="F8897" s="1" t="s">
        <v>65</v>
      </c>
      <c r="H8897" s="1" t="s">
        <v>21127</v>
      </c>
      <c r="I8897" s="1" t="s">
        <v>5</v>
      </c>
      <c r="J8897" s="1" t="s">
        <v>67</v>
      </c>
      <c r="K8897" s="1" t="s">
        <v>24</v>
      </c>
      <c r="M8897" s="2">
        <v>42244</v>
      </c>
      <c r="N8897" s="1" t="s">
        <v>8</v>
      </c>
      <c r="O8897" s="1" t="s">
        <v>68</v>
      </c>
    </row>
    <row r="8898" spans="1:15" ht="43.2" x14ac:dyDescent="0.3">
      <c r="A8898" s="1" t="s">
        <v>21899</v>
      </c>
      <c r="B8898" s="1" t="str">
        <f>"David Price"</f>
        <v>David Price</v>
      </c>
      <c r="C8898" s="1" t="s">
        <v>21126</v>
      </c>
      <c r="F8898" s="1" t="s">
        <v>65</v>
      </c>
      <c r="H8898" s="1" t="s">
        <v>21127</v>
      </c>
      <c r="I8898" s="1" t="s">
        <v>5</v>
      </c>
      <c r="J8898" s="1" t="s">
        <v>67</v>
      </c>
      <c r="K8898" s="1" t="s">
        <v>24</v>
      </c>
      <c r="M8898" s="2">
        <v>42244</v>
      </c>
      <c r="N8898" s="1" t="s">
        <v>8</v>
      </c>
      <c r="O8898" s="1" t="s">
        <v>68</v>
      </c>
    </row>
    <row r="8899" spans="1:15" ht="28.8" x14ac:dyDescent="0.3">
      <c r="A8899" s="1" t="s">
        <v>31421</v>
      </c>
      <c r="B8899" s="1" t="str">
        <f>"Torfaen Maintenance Services Limited"</f>
        <v>Torfaen Maintenance Services Limited</v>
      </c>
      <c r="C8899" s="1" t="s">
        <v>31422</v>
      </c>
      <c r="D8899" s="1" t="s">
        <v>31423</v>
      </c>
      <c r="E8899" s="1" t="s">
        <v>31424</v>
      </c>
      <c r="F8899" s="1" t="s">
        <v>277</v>
      </c>
      <c r="G8899" s="1" t="s">
        <v>141</v>
      </c>
      <c r="H8899" s="1" t="s">
        <v>1487</v>
      </c>
      <c r="I8899" s="1" t="s">
        <v>19</v>
      </c>
      <c r="J8899" s="1" t="s">
        <v>6</v>
      </c>
      <c r="K8899" s="1" t="s">
        <v>24</v>
      </c>
      <c r="L8899" s="1">
        <v>9224977</v>
      </c>
      <c r="M8899" s="2">
        <v>42244</v>
      </c>
      <c r="N8899" s="1" t="s">
        <v>8</v>
      </c>
      <c r="O8899" s="2">
        <v>44436</v>
      </c>
    </row>
    <row r="8900" spans="1:15" ht="43.2" x14ac:dyDescent="0.3">
      <c r="A8900" s="1" t="s">
        <v>6863</v>
      </c>
      <c r="B8900" s="1" t="str">
        <f>"TSW Training Ltd"</f>
        <v>TSW Training Ltd</v>
      </c>
      <c r="C8900" s="1" t="s">
        <v>6864</v>
      </c>
      <c r="F8900" s="1" t="s">
        <v>179</v>
      </c>
      <c r="H8900" s="1" t="s">
        <v>6865</v>
      </c>
      <c r="I8900" s="1" t="s">
        <v>19</v>
      </c>
      <c r="J8900" s="1" t="s">
        <v>67</v>
      </c>
      <c r="K8900" s="1" t="s">
        <v>14</v>
      </c>
      <c r="M8900" s="2">
        <v>42243</v>
      </c>
      <c r="N8900" s="1" t="s">
        <v>8</v>
      </c>
      <c r="O8900" s="1" t="s">
        <v>68</v>
      </c>
    </row>
    <row r="8901" spans="1:15" ht="43.2" x14ac:dyDescent="0.3">
      <c r="A8901" s="1" t="s">
        <v>6866</v>
      </c>
      <c r="B8901" s="1" t="str">
        <f>"Minova Weldgrip Ltd"</f>
        <v>Minova Weldgrip Ltd</v>
      </c>
      <c r="C8901" s="1" t="s">
        <v>6867</v>
      </c>
      <c r="D8901" s="1" t="s">
        <v>6868</v>
      </c>
      <c r="F8901" s="1" t="s">
        <v>4689</v>
      </c>
      <c r="H8901" s="1" t="s">
        <v>6869</v>
      </c>
      <c r="I8901" s="1" t="s">
        <v>19</v>
      </c>
      <c r="J8901" s="1" t="s">
        <v>67</v>
      </c>
      <c r="K8901" s="1" t="s">
        <v>14</v>
      </c>
      <c r="M8901" s="2">
        <v>42243</v>
      </c>
      <c r="N8901" s="1" t="s">
        <v>8</v>
      </c>
      <c r="O8901" s="1" t="s">
        <v>68</v>
      </c>
    </row>
    <row r="8902" spans="1:15" ht="43.2" x14ac:dyDescent="0.3">
      <c r="A8902" s="1" t="s">
        <v>6870</v>
      </c>
      <c r="B8902" s="1" t="str">
        <f>"PREVENTAPEST LTD"</f>
        <v>PREVENTAPEST LTD</v>
      </c>
      <c r="C8902" s="1" t="s">
        <v>6871</v>
      </c>
      <c r="F8902" s="1" t="s">
        <v>12</v>
      </c>
      <c r="H8902" s="1" t="s">
        <v>6872</v>
      </c>
      <c r="I8902" s="1" t="s">
        <v>19</v>
      </c>
      <c r="J8902" s="1" t="s">
        <v>67</v>
      </c>
      <c r="K8902" s="1" t="s">
        <v>34</v>
      </c>
      <c r="L8902" s="1">
        <v>5551966</v>
      </c>
      <c r="M8902" s="2">
        <v>42243</v>
      </c>
      <c r="N8902" s="1" t="s">
        <v>8</v>
      </c>
      <c r="O8902" s="1" t="s">
        <v>68</v>
      </c>
    </row>
    <row r="8903" spans="1:15" ht="28.8" x14ac:dyDescent="0.3">
      <c r="A8903" s="1" t="s">
        <v>30630</v>
      </c>
      <c r="B8903" s="1" t="str">
        <f>"Jennifer Thomas J  THOMAS"</f>
        <v>Jennifer Thomas J  THOMAS</v>
      </c>
      <c r="C8903" s="1" t="s">
        <v>30631</v>
      </c>
      <c r="F8903" s="1" t="s">
        <v>37</v>
      </c>
      <c r="H8903" s="1" t="s">
        <v>30632</v>
      </c>
      <c r="I8903" s="1" t="s">
        <v>5</v>
      </c>
      <c r="J8903" s="1" t="s">
        <v>6</v>
      </c>
      <c r="K8903" s="1" t="s">
        <v>34</v>
      </c>
      <c r="M8903" s="2">
        <v>42243</v>
      </c>
      <c r="N8903" s="1" t="s">
        <v>8</v>
      </c>
      <c r="O8903" s="2">
        <v>44436</v>
      </c>
    </row>
    <row r="8904" spans="1:15" ht="28.8" x14ac:dyDescent="0.3">
      <c r="A8904" s="1" t="s">
        <v>32726</v>
      </c>
      <c r="B8904" s="1" t="str">
        <f>"PreventaPest Limited"</f>
        <v>PreventaPest Limited</v>
      </c>
      <c r="C8904" s="1" t="s">
        <v>32727</v>
      </c>
      <c r="D8904" s="1" t="s">
        <v>32728</v>
      </c>
      <c r="E8904" s="1" t="s">
        <v>32729</v>
      </c>
      <c r="F8904" s="1" t="s">
        <v>665</v>
      </c>
      <c r="G8904" s="1" t="s">
        <v>51</v>
      </c>
      <c r="H8904" s="1" t="s">
        <v>2163</v>
      </c>
      <c r="I8904" s="1" t="s">
        <v>19</v>
      </c>
      <c r="J8904" s="1" t="s">
        <v>6</v>
      </c>
      <c r="K8904" s="1" t="s">
        <v>34</v>
      </c>
      <c r="L8904" s="1">
        <v>5551966</v>
      </c>
      <c r="M8904" s="2">
        <v>42243</v>
      </c>
      <c r="N8904" s="1" t="s">
        <v>8</v>
      </c>
      <c r="O8904" s="2">
        <v>44435</v>
      </c>
    </row>
    <row r="8905" spans="1:15" ht="43.2" x14ac:dyDescent="0.3">
      <c r="A8905" s="1" t="s">
        <v>5679</v>
      </c>
      <c r="B8905" s="1" t="str">
        <f>"Westbase Technology Ltd"</f>
        <v>Westbase Technology Ltd</v>
      </c>
      <c r="C8905" s="1" t="s">
        <v>5680</v>
      </c>
      <c r="D8905" s="1" t="s">
        <v>1247</v>
      </c>
      <c r="E8905" s="1" t="s">
        <v>400</v>
      </c>
      <c r="F8905" s="1" t="s">
        <v>401</v>
      </c>
      <c r="H8905" s="1" t="s">
        <v>1248</v>
      </c>
      <c r="I8905" s="1" t="s">
        <v>19</v>
      </c>
      <c r="J8905" s="1" t="s">
        <v>67</v>
      </c>
      <c r="K8905" s="1" t="s">
        <v>14</v>
      </c>
      <c r="M8905" s="2">
        <v>42242</v>
      </c>
      <c r="N8905" s="1" t="s">
        <v>8</v>
      </c>
      <c r="O8905" s="1" t="s">
        <v>68</v>
      </c>
    </row>
    <row r="8906" spans="1:15" ht="43.2" x14ac:dyDescent="0.3">
      <c r="A8906" s="1" t="s">
        <v>5681</v>
      </c>
      <c r="B8906" s="1" t="str">
        <f>"Radnorshire Arms"</f>
        <v>Radnorshire Arms</v>
      </c>
      <c r="C8906" s="1" t="s">
        <v>5682</v>
      </c>
      <c r="F8906" s="1" t="s">
        <v>5683</v>
      </c>
      <c r="H8906" s="1" t="s">
        <v>5684</v>
      </c>
      <c r="I8906" s="1" t="s">
        <v>19</v>
      </c>
      <c r="J8906" s="1" t="s">
        <v>67</v>
      </c>
      <c r="K8906" s="1" t="s">
        <v>14</v>
      </c>
      <c r="M8906" s="2">
        <v>42242</v>
      </c>
      <c r="N8906" s="1" t="s">
        <v>8</v>
      </c>
      <c r="O8906" s="1" t="s">
        <v>68</v>
      </c>
    </row>
    <row r="8907" spans="1:15" ht="43.2" x14ac:dyDescent="0.3">
      <c r="A8907" s="1" t="s">
        <v>5685</v>
      </c>
      <c r="B8907" s="1" t="str">
        <f>"KEVIN VIDLER CARPET FITTING SERVICE"</f>
        <v>KEVIN VIDLER CARPET FITTING SERVICE</v>
      </c>
      <c r="C8907" s="1" t="s">
        <v>5686</v>
      </c>
      <c r="F8907" s="1" t="s">
        <v>65</v>
      </c>
      <c r="H8907" s="1" t="s">
        <v>5687</v>
      </c>
      <c r="I8907" s="1" t="s">
        <v>125</v>
      </c>
      <c r="J8907" s="1" t="s">
        <v>67</v>
      </c>
      <c r="K8907" s="1" t="s">
        <v>14</v>
      </c>
      <c r="M8907" s="2">
        <v>42242</v>
      </c>
      <c r="N8907" s="1" t="s">
        <v>8</v>
      </c>
      <c r="O8907" s="1" t="s">
        <v>68</v>
      </c>
    </row>
    <row r="8908" spans="1:15" ht="43.2" x14ac:dyDescent="0.3">
      <c r="A8908" s="1" t="s">
        <v>5688</v>
      </c>
      <c r="B8908" s="1" t="str">
        <f>"C M MOVERS LTD"</f>
        <v>C M MOVERS LTD</v>
      </c>
      <c r="C8908" s="1" t="s">
        <v>5689</v>
      </c>
      <c r="D8908" s="1" t="s">
        <v>5690</v>
      </c>
      <c r="F8908" s="1" t="s">
        <v>42</v>
      </c>
      <c r="H8908" s="1" t="s">
        <v>5691</v>
      </c>
      <c r="I8908" s="1" t="s">
        <v>19</v>
      </c>
      <c r="J8908" s="1" t="s">
        <v>67</v>
      </c>
      <c r="K8908" s="1" t="s">
        <v>14</v>
      </c>
      <c r="M8908" s="2">
        <v>42242</v>
      </c>
      <c r="N8908" s="1" t="s">
        <v>8</v>
      </c>
      <c r="O8908" s="1" t="s">
        <v>68</v>
      </c>
    </row>
    <row r="8909" spans="1:15" ht="43.2" x14ac:dyDescent="0.3">
      <c r="A8909" s="1" t="s">
        <v>20336</v>
      </c>
      <c r="B8909" s="1" t="str">
        <f>"steven rees"</f>
        <v>steven rees</v>
      </c>
      <c r="C8909" s="1" t="s">
        <v>20337</v>
      </c>
      <c r="F8909" s="1" t="s">
        <v>65</v>
      </c>
      <c r="H8909" s="1" t="s">
        <v>20338</v>
      </c>
      <c r="I8909" s="1" t="s">
        <v>5</v>
      </c>
      <c r="J8909" s="1" t="s">
        <v>67</v>
      </c>
      <c r="K8909" s="1" t="s">
        <v>14</v>
      </c>
      <c r="M8909" s="2">
        <v>42242</v>
      </c>
      <c r="N8909" s="1" t="s">
        <v>8</v>
      </c>
      <c r="O8909" s="1" t="s">
        <v>68</v>
      </c>
    </row>
    <row r="8910" spans="1:15" ht="43.2" x14ac:dyDescent="0.3">
      <c r="A8910" s="1" t="s">
        <v>20339</v>
      </c>
      <c r="B8910" s="1" t="str">
        <f>"Andrew Moss"</f>
        <v>Andrew Moss</v>
      </c>
      <c r="C8910" s="1" t="s">
        <v>20340</v>
      </c>
      <c r="F8910" s="1" t="s">
        <v>103</v>
      </c>
      <c r="H8910" s="1" t="s">
        <v>20341</v>
      </c>
      <c r="I8910" s="1" t="s">
        <v>5</v>
      </c>
      <c r="J8910" s="1" t="s">
        <v>67</v>
      </c>
      <c r="K8910" s="1" t="s">
        <v>14</v>
      </c>
      <c r="M8910" s="2">
        <v>42242</v>
      </c>
      <c r="N8910" s="1" t="s">
        <v>8</v>
      </c>
      <c r="O8910" s="1" t="s">
        <v>68</v>
      </c>
    </row>
    <row r="8911" spans="1:15" ht="43.2" x14ac:dyDescent="0.3">
      <c r="A8911" s="1" t="s">
        <v>20342</v>
      </c>
      <c r="B8911" s="1" t="str">
        <f>"Matthew Evans"</f>
        <v>Matthew Evans</v>
      </c>
      <c r="C8911" s="1" t="s">
        <v>20343</v>
      </c>
      <c r="F8911" s="1" t="s">
        <v>865</v>
      </c>
      <c r="H8911" s="1" t="s">
        <v>20344</v>
      </c>
      <c r="I8911" s="1" t="s">
        <v>5</v>
      </c>
      <c r="J8911" s="1" t="s">
        <v>67</v>
      </c>
      <c r="K8911" s="1" t="s">
        <v>14</v>
      </c>
      <c r="M8911" s="2">
        <v>42242</v>
      </c>
      <c r="N8911" s="1" t="s">
        <v>8</v>
      </c>
      <c r="O8911" s="1" t="s">
        <v>68</v>
      </c>
    </row>
    <row r="8912" spans="1:15" ht="43.2" x14ac:dyDescent="0.3">
      <c r="A8912" s="1" t="s">
        <v>20345</v>
      </c>
      <c r="B8912" s="1" t="str">
        <f>"James Raymond Williams"</f>
        <v>James Raymond Williams</v>
      </c>
      <c r="C8912" s="1" t="s">
        <v>20346</v>
      </c>
      <c r="F8912" s="1" t="s">
        <v>3242</v>
      </c>
      <c r="H8912" s="1" t="s">
        <v>20347</v>
      </c>
      <c r="I8912" s="1" t="s">
        <v>5</v>
      </c>
      <c r="J8912" s="1" t="s">
        <v>67</v>
      </c>
      <c r="K8912" s="1" t="s">
        <v>24</v>
      </c>
      <c r="M8912" s="2">
        <v>42242</v>
      </c>
      <c r="N8912" s="1" t="s">
        <v>8</v>
      </c>
      <c r="O8912" s="1" t="s">
        <v>68</v>
      </c>
    </row>
    <row r="8913" spans="1:15" ht="43.2" x14ac:dyDescent="0.3">
      <c r="A8913" s="1" t="s">
        <v>20348</v>
      </c>
      <c r="B8913" s="1" t="str">
        <f>"Adam Gadd"</f>
        <v>Adam Gadd</v>
      </c>
      <c r="C8913" s="1" t="s">
        <v>20349</v>
      </c>
      <c r="F8913" s="1" t="s">
        <v>27</v>
      </c>
      <c r="H8913" s="1" t="s">
        <v>20350</v>
      </c>
      <c r="I8913" s="1" t="s">
        <v>5</v>
      </c>
      <c r="J8913" s="1" t="s">
        <v>67</v>
      </c>
      <c r="K8913" s="1" t="s">
        <v>14</v>
      </c>
      <c r="M8913" s="2">
        <v>42242</v>
      </c>
      <c r="N8913" s="1" t="s">
        <v>8</v>
      </c>
      <c r="O8913" s="1" t="s">
        <v>68</v>
      </c>
    </row>
    <row r="8914" spans="1:15" x14ac:dyDescent="0.3">
      <c r="A8914" s="1" t="s">
        <v>2367</v>
      </c>
      <c r="B8914" s="1" t="str">
        <f>"C G Pearce Ltd"</f>
        <v>C G Pearce Ltd</v>
      </c>
      <c r="C8914" s="1" t="s">
        <v>2368</v>
      </c>
      <c r="F8914" s="1" t="s">
        <v>1776</v>
      </c>
      <c r="G8914" s="1" t="s">
        <v>115</v>
      </c>
      <c r="H8914" s="1" t="s">
        <v>2369</v>
      </c>
      <c r="I8914" s="1" t="s">
        <v>19</v>
      </c>
      <c r="J8914" s="1" t="s">
        <v>6</v>
      </c>
      <c r="K8914" s="1" t="s">
        <v>24</v>
      </c>
      <c r="L8914" s="1">
        <v>4452871</v>
      </c>
      <c r="M8914" s="2">
        <v>42241</v>
      </c>
      <c r="N8914" s="1" t="s">
        <v>8</v>
      </c>
      <c r="O8914" s="2">
        <v>44433</v>
      </c>
    </row>
    <row r="8915" spans="1:15" ht="43.2" x14ac:dyDescent="0.3">
      <c r="A8915" s="1" t="s">
        <v>4538</v>
      </c>
      <c r="B8915" s="1" t="str">
        <f>"at your convenience ltd"</f>
        <v>at your convenience ltd</v>
      </c>
      <c r="C8915" s="1" t="s">
        <v>4539</v>
      </c>
      <c r="F8915" s="1" t="s">
        <v>739</v>
      </c>
      <c r="H8915" s="1" t="s">
        <v>4540</v>
      </c>
      <c r="I8915" s="1" t="s">
        <v>19</v>
      </c>
      <c r="J8915" s="1" t="s">
        <v>67</v>
      </c>
      <c r="K8915" s="1" t="s">
        <v>14</v>
      </c>
      <c r="M8915" s="2">
        <v>42241</v>
      </c>
      <c r="N8915" s="1" t="s">
        <v>8</v>
      </c>
      <c r="O8915" s="1" t="s">
        <v>68</v>
      </c>
    </row>
    <row r="8916" spans="1:15" ht="43.2" x14ac:dyDescent="0.3">
      <c r="A8916" s="1" t="s">
        <v>20331</v>
      </c>
      <c r="B8916" s="1" t="str">
        <f>"kenneth blowe"</f>
        <v>kenneth blowe</v>
      </c>
      <c r="C8916" s="1" t="s">
        <v>20332</v>
      </c>
      <c r="D8916" s="1" t="s">
        <v>20333</v>
      </c>
      <c r="F8916" s="1" t="s">
        <v>20334</v>
      </c>
      <c r="H8916" s="1" t="s">
        <v>20335</v>
      </c>
      <c r="I8916" s="1" t="s">
        <v>5</v>
      </c>
      <c r="J8916" s="1" t="s">
        <v>67</v>
      </c>
      <c r="K8916" s="1" t="s">
        <v>14</v>
      </c>
      <c r="M8916" s="2">
        <v>42241</v>
      </c>
      <c r="N8916" s="1" t="s">
        <v>8</v>
      </c>
      <c r="O8916" s="1" t="s">
        <v>68</v>
      </c>
    </row>
    <row r="8917" spans="1:15" ht="43.2" x14ac:dyDescent="0.3">
      <c r="A8917" s="1" t="s">
        <v>19567</v>
      </c>
      <c r="B8917" s="1" t="str">
        <f>"denis lewis"</f>
        <v>denis lewis</v>
      </c>
      <c r="C8917" s="1" t="s">
        <v>19568</v>
      </c>
      <c r="F8917" s="1" t="s">
        <v>3888</v>
      </c>
      <c r="H8917" s="1" t="s">
        <v>19569</v>
      </c>
      <c r="I8917" s="1" t="s">
        <v>5</v>
      </c>
      <c r="J8917" s="1" t="s">
        <v>67</v>
      </c>
      <c r="K8917" s="1" t="s">
        <v>14</v>
      </c>
      <c r="M8917" s="2">
        <v>42240</v>
      </c>
      <c r="N8917" s="1" t="s">
        <v>8</v>
      </c>
      <c r="O8917" s="1" t="s">
        <v>68</v>
      </c>
    </row>
    <row r="8918" spans="1:15" ht="28.8" x14ac:dyDescent="0.3">
      <c r="A8918" s="1" t="s">
        <v>30562</v>
      </c>
      <c r="B8918" s="1" t="str">
        <f>"Aermech Ltd"</f>
        <v>Aermech Ltd</v>
      </c>
      <c r="C8918" s="1" t="s">
        <v>9120</v>
      </c>
      <c r="F8918" s="1" t="s">
        <v>1975</v>
      </c>
      <c r="H8918" s="1" t="s">
        <v>9121</v>
      </c>
      <c r="I8918" s="1" t="s">
        <v>19</v>
      </c>
      <c r="J8918" s="1" t="s">
        <v>6</v>
      </c>
      <c r="K8918" s="1" t="s">
        <v>34</v>
      </c>
      <c r="L8918" s="1">
        <v>6301244</v>
      </c>
      <c r="M8918" s="2">
        <v>42240</v>
      </c>
      <c r="N8918" s="1" t="s">
        <v>8</v>
      </c>
      <c r="O8918" s="2">
        <v>44431</v>
      </c>
    </row>
    <row r="8919" spans="1:15" ht="28.8" x14ac:dyDescent="0.3">
      <c r="A8919" s="1" t="s">
        <v>30664</v>
      </c>
      <c r="B8919" s="1" t="str">
        <f>"Cole Contractors Cardiff Ltd"</f>
        <v>Cole Contractors Cardiff Ltd</v>
      </c>
      <c r="C8919" s="1" t="s">
        <v>30665</v>
      </c>
      <c r="D8919" s="1" t="s">
        <v>30666</v>
      </c>
      <c r="E8919" s="1" t="s">
        <v>312</v>
      </c>
      <c r="F8919" s="1" t="s">
        <v>179</v>
      </c>
      <c r="G8919" s="1" t="s">
        <v>180</v>
      </c>
      <c r="H8919" s="1" t="s">
        <v>2957</v>
      </c>
      <c r="I8919" s="1" t="s">
        <v>19</v>
      </c>
      <c r="J8919" s="1" t="s">
        <v>6</v>
      </c>
      <c r="K8919" s="1" t="s">
        <v>24</v>
      </c>
      <c r="L8919" s="1">
        <v>4072993</v>
      </c>
      <c r="M8919" s="2">
        <v>42240</v>
      </c>
      <c r="N8919" s="1" t="s">
        <v>8</v>
      </c>
      <c r="O8919" s="2">
        <v>44431</v>
      </c>
    </row>
    <row r="8920" spans="1:15" ht="43.2" x14ac:dyDescent="0.3">
      <c r="A8920" s="1" t="s">
        <v>4534</v>
      </c>
      <c r="B8920" s="1" t="str">
        <f>"Hawksdrift LTD"</f>
        <v>Hawksdrift LTD</v>
      </c>
      <c r="C8920" s="1" t="s">
        <v>4535</v>
      </c>
      <c r="F8920" s="1" t="s">
        <v>4536</v>
      </c>
      <c r="H8920" s="1" t="s">
        <v>4537</v>
      </c>
      <c r="I8920" s="1" t="s">
        <v>19</v>
      </c>
      <c r="J8920" s="1" t="s">
        <v>67</v>
      </c>
      <c r="K8920" s="1" t="s">
        <v>14</v>
      </c>
      <c r="M8920" s="2">
        <v>42239</v>
      </c>
      <c r="N8920" s="1" t="s">
        <v>8</v>
      </c>
      <c r="O8920" s="1" t="s">
        <v>68</v>
      </c>
    </row>
    <row r="8921" spans="1:15" ht="43.2" x14ac:dyDescent="0.3">
      <c r="A8921" s="1" t="s">
        <v>19564</v>
      </c>
      <c r="B8921" s="1" t="str">
        <f>"Mathew Jackson"</f>
        <v>Mathew Jackson</v>
      </c>
      <c r="C8921" s="1" t="s">
        <v>19565</v>
      </c>
      <c r="F8921" s="1" t="s">
        <v>1776</v>
      </c>
      <c r="H8921" s="1" t="s">
        <v>19566</v>
      </c>
      <c r="I8921" s="1" t="s">
        <v>5</v>
      </c>
      <c r="J8921" s="1" t="s">
        <v>67</v>
      </c>
      <c r="K8921" s="1" t="s">
        <v>14</v>
      </c>
      <c r="M8921" s="2">
        <v>42239</v>
      </c>
      <c r="N8921" s="1" t="s">
        <v>8</v>
      </c>
      <c r="O8921" s="1" t="s">
        <v>68</v>
      </c>
    </row>
    <row r="8922" spans="1:15" x14ac:dyDescent="0.3">
      <c r="A8922" s="1" t="s">
        <v>2319</v>
      </c>
      <c r="B8922" s="1" t="str">
        <f>"M L Evans Darowen Ltd"</f>
        <v>M L Evans Darowen Ltd</v>
      </c>
      <c r="C8922" s="1" t="s">
        <v>2320</v>
      </c>
      <c r="D8922" s="1" t="s">
        <v>2321</v>
      </c>
      <c r="F8922" s="1" t="s">
        <v>1818</v>
      </c>
      <c r="G8922" s="1" t="s">
        <v>162</v>
      </c>
      <c r="H8922" s="1" t="s">
        <v>2322</v>
      </c>
      <c r="I8922" s="1" t="s">
        <v>19</v>
      </c>
      <c r="J8922" s="1" t="s">
        <v>6</v>
      </c>
      <c r="K8922" s="1" t="s">
        <v>24</v>
      </c>
      <c r="L8922" s="1">
        <v>9568116</v>
      </c>
      <c r="M8922" s="2">
        <v>42237</v>
      </c>
      <c r="N8922" s="1" t="s">
        <v>8</v>
      </c>
      <c r="O8922" s="2">
        <v>44428</v>
      </c>
    </row>
    <row r="8923" spans="1:15" ht="43.2" x14ac:dyDescent="0.3">
      <c r="A8923" s="1" t="s">
        <v>3428</v>
      </c>
      <c r="B8923" s="1" t="str">
        <f>"Oracle Environmental Experts Ltd"</f>
        <v>Oracle Environmental Experts Ltd</v>
      </c>
      <c r="C8923" s="1" t="s">
        <v>3429</v>
      </c>
      <c r="F8923" s="1" t="s">
        <v>3430</v>
      </c>
      <c r="H8923" s="1" t="s">
        <v>3431</v>
      </c>
      <c r="I8923" s="1" t="s">
        <v>19</v>
      </c>
      <c r="J8923" s="1" t="s">
        <v>67</v>
      </c>
      <c r="K8923" s="1" t="s">
        <v>14</v>
      </c>
      <c r="M8923" s="2">
        <v>42237</v>
      </c>
      <c r="N8923" s="1" t="s">
        <v>8</v>
      </c>
      <c r="O8923" s="1" t="s">
        <v>68</v>
      </c>
    </row>
    <row r="8924" spans="1:15" ht="43.2" x14ac:dyDescent="0.3">
      <c r="A8924" s="1" t="s">
        <v>3432</v>
      </c>
      <c r="B8924" s="1" t="str">
        <f>"Smallholder Services &amp; Lligwy Beach"</f>
        <v>Smallholder Services &amp; Lligwy Beach</v>
      </c>
      <c r="C8924" s="1" t="s">
        <v>3433</v>
      </c>
      <c r="F8924" s="1" t="s">
        <v>1696</v>
      </c>
      <c r="H8924" s="1" t="s">
        <v>3434</v>
      </c>
      <c r="I8924" s="1" t="s">
        <v>125</v>
      </c>
      <c r="J8924" s="1" t="s">
        <v>67</v>
      </c>
      <c r="K8924" s="1" t="s">
        <v>14</v>
      </c>
      <c r="M8924" s="2">
        <v>42237</v>
      </c>
      <c r="N8924" s="1" t="s">
        <v>8</v>
      </c>
      <c r="O8924" s="1" t="s">
        <v>68</v>
      </c>
    </row>
    <row r="8925" spans="1:15" ht="43.2" x14ac:dyDescent="0.3">
      <c r="A8925" s="1" t="s">
        <v>18693</v>
      </c>
      <c r="B8925" s="1" t="str">
        <f>"Rhydian Llewelyn"</f>
        <v>Rhydian Llewelyn</v>
      </c>
      <c r="C8925" s="1" t="s">
        <v>18694</v>
      </c>
      <c r="F8925" s="1" t="s">
        <v>96</v>
      </c>
      <c r="H8925" s="1" t="s">
        <v>18695</v>
      </c>
      <c r="I8925" s="1" t="s">
        <v>5</v>
      </c>
      <c r="J8925" s="1" t="s">
        <v>67</v>
      </c>
      <c r="K8925" s="1" t="s">
        <v>14</v>
      </c>
      <c r="M8925" s="2">
        <v>42237</v>
      </c>
      <c r="N8925" s="1" t="s">
        <v>8</v>
      </c>
      <c r="O8925" s="1" t="s">
        <v>68</v>
      </c>
    </row>
    <row r="8926" spans="1:15" ht="43.2" x14ac:dyDescent="0.3">
      <c r="A8926" s="1" t="s">
        <v>32717</v>
      </c>
      <c r="B8926" s="1" t="str">
        <f>"AMA PROPERTIES LTD"</f>
        <v>AMA PROPERTIES LTD</v>
      </c>
      <c r="C8926" s="1" t="s">
        <v>32718</v>
      </c>
      <c r="D8926" s="1" t="s">
        <v>32719</v>
      </c>
      <c r="E8926" s="1" t="s">
        <v>32720</v>
      </c>
      <c r="F8926" s="1" t="s">
        <v>64</v>
      </c>
      <c r="G8926" s="1" t="s">
        <v>65</v>
      </c>
      <c r="H8926" s="1" t="s">
        <v>32721</v>
      </c>
      <c r="I8926" s="1" t="s">
        <v>19</v>
      </c>
      <c r="J8926" s="1" t="s">
        <v>6</v>
      </c>
      <c r="K8926" s="1" t="s">
        <v>24</v>
      </c>
      <c r="L8926" s="1">
        <v>7557652</v>
      </c>
      <c r="M8926" s="2">
        <v>42237</v>
      </c>
      <c r="N8926" s="1" t="s">
        <v>8</v>
      </c>
      <c r="O8926" s="2">
        <v>44429</v>
      </c>
    </row>
    <row r="8927" spans="1:15" ht="43.2" x14ac:dyDescent="0.3">
      <c r="A8927" s="1" t="s">
        <v>18690</v>
      </c>
      <c r="B8927" s="1" t="str">
        <f>"Stephen Madden"</f>
        <v>Stephen Madden</v>
      </c>
      <c r="C8927" s="1" t="s">
        <v>18691</v>
      </c>
      <c r="F8927" s="1" t="s">
        <v>380</v>
      </c>
      <c r="H8927" s="1" t="s">
        <v>18692</v>
      </c>
      <c r="I8927" s="1" t="s">
        <v>5</v>
      </c>
      <c r="J8927" s="1" t="s">
        <v>67</v>
      </c>
      <c r="K8927" s="1" t="s">
        <v>14</v>
      </c>
      <c r="M8927" s="2">
        <v>42236</v>
      </c>
      <c r="N8927" s="1" t="s">
        <v>8</v>
      </c>
      <c r="O8927" s="1" t="s">
        <v>68</v>
      </c>
    </row>
    <row r="8928" spans="1:15" ht="43.2" x14ac:dyDescent="0.3">
      <c r="A8928" s="1" t="s">
        <v>29795</v>
      </c>
      <c r="B8928" s="1" t="str">
        <f>"Michael Cleverley"</f>
        <v>Michael Cleverley</v>
      </c>
      <c r="C8928" s="1" t="s">
        <v>21132</v>
      </c>
      <c r="D8928" s="1" t="s">
        <v>21133</v>
      </c>
      <c r="F8928" s="1" t="s">
        <v>438</v>
      </c>
      <c r="H8928" s="1" t="s">
        <v>21134</v>
      </c>
      <c r="I8928" s="1" t="s">
        <v>5</v>
      </c>
      <c r="J8928" s="1" t="s">
        <v>67</v>
      </c>
      <c r="K8928" s="1" t="s">
        <v>14</v>
      </c>
      <c r="M8928" s="2">
        <v>42236</v>
      </c>
      <c r="N8928" s="1" t="s">
        <v>8</v>
      </c>
      <c r="O8928" s="1" t="s">
        <v>68</v>
      </c>
    </row>
    <row r="8929" spans="1:15" ht="28.8" x14ac:dyDescent="0.3">
      <c r="A8929" s="1" t="s">
        <v>30609</v>
      </c>
      <c r="B8929" s="1" t="str">
        <f>"Peter Thomas Peter Thomas"</f>
        <v>Peter Thomas Peter Thomas</v>
      </c>
      <c r="C8929" s="1" t="s">
        <v>30610</v>
      </c>
      <c r="D8929" s="1" t="s">
        <v>30611</v>
      </c>
      <c r="F8929" s="1" t="s">
        <v>6471</v>
      </c>
      <c r="G8929" s="1" t="s">
        <v>115</v>
      </c>
      <c r="H8929" s="1" t="s">
        <v>30612</v>
      </c>
      <c r="I8929" s="1" t="s">
        <v>5</v>
      </c>
      <c r="J8929" s="1" t="s">
        <v>6</v>
      </c>
      <c r="K8929" s="1" t="s">
        <v>34</v>
      </c>
      <c r="M8929" s="2">
        <v>42236</v>
      </c>
      <c r="N8929" s="1" t="s">
        <v>8</v>
      </c>
      <c r="O8929" s="2">
        <v>44428</v>
      </c>
    </row>
    <row r="8930" spans="1:15" ht="28.8" x14ac:dyDescent="0.3">
      <c r="A8930" s="1" t="s">
        <v>32764</v>
      </c>
      <c r="B8930" s="1" t="str">
        <f>"Neil Pritchard NRP Groundworks"</f>
        <v>Neil Pritchard NRP Groundworks</v>
      </c>
      <c r="C8930" s="1" t="s">
        <v>32765</v>
      </c>
      <c r="D8930" s="1" t="s">
        <v>32766</v>
      </c>
      <c r="F8930" s="1" t="s">
        <v>64</v>
      </c>
      <c r="G8930" s="1" t="s">
        <v>65</v>
      </c>
      <c r="H8930" s="1" t="s">
        <v>32767</v>
      </c>
      <c r="I8930" s="1" t="s">
        <v>5</v>
      </c>
      <c r="J8930" s="1" t="s">
        <v>6</v>
      </c>
      <c r="K8930" s="1" t="s">
        <v>24</v>
      </c>
      <c r="M8930" s="2">
        <v>42236</v>
      </c>
      <c r="N8930" s="1" t="s">
        <v>8</v>
      </c>
      <c r="O8930" s="2">
        <v>44428</v>
      </c>
    </row>
    <row r="8931" spans="1:15" ht="43.2" x14ac:dyDescent="0.3">
      <c r="A8931" s="1" t="s">
        <v>17111</v>
      </c>
      <c r="B8931" s="1" t="str">
        <f>"Cyrus-RW Group Ltd"</f>
        <v>Cyrus-RW Group Ltd</v>
      </c>
      <c r="C8931" s="1" t="s">
        <v>17112</v>
      </c>
      <c r="F8931" s="1" t="s">
        <v>27</v>
      </c>
      <c r="H8931" s="1" t="s">
        <v>17113</v>
      </c>
      <c r="I8931" s="1" t="s">
        <v>19</v>
      </c>
      <c r="J8931" s="1" t="s">
        <v>67</v>
      </c>
      <c r="K8931" s="1" t="s">
        <v>14</v>
      </c>
      <c r="M8931" s="2">
        <v>42235</v>
      </c>
      <c r="N8931" s="1" t="s">
        <v>8</v>
      </c>
      <c r="O8931" s="1" t="s">
        <v>68</v>
      </c>
    </row>
    <row r="8932" spans="1:15" ht="43.2" x14ac:dyDescent="0.3">
      <c r="A8932" s="1" t="s">
        <v>17114</v>
      </c>
      <c r="B8932" s="1" t="str">
        <f>"Mid &amp; North Wales Training Group Lt"</f>
        <v>Mid &amp; North Wales Training Group Lt</v>
      </c>
      <c r="C8932" s="1" t="s">
        <v>17115</v>
      </c>
      <c r="F8932" s="1" t="s">
        <v>1366</v>
      </c>
      <c r="H8932" s="1" t="s">
        <v>15973</v>
      </c>
      <c r="I8932" s="1" t="s">
        <v>1872</v>
      </c>
      <c r="J8932" s="1" t="s">
        <v>67</v>
      </c>
      <c r="K8932" s="1" t="s">
        <v>14</v>
      </c>
      <c r="M8932" s="2">
        <v>42235</v>
      </c>
      <c r="N8932" s="1" t="s">
        <v>8</v>
      </c>
      <c r="O8932" s="1" t="s">
        <v>68</v>
      </c>
    </row>
    <row r="8933" spans="1:15" ht="43.2" x14ac:dyDescent="0.3">
      <c r="A8933" s="1" t="s">
        <v>29792</v>
      </c>
      <c r="B8933" s="1" t="str">
        <f>"David Rogers"</f>
        <v>David Rogers</v>
      </c>
      <c r="C8933" s="1" t="s">
        <v>29793</v>
      </c>
      <c r="F8933" s="1" t="s">
        <v>380</v>
      </c>
      <c r="H8933" s="1" t="s">
        <v>29794</v>
      </c>
      <c r="I8933" s="1" t="s">
        <v>5</v>
      </c>
      <c r="J8933" s="1" t="s">
        <v>67</v>
      </c>
      <c r="K8933" s="1" t="s">
        <v>14</v>
      </c>
      <c r="M8933" s="2">
        <v>42235</v>
      </c>
      <c r="N8933" s="1" t="s">
        <v>8</v>
      </c>
      <c r="O8933" s="1" t="s">
        <v>68</v>
      </c>
    </row>
    <row r="8934" spans="1:15" x14ac:dyDescent="0.3">
      <c r="A8934" s="1" t="s">
        <v>30489</v>
      </c>
      <c r="B8934" s="1" t="str">
        <f>"Owen  Stokes"</f>
        <v>Owen  Stokes</v>
      </c>
      <c r="C8934" s="1" t="s">
        <v>30490</v>
      </c>
      <c r="D8934" s="1" t="s">
        <v>30491</v>
      </c>
      <c r="E8934" s="1" t="s">
        <v>30492</v>
      </c>
      <c r="F8934" s="1" t="s">
        <v>123</v>
      </c>
      <c r="G8934" s="1" t="s">
        <v>27</v>
      </c>
      <c r="H8934" s="1" t="s">
        <v>30493</v>
      </c>
      <c r="I8934" s="1" t="s">
        <v>5</v>
      </c>
      <c r="J8934" s="1" t="s">
        <v>6</v>
      </c>
      <c r="K8934" s="1" t="s">
        <v>24</v>
      </c>
      <c r="M8934" s="2">
        <v>42235</v>
      </c>
      <c r="N8934" s="1" t="s">
        <v>8</v>
      </c>
      <c r="O8934" s="2">
        <v>44426</v>
      </c>
    </row>
    <row r="8935" spans="1:15" ht="28.8" x14ac:dyDescent="0.3">
      <c r="A8935" s="1" t="s">
        <v>30506</v>
      </c>
      <c r="B8935" s="1" t="str">
        <f>"Forward Waste Management Ltd."</f>
        <v>Forward Waste Management Ltd.</v>
      </c>
      <c r="C8935" s="1" t="s">
        <v>30507</v>
      </c>
      <c r="F8935" s="1" t="s">
        <v>27</v>
      </c>
      <c r="H8935" s="1" t="s">
        <v>16054</v>
      </c>
      <c r="I8935" s="1" t="s">
        <v>19</v>
      </c>
      <c r="J8935" s="1" t="s">
        <v>6</v>
      </c>
      <c r="K8935" s="1" t="s">
        <v>34</v>
      </c>
      <c r="L8935" s="1">
        <v>5886274</v>
      </c>
      <c r="M8935" s="2">
        <v>42235</v>
      </c>
      <c r="N8935" s="1" t="s">
        <v>8</v>
      </c>
      <c r="O8935" s="2">
        <v>44426</v>
      </c>
    </row>
    <row r="8936" spans="1:15" ht="28.8" x14ac:dyDescent="0.3">
      <c r="A8936" s="1" t="s">
        <v>30600</v>
      </c>
      <c r="B8936" s="1" t="str">
        <f>"Samatrix Limited"</f>
        <v>Samatrix Limited</v>
      </c>
      <c r="C8936" s="1" t="s">
        <v>30601</v>
      </c>
      <c r="D8936" s="1" t="s">
        <v>2623</v>
      </c>
      <c r="F8936" s="1" t="s">
        <v>65</v>
      </c>
      <c r="H8936" s="1" t="s">
        <v>30602</v>
      </c>
      <c r="I8936" s="1" t="s">
        <v>19</v>
      </c>
      <c r="J8936" s="1" t="s">
        <v>6</v>
      </c>
      <c r="K8936" s="1" t="s">
        <v>34</v>
      </c>
      <c r="L8936" s="1">
        <v>4147172</v>
      </c>
      <c r="M8936" s="2">
        <v>42235</v>
      </c>
      <c r="N8936" s="1" t="s">
        <v>8</v>
      </c>
      <c r="O8936" s="2">
        <v>44426</v>
      </c>
    </row>
    <row r="8937" spans="1:15" x14ac:dyDescent="0.3">
      <c r="A8937" s="1" t="s">
        <v>31646</v>
      </c>
      <c r="B8937" s="1" t="str">
        <f>"John Harries JP Hire"</f>
        <v>John Harries JP Hire</v>
      </c>
      <c r="C8937" s="1" t="s">
        <v>31647</v>
      </c>
      <c r="D8937" s="1" t="s">
        <v>31648</v>
      </c>
      <c r="F8937" s="1" t="s">
        <v>2961</v>
      </c>
      <c r="H8937" s="1" t="s">
        <v>31649</v>
      </c>
      <c r="I8937" s="1" t="s">
        <v>5</v>
      </c>
      <c r="J8937" s="1" t="s">
        <v>6</v>
      </c>
      <c r="K8937" s="1" t="s">
        <v>24</v>
      </c>
      <c r="M8937" s="2">
        <v>42235</v>
      </c>
      <c r="N8937" s="1" t="s">
        <v>8</v>
      </c>
      <c r="O8937" s="2">
        <v>44426</v>
      </c>
    </row>
    <row r="8938" spans="1:15" ht="28.8" x14ac:dyDescent="0.3">
      <c r="A8938" s="1" t="s">
        <v>30633</v>
      </c>
      <c r="B8938" s="1" t="str">
        <f>"B C Services (Anglesey) Ltd"</f>
        <v>B C Services (Anglesey) Ltd</v>
      </c>
      <c r="C8938" s="1" t="s">
        <v>30634</v>
      </c>
      <c r="D8938" s="1" t="s">
        <v>30635</v>
      </c>
      <c r="F8938" s="1" t="s">
        <v>1108</v>
      </c>
      <c r="G8938" s="1" t="s">
        <v>679</v>
      </c>
      <c r="H8938" s="1" t="s">
        <v>30636</v>
      </c>
      <c r="I8938" s="1" t="s">
        <v>19</v>
      </c>
      <c r="J8938" s="1" t="s">
        <v>6</v>
      </c>
      <c r="K8938" s="1" t="s">
        <v>34</v>
      </c>
      <c r="L8938" s="1">
        <v>5100861</v>
      </c>
      <c r="M8938" s="2">
        <v>42234</v>
      </c>
      <c r="N8938" s="1" t="s">
        <v>8</v>
      </c>
      <c r="O8938" s="2">
        <v>44426</v>
      </c>
    </row>
    <row r="8939" spans="1:15" ht="28.8" x14ac:dyDescent="0.3">
      <c r="A8939" s="1" t="s">
        <v>31575</v>
      </c>
      <c r="B8939" s="1" t="str">
        <f>"TSL Heating and Plumbing"</f>
        <v>TSL Heating and Plumbing</v>
      </c>
      <c r="C8939" s="1" t="s">
        <v>31576</v>
      </c>
      <c r="D8939" s="1" t="s">
        <v>379</v>
      </c>
      <c r="F8939" s="1" t="s">
        <v>380</v>
      </c>
      <c r="H8939" s="1" t="s">
        <v>382</v>
      </c>
      <c r="I8939" s="1" t="s">
        <v>19</v>
      </c>
      <c r="J8939" s="1" t="s">
        <v>6</v>
      </c>
      <c r="K8939" s="1" t="s">
        <v>34</v>
      </c>
      <c r="L8939" s="1">
        <v>3585355</v>
      </c>
      <c r="M8939" s="2">
        <v>42234</v>
      </c>
      <c r="N8939" s="1" t="s">
        <v>8</v>
      </c>
      <c r="O8939" s="2">
        <v>44425</v>
      </c>
    </row>
    <row r="8940" spans="1:15" ht="28.8" x14ac:dyDescent="0.3">
      <c r="A8940" s="1" t="s">
        <v>16135</v>
      </c>
      <c r="B8940" s="1" t="str">
        <f>"Riello Ups Ltd"</f>
        <v>Riello Ups Ltd</v>
      </c>
      <c r="C8940" s="1" t="s">
        <v>16136</v>
      </c>
      <c r="D8940" s="1" t="s">
        <v>197</v>
      </c>
      <c r="F8940" s="1" t="s">
        <v>198</v>
      </c>
      <c r="H8940" s="1" t="s">
        <v>16137</v>
      </c>
      <c r="I8940" s="1" t="s">
        <v>19</v>
      </c>
      <c r="J8940" s="1" t="s">
        <v>6</v>
      </c>
      <c r="K8940" s="1" t="s">
        <v>34</v>
      </c>
      <c r="L8940" s="1">
        <v>4582458</v>
      </c>
      <c r="M8940" s="2">
        <v>42233</v>
      </c>
      <c r="N8940" s="1" t="s">
        <v>8</v>
      </c>
      <c r="O8940" s="2">
        <v>44061</v>
      </c>
    </row>
    <row r="8941" spans="1:15" ht="43.2" x14ac:dyDescent="0.3">
      <c r="A8941" s="1" t="s">
        <v>16138</v>
      </c>
      <c r="B8941" s="1" t="str">
        <f>"Aberconwy Blinds Ltd"</f>
        <v>Aberconwy Blinds Ltd</v>
      </c>
      <c r="C8941" s="1" t="s">
        <v>16139</v>
      </c>
      <c r="F8941" s="1" t="s">
        <v>1260</v>
      </c>
      <c r="H8941" s="1" t="s">
        <v>1080</v>
      </c>
      <c r="I8941" s="1" t="s">
        <v>19</v>
      </c>
      <c r="J8941" s="1" t="s">
        <v>67</v>
      </c>
      <c r="K8941" s="1" t="s">
        <v>14</v>
      </c>
      <c r="M8941" s="2">
        <v>42233</v>
      </c>
      <c r="N8941" s="1" t="s">
        <v>8</v>
      </c>
      <c r="O8941" s="1" t="s">
        <v>68</v>
      </c>
    </row>
    <row r="8942" spans="1:15" ht="43.2" x14ac:dyDescent="0.3">
      <c r="A8942" s="1" t="s">
        <v>28283</v>
      </c>
      <c r="B8942" s="1" t="str">
        <f>"Ian Allsop"</f>
        <v>Ian Allsop</v>
      </c>
      <c r="C8942" s="1" t="s">
        <v>28284</v>
      </c>
      <c r="F8942" s="1" t="s">
        <v>1818</v>
      </c>
      <c r="H8942" s="1" t="s">
        <v>28285</v>
      </c>
      <c r="I8942" s="1" t="s">
        <v>5</v>
      </c>
      <c r="J8942" s="1" t="s">
        <v>67</v>
      </c>
      <c r="K8942" s="1" t="s">
        <v>14</v>
      </c>
      <c r="M8942" s="2">
        <v>42233</v>
      </c>
      <c r="N8942" s="1" t="s">
        <v>8</v>
      </c>
      <c r="O8942" s="1" t="s">
        <v>68</v>
      </c>
    </row>
    <row r="8943" spans="1:15" ht="43.2" x14ac:dyDescent="0.3">
      <c r="A8943" s="1" t="s">
        <v>28286</v>
      </c>
      <c r="B8943" s="1" t="str">
        <f>"Thomas Jones"</f>
        <v>Thomas Jones</v>
      </c>
      <c r="C8943" s="1" t="s">
        <v>28287</v>
      </c>
      <c r="F8943" s="1" t="s">
        <v>3415</v>
      </c>
      <c r="H8943" s="1" t="s">
        <v>28288</v>
      </c>
      <c r="I8943" s="1" t="s">
        <v>5</v>
      </c>
      <c r="J8943" s="1" t="s">
        <v>67</v>
      </c>
      <c r="K8943" s="1" t="s">
        <v>14</v>
      </c>
      <c r="M8943" s="2">
        <v>42233</v>
      </c>
      <c r="N8943" s="1" t="s">
        <v>8</v>
      </c>
      <c r="O8943" s="1" t="s">
        <v>68</v>
      </c>
    </row>
    <row r="8944" spans="1:15" ht="43.2" x14ac:dyDescent="0.3">
      <c r="A8944" s="1" t="s">
        <v>29048</v>
      </c>
      <c r="B8944" s="1" t="str">
        <f>"Graham Edwards Graham &amp; Co Building Contractors"</f>
        <v>Graham Edwards Graham &amp; Co Building Contractors</v>
      </c>
      <c r="C8944" s="1" t="s">
        <v>29049</v>
      </c>
      <c r="D8944" s="1" t="s">
        <v>13500</v>
      </c>
      <c r="F8944" s="1" t="s">
        <v>2817</v>
      </c>
      <c r="H8944" s="1" t="s">
        <v>26517</v>
      </c>
      <c r="I8944" s="1" t="s">
        <v>5</v>
      </c>
      <c r="J8944" s="1" t="s">
        <v>67</v>
      </c>
      <c r="K8944" s="1" t="s">
        <v>24</v>
      </c>
      <c r="M8944" s="2">
        <v>42233</v>
      </c>
      <c r="N8944" s="1" t="s">
        <v>8</v>
      </c>
      <c r="O8944" s="1" t="s">
        <v>68</v>
      </c>
    </row>
    <row r="8945" spans="1:15" ht="43.2" x14ac:dyDescent="0.3">
      <c r="A8945" s="1" t="s">
        <v>32548</v>
      </c>
      <c r="B8945" s="1" t="str">
        <f>"Clwyd Transport Services Ltd."</f>
        <v>Clwyd Transport Services Ltd.</v>
      </c>
      <c r="C8945" s="1" t="s">
        <v>14699</v>
      </c>
      <c r="D8945" s="1" t="s">
        <v>14700</v>
      </c>
      <c r="F8945" s="1" t="s">
        <v>532</v>
      </c>
      <c r="H8945" s="1" t="s">
        <v>3720</v>
      </c>
      <c r="I8945" s="1" t="s">
        <v>19</v>
      </c>
      <c r="J8945" s="1" t="s">
        <v>6</v>
      </c>
      <c r="K8945" s="1" t="s">
        <v>34</v>
      </c>
      <c r="L8945" s="1">
        <v>4270763</v>
      </c>
      <c r="M8945" s="2">
        <v>42233</v>
      </c>
      <c r="N8945" s="1" t="s">
        <v>8</v>
      </c>
      <c r="O8945" s="2">
        <v>44424</v>
      </c>
    </row>
    <row r="8946" spans="1:15" ht="43.2" x14ac:dyDescent="0.3">
      <c r="A8946" s="1" t="s">
        <v>16130</v>
      </c>
      <c r="B8946" s="1" t="str">
        <f>"Racecourse news"</f>
        <v>Racecourse news</v>
      </c>
      <c r="C8946" s="1" t="s">
        <v>16131</v>
      </c>
      <c r="F8946" s="1" t="s">
        <v>27</v>
      </c>
      <c r="H8946" s="1" t="s">
        <v>16132</v>
      </c>
      <c r="I8946" s="1" t="s">
        <v>125</v>
      </c>
      <c r="J8946" s="1" t="s">
        <v>67</v>
      </c>
      <c r="K8946" s="1" t="s">
        <v>14</v>
      </c>
      <c r="M8946" s="2">
        <v>42232</v>
      </c>
      <c r="N8946" s="1" t="s">
        <v>8</v>
      </c>
      <c r="O8946" s="1" t="s">
        <v>68</v>
      </c>
    </row>
    <row r="8947" spans="1:15" ht="43.2" x14ac:dyDescent="0.3">
      <c r="A8947" s="1" t="s">
        <v>16133</v>
      </c>
      <c r="B8947" s="1" t="str">
        <f>"Skip run ellis"</f>
        <v>Skip run ellis</v>
      </c>
      <c r="C8947" s="1" t="s">
        <v>16134</v>
      </c>
      <c r="F8947" s="1" t="s">
        <v>198</v>
      </c>
      <c r="H8947" s="1" t="s">
        <v>2572</v>
      </c>
      <c r="I8947" s="1" t="s">
        <v>188</v>
      </c>
      <c r="J8947" s="1" t="s">
        <v>67</v>
      </c>
      <c r="K8947" s="1" t="s">
        <v>14</v>
      </c>
      <c r="M8947" s="2">
        <v>42232</v>
      </c>
      <c r="N8947" s="1" t="s">
        <v>8</v>
      </c>
      <c r="O8947" s="1" t="s">
        <v>68</v>
      </c>
    </row>
    <row r="8948" spans="1:15" ht="43.2" x14ac:dyDescent="0.3">
      <c r="A8948" s="1" t="s">
        <v>27493</v>
      </c>
      <c r="B8948" s="1" t="str">
        <f>"Haydn Evans"</f>
        <v>Haydn Evans</v>
      </c>
      <c r="C8948" s="1" t="s">
        <v>27494</v>
      </c>
      <c r="F8948" s="1" t="s">
        <v>374</v>
      </c>
      <c r="H8948" s="1" t="s">
        <v>27495</v>
      </c>
      <c r="I8948" s="1" t="s">
        <v>5</v>
      </c>
      <c r="J8948" s="1" t="s">
        <v>67</v>
      </c>
      <c r="K8948" s="1" t="s">
        <v>14</v>
      </c>
      <c r="M8948" s="2">
        <v>42231</v>
      </c>
      <c r="N8948" s="1" t="s">
        <v>8</v>
      </c>
      <c r="O8948" s="1" t="s">
        <v>68</v>
      </c>
    </row>
    <row r="8949" spans="1:15" ht="43.2" x14ac:dyDescent="0.3">
      <c r="A8949" s="1" t="s">
        <v>27487</v>
      </c>
      <c r="B8949" s="1" t="str">
        <f>"Nathan Morley"</f>
        <v>Nathan Morley</v>
      </c>
      <c r="C8949" s="1" t="s">
        <v>27488</v>
      </c>
      <c r="F8949" s="1" t="s">
        <v>3415</v>
      </c>
      <c r="H8949" s="1" t="s">
        <v>27489</v>
      </c>
      <c r="I8949" s="1" t="s">
        <v>5</v>
      </c>
      <c r="J8949" s="1" t="s">
        <v>67</v>
      </c>
      <c r="K8949" s="1" t="s">
        <v>14</v>
      </c>
      <c r="M8949" s="2">
        <v>42230</v>
      </c>
      <c r="N8949" s="1" t="s">
        <v>8</v>
      </c>
      <c r="O8949" s="1" t="s">
        <v>68</v>
      </c>
    </row>
    <row r="8950" spans="1:15" ht="43.2" x14ac:dyDescent="0.3">
      <c r="A8950" s="1" t="s">
        <v>27490</v>
      </c>
      <c r="B8950" s="1" t="str">
        <f>"Richard Stapley"</f>
        <v>Richard Stapley</v>
      </c>
      <c r="C8950" s="1" t="s">
        <v>27491</v>
      </c>
      <c r="F8950" s="1" t="s">
        <v>198</v>
      </c>
      <c r="H8950" s="1" t="s">
        <v>27492</v>
      </c>
      <c r="I8950" s="1" t="s">
        <v>5</v>
      </c>
      <c r="J8950" s="1" t="s">
        <v>67</v>
      </c>
      <c r="K8950" s="1" t="s">
        <v>14</v>
      </c>
      <c r="M8950" s="2">
        <v>42230</v>
      </c>
      <c r="N8950" s="1" t="s">
        <v>8</v>
      </c>
      <c r="O8950" s="1" t="s">
        <v>68</v>
      </c>
    </row>
    <row r="8951" spans="1:15" ht="43.2" x14ac:dyDescent="0.3">
      <c r="A8951" s="1" t="s">
        <v>14255</v>
      </c>
      <c r="B8951" s="1" t="str">
        <f>"Oil and Gas Systems"</f>
        <v>Oil and Gas Systems</v>
      </c>
      <c r="C8951" s="1" t="s">
        <v>14256</v>
      </c>
      <c r="D8951" s="1" t="s">
        <v>578</v>
      </c>
      <c r="F8951" s="1" t="s">
        <v>65</v>
      </c>
      <c r="H8951" s="1" t="s">
        <v>14257</v>
      </c>
      <c r="I8951" s="1" t="s">
        <v>19</v>
      </c>
      <c r="J8951" s="1" t="s">
        <v>67</v>
      </c>
      <c r="K8951" s="1" t="s">
        <v>14</v>
      </c>
      <c r="M8951" s="2">
        <v>42229</v>
      </c>
      <c r="N8951" s="1" t="s">
        <v>8</v>
      </c>
      <c r="O8951" s="1" t="s">
        <v>68</v>
      </c>
    </row>
    <row r="8952" spans="1:15" ht="43.2" x14ac:dyDescent="0.3">
      <c r="A8952" s="1" t="s">
        <v>14258</v>
      </c>
      <c r="B8952" s="1" t="str">
        <f>"ceramiks ltd "</f>
        <v xml:space="preserve">ceramiks ltd </v>
      </c>
      <c r="C8952" s="1" t="s">
        <v>14259</v>
      </c>
      <c r="D8952" s="1" t="s">
        <v>2623</v>
      </c>
      <c r="F8952" s="1" t="s">
        <v>65</v>
      </c>
      <c r="H8952" s="1" t="s">
        <v>5838</v>
      </c>
      <c r="I8952" s="1" t="s">
        <v>19</v>
      </c>
      <c r="J8952" s="1" t="s">
        <v>67</v>
      </c>
      <c r="K8952" s="1" t="s">
        <v>14</v>
      </c>
      <c r="M8952" s="2">
        <v>42229</v>
      </c>
      <c r="N8952" s="1" t="s">
        <v>8</v>
      </c>
      <c r="O8952" s="1" t="s">
        <v>68</v>
      </c>
    </row>
    <row r="8953" spans="1:15" ht="43.2" x14ac:dyDescent="0.3">
      <c r="A8953" s="1" t="s">
        <v>14260</v>
      </c>
      <c r="B8953" s="1" t="str">
        <f>"Bluebells Playgroup"</f>
        <v>Bluebells Playgroup</v>
      </c>
      <c r="C8953" s="1" t="s">
        <v>14261</v>
      </c>
      <c r="F8953" s="1" t="s">
        <v>2906</v>
      </c>
      <c r="H8953" s="1" t="s">
        <v>14262</v>
      </c>
      <c r="I8953" s="1" t="s">
        <v>1872</v>
      </c>
      <c r="J8953" s="1" t="s">
        <v>67</v>
      </c>
      <c r="K8953" s="1" t="s">
        <v>14</v>
      </c>
      <c r="M8953" s="2">
        <v>42229</v>
      </c>
      <c r="N8953" s="1" t="s">
        <v>8</v>
      </c>
      <c r="O8953" s="1" t="s">
        <v>68</v>
      </c>
    </row>
    <row r="8954" spans="1:15" ht="43.2" x14ac:dyDescent="0.3">
      <c r="A8954" s="1" t="s">
        <v>14263</v>
      </c>
      <c r="B8954" s="1" t="str">
        <f>"UK Textile Banks"</f>
        <v>UK Textile Banks</v>
      </c>
      <c r="C8954" s="1" t="s">
        <v>14264</v>
      </c>
      <c r="D8954" s="1" t="s">
        <v>4511</v>
      </c>
      <c r="F8954" s="1" t="s">
        <v>865</v>
      </c>
      <c r="H8954" s="1" t="s">
        <v>13070</v>
      </c>
      <c r="I8954" s="1" t="s">
        <v>19</v>
      </c>
      <c r="J8954" s="1" t="s">
        <v>67</v>
      </c>
      <c r="K8954" s="1" t="s">
        <v>24</v>
      </c>
      <c r="L8954" s="1">
        <v>9141002</v>
      </c>
      <c r="M8954" s="2">
        <v>42229</v>
      </c>
      <c r="N8954" s="1" t="s">
        <v>8</v>
      </c>
      <c r="O8954" s="1" t="s">
        <v>68</v>
      </c>
    </row>
    <row r="8955" spans="1:15" ht="43.2" x14ac:dyDescent="0.3">
      <c r="A8955" s="1" t="s">
        <v>26626</v>
      </c>
      <c r="B8955" s="1" t="str">
        <f>"Kenneth Hudson"</f>
        <v>Kenneth Hudson</v>
      </c>
      <c r="C8955" s="1" t="s">
        <v>26627</v>
      </c>
      <c r="F8955" s="1" t="s">
        <v>17211</v>
      </c>
      <c r="H8955" s="1" t="s">
        <v>26628</v>
      </c>
      <c r="I8955" s="1" t="s">
        <v>5</v>
      </c>
      <c r="J8955" s="1" t="s">
        <v>67</v>
      </c>
      <c r="K8955" s="1" t="s">
        <v>14</v>
      </c>
      <c r="M8955" s="2">
        <v>42229</v>
      </c>
      <c r="N8955" s="1" t="s">
        <v>8</v>
      </c>
      <c r="O8955" s="1" t="s">
        <v>68</v>
      </c>
    </row>
    <row r="8956" spans="1:15" ht="28.8" x14ac:dyDescent="0.3">
      <c r="A8956" s="1" t="s">
        <v>30592</v>
      </c>
      <c r="B8956" s="1" t="str">
        <f>"Mervyn Mayers"</f>
        <v>Mervyn Mayers</v>
      </c>
      <c r="C8956" s="1" t="s">
        <v>30593</v>
      </c>
      <c r="F8956" s="1" t="s">
        <v>174</v>
      </c>
      <c r="H8956" s="1" t="s">
        <v>2739</v>
      </c>
      <c r="I8956" s="1" t="s">
        <v>5</v>
      </c>
      <c r="J8956" s="1" t="s">
        <v>6</v>
      </c>
      <c r="K8956" s="1" t="s">
        <v>24</v>
      </c>
      <c r="M8956" s="2">
        <v>42229</v>
      </c>
      <c r="N8956" s="1" t="s">
        <v>8</v>
      </c>
      <c r="O8956" s="2">
        <v>44420</v>
      </c>
    </row>
    <row r="8957" spans="1:15" ht="28.8" x14ac:dyDescent="0.3">
      <c r="A8957" s="1" t="s">
        <v>30627</v>
      </c>
      <c r="B8957" s="1" t="str">
        <f>"G T DEVELOPMENTS (BRIDGEND) LTD"</f>
        <v>G T DEVELOPMENTS (BRIDGEND) LTD</v>
      </c>
      <c r="C8957" s="1" t="s">
        <v>30628</v>
      </c>
      <c r="D8957" s="1" t="s">
        <v>30629</v>
      </c>
      <c r="E8957" s="1" t="s">
        <v>3004</v>
      </c>
      <c r="F8957" s="1" t="s">
        <v>706</v>
      </c>
      <c r="G8957" s="1" t="s">
        <v>211</v>
      </c>
      <c r="H8957" s="1" t="s">
        <v>6533</v>
      </c>
      <c r="I8957" s="1" t="s">
        <v>19</v>
      </c>
      <c r="J8957" s="1" t="s">
        <v>6</v>
      </c>
      <c r="K8957" s="1" t="s">
        <v>34</v>
      </c>
      <c r="L8957" s="1">
        <v>4477235</v>
      </c>
      <c r="M8957" s="2">
        <v>42229</v>
      </c>
      <c r="N8957" s="1" t="s">
        <v>8</v>
      </c>
      <c r="O8957" s="2">
        <v>44420</v>
      </c>
    </row>
    <row r="8958" spans="1:15" ht="43.2" x14ac:dyDescent="0.3">
      <c r="A8958" s="1" t="s">
        <v>32732</v>
      </c>
      <c r="B8958" s="1" t="str">
        <f>"OSS Electrical Ltd"</f>
        <v>OSS Electrical Ltd</v>
      </c>
      <c r="C8958" s="1" t="s">
        <v>32733</v>
      </c>
      <c r="D8958" s="1" t="s">
        <v>32734</v>
      </c>
      <c r="E8958" s="1" t="s">
        <v>1839</v>
      </c>
      <c r="F8958" s="1" t="s">
        <v>1093</v>
      </c>
      <c r="G8958" s="1" t="s">
        <v>103</v>
      </c>
      <c r="H8958" s="1" t="s">
        <v>9624</v>
      </c>
      <c r="I8958" s="1" t="s">
        <v>19</v>
      </c>
      <c r="J8958" s="1" t="s">
        <v>6</v>
      </c>
      <c r="K8958" s="1" t="s">
        <v>24</v>
      </c>
      <c r="L8958" s="1">
        <v>7114561</v>
      </c>
      <c r="M8958" s="2">
        <v>42229</v>
      </c>
      <c r="N8958" s="1" t="s">
        <v>8</v>
      </c>
      <c r="O8958" s="2">
        <v>44421</v>
      </c>
    </row>
    <row r="8959" spans="1:15" ht="43.2" x14ac:dyDescent="0.3">
      <c r="A8959" s="1" t="s">
        <v>13338</v>
      </c>
      <c r="B8959" s="1" t="str">
        <f>"hiexfss ltd"</f>
        <v>hiexfss ltd</v>
      </c>
      <c r="C8959" s="1" t="s">
        <v>13339</v>
      </c>
      <c r="F8959" s="1" t="s">
        <v>27</v>
      </c>
      <c r="H8959" s="1" t="s">
        <v>13340</v>
      </c>
      <c r="I8959" s="1" t="s">
        <v>19</v>
      </c>
      <c r="J8959" s="1" t="s">
        <v>67</v>
      </c>
      <c r="K8959" s="1" t="s">
        <v>14</v>
      </c>
      <c r="M8959" s="2">
        <v>42228</v>
      </c>
      <c r="N8959" s="1" t="s">
        <v>8</v>
      </c>
      <c r="O8959" s="1" t="s">
        <v>68</v>
      </c>
    </row>
    <row r="8960" spans="1:15" ht="43.2" x14ac:dyDescent="0.3">
      <c r="A8960" s="1" t="s">
        <v>13341</v>
      </c>
      <c r="B8960" s="1" t="str">
        <f>"Carmarthen Electronics Ltd"</f>
        <v>Carmarthen Electronics Ltd</v>
      </c>
      <c r="C8960" s="1" t="s">
        <v>13342</v>
      </c>
      <c r="F8960" s="1" t="s">
        <v>96</v>
      </c>
      <c r="H8960" s="1" t="s">
        <v>13343</v>
      </c>
      <c r="I8960" s="1" t="s">
        <v>19</v>
      </c>
      <c r="J8960" s="1" t="s">
        <v>67</v>
      </c>
      <c r="K8960" s="1" t="s">
        <v>14</v>
      </c>
      <c r="M8960" s="2">
        <v>42228</v>
      </c>
      <c r="N8960" s="1" t="s">
        <v>8</v>
      </c>
      <c r="O8960" s="1" t="s">
        <v>68</v>
      </c>
    </row>
    <row r="8961" spans="1:15" ht="43.2" x14ac:dyDescent="0.3">
      <c r="A8961" s="1" t="s">
        <v>13344</v>
      </c>
      <c r="B8961" s="1" t="str">
        <f>"St Madoc Christian Youth Camp"</f>
        <v>St Madoc Christian Youth Camp</v>
      </c>
      <c r="C8961" s="1" t="s">
        <v>13345</v>
      </c>
      <c r="F8961" s="1" t="s">
        <v>65</v>
      </c>
      <c r="H8961" s="1" t="s">
        <v>13346</v>
      </c>
      <c r="I8961" s="1" t="s">
        <v>1872</v>
      </c>
      <c r="J8961" s="1" t="s">
        <v>67</v>
      </c>
      <c r="K8961" s="1" t="s">
        <v>14</v>
      </c>
      <c r="M8961" s="2">
        <v>42228</v>
      </c>
      <c r="N8961" s="1" t="s">
        <v>8</v>
      </c>
      <c r="O8961" s="1" t="s">
        <v>68</v>
      </c>
    </row>
    <row r="8962" spans="1:15" ht="43.2" x14ac:dyDescent="0.3">
      <c r="A8962" s="1" t="s">
        <v>14252</v>
      </c>
      <c r="B8962" s="1" t="str">
        <f>"Clarence Hotel"</f>
        <v>Clarence Hotel</v>
      </c>
      <c r="C8962" s="1" t="s">
        <v>14253</v>
      </c>
      <c r="F8962" s="1" t="s">
        <v>714</v>
      </c>
      <c r="H8962" s="1" t="s">
        <v>14254</v>
      </c>
      <c r="I8962" s="1" t="s">
        <v>19</v>
      </c>
      <c r="J8962" s="1" t="s">
        <v>67</v>
      </c>
      <c r="K8962" s="1" t="s">
        <v>14</v>
      </c>
      <c r="M8962" s="2">
        <v>42228</v>
      </c>
      <c r="N8962" s="1" t="s">
        <v>8</v>
      </c>
      <c r="O8962" s="1" t="s">
        <v>68</v>
      </c>
    </row>
    <row r="8963" spans="1:15" ht="43.2" x14ac:dyDescent="0.3">
      <c r="A8963" s="1" t="s">
        <v>25878</v>
      </c>
      <c r="B8963" s="1" t="str">
        <f>"Andrew Raymond"</f>
        <v>Andrew Raymond</v>
      </c>
      <c r="C8963" s="1" t="s">
        <v>25879</v>
      </c>
      <c r="F8963" s="1" t="s">
        <v>438</v>
      </c>
      <c r="H8963" s="1" t="s">
        <v>25880</v>
      </c>
      <c r="I8963" s="1" t="s">
        <v>5</v>
      </c>
      <c r="J8963" s="1" t="s">
        <v>67</v>
      </c>
      <c r="K8963" s="1" t="s">
        <v>14</v>
      </c>
      <c r="M8963" s="2">
        <v>42228</v>
      </c>
      <c r="N8963" s="1" t="s">
        <v>8</v>
      </c>
      <c r="O8963" s="1" t="s">
        <v>68</v>
      </c>
    </row>
    <row r="8964" spans="1:15" ht="43.2" x14ac:dyDescent="0.3">
      <c r="A8964" s="1" t="s">
        <v>25881</v>
      </c>
      <c r="B8964" s="1" t="str">
        <f>"Tara Pond"</f>
        <v>Tara Pond</v>
      </c>
      <c r="C8964" s="1" t="s">
        <v>3468</v>
      </c>
      <c r="F8964" s="1" t="s">
        <v>25882</v>
      </c>
      <c r="H8964" s="1" t="s">
        <v>23691</v>
      </c>
      <c r="I8964" s="1" t="s">
        <v>5</v>
      </c>
      <c r="J8964" s="1" t="s">
        <v>67</v>
      </c>
      <c r="K8964" s="1" t="s">
        <v>14</v>
      </c>
      <c r="M8964" s="2">
        <v>42228</v>
      </c>
      <c r="N8964" s="1" t="s">
        <v>8</v>
      </c>
      <c r="O8964" s="1" t="s">
        <v>68</v>
      </c>
    </row>
    <row r="8965" spans="1:15" ht="43.2" x14ac:dyDescent="0.3">
      <c r="A8965" s="1" t="s">
        <v>26620</v>
      </c>
      <c r="B8965" s="1" t="str">
        <f>"Gary Taylor"</f>
        <v>Gary Taylor</v>
      </c>
      <c r="C8965" s="1" t="s">
        <v>26621</v>
      </c>
      <c r="F8965" s="1" t="s">
        <v>65</v>
      </c>
      <c r="H8965" s="1" t="s">
        <v>26622</v>
      </c>
      <c r="I8965" s="1" t="s">
        <v>5</v>
      </c>
      <c r="J8965" s="1" t="s">
        <v>67</v>
      </c>
      <c r="K8965" s="1" t="s">
        <v>14</v>
      </c>
      <c r="M8965" s="2">
        <v>42228</v>
      </c>
      <c r="N8965" s="1" t="s">
        <v>8</v>
      </c>
      <c r="O8965" s="1" t="s">
        <v>68</v>
      </c>
    </row>
    <row r="8966" spans="1:15" ht="43.2" x14ac:dyDescent="0.3">
      <c r="A8966" s="1" t="s">
        <v>26623</v>
      </c>
      <c r="B8966" s="1" t="str">
        <f>"Gareth Foster"</f>
        <v>Gareth Foster</v>
      </c>
      <c r="C8966" s="1" t="s">
        <v>26624</v>
      </c>
      <c r="F8966" s="1" t="s">
        <v>380</v>
      </c>
      <c r="H8966" s="1" t="s">
        <v>26625</v>
      </c>
      <c r="I8966" s="1" t="s">
        <v>5</v>
      </c>
      <c r="J8966" s="1" t="s">
        <v>67</v>
      </c>
      <c r="K8966" s="1" t="s">
        <v>14</v>
      </c>
      <c r="M8966" s="2">
        <v>42228</v>
      </c>
      <c r="N8966" s="1" t="s">
        <v>8</v>
      </c>
      <c r="O8966" s="1" t="s">
        <v>68</v>
      </c>
    </row>
    <row r="8967" spans="1:15" ht="28.8" x14ac:dyDescent="0.3">
      <c r="A8967" s="1" t="s">
        <v>30579</v>
      </c>
      <c r="B8967" s="1" t="str">
        <f>"CARDIFF GROUNDCARE LTD"</f>
        <v>CARDIFF GROUNDCARE LTD</v>
      </c>
      <c r="C8967" s="1" t="s">
        <v>30580</v>
      </c>
      <c r="F8967" s="1" t="s">
        <v>27</v>
      </c>
      <c r="H8967" s="1" t="s">
        <v>30581</v>
      </c>
      <c r="I8967" s="1" t="s">
        <v>19</v>
      </c>
      <c r="J8967" s="1" t="s">
        <v>6</v>
      </c>
      <c r="K8967" s="1" t="s">
        <v>34</v>
      </c>
      <c r="L8967" s="1">
        <v>7667427</v>
      </c>
      <c r="M8967" s="2">
        <v>42228</v>
      </c>
      <c r="N8967" s="1" t="s">
        <v>8</v>
      </c>
      <c r="O8967" s="2">
        <v>44419</v>
      </c>
    </row>
    <row r="8968" spans="1:15" ht="28.8" x14ac:dyDescent="0.3">
      <c r="A8968" s="1" t="s">
        <v>80</v>
      </c>
      <c r="B8968" s="1" t="str">
        <f>"Cambrian Autospares Ltd."</f>
        <v>Cambrian Autospares Ltd.</v>
      </c>
      <c r="C8968" s="1" t="s">
        <v>81</v>
      </c>
      <c r="D8968" s="1" t="s">
        <v>82</v>
      </c>
      <c r="F8968" s="1" t="s">
        <v>83</v>
      </c>
      <c r="H8968" s="1" t="s">
        <v>84</v>
      </c>
      <c r="I8968" s="1" t="s">
        <v>19</v>
      </c>
      <c r="J8968" s="1" t="s">
        <v>6</v>
      </c>
      <c r="K8968" s="1" t="s">
        <v>34</v>
      </c>
      <c r="L8968" s="1">
        <v>5740002</v>
      </c>
      <c r="M8968" s="2">
        <v>42227</v>
      </c>
      <c r="N8968" s="1" t="s">
        <v>8</v>
      </c>
      <c r="O8968" s="2">
        <v>44418</v>
      </c>
    </row>
    <row r="8969" spans="1:15" ht="43.2" x14ac:dyDescent="0.3">
      <c r="A8969" s="1" t="s">
        <v>13330</v>
      </c>
      <c r="B8969" s="1" t="str">
        <f>"PEB &amp; RG LEWIS"</f>
        <v>PEB &amp; RG LEWIS</v>
      </c>
      <c r="C8969" s="1" t="s">
        <v>13331</v>
      </c>
      <c r="F8969" s="1" t="s">
        <v>13332</v>
      </c>
      <c r="H8969" s="1" t="s">
        <v>13333</v>
      </c>
      <c r="I8969" s="1" t="s">
        <v>125</v>
      </c>
      <c r="J8969" s="1" t="s">
        <v>67</v>
      </c>
      <c r="K8969" s="1" t="s">
        <v>14</v>
      </c>
      <c r="M8969" s="2">
        <v>42227</v>
      </c>
      <c r="N8969" s="1" t="s">
        <v>8</v>
      </c>
      <c r="O8969" s="1" t="s">
        <v>68</v>
      </c>
    </row>
    <row r="8970" spans="1:15" ht="43.2" x14ac:dyDescent="0.3">
      <c r="A8970" s="1" t="s">
        <v>13334</v>
      </c>
      <c r="B8970" s="1" t="str">
        <f>"Halo"</f>
        <v>Halo</v>
      </c>
      <c r="C8970" s="1" t="s">
        <v>13335</v>
      </c>
      <c r="D8970" s="1" t="s">
        <v>13336</v>
      </c>
      <c r="E8970" s="1" t="s">
        <v>2006</v>
      </c>
      <c r="F8970" s="1" t="s">
        <v>27</v>
      </c>
      <c r="H8970" s="1" t="s">
        <v>13337</v>
      </c>
      <c r="I8970" s="1" t="s">
        <v>19</v>
      </c>
      <c r="J8970" s="1" t="s">
        <v>67</v>
      </c>
      <c r="K8970" s="1" t="s">
        <v>14</v>
      </c>
      <c r="M8970" s="2">
        <v>42227</v>
      </c>
      <c r="N8970" s="1" t="s">
        <v>8</v>
      </c>
      <c r="O8970" s="1" t="s">
        <v>68</v>
      </c>
    </row>
    <row r="8971" spans="1:15" ht="43.2" x14ac:dyDescent="0.3">
      <c r="A8971" s="1" t="s">
        <v>25875</v>
      </c>
      <c r="B8971" s="1" t="str">
        <f>"jonathan thorne"</f>
        <v>jonathan thorne</v>
      </c>
      <c r="C8971" s="1" t="s">
        <v>25876</v>
      </c>
      <c r="F8971" s="1" t="s">
        <v>91</v>
      </c>
      <c r="H8971" s="1" t="s">
        <v>25877</v>
      </c>
      <c r="I8971" s="1" t="s">
        <v>5</v>
      </c>
      <c r="J8971" s="1" t="s">
        <v>67</v>
      </c>
      <c r="K8971" s="1" t="s">
        <v>14</v>
      </c>
      <c r="M8971" s="2">
        <v>42227</v>
      </c>
      <c r="N8971" s="1" t="s">
        <v>8</v>
      </c>
      <c r="O8971" s="1" t="s">
        <v>68</v>
      </c>
    </row>
    <row r="8972" spans="1:15" ht="28.8" x14ac:dyDescent="0.3">
      <c r="A8972" s="1" t="s">
        <v>31621</v>
      </c>
      <c r="B8972" s="1" t="str">
        <f>"Stephen John Stephen John"</f>
        <v>Stephen John Stephen John</v>
      </c>
      <c r="C8972" s="1" t="s">
        <v>31622</v>
      </c>
      <c r="F8972" s="1" t="s">
        <v>42</v>
      </c>
      <c r="G8972" s="1" t="s">
        <v>51</v>
      </c>
      <c r="H8972" s="1" t="s">
        <v>31623</v>
      </c>
      <c r="I8972" s="1" t="s">
        <v>5</v>
      </c>
      <c r="J8972" s="1" t="s">
        <v>6</v>
      </c>
      <c r="K8972" s="1" t="s">
        <v>24</v>
      </c>
      <c r="M8972" s="2">
        <v>42227</v>
      </c>
      <c r="N8972" s="1" t="s">
        <v>8</v>
      </c>
      <c r="O8972" s="2">
        <v>44418</v>
      </c>
    </row>
    <row r="8973" spans="1:15" ht="28.8" x14ac:dyDescent="0.3">
      <c r="A8973" s="1" t="s">
        <v>31624</v>
      </c>
      <c r="B8973" s="1" t="str">
        <f>"J V Elias CYF"</f>
        <v>J V Elias CYF</v>
      </c>
      <c r="C8973" s="1" t="s">
        <v>31625</v>
      </c>
      <c r="F8973" s="1" t="s">
        <v>5958</v>
      </c>
      <c r="H8973" s="1" t="s">
        <v>31626</v>
      </c>
      <c r="I8973" s="1" t="s">
        <v>19</v>
      </c>
      <c r="J8973" s="1" t="s">
        <v>6</v>
      </c>
      <c r="K8973" s="1" t="s">
        <v>34</v>
      </c>
      <c r="L8973" s="1">
        <v>7907573</v>
      </c>
      <c r="M8973" s="2">
        <v>42227</v>
      </c>
      <c r="N8973" s="1" t="s">
        <v>8</v>
      </c>
      <c r="O8973" s="2">
        <v>44418</v>
      </c>
    </row>
    <row r="8974" spans="1:15" ht="28.8" x14ac:dyDescent="0.3">
      <c r="A8974" s="1" t="s">
        <v>31637</v>
      </c>
      <c r="B8974" s="1" t="str">
        <f>"Asbestos Solutions (North Wales) Ltd."</f>
        <v>Asbestos Solutions (North Wales) Ltd.</v>
      </c>
      <c r="C8974" s="1" t="s">
        <v>31638</v>
      </c>
      <c r="F8974" s="1" t="s">
        <v>358</v>
      </c>
      <c r="G8974" s="1" t="s">
        <v>359</v>
      </c>
      <c r="H8974" s="1" t="s">
        <v>31639</v>
      </c>
      <c r="I8974" s="1" t="s">
        <v>19</v>
      </c>
      <c r="J8974" s="1" t="s">
        <v>6</v>
      </c>
      <c r="K8974" s="1" t="s">
        <v>24</v>
      </c>
      <c r="L8974" s="1">
        <v>5877412</v>
      </c>
      <c r="M8974" s="2">
        <v>42227</v>
      </c>
      <c r="N8974" s="1" t="s">
        <v>8</v>
      </c>
      <c r="O8974" s="2">
        <v>44418</v>
      </c>
    </row>
    <row r="8975" spans="1:15" ht="28.8" x14ac:dyDescent="0.3">
      <c r="A8975" s="1" t="s">
        <v>32802</v>
      </c>
      <c r="B8975" s="1" t="str">
        <f>"City Windows Newport Limited"</f>
        <v>City Windows Newport Limited</v>
      </c>
      <c r="C8975" s="1" t="s">
        <v>32803</v>
      </c>
      <c r="D8975" s="1" t="s">
        <v>32804</v>
      </c>
      <c r="F8975" s="1" t="s">
        <v>156</v>
      </c>
      <c r="H8975" s="1" t="s">
        <v>7009</v>
      </c>
      <c r="I8975" s="1" t="s">
        <v>19</v>
      </c>
      <c r="J8975" s="1" t="s">
        <v>6</v>
      </c>
      <c r="K8975" s="1" t="s">
        <v>24</v>
      </c>
      <c r="L8975" s="1">
        <v>7735116</v>
      </c>
      <c r="M8975" s="2">
        <v>42227</v>
      </c>
      <c r="N8975" s="1" t="s">
        <v>8</v>
      </c>
      <c r="O8975" s="2">
        <v>44418</v>
      </c>
    </row>
    <row r="8976" spans="1:15" ht="43.2" x14ac:dyDescent="0.3">
      <c r="A8976" s="1" t="s">
        <v>12231</v>
      </c>
      <c r="B8976" s="1" t="str">
        <f>"T W K THOMAS LTD"</f>
        <v>T W K THOMAS LTD</v>
      </c>
      <c r="C8976" s="1" t="s">
        <v>12232</v>
      </c>
      <c r="D8976" s="1" t="s">
        <v>12233</v>
      </c>
      <c r="F8976" s="1" t="s">
        <v>65</v>
      </c>
      <c r="H8976" s="1" t="s">
        <v>12234</v>
      </c>
      <c r="I8976" s="1" t="s">
        <v>19</v>
      </c>
      <c r="J8976" s="1" t="s">
        <v>67</v>
      </c>
      <c r="K8976" s="1" t="s">
        <v>14</v>
      </c>
      <c r="M8976" s="2">
        <v>42226</v>
      </c>
      <c r="N8976" s="1" t="s">
        <v>8</v>
      </c>
      <c r="O8976" s="1" t="s">
        <v>68</v>
      </c>
    </row>
    <row r="8977" spans="1:15" ht="43.2" x14ac:dyDescent="0.3">
      <c r="A8977" s="1" t="s">
        <v>12235</v>
      </c>
      <c r="B8977" s="1" t="str">
        <f>"Truckers Inns Ltd.Bull &amp; Bush"</f>
        <v>Truckers Inns Ltd.Bull &amp; Bush</v>
      </c>
      <c r="C8977" s="1" t="s">
        <v>12236</v>
      </c>
      <c r="F8977" s="1" t="s">
        <v>12237</v>
      </c>
      <c r="H8977" s="1" t="s">
        <v>12238</v>
      </c>
      <c r="I8977" s="1" t="s">
        <v>19</v>
      </c>
      <c r="J8977" s="1" t="s">
        <v>67</v>
      </c>
      <c r="K8977" s="1" t="s">
        <v>14</v>
      </c>
      <c r="M8977" s="2">
        <v>42226</v>
      </c>
      <c r="N8977" s="1" t="s">
        <v>8</v>
      </c>
      <c r="O8977" s="1" t="s">
        <v>68</v>
      </c>
    </row>
    <row r="8978" spans="1:15" ht="43.2" x14ac:dyDescent="0.3">
      <c r="A8978" s="1" t="s">
        <v>12239</v>
      </c>
      <c r="B8978" s="1" t="str">
        <f>"RI &amp; EA James"</f>
        <v>RI &amp; EA James</v>
      </c>
      <c r="C8978" s="1" t="s">
        <v>12240</v>
      </c>
      <c r="F8978" s="1" t="s">
        <v>438</v>
      </c>
      <c r="H8978" s="1" t="s">
        <v>12241</v>
      </c>
      <c r="I8978" s="1" t="s">
        <v>125</v>
      </c>
      <c r="J8978" s="1" t="s">
        <v>67</v>
      </c>
      <c r="K8978" s="1" t="s">
        <v>14</v>
      </c>
      <c r="M8978" s="2">
        <v>42226</v>
      </c>
      <c r="N8978" s="1" t="s">
        <v>8</v>
      </c>
      <c r="O8978" s="1" t="s">
        <v>68</v>
      </c>
    </row>
    <row r="8979" spans="1:15" ht="43.2" x14ac:dyDescent="0.3">
      <c r="A8979" s="1" t="s">
        <v>25168</v>
      </c>
      <c r="B8979" s="1" t="str">
        <f>"Alan Bradley"</f>
        <v>Alan Bradley</v>
      </c>
      <c r="C8979" s="1" t="s">
        <v>25169</v>
      </c>
      <c r="D8979" s="1" t="s">
        <v>25170</v>
      </c>
      <c r="F8979" s="1" t="s">
        <v>5645</v>
      </c>
      <c r="H8979" s="1" t="s">
        <v>25171</v>
      </c>
      <c r="I8979" s="1" t="s">
        <v>5</v>
      </c>
      <c r="J8979" s="1" t="s">
        <v>67</v>
      </c>
      <c r="K8979" s="1" t="s">
        <v>14</v>
      </c>
      <c r="M8979" s="2">
        <v>42226</v>
      </c>
      <c r="N8979" s="1" t="s">
        <v>8</v>
      </c>
      <c r="O8979" s="1" t="s">
        <v>68</v>
      </c>
    </row>
    <row r="8980" spans="1:15" ht="28.8" x14ac:dyDescent="0.3">
      <c r="A8980" s="1" t="s">
        <v>31640</v>
      </c>
      <c r="B8980" s="1" t="str">
        <f>"W A Bowler Ltd."</f>
        <v>W A Bowler Ltd.</v>
      </c>
      <c r="C8980" s="1" t="s">
        <v>31641</v>
      </c>
      <c r="F8980" s="1" t="s">
        <v>42</v>
      </c>
      <c r="H8980" s="1" t="s">
        <v>31642</v>
      </c>
      <c r="I8980" s="1" t="s">
        <v>19</v>
      </c>
      <c r="J8980" s="1" t="s">
        <v>6</v>
      </c>
      <c r="K8980" s="1" t="s">
        <v>24</v>
      </c>
      <c r="L8980" s="1">
        <v>4615818</v>
      </c>
      <c r="M8980" s="2">
        <v>42226</v>
      </c>
      <c r="N8980" s="1" t="s">
        <v>8</v>
      </c>
      <c r="O8980" s="2">
        <v>44417</v>
      </c>
    </row>
    <row r="8981" spans="1:15" ht="28.8" x14ac:dyDescent="0.3">
      <c r="A8981" s="1" t="s">
        <v>32183</v>
      </c>
      <c r="B8981" s="1" t="str">
        <f>"Jamie  sulway  Bigsul garden services "</f>
        <v xml:space="preserve">Jamie  sulway  Bigsul garden services </v>
      </c>
      <c r="C8981" s="1" t="s">
        <v>32184</v>
      </c>
      <c r="F8981" s="1" t="s">
        <v>1175</v>
      </c>
      <c r="H8981" s="1" t="s">
        <v>32185</v>
      </c>
      <c r="I8981" s="1" t="s">
        <v>5</v>
      </c>
      <c r="J8981" s="1" t="s">
        <v>6</v>
      </c>
      <c r="K8981" s="1" t="s">
        <v>24</v>
      </c>
      <c r="M8981" s="2">
        <v>42226</v>
      </c>
      <c r="N8981" s="1" t="s">
        <v>8</v>
      </c>
      <c r="O8981" s="2">
        <v>44418</v>
      </c>
    </row>
    <row r="8982" spans="1:15" ht="43.2" x14ac:dyDescent="0.3">
      <c r="A8982" s="1" t="s">
        <v>32688</v>
      </c>
      <c r="B8982" s="1" t="str">
        <f>"Marc King Bridgend Town Festival Committee"</f>
        <v>Marc King Bridgend Town Festival Committee</v>
      </c>
      <c r="C8982" s="1" t="s">
        <v>32689</v>
      </c>
      <c r="D8982" s="1" t="s">
        <v>32690</v>
      </c>
      <c r="F8982" s="1" t="s">
        <v>706</v>
      </c>
      <c r="G8982" s="1" t="s">
        <v>211</v>
      </c>
      <c r="H8982" s="1" t="s">
        <v>32691</v>
      </c>
      <c r="I8982" s="1" t="s">
        <v>5</v>
      </c>
      <c r="J8982" s="1" t="s">
        <v>6</v>
      </c>
      <c r="K8982" s="1" t="s">
        <v>34</v>
      </c>
      <c r="M8982" s="2">
        <v>42226</v>
      </c>
      <c r="N8982" s="1" t="s">
        <v>8</v>
      </c>
      <c r="O8982" s="2">
        <v>44418</v>
      </c>
    </row>
    <row r="8983" spans="1:15" ht="43.2" x14ac:dyDescent="0.3">
      <c r="A8983" s="1" t="s">
        <v>32612</v>
      </c>
      <c r="B8983" s="1" t="str">
        <f>"sean feeney Wentwood Property Maintenance"</f>
        <v>sean feeney Wentwood Property Maintenance</v>
      </c>
      <c r="C8983" s="1" t="s">
        <v>32613</v>
      </c>
      <c r="F8983" s="1" t="s">
        <v>621</v>
      </c>
      <c r="H8983" s="1" t="s">
        <v>32614</v>
      </c>
      <c r="I8983" s="1" t="s">
        <v>5</v>
      </c>
      <c r="J8983" s="1" t="s">
        <v>6</v>
      </c>
      <c r="K8983" s="1" t="s">
        <v>24</v>
      </c>
      <c r="M8983" s="2">
        <v>42225</v>
      </c>
      <c r="N8983" s="1" t="s">
        <v>8</v>
      </c>
      <c r="O8983" s="2">
        <v>44416</v>
      </c>
    </row>
    <row r="8984" spans="1:15" ht="28.8" x14ac:dyDescent="0.3">
      <c r="A8984" s="1" t="s">
        <v>2423</v>
      </c>
      <c r="B8984" s="1" t="str">
        <f>"Paul Parry ai fab cyf"</f>
        <v>Paul Parry ai fab cyf</v>
      </c>
      <c r="C8984" s="1" t="s">
        <v>2424</v>
      </c>
      <c r="F8984" s="1" t="s">
        <v>678</v>
      </c>
      <c r="H8984" s="1" t="s">
        <v>2425</v>
      </c>
      <c r="I8984" s="1" t="s">
        <v>19</v>
      </c>
      <c r="J8984" s="1" t="s">
        <v>6</v>
      </c>
      <c r="K8984" s="1" t="s">
        <v>34</v>
      </c>
      <c r="L8984" s="1">
        <v>7211850</v>
      </c>
      <c r="M8984" s="2">
        <v>42224</v>
      </c>
      <c r="N8984" s="1" t="s">
        <v>8</v>
      </c>
      <c r="O8984" s="2">
        <v>44415</v>
      </c>
    </row>
    <row r="8985" spans="1:15" ht="43.2" x14ac:dyDescent="0.3">
      <c r="A8985" s="1" t="s">
        <v>24313</v>
      </c>
      <c r="B8985" s="1" t="str">
        <f>"Lloyd Reynolds"</f>
        <v>Lloyd Reynolds</v>
      </c>
      <c r="C8985" s="1" t="s">
        <v>24314</v>
      </c>
      <c r="F8985" s="1" t="s">
        <v>930</v>
      </c>
      <c r="H8985" s="1" t="s">
        <v>19184</v>
      </c>
      <c r="I8985" s="1" t="s">
        <v>5</v>
      </c>
      <c r="J8985" s="1" t="s">
        <v>67</v>
      </c>
      <c r="K8985" s="1" t="s">
        <v>14</v>
      </c>
      <c r="M8985" s="2">
        <v>42224</v>
      </c>
      <c r="N8985" s="1" t="s">
        <v>8</v>
      </c>
      <c r="O8985" s="1" t="s">
        <v>68</v>
      </c>
    </row>
    <row r="8986" spans="1:15" ht="43.2" x14ac:dyDescent="0.3">
      <c r="A8986" s="1" t="s">
        <v>24315</v>
      </c>
      <c r="B8986" s="1" t="str">
        <f>"Stephen   Laddiman"</f>
        <v>Stephen   Laddiman</v>
      </c>
      <c r="C8986" s="1" t="s">
        <v>24316</v>
      </c>
      <c r="F8986" s="1" t="s">
        <v>678</v>
      </c>
      <c r="H8986" s="1" t="s">
        <v>24317</v>
      </c>
      <c r="I8986" s="1" t="s">
        <v>5</v>
      </c>
      <c r="J8986" s="1" t="s">
        <v>67</v>
      </c>
      <c r="K8986" s="1" t="s">
        <v>24</v>
      </c>
      <c r="M8986" s="2">
        <v>42224</v>
      </c>
      <c r="N8986" s="1" t="s">
        <v>8</v>
      </c>
      <c r="O8986" s="1" t="s">
        <v>68</v>
      </c>
    </row>
    <row r="8987" spans="1:15" ht="43.2" x14ac:dyDescent="0.3">
      <c r="A8987" s="1" t="s">
        <v>24318</v>
      </c>
      <c r="B8987" s="1" t="str">
        <f>"michael gough"</f>
        <v>michael gough</v>
      </c>
      <c r="C8987" s="1" t="s">
        <v>24319</v>
      </c>
      <c r="F8987" s="1" t="s">
        <v>7844</v>
      </c>
      <c r="H8987" s="1" t="s">
        <v>24320</v>
      </c>
      <c r="I8987" s="1" t="s">
        <v>5</v>
      </c>
      <c r="J8987" s="1" t="s">
        <v>67</v>
      </c>
      <c r="K8987" s="1" t="s">
        <v>14</v>
      </c>
      <c r="M8987" s="2">
        <v>42224</v>
      </c>
      <c r="N8987" s="1" t="s">
        <v>8</v>
      </c>
      <c r="O8987" s="1" t="s">
        <v>68</v>
      </c>
    </row>
    <row r="8988" spans="1:15" ht="43.2" x14ac:dyDescent="0.3">
      <c r="A8988" s="1" t="s">
        <v>11256</v>
      </c>
      <c r="B8988" s="1" t="str">
        <f>"Graig Trading"</f>
        <v>Graig Trading</v>
      </c>
      <c r="C8988" s="1" t="s">
        <v>11257</v>
      </c>
      <c r="F8988" s="1" t="s">
        <v>328</v>
      </c>
      <c r="H8988" s="1" t="s">
        <v>11258</v>
      </c>
      <c r="I8988" s="1" t="s">
        <v>125</v>
      </c>
      <c r="J8988" s="1" t="s">
        <v>67</v>
      </c>
      <c r="K8988" s="1" t="s">
        <v>14</v>
      </c>
      <c r="M8988" s="2">
        <v>42223</v>
      </c>
      <c r="N8988" s="1" t="s">
        <v>8</v>
      </c>
      <c r="O8988" s="1" t="s">
        <v>68</v>
      </c>
    </row>
    <row r="8989" spans="1:15" ht="43.2" x14ac:dyDescent="0.3">
      <c r="A8989" s="1" t="s">
        <v>23466</v>
      </c>
      <c r="B8989" s="1" t="str">
        <f>"Stephen Royles"</f>
        <v>Stephen Royles</v>
      </c>
      <c r="C8989" s="1" t="s">
        <v>23467</v>
      </c>
      <c r="D8989" s="1" t="s">
        <v>4780</v>
      </c>
      <c r="F8989" s="1" t="s">
        <v>374</v>
      </c>
      <c r="H8989" s="1" t="s">
        <v>23468</v>
      </c>
      <c r="I8989" s="1" t="s">
        <v>5</v>
      </c>
      <c r="J8989" s="1" t="s">
        <v>67</v>
      </c>
      <c r="K8989" s="1" t="s">
        <v>14</v>
      </c>
      <c r="M8989" s="2">
        <v>42223</v>
      </c>
      <c r="N8989" s="1" t="s">
        <v>8</v>
      </c>
      <c r="O8989" s="1" t="s">
        <v>68</v>
      </c>
    </row>
    <row r="8990" spans="1:15" ht="43.2" x14ac:dyDescent="0.3">
      <c r="A8990" s="1" t="s">
        <v>23469</v>
      </c>
      <c r="B8990" s="1" t="str">
        <f>"MARGARET BARDSLEY"</f>
        <v>MARGARET BARDSLEY</v>
      </c>
      <c r="C8990" s="1" t="s">
        <v>23470</v>
      </c>
      <c r="F8990" s="1" t="s">
        <v>416</v>
      </c>
      <c r="H8990" s="1" t="s">
        <v>23471</v>
      </c>
      <c r="I8990" s="1" t="s">
        <v>5</v>
      </c>
      <c r="J8990" s="1" t="s">
        <v>67</v>
      </c>
      <c r="K8990" s="1" t="s">
        <v>14</v>
      </c>
      <c r="M8990" s="2">
        <v>42223</v>
      </c>
      <c r="N8990" s="1" t="s">
        <v>8</v>
      </c>
      <c r="O8990" s="1" t="s">
        <v>68</v>
      </c>
    </row>
    <row r="8991" spans="1:15" ht="43.2" x14ac:dyDescent="0.3">
      <c r="A8991" s="1" t="s">
        <v>24310</v>
      </c>
      <c r="B8991" s="1" t="str">
        <f>"Steven Dibdin"</f>
        <v>Steven Dibdin</v>
      </c>
      <c r="C8991" s="1" t="s">
        <v>24311</v>
      </c>
      <c r="F8991" s="1" t="s">
        <v>6080</v>
      </c>
      <c r="H8991" s="1" t="s">
        <v>24312</v>
      </c>
      <c r="I8991" s="1" t="s">
        <v>5</v>
      </c>
      <c r="J8991" s="1" t="s">
        <v>67</v>
      </c>
      <c r="K8991" s="1" t="s">
        <v>14</v>
      </c>
      <c r="M8991" s="2">
        <v>42223</v>
      </c>
      <c r="N8991" s="1" t="s">
        <v>8</v>
      </c>
      <c r="O8991" s="1" t="s">
        <v>68</v>
      </c>
    </row>
    <row r="8992" spans="1:15" ht="43.2" x14ac:dyDescent="0.3">
      <c r="A8992" s="1" t="s">
        <v>10236</v>
      </c>
      <c r="B8992" s="1" t="str">
        <f>"Advance Building Designs Ltd"</f>
        <v>Advance Building Designs Ltd</v>
      </c>
      <c r="C8992" s="1" t="s">
        <v>10237</v>
      </c>
      <c r="F8992" s="1" t="s">
        <v>445</v>
      </c>
      <c r="H8992" s="1" t="s">
        <v>10238</v>
      </c>
      <c r="I8992" s="1" t="s">
        <v>19</v>
      </c>
      <c r="J8992" s="1" t="s">
        <v>67</v>
      </c>
      <c r="K8992" s="1" t="s">
        <v>14</v>
      </c>
      <c r="M8992" s="2">
        <v>42222</v>
      </c>
      <c r="N8992" s="1" t="s">
        <v>8</v>
      </c>
      <c r="O8992" s="1" t="s">
        <v>68</v>
      </c>
    </row>
    <row r="8993" spans="1:15" ht="43.2" x14ac:dyDescent="0.3">
      <c r="A8993" s="1" t="s">
        <v>10239</v>
      </c>
      <c r="B8993" s="1" t="str">
        <f>"Beili Neuadd Partnership"</f>
        <v>Beili Neuadd Partnership</v>
      </c>
      <c r="C8993" s="1" t="s">
        <v>10240</v>
      </c>
      <c r="F8993" s="1" t="s">
        <v>10241</v>
      </c>
      <c r="H8993" s="1" t="s">
        <v>10242</v>
      </c>
      <c r="I8993" s="1" t="s">
        <v>125</v>
      </c>
      <c r="J8993" s="1" t="s">
        <v>67</v>
      </c>
      <c r="K8993" s="1" t="s">
        <v>14</v>
      </c>
      <c r="M8993" s="2">
        <v>42222</v>
      </c>
      <c r="N8993" s="1" t="s">
        <v>8</v>
      </c>
      <c r="O8993" s="1" t="s">
        <v>68</v>
      </c>
    </row>
    <row r="8994" spans="1:15" ht="43.2" x14ac:dyDescent="0.3">
      <c r="A8994" s="1" t="s">
        <v>10243</v>
      </c>
      <c r="B8994" s="1" t="str">
        <f>"Hafren waste removal "</f>
        <v xml:space="preserve">Hafren waste removal </v>
      </c>
      <c r="C8994" s="1" t="s">
        <v>10244</v>
      </c>
      <c r="F8994" s="1" t="s">
        <v>10241</v>
      </c>
      <c r="H8994" s="1" t="s">
        <v>10245</v>
      </c>
      <c r="I8994" s="1" t="s">
        <v>188</v>
      </c>
      <c r="J8994" s="1" t="s">
        <v>67</v>
      </c>
      <c r="K8994" s="1" t="s">
        <v>14</v>
      </c>
      <c r="M8994" s="2">
        <v>42222</v>
      </c>
      <c r="N8994" s="1" t="s">
        <v>8</v>
      </c>
      <c r="O8994" s="1" t="s">
        <v>68</v>
      </c>
    </row>
    <row r="8995" spans="1:15" ht="43.2" x14ac:dyDescent="0.3">
      <c r="A8995" s="1" t="s">
        <v>10246</v>
      </c>
      <c r="B8995" s="1" t="str">
        <f>"Lloyds Coaches Limited"</f>
        <v>Lloyds Coaches Limited</v>
      </c>
      <c r="C8995" s="1" t="s">
        <v>10247</v>
      </c>
      <c r="F8995" s="1" t="s">
        <v>1818</v>
      </c>
      <c r="H8995" s="1" t="s">
        <v>10248</v>
      </c>
      <c r="I8995" s="1" t="s">
        <v>19</v>
      </c>
      <c r="J8995" s="1" t="s">
        <v>67</v>
      </c>
      <c r="K8995" s="1" t="s">
        <v>14</v>
      </c>
      <c r="M8995" s="2">
        <v>42222</v>
      </c>
      <c r="N8995" s="1" t="s">
        <v>8</v>
      </c>
      <c r="O8995" s="1" t="s">
        <v>68</v>
      </c>
    </row>
    <row r="8996" spans="1:15" ht="43.2" x14ac:dyDescent="0.3">
      <c r="A8996" s="1" t="s">
        <v>10249</v>
      </c>
      <c r="B8996" s="1" t="str">
        <f>"CCW Solutions Ltd"</f>
        <v>CCW Solutions Ltd</v>
      </c>
      <c r="C8996" s="1" t="s">
        <v>10250</v>
      </c>
      <c r="F8996" s="1" t="s">
        <v>37</v>
      </c>
      <c r="H8996" s="1" t="s">
        <v>6706</v>
      </c>
      <c r="I8996" s="1" t="s">
        <v>19</v>
      </c>
      <c r="J8996" s="1" t="s">
        <v>67</v>
      </c>
      <c r="K8996" s="1" t="s">
        <v>14</v>
      </c>
      <c r="M8996" s="2">
        <v>42222</v>
      </c>
      <c r="N8996" s="1" t="s">
        <v>8</v>
      </c>
      <c r="O8996" s="1" t="s">
        <v>68</v>
      </c>
    </row>
    <row r="8997" spans="1:15" ht="43.2" x14ac:dyDescent="0.3">
      <c r="A8997" s="1" t="s">
        <v>23458</v>
      </c>
      <c r="B8997" s="1" t="str">
        <f>"julie rees"</f>
        <v>julie rees</v>
      </c>
      <c r="C8997" s="1" t="s">
        <v>23459</v>
      </c>
      <c r="F8997" s="1" t="s">
        <v>65</v>
      </c>
      <c r="H8997" s="1" t="s">
        <v>15144</v>
      </c>
      <c r="I8997" s="1" t="s">
        <v>5</v>
      </c>
      <c r="J8997" s="1" t="s">
        <v>67</v>
      </c>
      <c r="K8997" s="1" t="s">
        <v>14</v>
      </c>
      <c r="M8997" s="2">
        <v>42222</v>
      </c>
      <c r="N8997" s="1" t="s">
        <v>8</v>
      </c>
      <c r="O8997" s="1" t="s">
        <v>68</v>
      </c>
    </row>
    <row r="8998" spans="1:15" ht="43.2" x14ac:dyDescent="0.3">
      <c r="A8998" s="1" t="s">
        <v>23460</v>
      </c>
      <c r="B8998" s="1" t="str">
        <f>"Christopher  Dyer "</f>
        <v xml:space="preserve">Christopher  Dyer </v>
      </c>
      <c r="C8998" s="1" t="s">
        <v>23461</v>
      </c>
      <c r="F8998" s="1" t="s">
        <v>16256</v>
      </c>
      <c r="H8998" s="1" t="s">
        <v>23462</v>
      </c>
      <c r="I8998" s="1" t="s">
        <v>5</v>
      </c>
      <c r="J8998" s="1" t="s">
        <v>67</v>
      </c>
      <c r="K8998" s="1" t="s">
        <v>14</v>
      </c>
      <c r="M8998" s="2">
        <v>42222</v>
      </c>
      <c r="N8998" s="1" t="s">
        <v>8</v>
      </c>
      <c r="O8998" s="1" t="s">
        <v>68</v>
      </c>
    </row>
    <row r="8999" spans="1:15" ht="43.2" x14ac:dyDescent="0.3">
      <c r="A8999" s="1" t="s">
        <v>23463</v>
      </c>
      <c r="B8999" s="1" t="str">
        <f>"Matthew Gristwood"</f>
        <v>Matthew Gristwood</v>
      </c>
      <c r="C8999" s="1" t="s">
        <v>23464</v>
      </c>
      <c r="F8999" s="1" t="s">
        <v>42</v>
      </c>
      <c r="H8999" s="1" t="s">
        <v>23465</v>
      </c>
      <c r="I8999" s="1" t="s">
        <v>5</v>
      </c>
      <c r="J8999" s="1" t="s">
        <v>67</v>
      </c>
      <c r="K8999" s="1" t="s">
        <v>14</v>
      </c>
      <c r="M8999" s="2">
        <v>42222</v>
      </c>
      <c r="N8999" s="1" t="s">
        <v>8</v>
      </c>
      <c r="O8999" s="1" t="s">
        <v>68</v>
      </c>
    </row>
    <row r="9000" spans="1:15" ht="28.8" x14ac:dyDescent="0.3">
      <c r="A9000" s="1" t="s">
        <v>30616</v>
      </c>
      <c r="B9000" s="1" t="str">
        <f>"Antony Layman A L Landscapes"</f>
        <v>Antony Layman A L Landscapes</v>
      </c>
      <c r="C9000" s="1" t="s">
        <v>30617</v>
      </c>
      <c r="F9000" s="1" t="s">
        <v>1341</v>
      </c>
      <c r="G9000" s="1" t="s">
        <v>103</v>
      </c>
      <c r="H9000" s="1" t="s">
        <v>30618</v>
      </c>
      <c r="I9000" s="1" t="s">
        <v>5</v>
      </c>
      <c r="J9000" s="1" t="s">
        <v>6</v>
      </c>
      <c r="K9000" s="1" t="s">
        <v>24</v>
      </c>
      <c r="M9000" s="2">
        <v>42222</v>
      </c>
      <c r="N9000" s="1" t="s">
        <v>8</v>
      </c>
      <c r="O9000" s="2">
        <v>44414</v>
      </c>
    </row>
    <row r="9001" spans="1:15" ht="28.8" x14ac:dyDescent="0.3">
      <c r="A9001" s="1" t="s">
        <v>31584</v>
      </c>
      <c r="B9001" s="1" t="str">
        <f>"Monex Cranes Limited"</f>
        <v>Monex Cranes Limited</v>
      </c>
      <c r="C9001" s="1" t="s">
        <v>31585</v>
      </c>
      <c r="F9001" s="1" t="s">
        <v>5149</v>
      </c>
      <c r="H9001" s="1" t="s">
        <v>31586</v>
      </c>
      <c r="I9001" s="1" t="s">
        <v>19</v>
      </c>
      <c r="J9001" s="1" t="s">
        <v>6</v>
      </c>
      <c r="K9001" s="1" t="s">
        <v>34</v>
      </c>
      <c r="L9001" s="1">
        <v>4859379</v>
      </c>
      <c r="M9001" s="2">
        <v>42222</v>
      </c>
      <c r="N9001" s="1" t="s">
        <v>8</v>
      </c>
      <c r="O9001" s="2">
        <v>44413</v>
      </c>
    </row>
    <row r="9002" spans="1:15" ht="43.2" x14ac:dyDescent="0.3">
      <c r="A9002" s="1" t="s">
        <v>9125</v>
      </c>
      <c r="B9002" s="1" t="str">
        <f>"Ffika"</f>
        <v>Ffika</v>
      </c>
      <c r="C9002" s="1" t="s">
        <v>9126</v>
      </c>
      <c r="F9002" s="1" t="s">
        <v>710</v>
      </c>
      <c r="H9002" s="1" t="s">
        <v>9127</v>
      </c>
      <c r="I9002" s="1" t="s">
        <v>19</v>
      </c>
      <c r="J9002" s="1" t="s">
        <v>67</v>
      </c>
      <c r="K9002" s="1" t="s">
        <v>14</v>
      </c>
      <c r="M9002" s="2">
        <v>42221</v>
      </c>
      <c r="N9002" s="1" t="s">
        <v>8</v>
      </c>
      <c r="O9002" s="1" t="s">
        <v>68</v>
      </c>
    </row>
    <row r="9003" spans="1:15" ht="43.2" x14ac:dyDescent="0.3">
      <c r="A9003" s="1" t="s">
        <v>9128</v>
      </c>
      <c r="B9003" s="1" t="str">
        <f>"Bellevue Holidays"</f>
        <v>Bellevue Holidays</v>
      </c>
      <c r="C9003" s="1" t="s">
        <v>9129</v>
      </c>
      <c r="D9003" s="1" t="s">
        <v>1179</v>
      </c>
      <c r="F9003" s="1" t="s">
        <v>1180</v>
      </c>
      <c r="H9003" s="1" t="s">
        <v>9130</v>
      </c>
      <c r="I9003" s="1" t="s">
        <v>125</v>
      </c>
      <c r="J9003" s="1" t="s">
        <v>67</v>
      </c>
      <c r="K9003" s="1" t="s">
        <v>14</v>
      </c>
      <c r="M9003" s="2">
        <v>42221</v>
      </c>
      <c r="N9003" s="1" t="s">
        <v>8</v>
      </c>
      <c r="O9003" s="1" t="s">
        <v>68</v>
      </c>
    </row>
    <row r="9004" spans="1:15" ht="43.2" x14ac:dyDescent="0.3">
      <c r="A9004" s="1" t="s">
        <v>9131</v>
      </c>
      <c r="B9004" s="1" t="str">
        <f>"EUROBOND LAMINATES LTD"</f>
        <v>EUROBOND LAMINATES LTD</v>
      </c>
      <c r="C9004" s="1" t="s">
        <v>9132</v>
      </c>
      <c r="D9004" s="1" t="s">
        <v>500</v>
      </c>
      <c r="F9004" s="1" t="s">
        <v>27</v>
      </c>
      <c r="H9004" s="1" t="s">
        <v>9133</v>
      </c>
      <c r="I9004" s="1" t="s">
        <v>19</v>
      </c>
      <c r="J9004" s="1" t="s">
        <v>67</v>
      </c>
      <c r="K9004" s="1" t="s">
        <v>34</v>
      </c>
      <c r="L9004" s="1">
        <v>1483717</v>
      </c>
      <c r="M9004" s="2">
        <v>42221</v>
      </c>
      <c r="N9004" s="1" t="s">
        <v>8</v>
      </c>
      <c r="O9004" s="1" t="s">
        <v>68</v>
      </c>
    </row>
    <row r="9005" spans="1:15" ht="43.2" x14ac:dyDescent="0.3">
      <c r="A9005" s="1" t="s">
        <v>22700</v>
      </c>
      <c r="B9005" s="1" t="str">
        <f>"Thomas Poulton"</f>
        <v>Thomas Poulton</v>
      </c>
      <c r="C9005" s="1" t="s">
        <v>22701</v>
      </c>
      <c r="F9005" s="1" t="s">
        <v>865</v>
      </c>
      <c r="H9005" s="1" t="s">
        <v>11499</v>
      </c>
      <c r="I9005" s="1" t="s">
        <v>5</v>
      </c>
      <c r="J9005" s="1" t="s">
        <v>67</v>
      </c>
      <c r="K9005" s="1" t="s">
        <v>14</v>
      </c>
      <c r="M9005" s="2">
        <v>42221</v>
      </c>
      <c r="N9005" s="1" t="s">
        <v>8</v>
      </c>
      <c r="O9005" s="1" t="s">
        <v>68</v>
      </c>
    </row>
    <row r="9006" spans="1:15" ht="28.8" x14ac:dyDescent="0.3">
      <c r="A9006" s="1" t="s">
        <v>30482</v>
      </c>
      <c r="B9006" s="1" t="str">
        <f>"K &amp; S Toilets Ltd."</f>
        <v>K &amp; S Toilets Ltd.</v>
      </c>
      <c r="C9006" s="1" t="s">
        <v>30483</v>
      </c>
      <c r="F9006" s="1" t="s">
        <v>5301</v>
      </c>
      <c r="G9006" s="1" t="s">
        <v>162</v>
      </c>
      <c r="H9006" s="1" t="s">
        <v>30484</v>
      </c>
      <c r="I9006" s="1" t="s">
        <v>19</v>
      </c>
      <c r="J9006" s="1" t="s">
        <v>6</v>
      </c>
      <c r="K9006" s="1" t="s">
        <v>34</v>
      </c>
      <c r="L9006" s="1">
        <v>6483284</v>
      </c>
      <c r="M9006" s="2">
        <v>42221</v>
      </c>
      <c r="N9006" s="1" t="s">
        <v>8</v>
      </c>
      <c r="O9006" s="2">
        <v>44412</v>
      </c>
    </row>
    <row r="9007" spans="1:15" ht="43.2" x14ac:dyDescent="0.3">
      <c r="A9007" s="1" t="s">
        <v>9119</v>
      </c>
      <c r="B9007" s="1" t="str">
        <f>"david saunders storage"</f>
        <v>david saunders storage</v>
      </c>
      <c r="C9007" s="1" t="s">
        <v>9120</v>
      </c>
      <c r="F9007" s="1" t="s">
        <v>1975</v>
      </c>
      <c r="H9007" s="1" t="s">
        <v>9121</v>
      </c>
      <c r="I9007" s="1" t="s">
        <v>125</v>
      </c>
      <c r="J9007" s="1" t="s">
        <v>67</v>
      </c>
      <c r="K9007" s="1" t="s">
        <v>34</v>
      </c>
      <c r="M9007" s="2">
        <v>42220</v>
      </c>
      <c r="N9007" s="1" t="s">
        <v>8</v>
      </c>
      <c r="O9007" s="1" t="s">
        <v>68</v>
      </c>
    </row>
    <row r="9008" spans="1:15" ht="43.2" x14ac:dyDescent="0.3">
      <c r="A9008" s="1" t="s">
        <v>9122</v>
      </c>
      <c r="B9008" s="1" t="str">
        <f>"Mead Campsite"</f>
        <v>Mead Campsite</v>
      </c>
      <c r="C9008" s="1" t="s">
        <v>9123</v>
      </c>
      <c r="F9008" s="1" t="s">
        <v>714</v>
      </c>
      <c r="H9008" s="1" t="s">
        <v>9124</v>
      </c>
      <c r="I9008" s="1" t="s">
        <v>125</v>
      </c>
      <c r="J9008" s="1" t="s">
        <v>67</v>
      </c>
      <c r="K9008" s="1" t="s">
        <v>14</v>
      </c>
      <c r="M9008" s="2">
        <v>42220</v>
      </c>
      <c r="N9008" s="1" t="s">
        <v>8</v>
      </c>
      <c r="O9008" s="1" t="s">
        <v>68</v>
      </c>
    </row>
    <row r="9009" spans="1:15" ht="43.2" x14ac:dyDescent="0.3">
      <c r="A9009" s="1" t="s">
        <v>22699</v>
      </c>
      <c r="B9009" s="1" t="str">
        <f>"Darryl Elliott"</f>
        <v>Darryl Elliott</v>
      </c>
      <c r="C9009" s="1" t="s">
        <v>21910</v>
      </c>
      <c r="F9009" s="1" t="s">
        <v>27</v>
      </c>
      <c r="H9009" s="1" t="s">
        <v>21911</v>
      </c>
      <c r="I9009" s="1" t="s">
        <v>5</v>
      </c>
      <c r="J9009" s="1" t="s">
        <v>67</v>
      </c>
      <c r="K9009" s="1" t="s">
        <v>14</v>
      </c>
      <c r="M9009" s="2">
        <v>42220</v>
      </c>
      <c r="N9009" s="1" t="s">
        <v>8</v>
      </c>
      <c r="O9009" s="1" t="s">
        <v>68</v>
      </c>
    </row>
    <row r="9010" spans="1:15" x14ac:dyDescent="0.3">
      <c r="A9010" s="1" t="s">
        <v>31520</v>
      </c>
      <c r="B9010" s="1" t="str">
        <f>"Kevin Thomas"</f>
        <v>Kevin Thomas</v>
      </c>
      <c r="C9010" s="1" t="s">
        <v>31521</v>
      </c>
      <c r="D9010" s="1" t="s">
        <v>31522</v>
      </c>
      <c r="F9010" s="1" t="s">
        <v>10970</v>
      </c>
      <c r="G9010" s="1" t="s">
        <v>324</v>
      </c>
      <c r="H9010" s="1" t="s">
        <v>31523</v>
      </c>
      <c r="I9010" s="1" t="s">
        <v>5</v>
      </c>
      <c r="J9010" s="1" t="s">
        <v>6</v>
      </c>
      <c r="K9010" s="1" t="s">
        <v>24</v>
      </c>
      <c r="M9010" s="2">
        <v>42220</v>
      </c>
      <c r="N9010" s="1" t="s">
        <v>8</v>
      </c>
      <c r="O9010" s="2">
        <v>44411</v>
      </c>
    </row>
    <row r="9011" spans="1:15" ht="43.2" x14ac:dyDescent="0.3">
      <c r="A9011" s="1" t="s">
        <v>31558</v>
      </c>
      <c r="B9011" s="1" t="str">
        <f>"Uk Laser Supplies Ltd."</f>
        <v>Uk Laser Supplies Ltd.</v>
      </c>
      <c r="C9011" s="1" t="s">
        <v>31559</v>
      </c>
      <c r="D9011" s="1" t="s">
        <v>3088</v>
      </c>
      <c r="F9011" s="1" t="s">
        <v>123</v>
      </c>
      <c r="H9011" s="1" t="s">
        <v>4405</v>
      </c>
      <c r="I9011" s="1" t="s">
        <v>19</v>
      </c>
      <c r="J9011" s="1" t="s">
        <v>6</v>
      </c>
      <c r="K9011" s="1" t="s">
        <v>24</v>
      </c>
      <c r="L9011" s="1">
        <v>3794970</v>
      </c>
      <c r="M9011" s="2">
        <v>42220</v>
      </c>
      <c r="N9011" s="1" t="s">
        <v>8</v>
      </c>
      <c r="O9011" s="2">
        <v>44411</v>
      </c>
    </row>
    <row r="9012" spans="1:15" ht="43.2" x14ac:dyDescent="0.3">
      <c r="A9012" s="1" t="s">
        <v>6860</v>
      </c>
      <c r="B9012" s="1" t="str">
        <f>"career choices dewis gyrfa"</f>
        <v>career choices dewis gyrfa</v>
      </c>
      <c r="C9012" s="1" t="s">
        <v>6861</v>
      </c>
      <c r="F9012" s="1" t="s">
        <v>123</v>
      </c>
      <c r="H9012" s="1" t="s">
        <v>6862</v>
      </c>
      <c r="I9012" s="1" t="s">
        <v>188</v>
      </c>
      <c r="J9012" s="1" t="s">
        <v>67</v>
      </c>
      <c r="K9012" s="1" t="s">
        <v>14</v>
      </c>
      <c r="M9012" s="2">
        <v>42219</v>
      </c>
      <c r="N9012" s="1" t="s">
        <v>8</v>
      </c>
      <c r="O9012" s="1" t="s">
        <v>68</v>
      </c>
    </row>
    <row r="9013" spans="1:15" ht="43.2" x14ac:dyDescent="0.3">
      <c r="A9013" s="1" t="s">
        <v>21889</v>
      </c>
      <c r="B9013" s="1" t="str">
        <f>"Sam Francis"</f>
        <v>Sam Francis</v>
      </c>
      <c r="C9013" s="1" t="s">
        <v>21890</v>
      </c>
      <c r="F9013" s="1" t="s">
        <v>277</v>
      </c>
      <c r="H9013" s="1" t="s">
        <v>21891</v>
      </c>
      <c r="I9013" s="1" t="s">
        <v>5</v>
      </c>
      <c r="J9013" s="1" t="s">
        <v>67</v>
      </c>
      <c r="K9013" s="1" t="s">
        <v>14</v>
      </c>
      <c r="M9013" s="2">
        <v>42219</v>
      </c>
      <c r="N9013" s="1" t="s">
        <v>8</v>
      </c>
      <c r="O9013" s="1" t="s">
        <v>68</v>
      </c>
    </row>
    <row r="9014" spans="1:15" ht="43.2" x14ac:dyDescent="0.3">
      <c r="A9014" s="1" t="s">
        <v>21892</v>
      </c>
      <c r="B9014" s="1" t="str">
        <f>"john williams"</f>
        <v>john williams</v>
      </c>
      <c r="C9014" s="1" t="s">
        <v>21893</v>
      </c>
      <c r="D9014" s="1" t="s">
        <v>21894</v>
      </c>
      <c r="F9014" s="1" t="s">
        <v>223</v>
      </c>
      <c r="H9014" s="1" t="s">
        <v>21895</v>
      </c>
      <c r="I9014" s="1" t="s">
        <v>5</v>
      </c>
      <c r="J9014" s="1" t="s">
        <v>67</v>
      </c>
      <c r="K9014" s="1" t="s">
        <v>14</v>
      </c>
      <c r="M9014" s="2">
        <v>42219</v>
      </c>
      <c r="N9014" s="1" t="s">
        <v>8</v>
      </c>
      <c r="O9014" s="1" t="s">
        <v>68</v>
      </c>
    </row>
    <row r="9015" spans="1:15" ht="43.2" x14ac:dyDescent="0.3">
      <c r="A9015" s="1" t="s">
        <v>21896</v>
      </c>
      <c r="B9015" s="1" t="str">
        <f>"Mike Morgan"</f>
        <v>Mike Morgan</v>
      </c>
      <c r="C9015" s="1" t="s">
        <v>21897</v>
      </c>
      <c r="F9015" s="1" t="s">
        <v>146</v>
      </c>
      <c r="H9015" s="1" t="s">
        <v>21898</v>
      </c>
      <c r="I9015" s="1" t="s">
        <v>5</v>
      </c>
      <c r="J9015" s="1" t="s">
        <v>67</v>
      </c>
      <c r="K9015" s="1" t="s">
        <v>14</v>
      </c>
      <c r="M9015" s="2">
        <v>42219</v>
      </c>
      <c r="N9015" s="1" t="s">
        <v>8</v>
      </c>
      <c r="O9015" s="1" t="s">
        <v>68</v>
      </c>
    </row>
    <row r="9016" spans="1:15" ht="43.2" x14ac:dyDescent="0.3">
      <c r="A9016" s="1" t="s">
        <v>21116</v>
      </c>
      <c r="B9016" s="1" t="str">
        <f>"colin orme thomas"</f>
        <v>colin orme thomas</v>
      </c>
      <c r="C9016" s="1" t="s">
        <v>21117</v>
      </c>
      <c r="F9016" s="1" t="s">
        <v>1818</v>
      </c>
      <c r="H9016" s="1" t="s">
        <v>21118</v>
      </c>
      <c r="I9016" s="1" t="s">
        <v>5</v>
      </c>
      <c r="J9016" s="1" t="s">
        <v>67</v>
      </c>
      <c r="K9016" s="1" t="s">
        <v>14</v>
      </c>
      <c r="M9016" s="2">
        <v>42218</v>
      </c>
      <c r="N9016" s="1" t="s">
        <v>8</v>
      </c>
      <c r="O9016" s="1" t="s">
        <v>68</v>
      </c>
    </row>
    <row r="9017" spans="1:15" ht="43.2" x14ac:dyDescent="0.3">
      <c r="A9017" s="1" t="s">
        <v>21119</v>
      </c>
      <c r="B9017" s="1" t="str">
        <f>"Matthew Williams"</f>
        <v>Matthew Williams</v>
      </c>
      <c r="C9017" s="1" t="s">
        <v>21120</v>
      </c>
      <c r="F9017" s="1" t="s">
        <v>438</v>
      </c>
      <c r="H9017" s="1" t="s">
        <v>21121</v>
      </c>
      <c r="I9017" s="1" t="s">
        <v>5</v>
      </c>
      <c r="J9017" s="1" t="s">
        <v>67</v>
      </c>
      <c r="K9017" s="1" t="s">
        <v>14</v>
      </c>
      <c r="M9017" s="2">
        <v>42218</v>
      </c>
      <c r="N9017" s="1" t="s">
        <v>8</v>
      </c>
      <c r="O9017" s="1" t="s">
        <v>68</v>
      </c>
    </row>
    <row r="9018" spans="1:15" x14ac:dyDescent="0.3">
      <c r="A9018" s="1" t="s">
        <v>31659</v>
      </c>
      <c r="B9018" s="1" t="str">
        <f>"John Morris"</f>
        <v>John Morris</v>
      </c>
      <c r="C9018" s="1" t="s">
        <v>31660</v>
      </c>
      <c r="F9018" s="1" t="s">
        <v>1169</v>
      </c>
      <c r="H9018" s="1" t="s">
        <v>31661</v>
      </c>
      <c r="I9018" s="1" t="s">
        <v>5</v>
      </c>
      <c r="J9018" s="1" t="s">
        <v>6</v>
      </c>
      <c r="K9018" s="1" t="s">
        <v>24</v>
      </c>
      <c r="M9018" s="2">
        <v>42217</v>
      </c>
      <c r="N9018" s="1" t="s">
        <v>8</v>
      </c>
      <c r="O9018" s="2">
        <v>44408</v>
      </c>
    </row>
    <row r="9019" spans="1:15" ht="43.2" x14ac:dyDescent="0.3">
      <c r="A9019" s="1" t="s">
        <v>21112</v>
      </c>
      <c r="B9019" s="1" t="str">
        <f>"Neil Williamson"</f>
        <v>Neil Williamson</v>
      </c>
      <c r="C9019" s="1" t="s">
        <v>21113</v>
      </c>
      <c r="D9019" s="1" t="s">
        <v>21114</v>
      </c>
      <c r="F9019" s="1" t="s">
        <v>8488</v>
      </c>
      <c r="H9019" s="1" t="s">
        <v>21115</v>
      </c>
      <c r="I9019" s="1" t="s">
        <v>5</v>
      </c>
      <c r="J9019" s="1" t="s">
        <v>67</v>
      </c>
      <c r="K9019" s="1" t="s">
        <v>14</v>
      </c>
      <c r="M9019" s="2">
        <v>42216</v>
      </c>
      <c r="N9019" s="1" t="s">
        <v>8</v>
      </c>
      <c r="O9019" s="1" t="s">
        <v>68</v>
      </c>
    </row>
    <row r="9020" spans="1:15" ht="28.8" x14ac:dyDescent="0.3">
      <c r="A9020" s="1" t="s">
        <v>30619</v>
      </c>
      <c r="B9020" s="1" t="str">
        <f>"JAMES JENKINS LIMITED"</f>
        <v>JAMES JENKINS LIMITED</v>
      </c>
      <c r="C9020" s="1" t="s">
        <v>30620</v>
      </c>
      <c r="D9020" s="1" t="s">
        <v>30621</v>
      </c>
      <c r="E9020" s="1" t="s">
        <v>30622</v>
      </c>
      <c r="F9020" s="1" t="s">
        <v>782</v>
      </c>
      <c r="G9020" s="1" t="s">
        <v>211</v>
      </c>
      <c r="H9020" s="1" t="s">
        <v>30623</v>
      </c>
      <c r="I9020" s="1" t="s">
        <v>19</v>
      </c>
      <c r="J9020" s="1" t="s">
        <v>6</v>
      </c>
      <c r="K9020" s="1" t="s">
        <v>24</v>
      </c>
      <c r="L9020" s="1">
        <v>6891027</v>
      </c>
      <c r="M9020" s="2">
        <v>42216</v>
      </c>
      <c r="N9020" s="1" t="s">
        <v>8</v>
      </c>
      <c r="O9020" s="2">
        <v>44408</v>
      </c>
    </row>
    <row r="9021" spans="1:15" ht="43.2" x14ac:dyDescent="0.3">
      <c r="A9021" s="1" t="s">
        <v>5670</v>
      </c>
      <c r="B9021" s="1" t="str">
        <f>"I D LANDSCAPES LTD"</f>
        <v>I D LANDSCAPES LTD</v>
      </c>
      <c r="C9021" s="1" t="s">
        <v>5671</v>
      </c>
      <c r="F9021" s="1" t="s">
        <v>1115</v>
      </c>
      <c r="H9021" s="1" t="s">
        <v>5672</v>
      </c>
      <c r="I9021" s="1" t="s">
        <v>19</v>
      </c>
      <c r="J9021" s="1" t="s">
        <v>67</v>
      </c>
      <c r="K9021" s="1" t="s">
        <v>24</v>
      </c>
      <c r="L9021" s="1">
        <v>6058985</v>
      </c>
      <c r="M9021" s="2">
        <v>42215</v>
      </c>
      <c r="N9021" s="1" t="s">
        <v>8</v>
      </c>
      <c r="O9021" s="1" t="s">
        <v>68</v>
      </c>
    </row>
    <row r="9022" spans="1:15" ht="43.2" x14ac:dyDescent="0.3">
      <c r="A9022" s="1" t="s">
        <v>5673</v>
      </c>
      <c r="B9022" s="1" t="str">
        <f>"GW Recovery "</f>
        <v xml:space="preserve">GW Recovery </v>
      </c>
      <c r="C9022" s="1" t="s">
        <v>5674</v>
      </c>
      <c r="D9022" s="1" t="s">
        <v>4511</v>
      </c>
      <c r="F9022" s="1" t="s">
        <v>865</v>
      </c>
      <c r="H9022" s="1" t="s">
        <v>5675</v>
      </c>
      <c r="I9022" s="1" t="s">
        <v>19</v>
      </c>
      <c r="J9022" s="1" t="s">
        <v>67</v>
      </c>
      <c r="K9022" s="1" t="s">
        <v>34</v>
      </c>
      <c r="M9022" s="2">
        <v>42215</v>
      </c>
      <c r="N9022" s="1" t="s">
        <v>8</v>
      </c>
      <c r="O9022" s="1" t="s">
        <v>68</v>
      </c>
    </row>
    <row r="9023" spans="1:15" ht="43.2" x14ac:dyDescent="0.3">
      <c r="A9023" s="1" t="s">
        <v>5676</v>
      </c>
      <c r="B9023" s="1" t="str">
        <f>"Y Dref Werdd"</f>
        <v>Y Dref Werdd</v>
      </c>
      <c r="C9023" s="1" t="s">
        <v>5677</v>
      </c>
      <c r="F9023" s="1" t="s">
        <v>370</v>
      </c>
      <c r="H9023" s="1" t="s">
        <v>5678</v>
      </c>
      <c r="I9023" s="1" t="s">
        <v>19</v>
      </c>
      <c r="J9023" s="1" t="s">
        <v>67</v>
      </c>
      <c r="K9023" s="1" t="s">
        <v>14</v>
      </c>
      <c r="M9023" s="2">
        <v>42215</v>
      </c>
      <c r="N9023" s="1" t="s">
        <v>8</v>
      </c>
      <c r="O9023" s="1" t="s">
        <v>68</v>
      </c>
    </row>
    <row r="9024" spans="1:15" ht="43.2" x14ac:dyDescent="0.3">
      <c r="A9024" s="1" t="s">
        <v>20325</v>
      </c>
      <c r="B9024" s="1" t="str">
        <f>"Jamie  Simons"</f>
        <v>Jamie  Simons</v>
      </c>
      <c r="C9024" s="1" t="s">
        <v>20326</v>
      </c>
      <c r="F9024" s="1" t="s">
        <v>42</v>
      </c>
      <c r="H9024" s="1" t="s">
        <v>20327</v>
      </c>
      <c r="I9024" s="1" t="s">
        <v>5</v>
      </c>
      <c r="J9024" s="1" t="s">
        <v>67</v>
      </c>
      <c r="K9024" s="1" t="s">
        <v>14</v>
      </c>
      <c r="M9024" s="2">
        <v>42215</v>
      </c>
      <c r="N9024" s="1" t="s">
        <v>8</v>
      </c>
      <c r="O9024" s="1" t="s">
        <v>68</v>
      </c>
    </row>
    <row r="9025" spans="1:15" ht="43.2" x14ac:dyDescent="0.3">
      <c r="A9025" s="1" t="s">
        <v>20328</v>
      </c>
      <c r="B9025" s="1" t="str">
        <f>"rod page"</f>
        <v>rod page</v>
      </c>
      <c r="C9025" s="1" t="s">
        <v>20329</v>
      </c>
      <c r="F9025" s="1" t="s">
        <v>1260</v>
      </c>
      <c r="H9025" s="1" t="s">
        <v>20330</v>
      </c>
      <c r="I9025" s="1" t="s">
        <v>5</v>
      </c>
      <c r="J9025" s="1" t="s">
        <v>67</v>
      </c>
      <c r="K9025" s="1" t="s">
        <v>14</v>
      </c>
      <c r="M9025" s="2">
        <v>42215</v>
      </c>
      <c r="N9025" s="1" t="s">
        <v>8</v>
      </c>
      <c r="O9025" s="1" t="s">
        <v>68</v>
      </c>
    </row>
    <row r="9026" spans="1:15" ht="28.8" x14ac:dyDescent="0.3">
      <c r="A9026" s="1" t="s">
        <v>30432</v>
      </c>
      <c r="B9026" s="1" t="str">
        <f>"Alan's Skip Hire Ltd"</f>
        <v>Alan's Skip Hire Ltd</v>
      </c>
      <c r="C9026" s="1" t="s">
        <v>30433</v>
      </c>
      <c r="D9026" s="1" t="s">
        <v>30434</v>
      </c>
      <c r="F9026" s="1" t="s">
        <v>16353</v>
      </c>
      <c r="G9026" s="1" t="s">
        <v>324</v>
      </c>
      <c r="H9026" s="1" t="s">
        <v>16354</v>
      </c>
      <c r="I9026" s="1" t="s">
        <v>19</v>
      </c>
      <c r="J9026" s="1" t="s">
        <v>6</v>
      </c>
      <c r="K9026" s="1" t="s">
        <v>34</v>
      </c>
      <c r="L9026" s="1">
        <v>4829675</v>
      </c>
      <c r="M9026" s="2">
        <v>42215</v>
      </c>
      <c r="N9026" s="1" t="s">
        <v>8</v>
      </c>
      <c r="O9026" s="2">
        <v>44406</v>
      </c>
    </row>
    <row r="9027" spans="1:15" ht="28.8" x14ac:dyDescent="0.3">
      <c r="A9027" s="1" t="s">
        <v>30524</v>
      </c>
      <c r="B9027" s="1" t="str">
        <f>"Blue flame Gas Solutions"</f>
        <v>Blue flame Gas Solutions</v>
      </c>
      <c r="C9027" s="1" t="s">
        <v>30525</v>
      </c>
      <c r="D9027" s="1" t="s">
        <v>30526</v>
      </c>
      <c r="F9027" s="1" t="s">
        <v>22</v>
      </c>
      <c r="G9027" s="1" t="s">
        <v>141</v>
      </c>
      <c r="H9027" s="1" t="s">
        <v>30527</v>
      </c>
      <c r="I9027" s="1" t="s">
        <v>19</v>
      </c>
      <c r="J9027" s="1" t="s">
        <v>6</v>
      </c>
      <c r="K9027" s="1" t="s">
        <v>34</v>
      </c>
      <c r="L9027" s="1">
        <v>9641901</v>
      </c>
      <c r="M9027" s="2">
        <v>42215</v>
      </c>
      <c r="N9027" s="1" t="s">
        <v>8</v>
      </c>
      <c r="O9027" s="2">
        <v>44406</v>
      </c>
    </row>
    <row r="9028" spans="1:15" ht="28.8" x14ac:dyDescent="0.3">
      <c r="A9028" s="1" t="s">
        <v>31604</v>
      </c>
      <c r="B9028" s="1" t="str">
        <f>"Gary Wyatt"</f>
        <v>Gary Wyatt</v>
      </c>
      <c r="C9028" s="1" t="s">
        <v>19542</v>
      </c>
      <c r="F9028" s="1" t="s">
        <v>27</v>
      </c>
      <c r="H9028" s="1" t="s">
        <v>19543</v>
      </c>
      <c r="I9028" s="1" t="s">
        <v>5</v>
      </c>
      <c r="J9028" s="1" t="s">
        <v>6</v>
      </c>
      <c r="K9028" s="1" t="s">
        <v>24</v>
      </c>
      <c r="M9028" s="2">
        <v>42215</v>
      </c>
      <c r="N9028" s="1" t="s">
        <v>8</v>
      </c>
      <c r="O9028" s="2">
        <v>44406</v>
      </c>
    </row>
    <row r="9029" spans="1:15" ht="43.2" x14ac:dyDescent="0.3">
      <c r="A9029" s="1" t="s">
        <v>4530</v>
      </c>
      <c r="B9029" s="1" t="str">
        <f>"Seminar Components"</f>
        <v>Seminar Components</v>
      </c>
      <c r="C9029" s="1" t="s">
        <v>4531</v>
      </c>
      <c r="D9029" s="1" t="s">
        <v>4532</v>
      </c>
      <c r="E9029" s="1" t="s">
        <v>2635</v>
      </c>
      <c r="F9029" s="1" t="s">
        <v>65</v>
      </c>
      <c r="H9029" s="1" t="s">
        <v>4533</v>
      </c>
      <c r="I9029" s="1" t="s">
        <v>19</v>
      </c>
      <c r="J9029" s="1" t="s">
        <v>67</v>
      </c>
      <c r="K9029" s="1" t="s">
        <v>14</v>
      </c>
      <c r="M9029" s="2">
        <v>42214</v>
      </c>
      <c r="N9029" s="1" t="s">
        <v>8</v>
      </c>
      <c r="O9029" s="1" t="s">
        <v>68</v>
      </c>
    </row>
    <row r="9030" spans="1:15" ht="43.2" x14ac:dyDescent="0.3">
      <c r="A9030" s="1" t="s">
        <v>5667</v>
      </c>
      <c r="B9030" s="1" t="str">
        <f>"Cantref Coach House "</f>
        <v xml:space="preserve">Cantref Coach House </v>
      </c>
      <c r="C9030" s="1" t="s">
        <v>5668</v>
      </c>
      <c r="F9030" s="1" t="s">
        <v>3415</v>
      </c>
      <c r="H9030" s="1" t="s">
        <v>5669</v>
      </c>
      <c r="I9030" s="1" t="s">
        <v>125</v>
      </c>
      <c r="J9030" s="1" t="s">
        <v>67</v>
      </c>
      <c r="K9030" s="1" t="s">
        <v>14</v>
      </c>
      <c r="M9030" s="2">
        <v>42214</v>
      </c>
      <c r="N9030" s="1" t="s">
        <v>8</v>
      </c>
      <c r="O9030" s="1" t="s">
        <v>68</v>
      </c>
    </row>
    <row r="9031" spans="1:15" ht="43.2" x14ac:dyDescent="0.3">
      <c r="A9031" s="1" t="s">
        <v>19561</v>
      </c>
      <c r="B9031" s="1" t="str">
        <f>"Andrew Glendon"</f>
        <v>Andrew Glendon</v>
      </c>
      <c r="C9031" s="1" t="s">
        <v>19562</v>
      </c>
      <c r="F9031" s="1" t="s">
        <v>42</v>
      </c>
      <c r="H9031" s="1" t="s">
        <v>19563</v>
      </c>
      <c r="I9031" s="1" t="s">
        <v>5</v>
      </c>
      <c r="J9031" s="1" t="s">
        <v>67</v>
      </c>
      <c r="K9031" s="1" t="s">
        <v>14</v>
      </c>
      <c r="M9031" s="2">
        <v>42214</v>
      </c>
      <c r="N9031" s="1" t="s">
        <v>8</v>
      </c>
      <c r="O9031" s="1" t="s">
        <v>68</v>
      </c>
    </row>
    <row r="9032" spans="1:15" ht="28.8" x14ac:dyDescent="0.3">
      <c r="A9032" s="1" t="s">
        <v>32570</v>
      </c>
      <c r="B9032" s="1" t="str">
        <f>"MS-Group Ltd"</f>
        <v>MS-Group Ltd</v>
      </c>
      <c r="C9032" s="1" t="s">
        <v>32571</v>
      </c>
      <c r="F9032" s="1" t="s">
        <v>27</v>
      </c>
      <c r="H9032" s="1" t="s">
        <v>32572</v>
      </c>
      <c r="I9032" s="1" t="s">
        <v>19</v>
      </c>
      <c r="J9032" s="1" t="s">
        <v>6</v>
      </c>
      <c r="K9032" s="1" t="s">
        <v>24</v>
      </c>
      <c r="L9032" s="1">
        <v>821400</v>
      </c>
      <c r="M9032" s="2">
        <v>42214</v>
      </c>
      <c r="N9032" s="1" t="s">
        <v>8</v>
      </c>
      <c r="O9032" s="2">
        <v>44405</v>
      </c>
    </row>
    <row r="9033" spans="1:15" ht="28.8" x14ac:dyDescent="0.3">
      <c r="A9033" s="1" t="s">
        <v>32636</v>
      </c>
      <c r="B9033" s="1" t="str">
        <f>"Colin Jones (Rock Engineering) Ltd."</f>
        <v>Colin Jones (Rock Engineering) Ltd.</v>
      </c>
      <c r="C9033" s="1" t="s">
        <v>32637</v>
      </c>
      <c r="F9033" s="1" t="s">
        <v>2504</v>
      </c>
      <c r="H9033" s="1" t="s">
        <v>32638</v>
      </c>
      <c r="I9033" s="1" t="s">
        <v>19</v>
      </c>
      <c r="J9033" s="1" t="s">
        <v>6</v>
      </c>
      <c r="K9033" s="1" t="s">
        <v>24</v>
      </c>
      <c r="L9033" s="1">
        <v>3477488</v>
      </c>
      <c r="M9033" s="2">
        <v>42214</v>
      </c>
      <c r="N9033" s="1" t="s">
        <v>8</v>
      </c>
      <c r="O9033" s="2">
        <v>44405</v>
      </c>
    </row>
    <row r="9034" spans="1:15" ht="43.2" x14ac:dyDescent="0.3">
      <c r="A9034" s="1" t="s">
        <v>3424</v>
      </c>
      <c r="B9034" s="1" t="str">
        <f>"Camps Highways Limited"</f>
        <v>Camps Highways Limited</v>
      </c>
      <c r="C9034" s="1" t="s">
        <v>3425</v>
      </c>
      <c r="F9034" s="1" t="s">
        <v>3426</v>
      </c>
      <c r="H9034" s="1" t="s">
        <v>3427</v>
      </c>
      <c r="I9034" s="1" t="s">
        <v>19</v>
      </c>
      <c r="J9034" s="1" t="s">
        <v>67</v>
      </c>
      <c r="K9034" s="1" t="s">
        <v>24</v>
      </c>
      <c r="L9034" s="1">
        <v>7954576</v>
      </c>
      <c r="M9034" s="2">
        <v>42213</v>
      </c>
      <c r="N9034" s="1" t="s">
        <v>8</v>
      </c>
      <c r="O9034" s="1" t="s">
        <v>68</v>
      </c>
    </row>
    <row r="9035" spans="1:15" ht="43.2" x14ac:dyDescent="0.3">
      <c r="A9035" s="1" t="s">
        <v>18684</v>
      </c>
      <c r="B9035" s="1" t="str">
        <f>"Tim Platt"</f>
        <v>Tim Platt</v>
      </c>
      <c r="C9035" s="1" t="s">
        <v>18685</v>
      </c>
      <c r="F9035" s="1" t="s">
        <v>416</v>
      </c>
      <c r="H9035" s="1" t="s">
        <v>18686</v>
      </c>
      <c r="I9035" s="1" t="s">
        <v>5</v>
      </c>
      <c r="J9035" s="1" t="s">
        <v>67</v>
      </c>
      <c r="K9035" s="1" t="s">
        <v>14</v>
      </c>
      <c r="M9035" s="2">
        <v>42213</v>
      </c>
      <c r="N9035" s="1" t="s">
        <v>8</v>
      </c>
      <c r="O9035" s="1" t="s">
        <v>68</v>
      </c>
    </row>
    <row r="9036" spans="1:15" ht="43.2" x14ac:dyDescent="0.3">
      <c r="A9036" s="1" t="s">
        <v>18687</v>
      </c>
      <c r="B9036" s="1" t="str">
        <f>"Andrew Betts"</f>
        <v>Andrew Betts</v>
      </c>
      <c r="C9036" s="1" t="s">
        <v>18688</v>
      </c>
      <c r="F9036" s="1" t="s">
        <v>298</v>
      </c>
      <c r="H9036" s="1" t="s">
        <v>18689</v>
      </c>
      <c r="I9036" s="1" t="s">
        <v>5</v>
      </c>
      <c r="J9036" s="1" t="s">
        <v>67</v>
      </c>
      <c r="K9036" s="1" t="s">
        <v>14</v>
      </c>
      <c r="M9036" s="2">
        <v>42213</v>
      </c>
      <c r="N9036" s="1" t="s">
        <v>8</v>
      </c>
      <c r="O9036" s="1" t="s">
        <v>68</v>
      </c>
    </row>
    <row r="9037" spans="1:15" ht="28.8" x14ac:dyDescent="0.3">
      <c r="A9037" s="1" t="s">
        <v>32780</v>
      </c>
      <c r="B9037" s="1" t="str">
        <f>"Tony Morris &amp; Sons Developments Ltd"</f>
        <v>Tony Morris &amp; Sons Developments Ltd</v>
      </c>
      <c r="C9037" s="1" t="s">
        <v>32781</v>
      </c>
      <c r="D9037" s="1" t="s">
        <v>32782</v>
      </c>
      <c r="E9037" s="1" t="s">
        <v>32783</v>
      </c>
      <c r="F9037" s="1" t="s">
        <v>1998</v>
      </c>
      <c r="G9037" s="1" t="s">
        <v>115</v>
      </c>
      <c r="H9037" s="1" t="s">
        <v>32784</v>
      </c>
      <c r="I9037" s="1" t="s">
        <v>19</v>
      </c>
      <c r="J9037" s="1" t="s">
        <v>6</v>
      </c>
      <c r="K9037" s="1" t="s">
        <v>34</v>
      </c>
      <c r="L9037" s="1">
        <v>2638416</v>
      </c>
      <c r="M9037" s="2">
        <v>42213</v>
      </c>
      <c r="N9037" s="1" t="s">
        <v>8</v>
      </c>
      <c r="O9037" s="2">
        <v>44405</v>
      </c>
    </row>
    <row r="9038" spans="1:15" ht="43.2" x14ac:dyDescent="0.3">
      <c r="A9038" s="1" t="s">
        <v>3417</v>
      </c>
      <c r="B9038" s="1" t="str">
        <f>"paul underwood carpets and flooring"</f>
        <v>paul underwood carpets and flooring</v>
      </c>
      <c r="C9038" s="1" t="s">
        <v>3418</v>
      </c>
      <c r="D9038" s="1" t="s">
        <v>3419</v>
      </c>
      <c r="F9038" s="1" t="s">
        <v>42</v>
      </c>
      <c r="H9038" s="1" t="s">
        <v>3420</v>
      </c>
      <c r="I9038" s="1" t="s">
        <v>125</v>
      </c>
      <c r="J9038" s="1" t="s">
        <v>67</v>
      </c>
      <c r="K9038" s="1" t="s">
        <v>14</v>
      </c>
      <c r="M9038" s="2">
        <v>42212</v>
      </c>
      <c r="N9038" s="1" t="s">
        <v>8</v>
      </c>
      <c r="O9038" s="1" t="s">
        <v>68</v>
      </c>
    </row>
    <row r="9039" spans="1:15" ht="43.2" x14ac:dyDescent="0.3">
      <c r="A9039" s="1" t="s">
        <v>3421</v>
      </c>
      <c r="B9039" s="1" t="str">
        <f>"Chris Dean"</f>
        <v>Chris Dean</v>
      </c>
      <c r="C9039" s="1" t="s">
        <v>3422</v>
      </c>
      <c r="F9039" s="1" t="s">
        <v>42</v>
      </c>
      <c r="H9039" s="1" t="s">
        <v>3423</v>
      </c>
      <c r="I9039" s="1" t="s">
        <v>1872</v>
      </c>
      <c r="J9039" s="1" t="s">
        <v>67</v>
      </c>
      <c r="K9039" s="1" t="s">
        <v>14</v>
      </c>
      <c r="M9039" s="2">
        <v>42212</v>
      </c>
      <c r="N9039" s="1" t="s">
        <v>8</v>
      </c>
      <c r="O9039" s="1" t="s">
        <v>68</v>
      </c>
    </row>
    <row r="9040" spans="1:15" ht="43.2" x14ac:dyDescent="0.3">
      <c r="A9040" s="1" t="s">
        <v>18678</v>
      </c>
      <c r="B9040" s="1" t="str">
        <f>"Geraint Davies"</f>
        <v>Geraint Davies</v>
      </c>
      <c r="C9040" s="1" t="s">
        <v>18679</v>
      </c>
      <c r="F9040" s="1" t="s">
        <v>37</v>
      </c>
      <c r="H9040" s="1" t="s">
        <v>18680</v>
      </c>
      <c r="I9040" s="1" t="s">
        <v>5</v>
      </c>
      <c r="J9040" s="1" t="s">
        <v>67</v>
      </c>
      <c r="K9040" s="1" t="s">
        <v>14</v>
      </c>
      <c r="M9040" s="2">
        <v>42212</v>
      </c>
      <c r="N9040" s="1" t="s">
        <v>8</v>
      </c>
      <c r="O9040" s="1" t="s">
        <v>68</v>
      </c>
    </row>
    <row r="9041" spans="1:15" ht="43.2" x14ac:dyDescent="0.3">
      <c r="A9041" s="1" t="s">
        <v>18681</v>
      </c>
      <c r="B9041" s="1" t="str">
        <f>"max martin"</f>
        <v>max martin</v>
      </c>
      <c r="C9041" s="1" t="s">
        <v>18682</v>
      </c>
      <c r="F9041" s="1" t="s">
        <v>3415</v>
      </c>
      <c r="H9041" s="1" t="s">
        <v>18683</v>
      </c>
      <c r="I9041" s="1" t="s">
        <v>5</v>
      </c>
      <c r="J9041" s="1" t="s">
        <v>67</v>
      </c>
      <c r="K9041" s="1" t="s">
        <v>14</v>
      </c>
      <c r="M9041" s="2">
        <v>42212</v>
      </c>
      <c r="N9041" s="1" t="s">
        <v>8</v>
      </c>
      <c r="O9041" s="1" t="s">
        <v>68</v>
      </c>
    </row>
    <row r="9042" spans="1:15" ht="43.2" x14ac:dyDescent="0.3">
      <c r="A9042" s="1" t="s">
        <v>18113</v>
      </c>
      <c r="B9042" s="1" t="str">
        <f>"dabeda s.r.o."</f>
        <v>dabeda s.r.o.</v>
      </c>
      <c r="C9042" s="1" t="s">
        <v>18114</v>
      </c>
      <c r="E9042" s="1" t="s">
        <v>18115</v>
      </c>
      <c r="G9042" s="1" t="s">
        <v>18116</v>
      </c>
      <c r="I9042" s="1" t="s">
        <v>19</v>
      </c>
      <c r="J9042" s="1" t="s">
        <v>67</v>
      </c>
      <c r="K9042" s="1" t="s">
        <v>14</v>
      </c>
      <c r="M9042" s="2">
        <v>42209</v>
      </c>
      <c r="N9042" s="1" t="s">
        <v>8</v>
      </c>
      <c r="O9042" s="1" t="s">
        <v>68</v>
      </c>
    </row>
    <row r="9043" spans="1:15" ht="43.2" x14ac:dyDescent="0.3">
      <c r="A9043" s="1" t="s">
        <v>29778</v>
      </c>
      <c r="B9043" s="1" t="str">
        <f>"david pickard"</f>
        <v>david pickard</v>
      </c>
      <c r="C9043" s="1" t="s">
        <v>29779</v>
      </c>
      <c r="F9043" s="1" t="s">
        <v>3426</v>
      </c>
      <c r="H9043" s="1" t="s">
        <v>22649</v>
      </c>
      <c r="I9043" s="1" t="s">
        <v>5</v>
      </c>
      <c r="J9043" s="1" t="s">
        <v>67</v>
      </c>
      <c r="K9043" s="1" t="s">
        <v>14</v>
      </c>
      <c r="M9043" s="2">
        <v>42209</v>
      </c>
      <c r="N9043" s="1" t="s">
        <v>8</v>
      </c>
      <c r="O9043" s="1" t="s">
        <v>68</v>
      </c>
    </row>
    <row r="9044" spans="1:15" ht="43.2" x14ac:dyDescent="0.3">
      <c r="A9044" s="1" t="s">
        <v>29780</v>
      </c>
      <c r="B9044" s="1" t="str">
        <f>"allan taylor"</f>
        <v>allan taylor</v>
      </c>
      <c r="C9044" s="1" t="s">
        <v>29781</v>
      </c>
      <c r="F9044" s="1" t="s">
        <v>65</v>
      </c>
      <c r="H9044" s="1" t="s">
        <v>29782</v>
      </c>
      <c r="I9044" s="1" t="s">
        <v>5</v>
      </c>
      <c r="J9044" s="1" t="s">
        <v>67</v>
      </c>
      <c r="K9044" s="1" t="s">
        <v>14</v>
      </c>
      <c r="M9044" s="2">
        <v>42209</v>
      </c>
      <c r="N9044" s="1" t="s">
        <v>8</v>
      </c>
      <c r="O9044" s="1" t="s">
        <v>68</v>
      </c>
    </row>
    <row r="9045" spans="1:15" ht="28.8" x14ac:dyDescent="0.3">
      <c r="A9045" s="1" t="s">
        <v>30435</v>
      </c>
      <c r="B9045" s="1" t="str">
        <f>"COATECH LTD"</f>
        <v>COATECH LTD</v>
      </c>
      <c r="C9045" s="1" t="s">
        <v>30436</v>
      </c>
      <c r="D9045" s="1" t="s">
        <v>82</v>
      </c>
      <c r="F9045" s="1" t="s">
        <v>83</v>
      </c>
      <c r="H9045" s="1" t="s">
        <v>30437</v>
      </c>
      <c r="I9045" s="1" t="s">
        <v>19</v>
      </c>
      <c r="J9045" s="1" t="s">
        <v>6</v>
      </c>
      <c r="K9045" s="1" t="s">
        <v>34</v>
      </c>
      <c r="L9045" s="1">
        <v>2680485</v>
      </c>
      <c r="M9045" s="2">
        <v>42209</v>
      </c>
      <c r="N9045" s="1" t="s">
        <v>8</v>
      </c>
      <c r="O9045" s="2">
        <v>44400</v>
      </c>
    </row>
    <row r="9046" spans="1:15" ht="28.8" x14ac:dyDescent="0.3">
      <c r="A9046" s="1" t="s">
        <v>30459</v>
      </c>
      <c r="B9046" s="1" t="str">
        <f>"David Thomas"</f>
        <v>David Thomas</v>
      </c>
      <c r="C9046" s="1" t="s">
        <v>30460</v>
      </c>
      <c r="F9046" s="1" t="s">
        <v>91</v>
      </c>
      <c r="H9046" s="1" t="s">
        <v>30461</v>
      </c>
      <c r="I9046" s="1" t="s">
        <v>5</v>
      </c>
      <c r="J9046" s="1" t="s">
        <v>6</v>
      </c>
      <c r="K9046" s="1" t="s">
        <v>34</v>
      </c>
      <c r="M9046" s="2">
        <v>42209</v>
      </c>
      <c r="N9046" s="1" t="s">
        <v>8</v>
      </c>
      <c r="O9046" s="2">
        <v>44400</v>
      </c>
    </row>
    <row r="9047" spans="1:15" ht="43.2" x14ac:dyDescent="0.3">
      <c r="A9047" s="1" t="s">
        <v>17101</v>
      </c>
      <c r="B9047" s="1" t="str">
        <f>"Bedford Steel Fabrications ltd"</f>
        <v>Bedford Steel Fabrications ltd</v>
      </c>
      <c r="C9047" s="1" t="s">
        <v>17102</v>
      </c>
      <c r="F9047" s="1" t="s">
        <v>1346</v>
      </c>
      <c r="H9047" s="1" t="s">
        <v>7710</v>
      </c>
      <c r="I9047" s="1" t="s">
        <v>19</v>
      </c>
      <c r="J9047" s="1" t="s">
        <v>67</v>
      </c>
      <c r="K9047" s="1" t="s">
        <v>14</v>
      </c>
      <c r="M9047" s="2">
        <v>42208</v>
      </c>
      <c r="N9047" s="1" t="s">
        <v>8</v>
      </c>
      <c r="O9047" s="1" t="s">
        <v>68</v>
      </c>
    </row>
    <row r="9048" spans="1:15" ht="43.2" x14ac:dyDescent="0.3">
      <c r="A9048" s="1" t="s">
        <v>17103</v>
      </c>
      <c r="B9048" s="1" t="str">
        <f>"TFS Bushcraft Ltd"</f>
        <v>TFS Bushcraft Ltd</v>
      </c>
      <c r="C9048" s="1" t="s">
        <v>17104</v>
      </c>
      <c r="F9048" s="1" t="s">
        <v>2281</v>
      </c>
      <c r="H9048" s="1" t="s">
        <v>17105</v>
      </c>
      <c r="I9048" s="1" t="s">
        <v>19</v>
      </c>
      <c r="J9048" s="1" t="s">
        <v>67</v>
      </c>
      <c r="K9048" s="1" t="s">
        <v>14</v>
      </c>
      <c r="M9048" s="2">
        <v>42208</v>
      </c>
      <c r="N9048" s="1" t="s">
        <v>8</v>
      </c>
      <c r="O9048" s="1" t="s">
        <v>68</v>
      </c>
    </row>
    <row r="9049" spans="1:15" ht="43.2" x14ac:dyDescent="0.3">
      <c r="A9049" s="1" t="s">
        <v>29039</v>
      </c>
      <c r="B9049" s="1" t="str">
        <f>"Julian Rees"</f>
        <v>Julian Rees</v>
      </c>
      <c r="C9049" s="1" t="s">
        <v>29040</v>
      </c>
      <c r="D9049" s="1" t="s">
        <v>29041</v>
      </c>
      <c r="F9049" s="1" t="s">
        <v>555</v>
      </c>
      <c r="H9049" s="1" t="s">
        <v>29042</v>
      </c>
      <c r="I9049" s="1" t="s">
        <v>5</v>
      </c>
      <c r="J9049" s="1" t="s">
        <v>67</v>
      </c>
      <c r="K9049" s="1" t="s">
        <v>14</v>
      </c>
      <c r="M9049" s="2">
        <v>42208</v>
      </c>
      <c r="N9049" s="1" t="s">
        <v>8</v>
      </c>
      <c r="O9049" s="1" t="s">
        <v>68</v>
      </c>
    </row>
    <row r="9050" spans="1:15" ht="43.2" x14ac:dyDescent="0.3">
      <c r="A9050" s="1" t="s">
        <v>29043</v>
      </c>
      <c r="B9050" s="1" t="str">
        <f>"Michael Weilding"</f>
        <v>Michael Weilding</v>
      </c>
      <c r="C9050" s="1" t="s">
        <v>29044</v>
      </c>
      <c r="F9050" s="1" t="s">
        <v>328</v>
      </c>
      <c r="H9050" s="1" t="s">
        <v>29045</v>
      </c>
      <c r="I9050" s="1" t="s">
        <v>5</v>
      </c>
      <c r="J9050" s="1" t="s">
        <v>67</v>
      </c>
      <c r="K9050" s="1" t="s">
        <v>14</v>
      </c>
      <c r="M9050" s="2">
        <v>42208</v>
      </c>
      <c r="N9050" s="1" t="s">
        <v>8</v>
      </c>
      <c r="O9050" s="1" t="s">
        <v>68</v>
      </c>
    </row>
    <row r="9051" spans="1:15" ht="28.8" x14ac:dyDescent="0.3">
      <c r="A9051" s="1" t="s">
        <v>30637</v>
      </c>
      <c r="B9051" s="1" t="str">
        <f>"FCE (Wales) Ltd."</f>
        <v>FCE (Wales) Ltd.</v>
      </c>
      <c r="C9051" s="1" t="s">
        <v>30638</v>
      </c>
      <c r="D9051" s="1" t="s">
        <v>30639</v>
      </c>
      <c r="F9051" s="1" t="s">
        <v>2066</v>
      </c>
      <c r="G9051" s="1" t="s">
        <v>231</v>
      </c>
      <c r="H9051" s="1" t="s">
        <v>30640</v>
      </c>
      <c r="I9051" s="1" t="s">
        <v>19</v>
      </c>
      <c r="J9051" s="1" t="s">
        <v>6</v>
      </c>
      <c r="K9051" s="1" t="s">
        <v>34</v>
      </c>
      <c r="L9051" s="1">
        <v>6382780</v>
      </c>
      <c r="M9051" s="2">
        <v>42208</v>
      </c>
      <c r="N9051" s="1" t="s">
        <v>8</v>
      </c>
      <c r="O9051" s="2">
        <v>44400</v>
      </c>
    </row>
    <row r="9052" spans="1:15" ht="43.2" x14ac:dyDescent="0.3">
      <c r="A9052" s="1" t="s">
        <v>30754</v>
      </c>
      <c r="B9052" s="1" t="str">
        <f>"Christian Barnett C Barnett Mini Digger &amp; Rubbish Clearance"</f>
        <v>Christian Barnett C Barnett Mini Digger &amp; Rubbish Clearance</v>
      </c>
      <c r="C9052" s="1" t="s">
        <v>30755</v>
      </c>
      <c r="F9052" s="1" t="s">
        <v>32</v>
      </c>
      <c r="G9052" s="1" t="s">
        <v>109</v>
      </c>
      <c r="H9052" s="1" t="s">
        <v>30756</v>
      </c>
      <c r="I9052" s="1" t="s">
        <v>5</v>
      </c>
      <c r="J9052" s="1" t="s">
        <v>6</v>
      </c>
      <c r="K9052" s="1" t="s">
        <v>34</v>
      </c>
      <c r="M9052" s="2">
        <v>42208</v>
      </c>
      <c r="N9052" s="1" t="s">
        <v>8</v>
      </c>
      <c r="O9052" s="2">
        <v>44400</v>
      </c>
    </row>
    <row r="9053" spans="1:15" ht="43.2" x14ac:dyDescent="0.3">
      <c r="A9053" s="1" t="s">
        <v>17098</v>
      </c>
      <c r="B9053" s="1" t="str">
        <f>"Jmr Cleaning Ltd"</f>
        <v>Jmr Cleaning Ltd</v>
      </c>
      <c r="C9053" s="1" t="s">
        <v>17099</v>
      </c>
      <c r="F9053" s="1" t="s">
        <v>374</v>
      </c>
      <c r="H9053" s="1" t="s">
        <v>17100</v>
      </c>
      <c r="I9053" s="1" t="s">
        <v>19</v>
      </c>
      <c r="J9053" s="1" t="s">
        <v>67</v>
      </c>
      <c r="K9053" s="1" t="s">
        <v>14</v>
      </c>
      <c r="M9053" s="2">
        <v>42207</v>
      </c>
      <c r="N9053" s="1" t="s">
        <v>8</v>
      </c>
      <c r="O9053" s="1" t="s">
        <v>68</v>
      </c>
    </row>
    <row r="9054" spans="1:15" ht="43.2" x14ac:dyDescent="0.3">
      <c r="A9054" s="1" t="s">
        <v>29033</v>
      </c>
      <c r="B9054" s="1" t="str">
        <f>"robert lake"</f>
        <v>robert lake</v>
      </c>
      <c r="C9054" s="1" t="s">
        <v>29034</v>
      </c>
      <c r="F9054" s="1" t="s">
        <v>29035</v>
      </c>
      <c r="H9054" s="1" t="s">
        <v>29036</v>
      </c>
      <c r="I9054" s="1" t="s">
        <v>5</v>
      </c>
      <c r="J9054" s="1" t="s">
        <v>67</v>
      </c>
      <c r="K9054" s="1" t="s">
        <v>14</v>
      </c>
      <c r="M9054" s="2">
        <v>42207</v>
      </c>
      <c r="N9054" s="1" t="s">
        <v>8</v>
      </c>
      <c r="O9054" s="1" t="s">
        <v>68</v>
      </c>
    </row>
    <row r="9055" spans="1:15" ht="43.2" x14ac:dyDescent="0.3">
      <c r="A9055" s="1" t="s">
        <v>29037</v>
      </c>
      <c r="B9055" s="1" t="str">
        <f>"PETER WILLIAMS"</f>
        <v>PETER WILLIAMS</v>
      </c>
      <c r="C9055" s="1" t="s">
        <v>29038</v>
      </c>
      <c r="F9055" s="1" t="s">
        <v>146</v>
      </c>
      <c r="H9055" s="1" t="s">
        <v>28683</v>
      </c>
      <c r="I9055" s="1" t="s">
        <v>5</v>
      </c>
      <c r="J9055" s="1" t="s">
        <v>67</v>
      </c>
      <c r="K9055" s="1" t="s">
        <v>14</v>
      </c>
      <c r="M9055" s="2">
        <v>42207</v>
      </c>
      <c r="N9055" s="1" t="s">
        <v>8</v>
      </c>
      <c r="O9055" s="1" t="s">
        <v>68</v>
      </c>
    </row>
    <row r="9056" spans="1:15" x14ac:dyDescent="0.3">
      <c r="A9056" s="1" t="s">
        <v>30748</v>
      </c>
      <c r="B9056" s="1" t="str">
        <f>"North Wales Beds LTD"</f>
        <v>North Wales Beds LTD</v>
      </c>
      <c r="C9056" s="1" t="s">
        <v>30749</v>
      </c>
      <c r="D9056" s="1" t="s">
        <v>530</v>
      </c>
      <c r="E9056" s="1" t="s">
        <v>4609</v>
      </c>
      <c r="F9056" s="1" t="s">
        <v>532</v>
      </c>
      <c r="G9056" s="1" t="s">
        <v>198</v>
      </c>
      <c r="H9056" s="1" t="s">
        <v>30750</v>
      </c>
      <c r="I9056" s="1" t="s">
        <v>19</v>
      </c>
      <c r="J9056" s="1" t="s">
        <v>6</v>
      </c>
      <c r="K9056" s="1" t="s">
        <v>24</v>
      </c>
      <c r="L9056" s="1">
        <v>2367900</v>
      </c>
      <c r="M9056" s="2">
        <v>42207</v>
      </c>
      <c r="N9056" s="1" t="s">
        <v>8</v>
      </c>
      <c r="O9056" s="2">
        <v>44399</v>
      </c>
    </row>
    <row r="9057" spans="1:15" ht="43.2" x14ac:dyDescent="0.3">
      <c r="A9057" s="1" t="s">
        <v>16128</v>
      </c>
      <c r="B9057" s="1" t="str">
        <f>"rugby heaven ltd"</f>
        <v>rugby heaven ltd</v>
      </c>
      <c r="C9057" s="1" t="s">
        <v>16129</v>
      </c>
      <c r="F9057" s="1" t="s">
        <v>380</v>
      </c>
      <c r="H9057" s="1" t="s">
        <v>13587</v>
      </c>
      <c r="I9057" s="1" t="s">
        <v>19</v>
      </c>
      <c r="J9057" s="1" t="s">
        <v>67</v>
      </c>
      <c r="K9057" s="1" t="s">
        <v>14</v>
      </c>
      <c r="M9057" s="2">
        <v>42206</v>
      </c>
      <c r="N9057" s="1" t="s">
        <v>8</v>
      </c>
      <c r="O9057" s="1" t="s">
        <v>68</v>
      </c>
    </row>
    <row r="9058" spans="1:15" ht="43.2" x14ac:dyDescent="0.3">
      <c r="A9058" s="1" t="s">
        <v>28267</v>
      </c>
      <c r="B9058" s="1" t="str">
        <f>"Mark Adams"</f>
        <v>Mark Adams</v>
      </c>
      <c r="C9058" s="1" t="s">
        <v>28268</v>
      </c>
      <c r="F9058" s="1" t="s">
        <v>198</v>
      </c>
      <c r="H9058" s="1" t="s">
        <v>28269</v>
      </c>
      <c r="I9058" s="1" t="s">
        <v>5</v>
      </c>
      <c r="J9058" s="1" t="s">
        <v>67</v>
      </c>
      <c r="K9058" s="1" t="s">
        <v>14</v>
      </c>
      <c r="M9058" s="2">
        <v>42206</v>
      </c>
      <c r="N9058" s="1" t="s">
        <v>8</v>
      </c>
      <c r="O9058" s="1" t="s">
        <v>68</v>
      </c>
    </row>
    <row r="9059" spans="1:15" ht="43.2" x14ac:dyDescent="0.3">
      <c r="A9059" s="1" t="s">
        <v>28270</v>
      </c>
      <c r="B9059" s="1" t="str">
        <f>"andrew bond"</f>
        <v>andrew bond</v>
      </c>
      <c r="C9059" s="1" t="s">
        <v>28271</v>
      </c>
      <c r="D9059" s="1" t="s">
        <v>28272</v>
      </c>
      <c r="E9059" s="1" t="s">
        <v>500</v>
      </c>
      <c r="F9059" s="1" t="s">
        <v>27</v>
      </c>
      <c r="H9059" s="1" t="s">
        <v>28273</v>
      </c>
      <c r="I9059" s="1" t="s">
        <v>5</v>
      </c>
      <c r="J9059" s="1" t="s">
        <v>67</v>
      </c>
      <c r="K9059" s="1" t="s">
        <v>14</v>
      </c>
      <c r="M9059" s="2">
        <v>42206</v>
      </c>
      <c r="N9059" s="1" t="s">
        <v>8</v>
      </c>
      <c r="O9059" s="1" t="s">
        <v>68</v>
      </c>
    </row>
    <row r="9060" spans="1:15" ht="28.8" x14ac:dyDescent="0.3">
      <c r="A9060" s="1" t="s">
        <v>31627</v>
      </c>
      <c r="B9060" s="1" t="str">
        <f>"Samuel Bailey SB recycling"</f>
        <v>Samuel Bailey SB recycling</v>
      </c>
      <c r="C9060" s="1" t="s">
        <v>31628</v>
      </c>
      <c r="F9060" s="1" t="s">
        <v>91</v>
      </c>
      <c r="H9060" s="1" t="s">
        <v>31629</v>
      </c>
      <c r="I9060" s="1" t="s">
        <v>5</v>
      </c>
      <c r="J9060" s="1" t="s">
        <v>6</v>
      </c>
      <c r="K9060" s="1" t="s">
        <v>24</v>
      </c>
      <c r="M9060" s="2">
        <v>42206</v>
      </c>
      <c r="N9060" s="1" t="s">
        <v>8</v>
      </c>
      <c r="O9060" s="2">
        <v>44397</v>
      </c>
    </row>
    <row r="9061" spans="1:15" ht="28.8" x14ac:dyDescent="0.3">
      <c r="A9061" s="1" t="s">
        <v>2476</v>
      </c>
      <c r="B9061" s="1" t="str">
        <f>"Grassificial Limited"</f>
        <v>Grassificial Limited</v>
      </c>
      <c r="C9061" s="1" t="s">
        <v>2477</v>
      </c>
      <c r="D9061" s="1" t="s">
        <v>2478</v>
      </c>
      <c r="E9061" s="1" t="s">
        <v>2479</v>
      </c>
      <c r="F9061" s="1" t="s">
        <v>1351</v>
      </c>
      <c r="G9061" s="1" t="s">
        <v>109</v>
      </c>
      <c r="H9061" s="1" t="s">
        <v>2480</v>
      </c>
      <c r="I9061" s="1" t="s">
        <v>19</v>
      </c>
      <c r="J9061" s="1" t="s">
        <v>6</v>
      </c>
      <c r="K9061" s="1" t="s">
        <v>24</v>
      </c>
      <c r="L9061" s="1">
        <v>9474351</v>
      </c>
      <c r="M9061" s="2">
        <v>42205</v>
      </c>
      <c r="N9061" s="1" t="s">
        <v>8</v>
      </c>
      <c r="O9061" s="2">
        <v>44397</v>
      </c>
    </row>
    <row r="9062" spans="1:15" ht="43.2" x14ac:dyDescent="0.3">
      <c r="A9062" s="1" t="s">
        <v>15140</v>
      </c>
      <c r="B9062" s="1" t="str">
        <f>"Richard Booth's Bookshop"</f>
        <v>Richard Booth's Bookshop</v>
      </c>
      <c r="C9062" s="1" t="s">
        <v>15141</v>
      </c>
      <c r="F9062" s="1" t="s">
        <v>3337</v>
      </c>
      <c r="H9062" s="1" t="s">
        <v>6163</v>
      </c>
      <c r="I9062" s="1" t="s">
        <v>19</v>
      </c>
      <c r="J9062" s="1" t="s">
        <v>67</v>
      </c>
      <c r="K9062" s="1" t="s">
        <v>14</v>
      </c>
      <c r="M9062" s="2">
        <v>42205</v>
      </c>
      <c r="N9062" s="1" t="s">
        <v>8</v>
      </c>
      <c r="O9062" s="1" t="s">
        <v>68</v>
      </c>
    </row>
    <row r="9063" spans="1:15" ht="43.2" x14ac:dyDescent="0.3">
      <c r="A9063" s="1" t="s">
        <v>15142</v>
      </c>
      <c r="B9063" s="1" t="str">
        <f>"KINDLE HOUSE LTD"</f>
        <v>KINDLE HOUSE LTD</v>
      </c>
      <c r="C9063" s="1" t="s">
        <v>15143</v>
      </c>
      <c r="F9063" s="1" t="s">
        <v>64</v>
      </c>
      <c r="H9063" s="1" t="s">
        <v>15144</v>
      </c>
      <c r="I9063" s="1" t="s">
        <v>19</v>
      </c>
      <c r="J9063" s="1" t="s">
        <v>67</v>
      </c>
      <c r="K9063" s="1" t="s">
        <v>14</v>
      </c>
      <c r="M9063" s="2">
        <v>42205</v>
      </c>
      <c r="N9063" s="1" t="s">
        <v>8</v>
      </c>
      <c r="O9063" s="1" t="s">
        <v>68</v>
      </c>
    </row>
    <row r="9064" spans="1:15" ht="43.2" x14ac:dyDescent="0.3">
      <c r="A9064" s="1" t="s">
        <v>16122</v>
      </c>
      <c r="B9064" s="1" t="str">
        <f>"Quality Training Solutions UK Ltd"</f>
        <v>Quality Training Solutions UK Ltd</v>
      </c>
      <c r="C9064" s="1" t="s">
        <v>16123</v>
      </c>
      <c r="D9064" s="1" t="s">
        <v>16124</v>
      </c>
      <c r="F9064" s="1" t="s">
        <v>1051</v>
      </c>
      <c r="H9064" s="1" t="s">
        <v>16125</v>
      </c>
      <c r="I9064" s="1" t="s">
        <v>19</v>
      </c>
      <c r="J9064" s="1" t="s">
        <v>67</v>
      </c>
      <c r="K9064" s="1" t="s">
        <v>14</v>
      </c>
      <c r="M9064" s="2">
        <v>42205</v>
      </c>
      <c r="N9064" s="1" t="s">
        <v>8</v>
      </c>
      <c r="O9064" s="1" t="s">
        <v>68</v>
      </c>
    </row>
    <row r="9065" spans="1:15" ht="43.2" x14ac:dyDescent="0.3">
      <c r="A9065" s="1" t="s">
        <v>16126</v>
      </c>
      <c r="B9065" s="1" t="str">
        <f>"Grassificial limited"</f>
        <v>Grassificial limited</v>
      </c>
      <c r="C9065" s="1" t="s">
        <v>16127</v>
      </c>
      <c r="D9065" s="1" t="s">
        <v>2479</v>
      </c>
      <c r="F9065" s="1" t="s">
        <v>1351</v>
      </c>
      <c r="H9065" s="1" t="s">
        <v>2480</v>
      </c>
      <c r="I9065" s="1" t="s">
        <v>19</v>
      </c>
      <c r="J9065" s="1" t="s">
        <v>67</v>
      </c>
      <c r="K9065" s="1" t="s">
        <v>14</v>
      </c>
      <c r="M9065" s="2">
        <v>42205</v>
      </c>
      <c r="N9065" s="1" t="s">
        <v>8</v>
      </c>
      <c r="O9065" s="1" t="s">
        <v>68</v>
      </c>
    </row>
    <row r="9066" spans="1:15" ht="43.2" x14ac:dyDescent="0.3">
      <c r="A9066" s="1" t="s">
        <v>27476</v>
      </c>
      <c r="B9066" s="1" t="str">
        <f>"David Williams"</f>
        <v>David Williams</v>
      </c>
      <c r="C9066" s="1" t="s">
        <v>27477</v>
      </c>
      <c r="F9066" s="1" t="s">
        <v>42</v>
      </c>
      <c r="H9066" s="1" t="s">
        <v>27478</v>
      </c>
      <c r="I9066" s="1" t="s">
        <v>5</v>
      </c>
      <c r="J9066" s="1" t="s">
        <v>67</v>
      </c>
      <c r="K9066" s="1" t="s">
        <v>14</v>
      </c>
      <c r="M9066" s="2">
        <v>42205</v>
      </c>
      <c r="N9066" s="1" t="s">
        <v>8</v>
      </c>
      <c r="O9066" s="1" t="s">
        <v>68</v>
      </c>
    </row>
    <row r="9067" spans="1:15" ht="43.2" x14ac:dyDescent="0.3">
      <c r="A9067" s="1" t="s">
        <v>28262</v>
      </c>
      <c r="B9067" s="1" t="str">
        <f>"Tony Campbell"</f>
        <v>Tony Campbell</v>
      </c>
      <c r="C9067" s="1" t="s">
        <v>28263</v>
      </c>
      <c r="F9067" s="1" t="s">
        <v>3242</v>
      </c>
      <c r="H9067" s="1" t="s">
        <v>27088</v>
      </c>
      <c r="I9067" s="1" t="s">
        <v>5</v>
      </c>
      <c r="J9067" s="1" t="s">
        <v>67</v>
      </c>
      <c r="K9067" s="1" t="s">
        <v>14</v>
      </c>
      <c r="M9067" s="2">
        <v>42205</v>
      </c>
      <c r="N9067" s="1" t="s">
        <v>8</v>
      </c>
      <c r="O9067" s="1" t="s">
        <v>68</v>
      </c>
    </row>
    <row r="9068" spans="1:15" ht="43.2" x14ac:dyDescent="0.3">
      <c r="A9068" s="1" t="s">
        <v>28264</v>
      </c>
      <c r="B9068" s="1" t="str">
        <f>"Jonathan Fox"</f>
        <v>Jonathan Fox</v>
      </c>
      <c r="C9068" s="1" t="s">
        <v>28265</v>
      </c>
      <c r="F9068" s="1" t="s">
        <v>1346</v>
      </c>
      <c r="H9068" s="1" t="s">
        <v>28266</v>
      </c>
      <c r="I9068" s="1" t="s">
        <v>5</v>
      </c>
      <c r="J9068" s="1" t="s">
        <v>67</v>
      </c>
      <c r="K9068" s="1" t="s">
        <v>14</v>
      </c>
      <c r="M9068" s="2">
        <v>42205</v>
      </c>
      <c r="N9068" s="1" t="s">
        <v>8</v>
      </c>
      <c r="O9068" s="1" t="s">
        <v>68</v>
      </c>
    </row>
    <row r="9069" spans="1:15" x14ac:dyDescent="0.3">
      <c r="A9069" s="1" t="s">
        <v>32634</v>
      </c>
      <c r="B9069" s="1" t="str">
        <f>"Katrina  Blakeley"</f>
        <v>Katrina  Blakeley</v>
      </c>
      <c r="C9069" s="1" t="s">
        <v>32635</v>
      </c>
      <c r="F9069" s="1" t="s">
        <v>1786</v>
      </c>
      <c r="G9069" s="1" t="s">
        <v>679</v>
      </c>
      <c r="H9069" s="1" t="s">
        <v>22692</v>
      </c>
      <c r="I9069" s="1" t="s">
        <v>5</v>
      </c>
      <c r="J9069" s="1" t="s">
        <v>6</v>
      </c>
      <c r="K9069" s="1" t="s">
        <v>24</v>
      </c>
      <c r="M9069" s="2">
        <v>42205</v>
      </c>
      <c r="N9069" s="1" t="s">
        <v>8</v>
      </c>
      <c r="O9069" s="2">
        <v>44396</v>
      </c>
    </row>
    <row r="9070" spans="1:15" ht="43.2" x14ac:dyDescent="0.3">
      <c r="A9070" s="1" t="s">
        <v>15134</v>
      </c>
      <c r="B9070" s="1" t="str">
        <f>"Gwestyr Castell"</f>
        <v>Gwestyr Castell</v>
      </c>
      <c r="C9070" s="1" t="s">
        <v>15135</v>
      </c>
      <c r="F9070" s="1" t="s">
        <v>96</v>
      </c>
      <c r="H9070" s="1" t="s">
        <v>15136</v>
      </c>
      <c r="I9070" s="1" t="s">
        <v>19</v>
      </c>
      <c r="J9070" s="1" t="s">
        <v>67</v>
      </c>
      <c r="K9070" s="1" t="s">
        <v>14</v>
      </c>
      <c r="M9070" s="2">
        <v>42204</v>
      </c>
      <c r="N9070" s="1" t="s">
        <v>8</v>
      </c>
      <c r="O9070" s="1" t="s">
        <v>68</v>
      </c>
    </row>
    <row r="9071" spans="1:15" ht="43.2" x14ac:dyDescent="0.3">
      <c r="A9071" s="1" t="s">
        <v>15137</v>
      </c>
      <c r="B9071" s="1" t="str">
        <f>"Llew Aur ltd"</f>
        <v>Llew Aur ltd</v>
      </c>
      <c r="C9071" s="1" t="s">
        <v>15138</v>
      </c>
      <c r="F9071" s="1" t="s">
        <v>96</v>
      </c>
      <c r="H9071" s="1" t="s">
        <v>15139</v>
      </c>
      <c r="I9071" s="1" t="s">
        <v>19</v>
      </c>
      <c r="J9071" s="1" t="s">
        <v>67</v>
      </c>
      <c r="K9071" s="1" t="s">
        <v>14</v>
      </c>
      <c r="M9071" s="2">
        <v>42204</v>
      </c>
      <c r="N9071" s="1" t="s">
        <v>8</v>
      </c>
      <c r="O9071" s="1" t="s">
        <v>68</v>
      </c>
    </row>
    <row r="9072" spans="1:15" ht="43.2" x14ac:dyDescent="0.3">
      <c r="A9072" s="1" t="s">
        <v>26614</v>
      </c>
      <c r="B9072" s="1" t="str">
        <f>"Puw Davies"</f>
        <v>Puw Davies</v>
      </c>
      <c r="C9072" s="1" t="s">
        <v>26615</v>
      </c>
      <c r="F9072" s="1" t="s">
        <v>15441</v>
      </c>
      <c r="H9072" s="1" t="s">
        <v>26616</v>
      </c>
      <c r="I9072" s="1" t="s">
        <v>5</v>
      </c>
      <c r="J9072" s="1" t="s">
        <v>67</v>
      </c>
      <c r="K9072" s="1" t="s">
        <v>14</v>
      </c>
      <c r="M9072" s="2">
        <v>42202</v>
      </c>
      <c r="N9072" s="1" t="s">
        <v>8</v>
      </c>
      <c r="O9072" s="1" t="s">
        <v>68</v>
      </c>
    </row>
    <row r="9073" spans="1:15" ht="28.8" x14ac:dyDescent="0.3">
      <c r="A9073" s="1" t="s">
        <v>31580</v>
      </c>
      <c r="B9073" s="1" t="str">
        <f>"David Price"</f>
        <v>David Price</v>
      </c>
      <c r="C9073" s="1" t="s">
        <v>31581</v>
      </c>
      <c r="F9073" s="1" t="s">
        <v>739</v>
      </c>
      <c r="H9073" s="1" t="s">
        <v>1706</v>
      </c>
      <c r="I9073" s="1" t="s">
        <v>5</v>
      </c>
      <c r="J9073" s="1" t="s">
        <v>6</v>
      </c>
      <c r="K9073" s="1" t="s">
        <v>34</v>
      </c>
      <c r="M9073" s="2">
        <v>42202</v>
      </c>
      <c r="N9073" s="1" t="s">
        <v>8</v>
      </c>
      <c r="O9073" s="2">
        <v>44393</v>
      </c>
    </row>
    <row r="9074" spans="1:15" ht="43.2" x14ac:dyDescent="0.3">
      <c r="A9074" s="1" t="s">
        <v>13315</v>
      </c>
      <c r="B9074" s="1" t="str">
        <f>"Momentum Contract Furniture Ltd"</f>
        <v>Momentum Contract Furniture Ltd</v>
      </c>
      <c r="C9074" s="1" t="s">
        <v>13316</v>
      </c>
      <c r="F9074" s="1" t="s">
        <v>27</v>
      </c>
      <c r="H9074" s="1" t="s">
        <v>13317</v>
      </c>
      <c r="I9074" s="1" t="s">
        <v>19</v>
      </c>
      <c r="J9074" s="1" t="s">
        <v>67</v>
      </c>
      <c r="K9074" s="1" t="s">
        <v>14</v>
      </c>
      <c r="M9074" s="2">
        <v>42201</v>
      </c>
      <c r="N9074" s="1" t="s">
        <v>8</v>
      </c>
      <c r="O9074" s="1" t="s">
        <v>68</v>
      </c>
    </row>
    <row r="9075" spans="1:15" ht="43.2" x14ac:dyDescent="0.3">
      <c r="A9075" s="1" t="s">
        <v>13318</v>
      </c>
      <c r="B9075" s="1" t="str">
        <f>"mount pleasant baptist church"</f>
        <v>mount pleasant baptist church</v>
      </c>
      <c r="C9075" s="1" t="s">
        <v>13319</v>
      </c>
      <c r="F9075" s="1" t="s">
        <v>64</v>
      </c>
      <c r="H9075" s="1" t="s">
        <v>13320</v>
      </c>
      <c r="I9075" s="1" t="s">
        <v>1872</v>
      </c>
      <c r="J9075" s="1" t="s">
        <v>67</v>
      </c>
      <c r="K9075" s="1" t="s">
        <v>14</v>
      </c>
      <c r="M9075" s="2">
        <v>42201</v>
      </c>
      <c r="N9075" s="1" t="s">
        <v>8</v>
      </c>
      <c r="O9075" s="1" t="s">
        <v>68</v>
      </c>
    </row>
    <row r="9076" spans="1:15" ht="43.2" x14ac:dyDescent="0.3">
      <c r="A9076" s="1" t="s">
        <v>25861</v>
      </c>
      <c r="B9076" s="1" t="str">
        <f>"Jaimie Stanley"</f>
        <v>Jaimie Stanley</v>
      </c>
      <c r="C9076" s="1" t="s">
        <v>25862</v>
      </c>
      <c r="F9076" s="1" t="s">
        <v>214</v>
      </c>
      <c r="H9076" s="1" t="s">
        <v>25863</v>
      </c>
      <c r="I9076" s="1" t="s">
        <v>5</v>
      </c>
      <c r="J9076" s="1" t="s">
        <v>67</v>
      </c>
      <c r="K9076" s="1" t="s">
        <v>14</v>
      </c>
      <c r="M9076" s="2">
        <v>42201</v>
      </c>
      <c r="N9076" s="1" t="s">
        <v>8</v>
      </c>
      <c r="O9076" s="1" t="s">
        <v>68</v>
      </c>
    </row>
    <row r="9077" spans="1:15" ht="43.2" x14ac:dyDescent="0.3">
      <c r="A9077" s="1" t="s">
        <v>26606</v>
      </c>
      <c r="B9077" s="1" t="str">
        <f>"Noel Gaskell"</f>
        <v>Noel Gaskell</v>
      </c>
      <c r="C9077" s="1" t="s">
        <v>26607</v>
      </c>
      <c r="F9077" s="1" t="s">
        <v>3415</v>
      </c>
      <c r="H9077" s="1" t="s">
        <v>26608</v>
      </c>
      <c r="I9077" s="1" t="s">
        <v>5</v>
      </c>
      <c r="J9077" s="1" t="s">
        <v>67</v>
      </c>
      <c r="K9077" s="1" t="s">
        <v>14</v>
      </c>
      <c r="M9077" s="2">
        <v>42201</v>
      </c>
      <c r="N9077" s="1" t="s">
        <v>8</v>
      </c>
      <c r="O9077" s="1" t="s">
        <v>68</v>
      </c>
    </row>
    <row r="9078" spans="1:15" ht="43.2" x14ac:dyDescent="0.3">
      <c r="A9078" s="1" t="s">
        <v>26609</v>
      </c>
      <c r="B9078" s="1" t="str">
        <f>"David Niven"</f>
        <v>David Niven</v>
      </c>
      <c r="C9078" s="1" t="s">
        <v>26610</v>
      </c>
      <c r="F9078" s="1" t="s">
        <v>1351</v>
      </c>
      <c r="H9078" s="1" t="s">
        <v>11750</v>
      </c>
      <c r="I9078" s="1" t="s">
        <v>5</v>
      </c>
      <c r="J9078" s="1" t="s">
        <v>67</v>
      </c>
      <c r="K9078" s="1" t="s">
        <v>14</v>
      </c>
      <c r="M9078" s="2">
        <v>42201</v>
      </c>
      <c r="N9078" s="1" t="s">
        <v>8</v>
      </c>
      <c r="O9078" s="1" t="s">
        <v>68</v>
      </c>
    </row>
    <row r="9079" spans="1:15" ht="43.2" x14ac:dyDescent="0.3">
      <c r="A9079" s="1" t="s">
        <v>26611</v>
      </c>
      <c r="B9079" s="1" t="str">
        <f>"Richard Pierce"</f>
        <v>Richard Pierce</v>
      </c>
      <c r="C9079" s="1" t="s">
        <v>26612</v>
      </c>
      <c r="F9079" s="1" t="s">
        <v>27</v>
      </c>
      <c r="H9079" s="1" t="s">
        <v>26613</v>
      </c>
      <c r="I9079" s="1" t="s">
        <v>5</v>
      </c>
      <c r="J9079" s="1" t="s">
        <v>67</v>
      </c>
      <c r="K9079" s="1" t="s">
        <v>24</v>
      </c>
      <c r="M9079" s="2">
        <v>42201</v>
      </c>
      <c r="N9079" s="1" t="s">
        <v>8</v>
      </c>
      <c r="O9079" s="1" t="s">
        <v>68</v>
      </c>
    </row>
    <row r="9080" spans="1:15" ht="43.2" x14ac:dyDescent="0.3">
      <c r="A9080" s="1" t="s">
        <v>13312</v>
      </c>
      <c r="B9080" s="1" t="str">
        <f>"B JENKINS &amp; SONS LTD"</f>
        <v>B JENKINS &amp; SONS LTD</v>
      </c>
      <c r="C9080" s="1" t="s">
        <v>13313</v>
      </c>
      <c r="F9080" s="1" t="s">
        <v>3415</v>
      </c>
      <c r="H9080" s="1" t="s">
        <v>13314</v>
      </c>
      <c r="I9080" s="1" t="s">
        <v>19</v>
      </c>
      <c r="J9080" s="1" t="s">
        <v>67</v>
      </c>
      <c r="K9080" s="1" t="s">
        <v>14</v>
      </c>
      <c r="M9080" s="2">
        <v>42200</v>
      </c>
      <c r="N9080" s="1" t="s">
        <v>8</v>
      </c>
      <c r="O9080" s="1" t="s">
        <v>68</v>
      </c>
    </row>
    <row r="9081" spans="1:15" ht="43.2" x14ac:dyDescent="0.3">
      <c r="A9081" s="1" t="s">
        <v>25858</v>
      </c>
      <c r="B9081" s="1" t="str">
        <f>"Shaun mcneil"</f>
        <v>Shaun mcneil</v>
      </c>
      <c r="C9081" s="1" t="s">
        <v>25859</v>
      </c>
      <c r="F9081" s="1" t="s">
        <v>174</v>
      </c>
      <c r="H9081" s="1" t="s">
        <v>25860</v>
      </c>
      <c r="I9081" s="1" t="s">
        <v>5</v>
      </c>
      <c r="J9081" s="1" t="s">
        <v>67</v>
      </c>
      <c r="K9081" s="1" t="s">
        <v>14</v>
      </c>
      <c r="M9081" s="2">
        <v>42200</v>
      </c>
      <c r="N9081" s="1" t="s">
        <v>8</v>
      </c>
      <c r="O9081" s="1" t="s">
        <v>68</v>
      </c>
    </row>
    <row r="9082" spans="1:15" ht="43.2" x14ac:dyDescent="0.3">
      <c r="A9082" s="1" t="s">
        <v>25159</v>
      </c>
      <c r="B9082" s="1" t="str">
        <f>"richard gipps"</f>
        <v>richard gipps</v>
      </c>
      <c r="C9082" s="1" t="s">
        <v>25160</v>
      </c>
      <c r="F9082" s="1" t="s">
        <v>146</v>
      </c>
      <c r="H9082" s="1" t="s">
        <v>25161</v>
      </c>
      <c r="I9082" s="1" t="s">
        <v>5</v>
      </c>
      <c r="J9082" s="1" t="s">
        <v>67</v>
      </c>
      <c r="K9082" s="1" t="s">
        <v>14</v>
      </c>
      <c r="M9082" s="2">
        <v>42198</v>
      </c>
      <c r="N9082" s="1" t="s">
        <v>8</v>
      </c>
      <c r="O9082" s="1" t="s">
        <v>68</v>
      </c>
    </row>
    <row r="9083" spans="1:15" ht="28.8" x14ac:dyDescent="0.3">
      <c r="A9083" s="1" t="s">
        <v>30277</v>
      </c>
      <c r="B9083" s="1" t="str">
        <f>"James Mostyn"</f>
        <v>James Mostyn</v>
      </c>
      <c r="C9083" s="1" t="s">
        <v>30278</v>
      </c>
      <c r="D9083" s="1" t="s">
        <v>14738</v>
      </c>
      <c r="F9083" s="1" t="s">
        <v>1169</v>
      </c>
      <c r="H9083" s="1" t="s">
        <v>14739</v>
      </c>
      <c r="I9083" s="1" t="s">
        <v>5</v>
      </c>
      <c r="J9083" s="1" t="s">
        <v>6</v>
      </c>
      <c r="K9083" s="1" t="s">
        <v>24</v>
      </c>
      <c r="M9083" s="2">
        <v>42198</v>
      </c>
      <c r="N9083" s="1" t="s">
        <v>8</v>
      </c>
      <c r="O9083" s="2">
        <v>44389</v>
      </c>
    </row>
    <row r="9084" spans="1:15" ht="28.8" x14ac:dyDescent="0.3">
      <c r="A9084" s="1" t="s">
        <v>31488</v>
      </c>
      <c r="B9084" s="1" t="str">
        <f>"Stuart Lynch R and S Building and Plumbing"</f>
        <v>Stuart Lynch R and S Building and Plumbing</v>
      </c>
      <c r="C9084" s="1" t="s">
        <v>31489</v>
      </c>
      <c r="D9084" s="1" t="s">
        <v>31490</v>
      </c>
      <c r="F9084" s="1" t="s">
        <v>64</v>
      </c>
      <c r="G9084" s="1" t="s">
        <v>65</v>
      </c>
      <c r="H9084" s="1" t="s">
        <v>31491</v>
      </c>
      <c r="I9084" s="1" t="s">
        <v>5</v>
      </c>
      <c r="J9084" s="1" t="s">
        <v>6</v>
      </c>
      <c r="K9084" s="1" t="s">
        <v>24</v>
      </c>
      <c r="M9084" s="2">
        <v>42198</v>
      </c>
      <c r="N9084" s="1" t="s">
        <v>8</v>
      </c>
      <c r="O9084" s="2">
        <v>44389</v>
      </c>
    </row>
    <row r="9085" spans="1:15" ht="43.2" x14ac:dyDescent="0.3">
      <c r="A9085" s="1" t="s">
        <v>12219</v>
      </c>
      <c r="B9085" s="1" t="str">
        <f>"the old chemist pub"</f>
        <v>the old chemist pub</v>
      </c>
      <c r="C9085" s="1" t="s">
        <v>12220</v>
      </c>
      <c r="F9085" s="1" t="s">
        <v>5291</v>
      </c>
      <c r="H9085" s="1" t="s">
        <v>12221</v>
      </c>
      <c r="I9085" s="1" t="s">
        <v>125</v>
      </c>
      <c r="J9085" s="1" t="s">
        <v>67</v>
      </c>
      <c r="K9085" s="1" t="s">
        <v>14</v>
      </c>
      <c r="M9085" s="2">
        <v>42197</v>
      </c>
      <c r="N9085" s="1" t="s">
        <v>8</v>
      </c>
      <c r="O9085" s="1" t="s">
        <v>68</v>
      </c>
    </row>
    <row r="9086" spans="1:15" ht="43.2" x14ac:dyDescent="0.3">
      <c r="A9086" s="1" t="s">
        <v>12222</v>
      </c>
      <c r="B9086" s="1" t="str">
        <f>"W&amp;W grass cutting services"</f>
        <v>W&amp;W grass cutting services</v>
      </c>
      <c r="C9086" s="1" t="s">
        <v>12223</v>
      </c>
      <c r="F9086" s="1" t="s">
        <v>5534</v>
      </c>
      <c r="H9086" s="1" t="s">
        <v>12224</v>
      </c>
      <c r="I9086" s="1" t="s">
        <v>125</v>
      </c>
      <c r="J9086" s="1" t="s">
        <v>67</v>
      </c>
      <c r="K9086" s="1" t="s">
        <v>14</v>
      </c>
      <c r="M9086" s="2">
        <v>42197</v>
      </c>
      <c r="N9086" s="1" t="s">
        <v>8</v>
      </c>
      <c r="O9086" s="1" t="s">
        <v>68</v>
      </c>
    </row>
    <row r="9087" spans="1:15" ht="43.2" x14ac:dyDescent="0.3">
      <c r="A9087" s="1" t="s">
        <v>25156</v>
      </c>
      <c r="B9087" s="1" t="str">
        <f>"adam gardner"</f>
        <v>adam gardner</v>
      </c>
      <c r="C9087" s="1" t="s">
        <v>25157</v>
      </c>
      <c r="F9087" s="1" t="s">
        <v>298</v>
      </c>
      <c r="H9087" s="1" t="s">
        <v>25158</v>
      </c>
      <c r="I9087" s="1" t="s">
        <v>5</v>
      </c>
      <c r="J9087" s="1" t="s">
        <v>67</v>
      </c>
      <c r="K9087" s="1" t="s">
        <v>14</v>
      </c>
      <c r="M9087" s="2">
        <v>42197</v>
      </c>
      <c r="N9087" s="1" t="s">
        <v>8</v>
      </c>
      <c r="O9087" s="1" t="s">
        <v>68</v>
      </c>
    </row>
    <row r="9088" spans="1:15" ht="43.2" x14ac:dyDescent="0.3">
      <c r="A9088" s="1" t="s">
        <v>11249</v>
      </c>
      <c r="B9088" s="1" t="str">
        <f>"Fire and stove Shop Ltd"</f>
        <v>Fire and stove Shop Ltd</v>
      </c>
      <c r="C9088" s="1" t="s">
        <v>11250</v>
      </c>
      <c r="F9088" s="1" t="s">
        <v>3415</v>
      </c>
      <c r="H9088" s="1" t="s">
        <v>11127</v>
      </c>
      <c r="I9088" s="1" t="s">
        <v>19</v>
      </c>
      <c r="J9088" s="1" t="s">
        <v>67</v>
      </c>
      <c r="K9088" s="1" t="s">
        <v>14</v>
      </c>
      <c r="M9088" s="2">
        <v>42195</v>
      </c>
      <c r="N9088" s="1" t="s">
        <v>8</v>
      </c>
      <c r="O9088" s="1" t="s">
        <v>68</v>
      </c>
    </row>
    <row r="9089" spans="1:15" ht="43.2" x14ac:dyDescent="0.3">
      <c r="A9089" s="1" t="s">
        <v>11251</v>
      </c>
      <c r="B9089" s="1" t="str">
        <f>"2Tone anglesey ltd"</f>
        <v>2Tone anglesey ltd</v>
      </c>
      <c r="C9089" s="1" t="s">
        <v>11252</v>
      </c>
      <c r="D9089" s="1" t="s">
        <v>11253</v>
      </c>
      <c r="F9089" s="1" t="s">
        <v>11254</v>
      </c>
      <c r="H9089" s="1" t="s">
        <v>11255</v>
      </c>
      <c r="I9089" s="1" t="s">
        <v>19</v>
      </c>
      <c r="J9089" s="1" t="s">
        <v>67</v>
      </c>
      <c r="K9089" s="1" t="s">
        <v>14</v>
      </c>
      <c r="M9089" s="2">
        <v>42195</v>
      </c>
      <c r="N9089" s="1" t="s">
        <v>8</v>
      </c>
      <c r="O9089" s="1" t="s">
        <v>68</v>
      </c>
    </row>
    <row r="9090" spans="1:15" ht="43.2" x14ac:dyDescent="0.3">
      <c r="A9090" s="1" t="s">
        <v>25154</v>
      </c>
      <c r="B9090" s="1" t="str">
        <f>"karl keating Llwyn Landscapes"</f>
        <v>karl keating Llwyn Landscapes</v>
      </c>
      <c r="C9090" s="1" t="s">
        <v>25155</v>
      </c>
      <c r="F9090" s="1" t="s">
        <v>3242</v>
      </c>
      <c r="H9090" s="1" t="s">
        <v>22623</v>
      </c>
      <c r="I9090" s="1" t="s">
        <v>5</v>
      </c>
      <c r="J9090" s="1" t="s">
        <v>67</v>
      </c>
      <c r="K9090" s="1" t="s">
        <v>24</v>
      </c>
      <c r="M9090" s="2">
        <v>42195</v>
      </c>
      <c r="N9090" s="1" t="s">
        <v>8</v>
      </c>
      <c r="O9090" s="1" t="s">
        <v>68</v>
      </c>
    </row>
    <row r="9091" spans="1:15" ht="28.8" x14ac:dyDescent="0.3">
      <c r="A9091" s="1" t="s">
        <v>31518</v>
      </c>
      <c r="B9091" s="1" t="str">
        <f>"Whitehead Building Services"</f>
        <v>Whitehead Building Services</v>
      </c>
      <c r="C9091" s="1" t="s">
        <v>31519</v>
      </c>
      <c r="F9091" s="1" t="s">
        <v>91</v>
      </c>
      <c r="H9091" s="1" t="s">
        <v>17729</v>
      </c>
      <c r="I9091" s="1" t="s">
        <v>19</v>
      </c>
      <c r="J9091" s="1" t="s">
        <v>6</v>
      </c>
      <c r="K9091" s="1" t="s">
        <v>34</v>
      </c>
      <c r="L9091" s="1">
        <v>1394970</v>
      </c>
      <c r="M9091" s="2">
        <v>42195</v>
      </c>
      <c r="N9091" s="1" t="s">
        <v>8</v>
      </c>
      <c r="O9091" s="2">
        <v>44392</v>
      </c>
    </row>
    <row r="9092" spans="1:15" ht="43.2" x14ac:dyDescent="0.3">
      <c r="A9092" s="1" t="s">
        <v>10232</v>
      </c>
      <c r="B9092" s="1" t="str">
        <f>"STEVE NOEL VEHICLE ENGINEERS LTD"</f>
        <v>STEVE NOEL VEHICLE ENGINEERS LTD</v>
      </c>
      <c r="C9092" s="1" t="s">
        <v>10233</v>
      </c>
      <c r="F9092" s="1" t="s">
        <v>10234</v>
      </c>
      <c r="H9092" s="1" t="s">
        <v>10235</v>
      </c>
      <c r="I9092" s="1" t="s">
        <v>19</v>
      </c>
      <c r="J9092" s="1" t="s">
        <v>67</v>
      </c>
      <c r="K9092" s="1" t="s">
        <v>14</v>
      </c>
      <c r="M9092" s="2">
        <v>42194</v>
      </c>
      <c r="N9092" s="1" t="s">
        <v>8</v>
      </c>
      <c r="O9092" s="1" t="s">
        <v>68</v>
      </c>
    </row>
    <row r="9093" spans="1:15" ht="43.2" x14ac:dyDescent="0.3">
      <c r="A9093" s="1" t="s">
        <v>11243</v>
      </c>
      <c r="B9093" s="1" t="str">
        <f>"Heatshine Ltd"</f>
        <v>Heatshine Ltd</v>
      </c>
      <c r="C9093" s="1" t="s">
        <v>11244</v>
      </c>
      <c r="F9093" s="1" t="s">
        <v>1511</v>
      </c>
      <c r="H9093" s="1" t="s">
        <v>11245</v>
      </c>
      <c r="I9093" s="1" t="s">
        <v>19</v>
      </c>
      <c r="J9093" s="1" t="s">
        <v>67</v>
      </c>
      <c r="K9093" s="1" t="s">
        <v>14</v>
      </c>
      <c r="M9093" s="2">
        <v>42194</v>
      </c>
      <c r="N9093" s="1" t="s">
        <v>8</v>
      </c>
      <c r="O9093" s="1" t="s">
        <v>68</v>
      </c>
    </row>
    <row r="9094" spans="1:15" ht="43.2" x14ac:dyDescent="0.3">
      <c r="A9094" s="1" t="s">
        <v>11246</v>
      </c>
      <c r="B9094" s="1" t="str">
        <f>"Darryl &amp; June Sheppard"</f>
        <v>Darryl &amp; June Sheppard</v>
      </c>
      <c r="C9094" s="1" t="s">
        <v>11247</v>
      </c>
      <c r="F9094" s="1" t="s">
        <v>83</v>
      </c>
      <c r="H9094" s="1" t="s">
        <v>11248</v>
      </c>
      <c r="I9094" s="1" t="s">
        <v>125</v>
      </c>
      <c r="J9094" s="1" t="s">
        <v>67</v>
      </c>
      <c r="K9094" s="1" t="s">
        <v>14</v>
      </c>
      <c r="M9094" s="2">
        <v>42194</v>
      </c>
      <c r="N9094" s="1" t="s">
        <v>8</v>
      </c>
      <c r="O9094" s="1" t="s">
        <v>68</v>
      </c>
    </row>
    <row r="9095" spans="1:15" ht="43.2" x14ac:dyDescent="0.3">
      <c r="A9095" s="1" t="s">
        <v>23455</v>
      </c>
      <c r="B9095" s="1" t="str">
        <f>"Norman  Sharp"</f>
        <v>Norman  Sharp</v>
      </c>
      <c r="C9095" s="1" t="s">
        <v>23456</v>
      </c>
      <c r="F9095" s="1" t="s">
        <v>438</v>
      </c>
      <c r="H9095" s="1" t="s">
        <v>23457</v>
      </c>
      <c r="I9095" s="1" t="s">
        <v>5</v>
      </c>
      <c r="J9095" s="1" t="s">
        <v>67</v>
      </c>
      <c r="K9095" s="1" t="s">
        <v>14</v>
      </c>
      <c r="M9095" s="2">
        <v>42194</v>
      </c>
      <c r="N9095" s="1" t="s">
        <v>8</v>
      </c>
      <c r="O9095" s="1" t="s">
        <v>68</v>
      </c>
    </row>
    <row r="9096" spans="1:15" ht="43.2" x14ac:dyDescent="0.3">
      <c r="A9096" s="1" t="s">
        <v>24302</v>
      </c>
      <c r="B9096" s="1" t="str">
        <f>"David Williams"</f>
        <v>David Williams</v>
      </c>
      <c r="C9096" s="1" t="s">
        <v>24303</v>
      </c>
      <c r="D9096" s="1" t="s">
        <v>24304</v>
      </c>
      <c r="F9096" s="1" t="s">
        <v>328</v>
      </c>
      <c r="H9096" s="1" t="s">
        <v>24305</v>
      </c>
      <c r="I9096" s="1" t="s">
        <v>5</v>
      </c>
      <c r="J9096" s="1" t="s">
        <v>67</v>
      </c>
      <c r="K9096" s="1" t="s">
        <v>14</v>
      </c>
      <c r="M9096" s="2">
        <v>42194</v>
      </c>
      <c r="N9096" s="1" t="s">
        <v>8</v>
      </c>
      <c r="O9096" s="1" t="s">
        <v>68</v>
      </c>
    </row>
    <row r="9097" spans="1:15" ht="43.2" x14ac:dyDescent="0.3">
      <c r="A9097" s="1" t="s">
        <v>24306</v>
      </c>
      <c r="B9097" s="1" t="str">
        <f>"Nicholas  Harper"</f>
        <v>Nicholas  Harper</v>
      </c>
      <c r="C9097" s="1" t="s">
        <v>24307</v>
      </c>
      <c r="F9097" s="1" t="s">
        <v>27</v>
      </c>
      <c r="H9097" s="1" t="s">
        <v>24308</v>
      </c>
      <c r="I9097" s="1" t="s">
        <v>5</v>
      </c>
      <c r="J9097" s="1" t="s">
        <v>67</v>
      </c>
      <c r="K9097" s="1" t="s">
        <v>14</v>
      </c>
      <c r="M9097" s="2">
        <v>42194</v>
      </c>
      <c r="N9097" s="1" t="s">
        <v>8</v>
      </c>
      <c r="O9097" s="1" t="s">
        <v>68</v>
      </c>
    </row>
    <row r="9098" spans="1:15" ht="43.2" x14ac:dyDescent="0.3">
      <c r="A9098" s="1" t="s">
        <v>24309</v>
      </c>
      <c r="B9098" s="1" t="str">
        <f>"Alastair McGuffie"</f>
        <v>Alastair McGuffie</v>
      </c>
      <c r="C9098" s="1" t="s">
        <v>23603</v>
      </c>
      <c r="F9098" s="1" t="s">
        <v>27</v>
      </c>
      <c r="H9098" s="1" t="s">
        <v>23604</v>
      </c>
      <c r="I9098" s="1" t="s">
        <v>5</v>
      </c>
      <c r="J9098" s="1" t="s">
        <v>67</v>
      </c>
      <c r="K9098" s="1" t="s">
        <v>14</v>
      </c>
      <c r="M9098" s="2">
        <v>42194</v>
      </c>
      <c r="N9098" s="1" t="s">
        <v>8</v>
      </c>
      <c r="O9098" s="1" t="s">
        <v>68</v>
      </c>
    </row>
    <row r="9099" spans="1:15" ht="28.8" x14ac:dyDescent="0.3">
      <c r="A9099" s="1" t="s">
        <v>30552</v>
      </c>
      <c r="B9099" s="1" t="str">
        <f>"Amlwch Windows Ltd"</f>
        <v>Amlwch Windows Ltd</v>
      </c>
      <c r="C9099" s="1" t="s">
        <v>30553</v>
      </c>
      <c r="D9099" s="1" t="s">
        <v>30554</v>
      </c>
      <c r="F9099" s="1" t="s">
        <v>2757</v>
      </c>
      <c r="G9099" s="1" t="s">
        <v>679</v>
      </c>
      <c r="H9099" s="1" t="s">
        <v>30555</v>
      </c>
      <c r="I9099" s="1" t="s">
        <v>19</v>
      </c>
      <c r="J9099" s="1" t="s">
        <v>6</v>
      </c>
      <c r="K9099" s="1" t="s">
        <v>34</v>
      </c>
      <c r="L9099" s="1">
        <v>6435659</v>
      </c>
      <c r="M9099" s="2">
        <v>42194</v>
      </c>
      <c r="N9099" s="1" t="s">
        <v>8</v>
      </c>
      <c r="O9099" s="2">
        <v>44385</v>
      </c>
    </row>
    <row r="9100" spans="1:15" ht="43.2" x14ac:dyDescent="0.3">
      <c r="A9100" s="1" t="s">
        <v>10223</v>
      </c>
      <c r="B9100" s="1" t="str">
        <f>"VICTORIA GARAGE (PENARTH) LTD"</f>
        <v>VICTORIA GARAGE (PENARTH) LTD</v>
      </c>
      <c r="C9100" s="1" t="s">
        <v>10224</v>
      </c>
      <c r="F9100" s="1" t="s">
        <v>930</v>
      </c>
      <c r="H9100" s="1" t="s">
        <v>10225</v>
      </c>
      <c r="I9100" s="1" t="s">
        <v>19</v>
      </c>
      <c r="J9100" s="1" t="s">
        <v>67</v>
      </c>
      <c r="K9100" s="1" t="s">
        <v>14</v>
      </c>
      <c r="M9100" s="2">
        <v>42193</v>
      </c>
      <c r="N9100" s="1" t="s">
        <v>8</v>
      </c>
      <c r="O9100" s="1" t="s">
        <v>68</v>
      </c>
    </row>
    <row r="9101" spans="1:15" ht="43.2" x14ac:dyDescent="0.3">
      <c r="A9101" s="1" t="s">
        <v>10226</v>
      </c>
      <c r="B9101" s="1" t="str">
        <f>"St David's Hospice Care"</f>
        <v>St David's Hospice Care</v>
      </c>
      <c r="C9101" s="1" t="s">
        <v>10227</v>
      </c>
      <c r="F9101" s="1" t="s">
        <v>91</v>
      </c>
      <c r="H9101" s="1" t="s">
        <v>10228</v>
      </c>
      <c r="I9101" s="1" t="s">
        <v>1872</v>
      </c>
      <c r="J9101" s="1" t="s">
        <v>67</v>
      </c>
      <c r="K9101" s="1" t="s">
        <v>14</v>
      </c>
      <c r="M9101" s="2">
        <v>42193</v>
      </c>
      <c r="N9101" s="1" t="s">
        <v>8</v>
      </c>
      <c r="O9101" s="1" t="s">
        <v>68</v>
      </c>
    </row>
    <row r="9102" spans="1:15" ht="43.2" x14ac:dyDescent="0.3">
      <c r="A9102" s="1" t="s">
        <v>10229</v>
      </c>
      <c r="B9102" s="1" t="str">
        <f>"Key Care &amp; Support Limited"</f>
        <v>Key Care &amp; Support Limited</v>
      </c>
      <c r="C9102" s="1" t="s">
        <v>10230</v>
      </c>
      <c r="F9102" s="1" t="s">
        <v>3251</v>
      </c>
      <c r="H9102" s="1" t="s">
        <v>10231</v>
      </c>
      <c r="I9102" s="1" t="s">
        <v>19</v>
      </c>
      <c r="J9102" s="1" t="s">
        <v>67</v>
      </c>
      <c r="K9102" s="1" t="s">
        <v>14</v>
      </c>
      <c r="M9102" s="2">
        <v>42193</v>
      </c>
      <c r="N9102" s="1" t="s">
        <v>8</v>
      </c>
      <c r="O9102" s="1" t="s">
        <v>68</v>
      </c>
    </row>
    <row r="9103" spans="1:15" ht="43.2" x14ac:dyDescent="0.3">
      <c r="A9103" s="1" t="s">
        <v>22696</v>
      </c>
      <c r="B9103" s="1" t="str">
        <f>"Anya Focardi Dolling"</f>
        <v>Anya Focardi Dolling</v>
      </c>
      <c r="C9103" s="1" t="s">
        <v>22697</v>
      </c>
      <c r="F9103" s="1" t="s">
        <v>2459</v>
      </c>
      <c r="H9103" s="1" t="s">
        <v>22698</v>
      </c>
      <c r="I9103" s="1" t="s">
        <v>5</v>
      </c>
      <c r="J9103" s="1" t="s">
        <v>67</v>
      </c>
      <c r="K9103" s="1" t="s">
        <v>14</v>
      </c>
      <c r="M9103" s="2">
        <v>42193</v>
      </c>
      <c r="N9103" s="1" t="s">
        <v>8</v>
      </c>
      <c r="O9103" s="1" t="s">
        <v>68</v>
      </c>
    </row>
    <row r="9104" spans="1:15" ht="43.2" x14ac:dyDescent="0.3">
      <c r="A9104" s="1" t="s">
        <v>23450</v>
      </c>
      <c r="B9104" s="1" t="str">
        <f>"Jason Thorne"</f>
        <v>Jason Thorne</v>
      </c>
      <c r="C9104" s="1" t="s">
        <v>23451</v>
      </c>
      <c r="F9104" s="1" t="s">
        <v>3415</v>
      </c>
      <c r="H9104" s="1" t="s">
        <v>13152</v>
      </c>
      <c r="I9104" s="1" t="s">
        <v>5</v>
      </c>
      <c r="J9104" s="1" t="s">
        <v>67</v>
      </c>
      <c r="K9104" s="1" t="s">
        <v>14</v>
      </c>
      <c r="M9104" s="2">
        <v>42193</v>
      </c>
      <c r="N9104" s="1" t="s">
        <v>8</v>
      </c>
      <c r="O9104" s="1" t="s">
        <v>68</v>
      </c>
    </row>
    <row r="9105" spans="1:15" ht="43.2" x14ac:dyDescent="0.3">
      <c r="A9105" s="1" t="s">
        <v>23452</v>
      </c>
      <c r="B9105" s="1" t="str">
        <f>"Anthony  Rippon"</f>
        <v>Anthony  Rippon</v>
      </c>
      <c r="C9105" s="1" t="s">
        <v>23453</v>
      </c>
      <c r="F9105" s="1" t="s">
        <v>7147</v>
      </c>
      <c r="H9105" s="1" t="s">
        <v>23454</v>
      </c>
      <c r="I9105" s="1" t="s">
        <v>5</v>
      </c>
      <c r="J9105" s="1" t="s">
        <v>67</v>
      </c>
      <c r="K9105" s="1" t="s">
        <v>14</v>
      </c>
      <c r="M9105" s="2">
        <v>42193</v>
      </c>
      <c r="N9105" s="1" t="s">
        <v>8</v>
      </c>
      <c r="O9105" s="1" t="s">
        <v>68</v>
      </c>
    </row>
    <row r="9106" spans="1:15" ht="43.2" x14ac:dyDescent="0.3">
      <c r="A9106" s="1" t="s">
        <v>7898</v>
      </c>
      <c r="B9106" s="1" t="str">
        <f>"THE GRO GUEST HOUSE"</f>
        <v>THE GRO GUEST HOUSE</v>
      </c>
      <c r="C9106" s="1" t="s">
        <v>7899</v>
      </c>
      <c r="F9106" s="1" t="s">
        <v>3237</v>
      </c>
      <c r="H9106" s="1" t="s">
        <v>7900</v>
      </c>
      <c r="I9106" s="1" t="s">
        <v>125</v>
      </c>
      <c r="J9106" s="1" t="s">
        <v>67</v>
      </c>
      <c r="K9106" s="1" t="s">
        <v>14</v>
      </c>
      <c r="M9106" s="2">
        <v>42192</v>
      </c>
      <c r="N9106" s="1" t="s">
        <v>8</v>
      </c>
      <c r="O9106" s="1" t="s">
        <v>68</v>
      </c>
    </row>
    <row r="9107" spans="1:15" ht="43.2" x14ac:dyDescent="0.3">
      <c r="A9107" s="1" t="s">
        <v>7901</v>
      </c>
      <c r="B9107" s="1" t="str">
        <f>"Gwaenynog Farmhouse"</f>
        <v>Gwaenynog Farmhouse</v>
      </c>
      <c r="C9107" s="1" t="s">
        <v>7902</v>
      </c>
      <c r="F9107" s="1" t="s">
        <v>416</v>
      </c>
      <c r="H9107" s="1" t="s">
        <v>7903</v>
      </c>
      <c r="I9107" s="1" t="s">
        <v>125</v>
      </c>
      <c r="J9107" s="1" t="s">
        <v>67</v>
      </c>
      <c r="K9107" s="1" t="s">
        <v>14</v>
      </c>
      <c r="M9107" s="2">
        <v>42192</v>
      </c>
      <c r="N9107" s="1" t="s">
        <v>8</v>
      </c>
      <c r="O9107" s="1" t="s">
        <v>68</v>
      </c>
    </row>
    <row r="9108" spans="1:15" ht="43.2" x14ac:dyDescent="0.3">
      <c r="A9108" s="1" t="s">
        <v>9114</v>
      </c>
      <c r="B9108" s="1" t="str">
        <f>"Bartrums &amp; Co Ltd"</f>
        <v>Bartrums &amp; Co Ltd</v>
      </c>
      <c r="C9108" s="1" t="s">
        <v>9115</v>
      </c>
      <c r="F9108" s="1" t="s">
        <v>3337</v>
      </c>
      <c r="H9108" s="1" t="s">
        <v>6163</v>
      </c>
      <c r="I9108" s="1" t="s">
        <v>19</v>
      </c>
      <c r="J9108" s="1" t="s">
        <v>67</v>
      </c>
      <c r="K9108" s="1" t="s">
        <v>14</v>
      </c>
      <c r="M9108" s="2">
        <v>42192</v>
      </c>
      <c r="N9108" s="1" t="s">
        <v>8</v>
      </c>
      <c r="O9108" s="1" t="s">
        <v>68</v>
      </c>
    </row>
    <row r="9109" spans="1:15" ht="43.2" x14ac:dyDescent="0.3">
      <c r="A9109" s="1" t="s">
        <v>9116</v>
      </c>
      <c r="B9109" s="1" t="str">
        <f>"Electronic services wales ltd"</f>
        <v>Electronic services wales ltd</v>
      </c>
      <c r="C9109" s="1" t="s">
        <v>9117</v>
      </c>
      <c r="D9109" s="1" t="s">
        <v>2041</v>
      </c>
      <c r="F9109" s="1" t="s">
        <v>64</v>
      </c>
      <c r="H9109" s="1" t="s">
        <v>9118</v>
      </c>
      <c r="I9109" s="1" t="s">
        <v>19</v>
      </c>
      <c r="J9109" s="1" t="s">
        <v>67</v>
      </c>
      <c r="K9109" s="1" t="s">
        <v>14</v>
      </c>
      <c r="M9109" s="2">
        <v>42192</v>
      </c>
      <c r="N9109" s="1" t="s">
        <v>8</v>
      </c>
      <c r="O9109" s="1" t="s">
        <v>68</v>
      </c>
    </row>
    <row r="9110" spans="1:15" ht="28.8" x14ac:dyDescent="0.3">
      <c r="A9110" s="1" t="s">
        <v>31470</v>
      </c>
      <c r="B9110" s="1" t="str">
        <f>"Andrew Jones"</f>
        <v>Andrew Jones</v>
      </c>
      <c r="C9110" s="1" t="s">
        <v>31471</v>
      </c>
      <c r="F9110" s="1" t="s">
        <v>65</v>
      </c>
      <c r="H9110" s="1" t="s">
        <v>22566</v>
      </c>
      <c r="I9110" s="1" t="s">
        <v>5</v>
      </c>
      <c r="J9110" s="1" t="s">
        <v>6</v>
      </c>
      <c r="K9110" s="1" t="s">
        <v>24</v>
      </c>
      <c r="M9110" s="2">
        <v>42192</v>
      </c>
      <c r="N9110" s="1" t="s">
        <v>8</v>
      </c>
      <c r="O9110" s="2">
        <v>44383</v>
      </c>
    </row>
    <row r="9111" spans="1:15" ht="28.8" x14ac:dyDescent="0.3">
      <c r="A9111" s="1" t="s">
        <v>2149</v>
      </c>
      <c r="B9111" s="1" t="str">
        <f>"NEAL SOIL SUPPLIERS LTD."</f>
        <v>NEAL SOIL SUPPLIERS LTD.</v>
      </c>
      <c r="C9111" s="1" t="s">
        <v>2054</v>
      </c>
      <c r="D9111" s="1" t="s">
        <v>500</v>
      </c>
      <c r="F9111" s="1" t="s">
        <v>27</v>
      </c>
      <c r="H9111" s="1" t="s">
        <v>501</v>
      </c>
      <c r="I9111" s="1" t="s">
        <v>19</v>
      </c>
      <c r="J9111" s="1" t="s">
        <v>6</v>
      </c>
      <c r="K9111" s="1" t="s">
        <v>34</v>
      </c>
      <c r="L9111" s="1">
        <v>3368495</v>
      </c>
      <c r="M9111" s="2">
        <v>42191</v>
      </c>
      <c r="N9111" s="1" t="s">
        <v>8</v>
      </c>
      <c r="O9111" s="2">
        <v>44382</v>
      </c>
    </row>
    <row r="9112" spans="1:15" ht="28.8" x14ac:dyDescent="0.3">
      <c r="A9112" s="1" t="s">
        <v>2195</v>
      </c>
      <c r="B9112" s="1" t="str">
        <f>"B W &amp; MM Thompson &amp; Partners"</f>
        <v>B W &amp; MM Thompson &amp; Partners</v>
      </c>
      <c r="C9112" s="1" t="s">
        <v>2196</v>
      </c>
      <c r="F9112" s="1" t="s">
        <v>873</v>
      </c>
      <c r="H9112" s="1" t="s">
        <v>2197</v>
      </c>
      <c r="I9112" s="1" t="s">
        <v>125</v>
      </c>
      <c r="J9112" s="1" t="s">
        <v>6</v>
      </c>
      <c r="K9112" s="1" t="s">
        <v>24</v>
      </c>
      <c r="M9112" s="2">
        <v>42191</v>
      </c>
      <c r="N9112" s="1" t="s">
        <v>8</v>
      </c>
      <c r="O9112" s="2">
        <v>44382</v>
      </c>
    </row>
    <row r="9113" spans="1:15" ht="43.2" x14ac:dyDescent="0.3">
      <c r="A9113" s="1" t="s">
        <v>6856</v>
      </c>
      <c r="B9113" s="1" t="str">
        <f>"Crown Removals"</f>
        <v>Crown Removals</v>
      </c>
      <c r="C9113" s="1" t="s">
        <v>6857</v>
      </c>
      <c r="F9113" s="1" t="s">
        <v>6858</v>
      </c>
      <c r="H9113" s="1" t="s">
        <v>6859</v>
      </c>
      <c r="I9113" s="1" t="s">
        <v>19</v>
      </c>
      <c r="J9113" s="1" t="s">
        <v>67</v>
      </c>
      <c r="K9113" s="1" t="s">
        <v>14</v>
      </c>
      <c r="M9113" s="2">
        <v>42191</v>
      </c>
      <c r="N9113" s="1" t="s">
        <v>8</v>
      </c>
      <c r="O9113" s="1" t="s">
        <v>68</v>
      </c>
    </row>
    <row r="9114" spans="1:15" ht="28.8" x14ac:dyDescent="0.3">
      <c r="A9114" s="1" t="s">
        <v>30370</v>
      </c>
      <c r="B9114" s="1" t="str">
        <f>"PETER O'NEILL (SERVICES) LTD"</f>
        <v>PETER O'NEILL (SERVICES) LTD</v>
      </c>
      <c r="C9114" s="1" t="s">
        <v>30371</v>
      </c>
      <c r="F9114" s="1" t="s">
        <v>380</v>
      </c>
      <c r="H9114" s="1" t="s">
        <v>1846</v>
      </c>
      <c r="I9114" s="1" t="s">
        <v>19</v>
      </c>
      <c r="J9114" s="1" t="s">
        <v>6</v>
      </c>
      <c r="K9114" s="1" t="s">
        <v>34</v>
      </c>
      <c r="L9114" s="1">
        <v>2501489</v>
      </c>
      <c r="M9114" s="2">
        <v>42191</v>
      </c>
      <c r="N9114" s="1" t="s">
        <v>8</v>
      </c>
      <c r="O9114" s="2">
        <v>44382</v>
      </c>
    </row>
    <row r="9115" spans="1:15" ht="43.2" x14ac:dyDescent="0.3">
      <c r="A9115" s="1" t="s">
        <v>20322</v>
      </c>
      <c r="B9115" s="1" t="str">
        <f>"Richard Preece"</f>
        <v>Richard Preece</v>
      </c>
      <c r="C9115" s="1" t="s">
        <v>20323</v>
      </c>
      <c r="F9115" s="1" t="s">
        <v>3415</v>
      </c>
      <c r="H9115" s="1" t="s">
        <v>20324</v>
      </c>
      <c r="I9115" s="1" t="s">
        <v>5</v>
      </c>
      <c r="J9115" s="1" t="s">
        <v>67</v>
      </c>
      <c r="K9115" s="1" t="s">
        <v>14</v>
      </c>
      <c r="M9115" s="2">
        <v>42190</v>
      </c>
      <c r="N9115" s="1" t="s">
        <v>8</v>
      </c>
      <c r="O9115" s="1" t="s">
        <v>68</v>
      </c>
    </row>
    <row r="9116" spans="1:15" ht="28.8" x14ac:dyDescent="0.3">
      <c r="A9116" s="1" t="s">
        <v>30309</v>
      </c>
      <c r="B9116" s="1" t="str">
        <f>"Vincent Bennett"</f>
        <v>Vincent Bennett</v>
      </c>
      <c r="C9116" s="1" t="s">
        <v>30310</v>
      </c>
      <c r="F9116" s="1" t="s">
        <v>1175</v>
      </c>
      <c r="H9116" s="1" t="s">
        <v>30311</v>
      </c>
      <c r="I9116" s="1" t="s">
        <v>5</v>
      </c>
      <c r="J9116" s="1" t="s">
        <v>6</v>
      </c>
      <c r="K9116" s="1" t="s">
        <v>24</v>
      </c>
      <c r="M9116" s="2">
        <v>42189</v>
      </c>
      <c r="N9116" s="1" t="s">
        <v>8</v>
      </c>
      <c r="O9116" s="2">
        <v>44380</v>
      </c>
    </row>
    <row r="9117" spans="1:15" ht="43.2" x14ac:dyDescent="0.3">
      <c r="A9117" s="1" t="s">
        <v>20318</v>
      </c>
      <c r="B9117" s="1" t="str">
        <f>"Chris Hawes"</f>
        <v>Chris Hawes</v>
      </c>
      <c r="C9117" s="1" t="s">
        <v>20319</v>
      </c>
      <c r="F9117" s="1" t="s">
        <v>20320</v>
      </c>
      <c r="H9117" s="1" t="s">
        <v>20321</v>
      </c>
      <c r="I9117" s="1" t="s">
        <v>5</v>
      </c>
      <c r="J9117" s="1" t="s">
        <v>67</v>
      </c>
      <c r="K9117" s="1" t="s">
        <v>14</v>
      </c>
      <c r="M9117" s="2">
        <v>42188</v>
      </c>
      <c r="N9117" s="1" t="s">
        <v>8</v>
      </c>
      <c r="O9117" s="1" t="s">
        <v>68</v>
      </c>
    </row>
    <row r="9118" spans="1:15" ht="28.8" x14ac:dyDescent="0.3">
      <c r="A9118" s="1" t="s">
        <v>30279</v>
      </c>
      <c r="B9118" s="1" t="str">
        <f>"ABER HEATING ENGINEER'S LTD"</f>
        <v>ABER HEATING ENGINEER'S LTD</v>
      </c>
      <c r="C9118" s="1" t="s">
        <v>30280</v>
      </c>
      <c r="F9118" s="1" t="s">
        <v>37</v>
      </c>
      <c r="H9118" s="1" t="s">
        <v>6831</v>
      </c>
      <c r="I9118" s="1" t="s">
        <v>19</v>
      </c>
      <c r="J9118" s="1" t="s">
        <v>6</v>
      </c>
      <c r="K9118" s="1" t="s">
        <v>34</v>
      </c>
      <c r="L9118" s="1">
        <v>7900404</v>
      </c>
      <c r="M9118" s="2">
        <v>42188</v>
      </c>
      <c r="N9118" s="1" t="s">
        <v>8</v>
      </c>
      <c r="O9118" s="2">
        <v>44379</v>
      </c>
    </row>
    <row r="9119" spans="1:15" ht="28.8" x14ac:dyDescent="0.3">
      <c r="A9119" s="1" t="s">
        <v>2351</v>
      </c>
      <c r="B9119" s="1" t="str">
        <f>"Richard Newbery Newtec Construction"</f>
        <v>Richard Newbery Newtec Construction</v>
      </c>
      <c r="C9119" s="1" t="s">
        <v>2352</v>
      </c>
      <c r="D9119" s="1" t="s">
        <v>2353</v>
      </c>
      <c r="F9119" s="1" t="s">
        <v>140</v>
      </c>
      <c r="G9119" s="1" t="s">
        <v>141</v>
      </c>
      <c r="H9119" s="1" t="s">
        <v>2354</v>
      </c>
      <c r="I9119" s="1" t="s">
        <v>5</v>
      </c>
      <c r="J9119" s="1" t="s">
        <v>6</v>
      </c>
      <c r="K9119" s="1" t="s">
        <v>24</v>
      </c>
      <c r="M9119" s="2">
        <v>42187</v>
      </c>
      <c r="N9119" s="1" t="s">
        <v>8</v>
      </c>
      <c r="O9119" s="2">
        <v>44379</v>
      </c>
    </row>
    <row r="9120" spans="1:15" ht="43.2" x14ac:dyDescent="0.3">
      <c r="A9120" s="1" t="s">
        <v>4525</v>
      </c>
      <c r="B9120" s="1" t="str">
        <f>"ACE LIFTS LTD"</f>
        <v>ACE LIFTS LTD</v>
      </c>
      <c r="C9120" s="1" t="s">
        <v>4526</v>
      </c>
      <c r="D9120" s="1" t="s">
        <v>959</v>
      </c>
      <c r="E9120" s="1" t="s">
        <v>746</v>
      </c>
      <c r="F9120" s="1" t="s">
        <v>1346</v>
      </c>
      <c r="H9120" s="1" t="s">
        <v>3118</v>
      </c>
      <c r="I9120" s="1" t="s">
        <v>19</v>
      </c>
      <c r="J9120" s="1" t="s">
        <v>67</v>
      </c>
      <c r="K9120" s="1" t="s">
        <v>24</v>
      </c>
      <c r="L9120" s="1">
        <v>1960580</v>
      </c>
      <c r="M9120" s="2">
        <v>42187</v>
      </c>
      <c r="N9120" s="1" t="s">
        <v>8</v>
      </c>
      <c r="O9120" s="1" t="s">
        <v>68</v>
      </c>
    </row>
    <row r="9121" spans="1:15" ht="43.2" x14ac:dyDescent="0.3">
      <c r="A9121" s="1" t="s">
        <v>4527</v>
      </c>
      <c r="B9121" s="1" t="str">
        <f>"DK Scaffolding Wales Ltd"</f>
        <v>DK Scaffolding Wales Ltd</v>
      </c>
      <c r="C9121" s="1" t="s">
        <v>4528</v>
      </c>
      <c r="F9121" s="1" t="s">
        <v>370</v>
      </c>
      <c r="H9121" s="1" t="s">
        <v>4529</v>
      </c>
      <c r="I9121" s="1" t="s">
        <v>19</v>
      </c>
      <c r="J9121" s="1" t="s">
        <v>67</v>
      </c>
      <c r="K9121" s="1" t="s">
        <v>14</v>
      </c>
      <c r="M9121" s="2">
        <v>42187</v>
      </c>
      <c r="N9121" s="1" t="s">
        <v>8</v>
      </c>
      <c r="O9121" s="1" t="s">
        <v>68</v>
      </c>
    </row>
    <row r="9122" spans="1:15" ht="43.2" x14ac:dyDescent="0.3">
      <c r="A9122" s="1" t="s">
        <v>5665</v>
      </c>
      <c r="B9122" s="1" t="str">
        <f>"Chalkhouse Interiors Ltd"</f>
        <v>Chalkhouse Interiors Ltd</v>
      </c>
      <c r="C9122" s="1" t="s">
        <v>5666</v>
      </c>
      <c r="F9122" s="1" t="s">
        <v>27</v>
      </c>
      <c r="H9122" s="1" t="s">
        <v>281</v>
      </c>
      <c r="I9122" s="1" t="s">
        <v>19</v>
      </c>
      <c r="J9122" s="1" t="s">
        <v>67</v>
      </c>
      <c r="K9122" s="1" t="s">
        <v>14</v>
      </c>
      <c r="M9122" s="2">
        <v>42187</v>
      </c>
      <c r="N9122" s="1" t="s">
        <v>8</v>
      </c>
      <c r="O9122" s="1" t="s">
        <v>68</v>
      </c>
    </row>
    <row r="9123" spans="1:15" ht="43.2" x14ac:dyDescent="0.3">
      <c r="A9123" s="1" t="s">
        <v>20311</v>
      </c>
      <c r="B9123" s="1" t="str">
        <f>"Grenville Holland"</f>
        <v>Grenville Holland</v>
      </c>
      <c r="C9123" s="1" t="s">
        <v>20312</v>
      </c>
      <c r="D9123" s="1" t="s">
        <v>20313</v>
      </c>
      <c r="F9123" s="1" t="s">
        <v>15670</v>
      </c>
      <c r="H9123" s="1" t="s">
        <v>7710</v>
      </c>
      <c r="I9123" s="1" t="s">
        <v>5</v>
      </c>
      <c r="J9123" s="1" t="s">
        <v>67</v>
      </c>
      <c r="K9123" s="1" t="s">
        <v>14</v>
      </c>
      <c r="M9123" s="2">
        <v>42187</v>
      </c>
      <c r="N9123" s="1" t="s">
        <v>8</v>
      </c>
      <c r="O9123" s="1" t="s">
        <v>68</v>
      </c>
    </row>
    <row r="9124" spans="1:15" ht="43.2" x14ac:dyDescent="0.3">
      <c r="A9124" s="1" t="s">
        <v>20314</v>
      </c>
      <c r="B9124" s="1" t="str">
        <f>"darran james"</f>
        <v>darran james</v>
      </c>
      <c r="C9124" s="1" t="s">
        <v>20315</v>
      </c>
      <c r="D9124" s="1" t="s">
        <v>20316</v>
      </c>
      <c r="F9124" s="1" t="s">
        <v>223</v>
      </c>
      <c r="H9124" s="1" t="s">
        <v>20317</v>
      </c>
      <c r="I9124" s="1" t="s">
        <v>5</v>
      </c>
      <c r="J9124" s="1" t="s">
        <v>67</v>
      </c>
      <c r="K9124" s="1" t="s">
        <v>14</v>
      </c>
      <c r="M9124" s="2">
        <v>42187</v>
      </c>
      <c r="N9124" s="1" t="s">
        <v>8</v>
      </c>
      <c r="O9124" s="1" t="s">
        <v>68</v>
      </c>
    </row>
    <row r="9125" spans="1:15" ht="28.8" x14ac:dyDescent="0.3">
      <c r="A9125" s="1" t="s">
        <v>31599</v>
      </c>
      <c r="B9125" s="1" t="str">
        <f>"Ceinwen Roberts Ceinwen Roberts"</f>
        <v>Ceinwen Roberts Ceinwen Roberts</v>
      </c>
      <c r="C9125" s="1" t="s">
        <v>31600</v>
      </c>
      <c r="F9125" s="1" t="s">
        <v>1169</v>
      </c>
      <c r="H9125" s="1" t="s">
        <v>22785</v>
      </c>
      <c r="I9125" s="1" t="s">
        <v>5</v>
      </c>
      <c r="J9125" s="1" t="s">
        <v>6</v>
      </c>
      <c r="K9125" s="1" t="s">
        <v>24</v>
      </c>
      <c r="M9125" s="2">
        <v>42187</v>
      </c>
      <c r="N9125" s="1" t="s">
        <v>8</v>
      </c>
      <c r="O9125" s="2">
        <v>44378</v>
      </c>
    </row>
    <row r="9126" spans="1:15" ht="28.8" x14ac:dyDescent="0.3">
      <c r="A9126" s="1" t="s">
        <v>32521</v>
      </c>
      <c r="B9126" s="1" t="str">
        <f>"Roger Jones"</f>
        <v>Roger Jones</v>
      </c>
      <c r="C9126" s="1" t="s">
        <v>32522</v>
      </c>
      <c r="F9126" s="1" t="s">
        <v>996</v>
      </c>
      <c r="H9126" s="1" t="s">
        <v>32523</v>
      </c>
      <c r="I9126" s="1" t="s">
        <v>5</v>
      </c>
      <c r="J9126" s="1" t="s">
        <v>6</v>
      </c>
      <c r="K9126" s="1" t="s">
        <v>34</v>
      </c>
      <c r="M9126" s="2">
        <v>42187</v>
      </c>
      <c r="N9126" s="1" t="s">
        <v>8</v>
      </c>
      <c r="O9126" s="2">
        <v>44378</v>
      </c>
    </row>
    <row r="9127" spans="1:15" ht="43.2" x14ac:dyDescent="0.3">
      <c r="A9127" s="1" t="s">
        <v>2145</v>
      </c>
      <c r="B9127" s="1" t="str">
        <f>"L. McGowan (Refrigeration Engineers)"</f>
        <v>L. McGowan (Refrigeration Engineers)</v>
      </c>
      <c r="C9127" s="1" t="s">
        <v>2146</v>
      </c>
      <c r="D9127" s="1" t="s">
        <v>2147</v>
      </c>
      <c r="F9127" s="1" t="s">
        <v>123</v>
      </c>
      <c r="H9127" s="1" t="s">
        <v>2148</v>
      </c>
      <c r="I9127" s="1" t="s">
        <v>125</v>
      </c>
      <c r="J9127" s="1" t="s">
        <v>6</v>
      </c>
      <c r="K9127" s="1" t="s">
        <v>24</v>
      </c>
      <c r="M9127" s="2">
        <v>42186</v>
      </c>
      <c r="N9127" s="1" t="s">
        <v>8</v>
      </c>
      <c r="O9127" s="2">
        <v>44377</v>
      </c>
    </row>
    <row r="9128" spans="1:15" ht="43.2" x14ac:dyDescent="0.3">
      <c r="A9128" s="1" t="s">
        <v>3413</v>
      </c>
      <c r="B9128" s="1" t="str">
        <f>"CASTLE LODGE B &amp; B"</f>
        <v>CASTLE LODGE B &amp; B</v>
      </c>
      <c r="C9128" s="1" t="s">
        <v>3414</v>
      </c>
      <c r="F9128" s="1" t="s">
        <v>3415</v>
      </c>
      <c r="H9128" s="1" t="s">
        <v>3416</v>
      </c>
      <c r="I9128" s="1" t="s">
        <v>125</v>
      </c>
      <c r="J9128" s="1" t="s">
        <v>67</v>
      </c>
      <c r="K9128" s="1" t="s">
        <v>14</v>
      </c>
      <c r="M9128" s="2">
        <v>42186</v>
      </c>
      <c r="N9128" s="1" t="s">
        <v>8</v>
      </c>
      <c r="O9128" s="1" t="s">
        <v>68</v>
      </c>
    </row>
    <row r="9129" spans="1:15" ht="43.2" x14ac:dyDescent="0.3">
      <c r="A9129" s="1" t="s">
        <v>18675</v>
      </c>
      <c r="B9129" s="1" t="str">
        <f>"Maxine Johns"</f>
        <v>Maxine Johns</v>
      </c>
      <c r="C9129" s="1" t="s">
        <v>18676</v>
      </c>
      <c r="F9129" s="1" t="s">
        <v>198</v>
      </c>
      <c r="H9129" s="1" t="s">
        <v>18677</v>
      </c>
      <c r="I9129" s="1" t="s">
        <v>5</v>
      </c>
      <c r="J9129" s="1" t="s">
        <v>67</v>
      </c>
      <c r="K9129" s="1" t="s">
        <v>14</v>
      </c>
      <c r="M9129" s="2">
        <v>42186</v>
      </c>
      <c r="N9129" s="1" t="s">
        <v>8</v>
      </c>
      <c r="O9129" s="1" t="s">
        <v>68</v>
      </c>
    </row>
    <row r="9130" spans="1:15" ht="43.2" x14ac:dyDescent="0.3">
      <c r="A9130" s="1" t="s">
        <v>19552</v>
      </c>
      <c r="B9130" s="1" t="str">
        <f>"mark gowing"</f>
        <v>mark gowing</v>
      </c>
      <c r="C9130" s="1" t="s">
        <v>19553</v>
      </c>
      <c r="F9130" s="1" t="s">
        <v>401</v>
      </c>
      <c r="H9130" s="1" t="s">
        <v>19554</v>
      </c>
      <c r="I9130" s="1" t="s">
        <v>5</v>
      </c>
      <c r="J9130" s="1" t="s">
        <v>67</v>
      </c>
      <c r="K9130" s="1" t="s">
        <v>14</v>
      </c>
      <c r="M9130" s="2">
        <v>42186</v>
      </c>
      <c r="N9130" s="1" t="s">
        <v>8</v>
      </c>
      <c r="O9130" s="1" t="s">
        <v>68</v>
      </c>
    </row>
    <row r="9131" spans="1:15" ht="43.2" x14ac:dyDescent="0.3">
      <c r="A9131" s="1" t="s">
        <v>19555</v>
      </c>
      <c r="B9131" s="1" t="str">
        <f>"DAVID KARL WILLIAMS"</f>
        <v>DAVID KARL WILLIAMS</v>
      </c>
      <c r="C9131" s="1" t="s">
        <v>19556</v>
      </c>
      <c r="D9131" s="1" t="s">
        <v>1336</v>
      </c>
      <c r="F9131" s="1" t="s">
        <v>1321</v>
      </c>
      <c r="H9131" s="1" t="s">
        <v>19557</v>
      </c>
      <c r="I9131" s="1" t="s">
        <v>5</v>
      </c>
      <c r="J9131" s="1" t="s">
        <v>67</v>
      </c>
      <c r="K9131" s="1" t="s">
        <v>14</v>
      </c>
      <c r="M9131" s="2">
        <v>42186</v>
      </c>
      <c r="N9131" s="1" t="s">
        <v>8</v>
      </c>
      <c r="O9131" s="1" t="s">
        <v>68</v>
      </c>
    </row>
    <row r="9132" spans="1:15" ht="43.2" x14ac:dyDescent="0.3">
      <c r="A9132" s="1" t="s">
        <v>19558</v>
      </c>
      <c r="B9132" s="1" t="str">
        <f>"Anthony Brown"</f>
        <v>Anthony Brown</v>
      </c>
      <c r="C9132" s="1" t="s">
        <v>19559</v>
      </c>
      <c r="F9132" s="1" t="s">
        <v>198</v>
      </c>
      <c r="H9132" s="1" t="s">
        <v>19560</v>
      </c>
      <c r="I9132" s="1" t="s">
        <v>5</v>
      </c>
      <c r="J9132" s="1" t="s">
        <v>67</v>
      </c>
      <c r="K9132" s="1" t="s">
        <v>24</v>
      </c>
      <c r="M9132" s="2">
        <v>42186</v>
      </c>
      <c r="N9132" s="1" t="s">
        <v>8</v>
      </c>
      <c r="O9132" s="1" t="s">
        <v>68</v>
      </c>
    </row>
    <row r="9133" spans="1:15" ht="28.8" x14ac:dyDescent="0.3">
      <c r="A9133" s="1" t="s">
        <v>2110</v>
      </c>
      <c r="B9133" s="1" t="str">
        <f>"Emlyn Brown E. Brown Building Contractor"</f>
        <v>Emlyn Brown E. Brown Building Contractor</v>
      </c>
      <c r="C9133" s="1" t="s">
        <v>2111</v>
      </c>
      <c r="D9133" s="1" t="s">
        <v>2112</v>
      </c>
      <c r="F9133" s="1" t="s">
        <v>487</v>
      </c>
      <c r="G9133" s="1" t="s">
        <v>141</v>
      </c>
      <c r="H9133" s="1" t="s">
        <v>2113</v>
      </c>
      <c r="I9133" s="1" t="s">
        <v>5</v>
      </c>
      <c r="J9133" s="1" t="s">
        <v>6</v>
      </c>
      <c r="K9133" s="1" t="s">
        <v>34</v>
      </c>
      <c r="M9133" s="2">
        <v>42185</v>
      </c>
      <c r="N9133" s="1" t="s">
        <v>8</v>
      </c>
      <c r="O9133" s="2">
        <v>44377</v>
      </c>
    </row>
    <row r="9134" spans="1:15" ht="28.8" x14ac:dyDescent="0.3">
      <c r="A9134" s="1" t="s">
        <v>2114</v>
      </c>
      <c r="B9134" s="1" t="str">
        <f>"Paul Maddern Paul Maddern"</f>
        <v>Paul Maddern Paul Maddern</v>
      </c>
      <c r="C9134" s="1" t="s">
        <v>2115</v>
      </c>
      <c r="D9134" s="1" t="s">
        <v>2116</v>
      </c>
      <c r="E9134" s="1" t="s">
        <v>2117</v>
      </c>
      <c r="F9134" s="1" t="s">
        <v>179</v>
      </c>
      <c r="G9134" s="1" t="s">
        <v>180</v>
      </c>
      <c r="H9134" s="1" t="s">
        <v>2118</v>
      </c>
      <c r="I9134" s="1" t="s">
        <v>5</v>
      </c>
      <c r="J9134" s="1" t="s">
        <v>6</v>
      </c>
      <c r="K9134" s="1" t="s">
        <v>24</v>
      </c>
      <c r="M9134" s="2">
        <v>42185</v>
      </c>
      <c r="N9134" s="1" t="s">
        <v>8</v>
      </c>
      <c r="O9134" s="2">
        <v>44377</v>
      </c>
    </row>
    <row r="9135" spans="1:15" ht="43.2" x14ac:dyDescent="0.3">
      <c r="A9135" s="1" t="s">
        <v>2198</v>
      </c>
      <c r="B9135" s="1" t="str">
        <f>"John Walker John Walker Building &amp; Carpentry"</f>
        <v>John Walker John Walker Building &amp; Carpentry</v>
      </c>
      <c r="C9135" s="1" t="s">
        <v>2199</v>
      </c>
      <c r="F9135" s="1" t="s">
        <v>2200</v>
      </c>
      <c r="H9135" s="1" t="s">
        <v>2201</v>
      </c>
      <c r="I9135" s="1" t="s">
        <v>5</v>
      </c>
      <c r="J9135" s="1" t="s">
        <v>6</v>
      </c>
      <c r="K9135" s="1" t="s">
        <v>24</v>
      </c>
      <c r="M9135" s="2">
        <v>42185</v>
      </c>
      <c r="N9135" s="1" t="s">
        <v>8</v>
      </c>
      <c r="O9135" s="2">
        <v>44376</v>
      </c>
    </row>
    <row r="9136" spans="1:15" x14ac:dyDescent="0.3">
      <c r="A9136" s="1" t="s">
        <v>31492</v>
      </c>
      <c r="B9136" s="1" t="str">
        <f>"G E &amp; R HELLEN LTD"</f>
        <v>G E &amp; R HELLEN LTD</v>
      </c>
      <c r="C9136" s="1" t="s">
        <v>31493</v>
      </c>
      <c r="D9136" s="1" t="s">
        <v>17952</v>
      </c>
      <c r="F9136" s="1" t="s">
        <v>4645</v>
      </c>
      <c r="H9136" s="1" t="s">
        <v>31494</v>
      </c>
      <c r="I9136" s="1" t="s">
        <v>19</v>
      </c>
      <c r="J9136" s="1" t="s">
        <v>6</v>
      </c>
      <c r="K9136" s="1" t="s">
        <v>24</v>
      </c>
      <c r="L9136" s="1">
        <v>5085796</v>
      </c>
      <c r="M9136" s="2">
        <v>42185</v>
      </c>
      <c r="N9136" s="1" t="s">
        <v>8</v>
      </c>
      <c r="O9136" s="2">
        <v>44376</v>
      </c>
    </row>
    <row r="9137" spans="1:15" ht="43.2" x14ac:dyDescent="0.3">
      <c r="A9137" s="1" t="s">
        <v>3406</v>
      </c>
      <c r="B9137" s="1" t="str">
        <f>"Julian House"</f>
        <v>Julian House</v>
      </c>
      <c r="C9137" s="1" t="s">
        <v>3407</v>
      </c>
      <c r="F9137" s="1" t="s">
        <v>3408</v>
      </c>
      <c r="H9137" s="1" t="s">
        <v>3409</v>
      </c>
      <c r="I9137" s="1" t="s">
        <v>1872</v>
      </c>
      <c r="J9137" s="1" t="s">
        <v>67</v>
      </c>
      <c r="K9137" s="1" t="s">
        <v>14</v>
      </c>
      <c r="M9137" s="2">
        <v>42184</v>
      </c>
      <c r="N9137" s="1" t="s">
        <v>8</v>
      </c>
      <c r="O9137" s="1" t="s">
        <v>68</v>
      </c>
    </row>
    <row r="9138" spans="1:15" ht="43.2" x14ac:dyDescent="0.3">
      <c r="A9138" s="1" t="s">
        <v>3410</v>
      </c>
      <c r="B9138" s="1" t="str">
        <f>"DB THERMAL INSULATION Ltd"</f>
        <v>DB THERMAL INSULATION Ltd</v>
      </c>
      <c r="C9138" s="1" t="s">
        <v>3411</v>
      </c>
      <c r="D9138" s="1" t="s">
        <v>1594</v>
      </c>
      <c r="F9138" s="1" t="s">
        <v>198</v>
      </c>
      <c r="H9138" s="1" t="s">
        <v>3412</v>
      </c>
      <c r="I9138" s="1" t="s">
        <v>19</v>
      </c>
      <c r="J9138" s="1" t="s">
        <v>67</v>
      </c>
      <c r="K9138" s="1" t="s">
        <v>14</v>
      </c>
      <c r="M9138" s="2">
        <v>42184</v>
      </c>
      <c r="N9138" s="1" t="s">
        <v>8</v>
      </c>
      <c r="O9138" s="1" t="s">
        <v>68</v>
      </c>
    </row>
    <row r="9139" spans="1:15" ht="43.2" x14ac:dyDescent="0.3">
      <c r="A9139" s="1" t="s">
        <v>18130</v>
      </c>
      <c r="B9139" s="1" t="str">
        <f>"Flintshire County Council"</f>
        <v>Flintshire County Council</v>
      </c>
      <c r="C9139" s="1" t="s">
        <v>18131</v>
      </c>
      <c r="F9139" s="1" t="s">
        <v>4507</v>
      </c>
      <c r="H9139" s="1" t="s">
        <v>18132</v>
      </c>
      <c r="I9139" s="1" t="s">
        <v>1872</v>
      </c>
      <c r="J9139" s="1" t="s">
        <v>67</v>
      </c>
      <c r="K9139" s="1" t="s">
        <v>14</v>
      </c>
      <c r="M9139" s="2">
        <v>42184</v>
      </c>
      <c r="N9139" s="1" t="s">
        <v>8</v>
      </c>
      <c r="O9139" s="1" t="s">
        <v>68</v>
      </c>
    </row>
    <row r="9140" spans="1:15" ht="43.2" x14ac:dyDescent="0.3">
      <c r="A9140" s="1" t="s">
        <v>29786</v>
      </c>
      <c r="B9140" s="1" t="str">
        <f>"david PINNELL"</f>
        <v>david PINNELL</v>
      </c>
      <c r="C9140" s="1" t="s">
        <v>29787</v>
      </c>
      <c r="F9140" s="1" t="s">
        <v>91</v>
      </c>
      <c r="H9140" s="1" t="s">
        <v>29788</v>
      </c>
      <c r="I9140" s="1" t="s">
        <v>5</v>
      </c>
      <c r="J9140" s="1" t="s">
        <v>67</v>
      </c>
      <c r="K9140" s="1" t="s">
        <v>14</v>
      </c>
      <c r="M9140" s="2">
        <v>42183</v>
      </c>
      <c r="N9140" s="1" t="s">
        <v>8</v>
      </c>
      <c r="O9140" s="1" t="s">
        <v>68</v>
      </c>
    </row>
    <row r="9141" spans="1:15" ht="43.2" x14ac:dyDescent="0.3">
      <c r="A9141" s="1" t="s">
        <v>29789</v>
      </c>
      <c r="B9141" s="1" t="str">
        <f>"Andrew Thomas"</f>
        <v>Andrew Thomas</v>
      </c>
      <c r="C9141" s="1" t="s">
        <v>29790</v>
      </c>
      <c r="F9141" s="1" t="s">
        <v>174</v>
      </c>
      <c r="H9141" s="1" t="s">
        <v>29791</v>
      </c>
      <c r="I9141" s="1" t="s">
        <v>5</v>
      </c>
      <c r="J9141" s="1" t="s">
        <v>67</v>
      </c>
      <c r="K9141" s="1" t="s">
        <v>14</v>
      </c>
      <c r="M9141" s="2">
        <v>42183</v>
      </c>
      <c r="N9141" s="1" t="s">
        <v>8</v>
      </c>
      <c r="O9141" s="1" t="s">
        <v>68</v>
      </c>
    </row>
    <row r="9142" spans="1:15" ht="43.2" x14ac:dyDescent="0.3">
      <c r="A9142" s="1" t="s">
        <v>18124</v>
      </c>
      <c r="B9142" s="1" t="str">
        <f>"Selby and District DIAL"</f>
        <v>Selby and District DIAL</v>
      </c>
      <c r="C9142" s="1" t="s">
        <v>18125</v>
      </c>
      <c r="F9142" s="1" t="s">
        <v>10134</v>
      </c>
      <c r="H9142" s="1" t="s">
        <v>18126</v>
      </c>
      <c r="I9142" s="1" t="s">
        <v>1872</v>
      </c>
      <c r="J9142" s="1" t="s">
        <v>67</v>
      </c>
      <c r="K9142" s="1" t="s">
        <v>14</v>
      </c>
      <c r="M9142" s="2">
        <v>42181</v>
      </c>
      <c r="N9142" s="1" t="s">
        <v>8</v>
      </c>
      <c r="O9142" s="1" t="s">
        <v>68</v>
      </c>
    </row>
    <row r="9143" spans="1:15" ht="43.2" x14ac:dyDescent="0.3">
      <c r="A9143" s="1" t="s">
        <v>18127</v>
      </c>
      <c r="B9143" s="1" t="str">
        <f>"Aerial Arborist Ltd"</f>
        <v>Aerial Arborist Ltd</v>
      </c>
      <c r="C9143" s="1" t="s">
        <v>18128</v>
      </c>
      <c r="F9143" s="1" t="s">
        <v>1169</v>
      </c>
      <c r="H9143" s="1" t="s">
        <v>18129</v>
      </c>
      <c r="I9143" s="1" t="s">
        <v>19</v>
      </c>
      <c r="J9143" s="1" t="s">
        <v>67</v>
      </c>
      <c r="K9143" s="1" t="s">
        <v>14</v>
      </c>
      <c r="M9143" s="2">
        <v>42181</v>
      </c>
      <c r="N9143" s="1" t="s">
        <v>8</v>
      </c>
      <c r="O9143" s="1" t="s">
        <v>68</v>
      </c>
    </row>
    <row r="9144" spans="1:15" ht="43.2" x14ac:dyDescent="0.3">
      <c r="A9144" s="1" t="s">
        <v>29783</v>
      </c>
      <c r="B9144" s="1" t="str">
        <f>"clifford howells"</f>
        <v>clifford howells</v>
      </c>
      <c r="C9144" s="1" t="s">
        <v>29784</v>
      </c>
      <c r="F9144" s="1" t="s">
        <v>1180</v>
      </c>
      <c r="H9144" s="1" t="s">
        <v>29785</v>
      </c>
      <c r="I9144" s="1" t="s">
        <v>5</v>
      </c>
      <c r="J9144" s="1" t="s">
        <v>67</v>
      </c>
      <c r="K9144" s="1" t="s">
        <v>14</v>
      </c>
      <c r="M9144" s="2">
        <v>42181</v>
      </c>
      <c r="N9144" s="1" t="s">
        <v>8</v>
      </c>
      <c r="O9144" s="1" t="s">
        <v>68</v>
      </c>
    </row>
    <row r="9145" spans="1:15" ht="28.8" x14ac:dyDescent="0.3">
      <c r="A9145" s="1" t="s">
        <v>31431</v>
      </c>
      <c r="B9145" s="1" t="str">
        <f>"Dyer - Headlam Partnership LLP"</f>
        <v>Dyer - Headlam Partnership LLP</v>
      </c>
      <c r="C9145" s="1" t="s">
        <v>31432</v>
      </c>
      <c r="F9145" s="1" t="s">
        <v>9838</v>
      </c>
      <c r="H9145" s="1" t="s">
        <v>31433</v>
      </c>
      <c r="I9145" s="1" t="s">
        <v>125</v>
      </c>
      <c r="J9145" s="1" t="s">
        <v>6</v>
      </c>
      <c r="K9145" s="1" t="s">
        <v>24</v>
      </c>
      <c r="M9145" s="2">
        <v>42181</v>
      </c>
      <c r="N9145" s="1" t="s">
        <v>8</v>
      </c>
      <c r="O9145" s="2">
        <v>44372</v>
      </c>
    </row>
    <row r="9146" spans="1:15" ht="57.6" x14ac:dyDescent="0.3">
      <c r="A9146" s="1" t="s">
        <v>2101</v>
      </c>
      <c r="B9146" s="1" t="str">
        <f>"THE WALES COMMUNITY REHABILITATION COMPANY LIMITED"</f>
        <v>THE WALES COMMUNITY REHABILITATION COMPANY LIMITED</v>
      </c>
      <c r="C9146" s="1" t="s">
        <v>2102</v>
      </c>
      <c r="D9146" s="1" t="s">
        <v>2103</v>
      </c>
      <c r="E9146" s="1" t="s">
        <v>2104</v>
      </c>
      <c r="F9146" s="1" t="s">
        <v>1321</v>
      </c>
      <c r="G9146" s="1" t="s">
        <v>3</v>
      </c>
      <c r="H9146" s="1" t="s">
        <v>2105</v>
      </c>
      <c r="I9146" s="1" t="s">
        <v>19</v>
      </c>
      <c r="J9146" s="1" t="s">
        <v>6</v>
      </c>
      <c r="K9146" s="1" t="s">
        <v>34</v>
      </c>
      <c r="L9146" s="1">
        <v>8802571</v>
      </c>
      <c r="M9146" s="2">
        <v>42180</v>
      </c>
      <c r="N9146" s="1" t="s">
        <v>8</v>
      </c>
      <c r="O9146" s="2">
        <v>44372</v>
      </c>
    </row>
    <row r="9147" spans="1:15" ht="43.2" x14ac:dyDescent="0.3">
      <c r="A9147" s="1" t="s">
        <v>17109</v>
      </c>
      <c r="B9147" s="1" t="str">
        <f>"Solarplants Ltd"</f>
        <v>Solarplants Ltd</v>
      </c>
      <c r="C9147" s="1" t="s">
        <v>17110</v>
      </c>
      <c r="D9147" s="1" t="s">
        <v>2627</v>
      </c>
      <c r="E9147" s="1" t="s">
        <v>1350</v>
      </c>
      <c r="F9147" s="1" t="s">
        <v>1351</v>
      </c>
      <c r="H9147" s="1" t="s">
        <v>2628</v>
      </c>
      <c r="I9147" s="1" t="s">
        <v>19</v>
      </c>
      <c r="J9147" s="1" t="s">
        <v>67</v>
      </c>
      <c r="K9147" s="1" t="s">
        <v>14</v>
      </c>
      <c r="M9147" s="2">
        <v>42180</v>
      </c>
      <c r="N9147" s="1" t="s">
        <v>8</v>
      </c>
      <c r="O9147" s="1" t="s">
        <v>68</v>
      </c>
    </row>
    <row r="9148" spans="1:15" ht="43.2" x14ac:dyDescent="0.3">
      <c r="A9148" s="1" t="s">
        <v>18117</v>
      </c>
      <c r="B9148" s="1" t="str">
        <f>"Fabian's Kitchen"</f>
        <v>Fabian's Kitchen</v>
      </c>
      <c r="C9148" s="1" t="s">
        <v>18118</v>
      </c>
      <c r="F9148" s="1" t="s">
        <v>146</v>
      </c>
      <c r="H9148" s="1" t="s">
        <v>17062</v>
      </c>
      <c r="I9148" s="1" t="s">
        <v>125</v>
      </c>
      <c r="J9148" s="1" t="s">
        <v>67</v>
      </c>
      <c r="K9148" s="1" t="s">
        <v>14</v>
      </c>
      <c r="M9148" s="2">
        <v>42180</v>
      </c>
      <c r="N9148" s="1" t="s">
        <v>8</v>
      </c>
      <c r="O9148" s="1" t="s">
        <v>68</v>
      </c>
    </row>
    <row r="9149" spans="1:15" ht="43.2" x14ac:dyDescent="0.3">
      <c r="A9149" s="1" t="s">
        <v>18119</v>
      </c>
      <c r="B9149" s="1" t="str">
        <f>"Cross Keys "</f>
        <v xml:space="preserve">Cross Keys </v>
      </c>
      <c r="C9149" s="1" t="s">
        <v>18120</v>
      </c>
      <c r="F9149" s="1" t="s">
        <v>3242</v>
      </c>
      <c r="H9149" s="1" t="s">
        <v>18121</v>
      </c>
      <c r="I9149" s="1" t="s">
        <v>125</v>
      </c>
      <c r="J9149" s="1" t="s">
        <v>67</v>
      </c>
      <c r="K9149" s="1" t="s">
        <v>14</v>
      </c>
      <c r="M9149" s="2">
        <v>42180</v>
      </c>
      <c r="N9149" s="1" t="s">
        <v>8</v>
      </c>
      <c r="O9149" s="1" t="s">
        <v>68</v>
      </c>
    </row>
    <row r="9150" spans="1:15" ht="43.2" x14ac:dyDescent="0.3">
      <c r="A9150" s="1" t="s">
        <v>18122</v>
      </c>
      <c r="B9150" s="1" t="str">
        <f>"Colin Robinson Printers Ltd"</f>
        <v>Colin Robinson Printers Ltd</v>
      </c>
      <c r="C9150" s="1" t="s">
        <v>18123</v>
      </c>
      <c r="D9150" s="1" t="s">
        <v>4857</v>
      </c>
      <c r="E9150" s="1" t="s">
        <v>1842</v>
      </c>
      <c r="F9150" s="1" t="s">
        <v>103</v>
      </c>
      <c r="H9150" s="1" t="s">
        <v>7617</v>
      </c>
      <c r="I9150" s="1" t="s">
        <v>19</v>
      </c>
      <c r="J9150" s="1" t="s">
        <v>67</v>
      </c>
      <c r="K9150" s="1" t="s">
        <v>14</v>
      </c>
      <c r="M9150" s="2">
        <v>42180</v>
      </c>
      <c r="N9150" s="1" t="s">
        <v>8</v>
      </c>
      <c r="O9150" s="1" t="s">
        <v>68</v>
      </c>
    </row>
    <row r="9151" spans="1:15" ht="28.8" x14ac:dyDescent="0.3">
      <c r="A9151" s="1" t="s">
        <v>2038</v>
      </c>
      <c r="B9151" s="1" t="str">
        <f>"City Hire Gorseinon Ltd."</f>
        <v>City Hire Gorseinon Ltd.</v>
      </c>
      <c r="C9151" s="1" t="s">
        <v>2039</v>
      </c>
      <c r="D9151" s="1" t="s">
        <v>2040</v>
      </c>
      <c r="E9151" s="1" t="s">
        <v>2041</v>
      </c>
      <c r="F9151" s="1" t="s">
        <v>64</v>
      </c>
      <c r="G9151" s="1" t="s">
        <v>65</v>
      </c>
      <c r="H9151" s="1" t="s">
        <v>2042</v>
      </c>
      <c r="I9151" s="1" t="s">
        <v>19</v>
      </c>
      <c r="J9151" s="1" t="s">
        <v>6</v>
      </c>
      <c r="K9151" s="1" t="s">
        <v>24</v>
      </c>
      <c r="L9151" s="1">
        <v>5769539</v>
      </c>
      <c r="M9151" s="2">
        <v>42179</v>
      </c>
      <c r="N9151" s="1" t="s">
        <v>8</v>
      </c>
      <c r="O9151" s="2">
        <v>44371</v>
      </c>
    </row>
    <row r="9152" spans="1:15" ht="43.2" x14ac:dyDescent="0.3">
      <c r="A9152" s="1" t="s">
        <v>17106</v>
      </c>
      <c r="B9152" s="1" t="str">
        <f>"Flintshire County Council"</f>
        <v>Flintshire County Council</v>
      </c>
      <c r="C9152" s="1" t="s">
        <v>17107</v>
      </c>
      <c r="F9152" s="1" t="s">
        <v>2950</v>
      </c>
      <c r="H9152" s="1" t="s">
        <v>17108</v>
      </c>
      <c r="I9152" s="1" t="s">
        <v>188</v>
      </c>
      <c r="J9152" s="1" t="s">
        <v>67</v>
      </c>
      <c r="K9152" s="1" t="s">
        <v>14</v>
      </c>
      <c r="M9152" s="2">
        <v>42179</v>
      </c>
      <c r="N9152" s="1" t="s">
        <v>8</v>
      </c>
      <c r="O9152" s="1" t="s">
        <v>68</v>
      </c>
    </row>
    <row r="9153" spans="1:15" ht="43.2" x14ac:dyDescent="0.3">
      <c r="A9153" s="1" t="s">
        <v>28280</v>
      </c>
      <c r="B9153" s="1" t="str">
        <f>"Robin  Gibson-Watt"</f>
        <v>Robin  Gibson-Watt</v>
      </c>
      <c r="C9153" s="1" t="s">
        <v>28281</v>
      </c>
      <c r="F9153" s="1" t="s">
        <v>146</v>
      </c>
      <c r="H9153" s="1" t="s">
        <v>28282</v>
      </c>
      <c r="I9153" s="1" t="s">
        <v>5</v>
      </c>
      <c r="J9153" s="1" t="s">
        <v>67</v>
      </c>
      <c r="K9153" s="1" t="s">
        <v>14</v>
      </c>
      <c r="M9153" s="2">
        <v>42179</v>
      </c>
      <c r="N9153" s="1" t="s">
        <v>8</v>
      </c>
      <c r="O9153" s="1" t="s">
        <v>68</v>
      </c>
    </row>
    <row r="9154" spans="1:15" ht="43.2" x14ac:dyDescent="0.3">
      <c r="A9154" s="1" t="s">
        <v>29046</v>
      </c>
      <c r="B9154" s="1" t="str">
        <f>"richard cook"</f>
        <v>richard cook</v>
      </c>
      <c r="C9154" s="1" t="s">
        <v>29047</v>
      </c>
      <c r="F9154" s="1" t="s">
        <v>1818</v>
      </c>
      <c r="H9154" s="1" t="s">
        <v>15157</v>
      </c>
      <c r="I9154" s="1" t="s">
        <v>5</v>
      </c>
      <c r="J9154" s="1" t="s">
        <v>67</v>
      </c>
      <c r="K9154" s="1" t="s">
        <v>14</v>
      </c>
      <c r="M9154" s="2">
        <v>42179</v>
      </c>
      <c r="N9154" s="1" t="s">
        <v>8</v>
      </c>
      <c r="O9154" s="1" t="s">
        <v>68</v>
      </c>
    </row>
    <row r="9155" spans="1:15" ht="28.8" x14ac:dyDescent="0.3">
      <c r="A9155" s="1" t="s">
        <v>2043</v>
      </c>
      <c r="B9155" s="1" t="str">
        <f>"Envirosavers Ltd."</f>
        <v>Envirosavers Ltd.</v>
      </c>
      <c r="C9155" s="1" t="s">
        <v>2044</v>
      </c>
      <c r="D9155" s="1" t="s">
        <v>2045</v>
      </c>
      <c r="E9155" s="1" t="s">
        <v>2046</v>
      </c>
      <c r="F9155" s="1" t="s">
        <v>156</v>
      </c>
      <c r="G9155" s="1" t="s">
        <v>156</v>
      </c>
      <c r="H9155" s="1" t="s">
        <v>2047</v>
      </c>
      <c r="I9155" s="1" t="s">
        <v>19</v>
      </c>
      <c r="J9155" s="1" t="s">
        <v>6</v>
      </c>
      <c r="K9155" s="1" t="s">
        <v>34</v>
      </c>
      <c r="L9155" s="1">
        <v>4647691</v>
      </c>
      <c r="M9155" s="2">
        <v>42178</v>
      </c>
      <c r="N9155" s="1" t="s">
        <v>8</v>
      </c>
      <c r="O9155" s="2">
        <v>44370</v>
      </c>
    </row>
    <row r="9156" spans="1:15" ht="43.2" x14ac:dyDescent="0.3">
      <c r="A9156" s="1" t="s">
        <v>15154</v>
      </c>
      <c r="B9156" s="1" t="str">
        <f>"organic textile company"</f>
        <v>organic textile company</v>
      </c>
      <c r="C9156" s="1" t="s">
        <v>15155</v>
      </c>
      <c r="F9156" s="1" t="s">
        <v>15156</v>
      </c>
      <c r="H9156" s="1" t="s">
        <v>15157</v>
      </c>
      <c r="I9156" s="1" t="s">
        <v>125</v>
      </c>
      <c r="J9156" s="1" t="s">
        <v>67</v>
      </c>
      <c r="K9156" s="1" t="s">
        <v>14</v>
      </c>
      <c r="M9156" s="2">
        <v>42178</v>
      </c>
      <c r="N9156" s="1" t="s">
        <v>8</v>
      </c>
      <c r="O9156" s="1" t="s">
        <v>68</v>
      </c>
    </row>
    <row r="9157" spans="1:15" ht="43.2" x14ac:dyDescent="0.3">
      <c r="A9157" s="1" t="s">
        <v>15158</v>
      </c>
      <c r="B9157" s="1" t="str">
        <f>"The Caravan Centre"</f>
        <v>The Caravan Centre</v>
      </c>
      <c r="C9157" s="1" t="s">
        <v>15159</v>
      </c>
      <c r="D9157" s="1" t="s">
        <v>5491</v>
      </c>
      <c r="F9157" s="1" t="s">
        <v>381</v>
      </c>
      <c r="H9157" s="1" t="s">
        <v>2995</v>
      </c>
      <c r="I9157" s="1" t="s">
        <v>125</v>
      </c>
      <c r="J9157" s="1" t="s">
        <v>67</v>
      </c>
      <c r="K9157" s="1" t="s">
        <v>24</v>
      </c>
      <c r="M9157" s="2">
        <v>42178</v>
      </c>
      <c r="N9157" s="1" t="s">
        <v>8</v>
      </c>
      <c r="O9157" s="1" t="s">
        <v>68</v>
      </c>
    </row>
    <row r="9158" spans="1:15" ht="43.2" x14ac:dyDescent="0.3">
      <c r="A9158" s="1" t="s">
        <v>27485</v>
      </c>
      <c r="B9158" s="1" t="str">
        <f>"Kate  Ryder"</f>
        <v>Kate  Ryder</v>
      </c>
      <c r="C9158" s="1" t="s">
        <v>27486</v>
      </c>
      <c r="F9158" s="1" t="s">
        <v>1818</v>
      </c>
      <c r="H9158" s="1" t="s">
        <v>12080</v>
      </c>
      <c r="I9158" s="1" t="s">
        <v>5</v>
      </c>
      <c r="J9158" s="1" t="s">
        <v>67</v>
      </c>
      <c r="K9158" s="1" t="s">
        <v>14</v>
      </c>
      <c r="M9158" s="2">
        <v>42178</v>
      </c>
      <c r="N9158" s="1" t="s">
        <v>8</v>
      </c>
      <c r="O9158" s="1" t="s">
        <v>68</v>
      </c>
    </row>
    <row r="9159" spans="1:15" ht="43.2" x14ac:dyDescent="0.3">
      <c r="A9159" s="1" t="s">
        <v>28274</v>
      </c>
      <c r="B9159" s="1" t="str">
        <f>"Steve Stanley"</f>
        <v>Steve Stanley</v>
      </c>
      <c r="C9159" s="1" t="s">
        <v>28275</v>
      </c>
      <c r="F9159" s="1" t="s">
        <v>4587</v>
      </c>
      <c r="H9159" s="1" t="s">
        <v>28276</v>
      </c>
      <c r="I9159" s="1" t="s">
        <v>5</v>
      </c>
      <c r="J9159" s="1" t="s">
        <v>67</v>
      </c>
      <c r="K9159" s="1" t="s">
        <v>14</v>
      </c>
      <c r="M9159" s="2">
        <v>42178</v>
      </c>
      <c r="N9159" s="1" t="s">
        <v>8</v>
      </c>
      <c r="O9159" s="1" t="s">
        <v>68</v>
      </c>
    </row>
    <row r="9160" spans="1:15" ht="43.2" x14ac:dyDescent="0.3">
      <c r="A9160" s="1" t="s">
        <v>28277</v>
      </c>
      <c r="B9160" s="1" t="str">
        <f>"Rob Haines"</f>
        <v>Rob Haines</v>
      </c>
      <c r="C9160" s="1" t="s">
        <v>28278</v>
      </c>
      <c r="D9160" s="1" t="s">
        <v>8454</v>
      </c>
      <c r="F9160" s="1" t="s">
        <v>865</v>
      </c>
      <c r="H9160" s="1" t="s">
        <v>28279</v>
      </c>
      <c r="I9160" s="1" t="s">
        <v>5</v>
      </c>
      <c r="J9160" s="1" t="s">
        <v>67</v>
      </c>
      <c r="K9160" s="1" t="s">
        <v>14</v>
      </c>
      <c r="M9160" s="2">
        <v>42178</v>
      </c>
      <c r="N9160" s="1" t="s">
        <v>8</v>
      </c>
      <c r="O9160" s="1" t="s">
        <v>68</v>
      </c>
    </row>
    <row r="9161" spans="1:15" x14ac:dyDescent="0.3">
      <c r="A9161" s="1" t="s">
        <v>9</v>
      </c>
      <c r="B9161" s="1" t="str">
        <f>"Fenella Williams"</f>
        <v>Fenella Williams</v>
      </c>
      <c r="C9161" s="1" t="s">
        <v>10</v>
      </c>
      <c r="D9161" s="1" t="s">
        <v>11</v>
      </c>
      <c r="F9161" s="1" t="s">
        <v>12</v>
      </c>
      <c r="H9161" s="1" t="s">
        <v>13</v>
      </c>
      <c r="I9161" s="1" t="s">
        <v>5</v>
      </c>
      <c r="J9161" s="1" t="s">
        <v>6</v>
      </c>
      <c r="K9161" s="1" t="s">
        <v>14</v>
      </c>
      <c r="M9161" s="2">
        <v>42177</v>
      </c>
      <c r="N9161" s="1" t="s">
        <v>8</v>
      </c>
      <c r="O9161" s="2">
        <v>44369</v>
      </c>
    </row>
    <row r="9162" spans="1:15" ht="28.8" x14ac:dyDescent="0.3">
      <c r="A9162" s="1" t="s">
        <v>2048</v>
      </c>
      <c r="B9162" s="1" t="str">
        <f>"ASAP SIGN SERVICES"</f>
        <v>ASAP SIGN SERVICES</v>
      </c>
      <c r="C9162" s="1" t="s">
        <v>2049</v>
      </c>
      <c r="D9162" s="1" t="s">
        <v>2050</v>
      </c>
      <c r="F9162" s="1" t="s">
        <v>532</v>
      </c>
      <c r="G9162" s="1" t="s">
        <v>198</v>
      </c>
      <c r="H9162" s="1" t="s">
        <v>2051</v>
      </c>
      <c r="I9162" s="1" t="s">
        <v>125</v>
      </c>
      <c r="J9162" s="1" t="s">
        <v>6</v>
      </c>
      <c r="K9162" s="1" t="s">
        <v>34</v>
      </c>
      <c r="M9162" s="2">
        <v>42177</v>
      </c>
      <c r="N9162" s="1" t="s">
        <v>8</v>
      </c>
      <c r="O9162" s="2">
        <v>44368</v>
      </c>
    </row>
    <row r="9163" spans="1:15" ht="43.2" x14ac:dyDescent="0.3">
      <c r="A9163" s="1" t="s">
        <v>14247</v>
      </c>
      <c r="B9163" s="1" t="str">
        <f>"Forres tree services ltd"</f>
        <v>Forres tree services ltd</v>
      </c>
      <c r="C9163" s="1" t="s">
        <v>14248</v>
      </c>
      <c r="F9163" s="1" t="s">
        <v>27</v>
      </c>
      <c r="H9163" s="1" t="s">
        <v>8951</v>
      </c>
      <c r="I9163" s="1" t="s">
        <v>19</v>
      </c>
      <c r="J9163" s="1" t="s">
        <v>67</v>
      </c>
      <c r="K9163" s="1" t="s">
        <v>14</v>
      </c>
      <c r="M9163" s="2">
        <v>42177</v>
      </c>
      <c r="N9163" s="1" t="s">
        <v>8</v>
      </c>
      <c r="O9163" s="1" t="s">
        <v>68</v>
      </c>
    </row>
    <row r="9164" spans="1:15" ht="43.2" x14ac:dyDescent="0.3">
      <c r="A9164" s="1" t="s">
        <v>14249</v>
      </c>
      <c r="B9164" s="1" t="str">
        <f>"Dan-y-Castell Holiday Cottage"</f>
        <v>Dan-y-Castell Holiday Cottage</v>
      </c>
      <c r="C9164" s="1" t="s">
        <v>14250</v>
      </c>
      <c r="F9164" s="1" t="s">
        <v>4536</v>
      </c>
      <c r="H9164" s="1" t="s">
        <v>14251</v>
      </c>
      <c r="I9164" s="1" t="s">
        <v>125</v>
      </c>
      <c r="J9164" s="1" t="s">
        <v>67</v>
      </c>
      <c r="K9164" s="1" t="s">
        <v>14</v>
      </c>
      <c r="M9164" s="2">
        <v>42177</v>
      </c>
      <c r="N9164" s="1" t="s">
        <v>8</v>
      </c>
      <c r="O9164" s="1" t="s">
        <v>68</v>
      </c>
    </row>
    <row r="9165" spans="1:15" ht="43.2" x14ac:dyDescent="0.3">
      <c r="A9165" s="1" t="s">
        <v>15145</v>
      </c>
      <c r="B9165" s="1" t="str">
        <f>"TECWELD LIMITED"</f>
        <v>TECWELD LIMITED</v>
      </c>
      <c r="C9165" s="1" t="s">
        <v>15146</v>
      </c>
      <c r="F9165" s="1" t="s">
        <v>8319</v>
      </c>
      <c r="H9165" s="1" t="s">
        <v>15147</v>
      </c>
      <c r="I9165" s="1" t="s">
        <v>19</v>
      </c>
      <c r="J9165" s="1" t="s">
        <v>67</v>
      </c>
      <c r="K9165" s="1" t="s">
        <v>14</v>
      </c>
      <c r="M9165" s="2">
        <v>42177</v>
      </c>
      <c r="N9165" s="1" t="s">
        <v>8</v>
      </c>
      <c r="O9165" s="1" t="s">
        <v>68</v>
      </c>
    </row>
    <row r="9166" spans="1:15" ht="43.2" x14ac:dyDescent="0.3">
      <c r="A9166" s="1" t="s">
        <v>15148</v>
      </c>
      <c r="B9166" s="1" t="str">
        <f>"Total Cooling Services"</f>
        <v>Total Cooling Services</v>
      </c>
      <c r="C9166" s="1" t="s">
        <v>15149</v>
      </c>
      <c r="F9166" s="1" t="s">
        <v>27</v>
      </c>
      <c r="H9166" s="1" t="s">
        <v>15150</v>
      </c>
      <c r="I9166" s="1" t="s">
        <v>19</v>
      </c>
      <c r="J9166" s="1" t="s">
        <v>67</v>
      </c>
      <c r="K9166" s="1" t="s">
        <v>14</v>
      </c>
      <c r="M9166" s="2">
        <v>42177</v>
      </c>
      <c r="N9166" s="1" t="s">
        <v>8</v>
      </c>
      <c r="O9166" s="1" t="s">
        <v>68</v>
      </c>
    </row>
    <row r="9167" spans="1:15" ht="43.2" x14ac:dyDescent="0.3">
      <c r="A9167" s="1" t="s">
        <v>15151</v>
      </c>
      <c r="B9167" s="1" t="str">
        <f>"McCartneys LLP"</f>
        <v>McCartneys LLP</v>
      </c>
      <c r="C9167" s="1" t="s">
        <v>15152</v>
      </c>
      <c r="F9167" s="1" t="s">
        <v>5683</v>
      </c>
      <c r="H9167" s="1" t="s">
        <v>15153</v>
      </c>
      <c r="I9167" s="1" t="s">
        <v>125</v>
      </c>
      <c r="J9167" s="1" t="s">
        <v>67</v>
      </c>
      <c r="K9167" s="1" t="s">
        <v>14</v>
      </c>
      <c r="M9167" s="2">
        <v>42177</v>
      </c>
      <c r="N9167" s="1" t="s">
        <v>8</v>
      </c>
      <c r="O9167" s="1" t="s">
        <v>68</v>
      </c>
    </row>
    <row r="9168" spans="1:15" ht="43.2" x14ac:dyDescent="0.3">
      <c r="A9168" s="1" t="s">
        <v>27479</v>
      </c>
      <c r="B9168" s="1" t="str">
        <f>"Dafydd Thomas"</f>
        <v>Dafydd Thomas</v>
      </c>
      <c r="C9168" s="1" t="s">
        <v>27480</v>
      </c>
      <c r="F9168" s="1" t="s">
        <v>1321</v>
      </c>
      <c r="H9168" s="1" t="s">
        <v>27481</v>
      </c>
      <c r="I9168" s="1" t="s">
        <v>5</v>
      </c>
      <c r="J9168" s="1" t="s">
        <v>67</v>
      </c>
      <c r="K9168" s="1" t="s">
        <v>14</v>
      </c>
      <c r="M9168" s="2">
        <v>42177</v>
      </c>
      <c r="N9168" s="1" t="s">
        <v>8</v>
      </c>
      <c r="O9168" s="1" t="s">
        <v>68</v>
      </c>
    </row>
    <row r="9169" spans="1:15" ht="43.2" x14ac:dyDescent="0.3">
      <c r="A9169" s="1" t="s">
        <v>27482</v>
      </c>
      <c r="B9169" s="1" t="str">
        <f>"Simon Goodleff"</f>
        <v>Simon Goodleff</v>
      </c>
      <c r="C9169" s="1" t="s">
        <v>27483</v>
      </c>
      <c r="F9169" s="1" t="s">
        <v>27</v>
      </c>
      <c r="H9169" s="1" t="s">
        <v>27484</v>
      </c>
      <c r="I9169" s="1" t="s">
        <v>5</v>
      </c>
      <c r="J9169" s="1" t="s">
        <v>67</v>
      </c>
      <c r="K9169" s="1" t="s">
        <v>14</v>
      </c>
      <c r="M9169" s="2">
        <v>42177</v>
      </c>
      <c r="N9169" s="1" t="s">
        <v>8</v>
      </c>
      <c r="O9169" s="1" t="s">
        <v>68</v>
      </c>
    </row>
    <row r="9170" spans="1:15" x14ac:dyDescent="0.3">
      <c r="A9170" s="1" t="s">
        <v>31418</v>
      </c>
      <c r="B9170" s="1" t="str">
        <f>"Keith john Minty"</f>
        <v>Keith john Minty</v>
      </c>
      <c r="C9170" s="1" t="s">
        <v>31419</v>
      </c>
      <c r="F9170" s="1" t="s">
        <v>22</v>
      </c>
      <c r="G9170" s="1" t="s">
        <v>141</v>
      </c>
      <c r="H9170" s="1" t="s">
        <v>31420</v>
      </c>
      <c r="I9170" s="1" t="s">
        <v>5</v>
      </c>
      <c r="J9170" s="1" t="s">
        <v>6</v>
      </c>
      <c r="K9170" s="1" t="s">
        <v>24</v>
      </c>
      <c r="M9170" s="2">
        <v>42177</v>
      </c>
      <c r="N9170" s="1" t="s">
        <v>8</v>
      </c>
      <c r="O9170" s="2">
        <v>44369</v>
      </c>
    </row>
    <row r="9171" spans="1:15" ht="43.2" x14ac:dyDescent="0.3">
      <c r="A9171" s="1" t="s">
        <v>14246</v>
      </c>
      <c r="B9171" s="1" t="str">
        <f>"Padarn Alarms Ltd"</f>
        <v>Padarn Alarms Ltd</v>
      </c>
      <c r="C9171" s="1" t="s">
        <v>6552</v>
      </c>
      <c r="F9171" s="1" t="s">
        <v>37</v>
      </c>
      <c r="H9171" s="1" t="s">
        <v>6553</v>
      </c>
      <c r="I9171" s="1" t="s">
        <v>19</v>
      </c>
      <c r="J9171" s="1" t="s">
        <v>67</v>
      </c>
      <c r="K9171" s="1" t="s">
        <v>14</v>
      </c>
      <c r="M9171" s="2">
        <v>42176</v>
      </c>
      <c r="N9171" s="1" t="s">
        <v>8</v>
      </c>
      <c r="O9171" s="1" t="s">
        <v>68</v>
      </c>
    </row>
    <row r="9172" spans="1:15" ht="43.2" x14ac:dyDescent="0.3">
      <c r="A9172" s="1" t="s">
        <v>26617</v>
      </c>
      <c r="B9172" s="1" t="str">
        <f>"Robin Cloke"</f>
        <v>Robin Cloke</v>
      </c>
      <c r="C9172" s="1" t="s">
        <v>26618</v>
      </c>
      <c r="F9172" s="1" t="s">
        <v>3415</v>
      </c>
      <c r="H9172" s="1" t="s">
        <v>26619</v>
      </c>
      <c r="I9172" s="1" t="s">
        <v>5</v>
      </c>
      <c r="J9172" s="1" t="s">
        <v>67</v>
      </c>
      <c r="K9172" s="1" t="s">
        <v>14</v>
      </c>
      <c r="M9172" s="2">
        <v>42175</v>
      </c>
      <c r="N9172" s="1" t="s">
        <v>8</v>
      </c>
      <c r="O9172" s="1" t="s">
        <v>68</v>
      </c>
    </row>
    <row r="9173" spans="1:15" ht="43.2" x14ac:dyDescent="0.3">
      <c r="A9173" s="1" t="s">
        <v>13327</v>
      </c>
      <c r="B9173" s="1" t="str">
        <f>"MDE (North West) Ltd"</f>
        <v>MDE (North West) Ltd</v>
      </c>
      <c r="C9173" s="1" t="s">
        <v>13328</v>
      </c>
      <c r="D9173" s="1" t="s">
        <v>4436</v>
      </c>
      <c r="F9173" s="1" t="s">
        <v>358</v>
      </c>
      <c r="H9173" s="1" t="s">
        <v>13329</v>
      </c>
      <c r="I9173" s="1" t="s">
        <v>19</v>
      </c>
      <c r="J9173" s="1" t="s">
        <v>67</v>
      </c>
      <c r="K9173" s="1" t="s">
        <v>14</v>
      </c>
      <c r="M9173" s="2">
        <v>42174</v>
      </c>
      <c r="N9173" s="1" t="s">
        <v>8</v>
      </c>
      <c r="O9173" s="1" t="s">
        <v>68</v>
      </c>
    </row>
    <row r="9174" spans="1:15" ht="43.2" x14ac:dyDescent="0.3">
      <c r="A9174" s="1" t="s">
        <v>13326</v>
      </c>
      <c r="B9174" s="1" t="str">
        <f>"ADVANCED FIRE PROTECTION LTD"</f>
        <v>ADVANCED FIRE PROTECTION LTD</v>
      </c>
      <c r="C9174" s="1" t="s">
        <v>962</v>
      </c>
      <c r="F9174" s="1" t="s">
        <v>277</v>
      </c>
      <c r="H9174" s="1" t="s">
        <v>963</v>
      </c>
      <c r="I9174" s="1" t="s">
        <v>19</v>
      </c>
      <c r="J9174" s="1" t="s">
        <v>67</v>
      </c>
      <c r="K9174" s="1" t="s">
        <v>24</v>
      </c>
      <c r="L9174" s="1">
        <v>3932260</v>
      </c>
      <c r="M9174" s="2">
        <v>42173</v>
      </c>
      <c r="N9174" s="1" t="s">
        <v>8</v>
      </c>
      <c r="O9174" s="1" t="s">
        <v>68</v>
      </c>
    </row>
    <row r="9175" spans="1:15" ht="43.2" x14ac:dyDescent="0.3">
      <c r="A9175" s="1" t="s">
        <v>25867</v>
      </c>
      <c r="B9175" s="1" t="str">
        <f>"Alan Morgan"</f>
        <v>Alan Morgan</v>
      </c>
      <c r="C9175" s="1" t="s">
        <v>25868</v>
      </c>
      <c r="F9175" s="1" t="s">
        <v>9261</v>
      </c>
      <c r="H9175" s="1" t="s">
        <v>16292</v>
      </c>
      <c r="I9175" s="1" t="s">
        <v>5</v>
      </c>
      <c r="J9175" s="1" t="s">
        <v>67</v>
      </c>
      <c r="K9175" s="1" t="s">
        <v>14</v>
      </c>
      <c r="M9175" s="2">
        <v>42173</v>
      </c>
      <c r="N9175" s="1" t="s">
        <v>8</v>
      </c>
      <c r="O9175" s="1" t="s">
        <v>68</v>
      </c>
    </row>
    <row r="9176" spans="1:15" ht="43.2" x14ac:dyDescent="0.3">
      <c r="A9176" s="1" t="s">
        <v>25869</v>
      </c>
      <c r="B9176" s="1" t="str">
        <f>"Elen Greason-Walker"</f>
        <v>Elen Greason-Walker</v>
      </c>
      <c r="C9176" s="1" t="s">
        <v>25870</v>
      </c>
      <c r="F9176" s="1" t="s">
        <v>146</v>
      </c>
      <c r="H9176" s="1" t="s">
        <v>25871</v>
      </c>
      <c r="I9176" s="1" t="s">
        <v>5</v>
      </c>
      <c r="J9176" s="1" t="s">
        <v>67</v>
      </c>
      <c r="K9176" s="1" t="s">
        <v>14</v>
      </c>
      <c r="M9176" s="2">
        <v>42173</v>
      </c>
      <c r="N9176" s="1" t="s">
        <v>8</v>
      </c>
      <c r="O9176" s="1" t="s">
        <v>68</v>
      </c>
    </row>
    <row r="9177" spans="1:15" ht="43.2" x14ac:dyDescent="0.3">
      <c r="A9177" s="1" t="s">
        <v>25872</v>
      </c>
      <c r="B9177" s="1" t="str">
        <f>"Jennifer Gent"</f>
        <v>Jennifer Gent</v>
      </c>
      <c r="C9177" s="1" t="s">
        <v>25873</v>
      </c>
      <c r="F9177" s="1" t="s">
        <v>1366</v>
      </c>
      <c r="H9177" s="1" t="s">
        <v>25874</v>
      </c>
      <c r="I9177" s="1" t="s">
        <v>5</v>
      </c>
      <c r="J9177" s="1" t="s">
        <v>67</v>
      </c>
      <c r="K9177" s="1" t="s">
        <v>14</v>
      </c>
      <c r="M9177" s="2">
        <v>42173</v>
      </c>
      <c r="N9177" s="1" t="s">
        <v>8</v>
      </c>
      <c r="O9177" s="1" t="s">
        <v>68</v>
      </c>
    </row>
    <row r="9178" spans="1:15" ht="28.8" x14ac:dyDescent="0.3">
      <c r="A9178" s="1" t="s">
        <v>2035</v>
      </c>
      <c r="B9178" s="1" t="str">
        <f>"G Parry Home Improvements Ltd"</f>
        <v>G Parry Home Improvements Ltd</v>
      </c>
      <c r="C9178" s="1" t="s">
        <v>2036</v>
      </c>
      <c r="D9178" s="1" t="s">
        <v>530</v>
      </c>
      <c r="F9178" s="1" t="s">
        <v>72</v>
      </c>
      <c r="G9178" s="1" t="s">
        <v>73</v>
      </c>
      <c r="H9178" s="1" t="s">
        <v>2037</v>
      </c>
      <c r="I9178" s="1" t="s">
        <v>19</v>
      </c>
      <c r="J9178" s="1" t="s">
        <v>6</v>
      </c>
      <c r="K9178" s="1" t="s">
        <v>34</v>
      </c>
      <c r="L9178" s="1">
        <v>5668062</v>
      </c>
      <c r="M9178" s="2">
        <v>42172</v>
      </c>
      <c r="N9178" s="1" t="s">
        <v>8</v>
      </c>
      <c r="O9178" s="2">
        <v>44364</v>
      </c>
    </row>
    <row r="9179" spans="1:15" ht="43.2" x14ac:dyDescent="0.3">
      <c r="A9179" s="1" t="s">
        <v>13321</v>
      </c>
      <c r="B9179" s="1" t="str">
        <f>"Cotswold Communication Ltd"</f>
        <v>Cotswold Communication Ltd</v>
      </c>
      <c r="C9179" s="1" t="s">
        <v>13322</v>
      </c>
      <c r="D9179" s="1" t="s">
        <v>13323</v>
      </c>
      <c r="F9179" s="1" t="s">
        <v>13324</v>
      </c>
      <c r="H9179" s="1" t="s">
        <v>13325</v>
      </c>
      <c r="I9179" s="1" t="s">
        <v>19</v>
      </c>
      <c r="J9179" s="1" t="s">
        <v>67</v>
      </c>
      <c r="K9179" s="1" t="s">
        <v>14</v>
      </c>
      <c r="M9179" s="2">
        <v>42172</v>
      </c>
      <c r="N9179" s="1" t="s">
        <v>8</v>
      </c>
      <c r="O9179" s="1" t="s">
        <v>68</v>
      </c>
    </row>
    <row r="9180" spans="1:15" ht="43.2" x14ac:dyDescent="0.3">
      <c r="A9180" s="1" t="s">
        <v>25864</v>
      </c>
      <c r="B9180" s="1" t="str">
        <f>"Clive Sumner"</f>
        <v>Clive Sumner</v>
      </c>
      <c r="C9180" s="1" t="s">
        <v>25865</v>
      </c>
      <c r="F9180" s="1" t="s">
        <v>11224</v>
      </c>
      <c r="H9180" s="1" t="s">
        <v>25866</v>
      </c>
      <c r="I9180" s="1" t="s">
        <v>5</v>
      </c>
      <c r="J9180" s="1" t="s">
        <v>67</v>
      </c>
      <c r="K9180" s="1" t="s">
        <v>14</v>
      </c>
      <c r="M9180" s="2">
        <v>42172</v>
      </c>
      <c r="N9180" s="1" t="s">
        <v>8</v>
      </c>
      <c r="O9180" s="1" t="s">
        <v>68</v>
      </c>
    </row>
    <row r="9181" spans="1:15" ht="28.8" x14ac:dyDescent="0.3">
      <c r="A9181" s="1" t="s">
        <v>30255</v>
      </c>
      <c r="B9181" s="1" t="str">
        <f>"electrical aircon ltd"</f>
        <v>electrical aircon ltd</v>
      </c>
      <c r="C9181" s="1" t="s">
        <v>30256</v>
      </c>
      <c r="F9181" s="1" t="s">
        <v>37</v>
      </c>
      <c r="H9181" s="1" t="s">
        <v>30257</v>
      </c>
      <c r="I9181" s="1" t="s">
        <v>19</v>
      </c>
      <c r="J9181" s="1" t="s">
        <v>6</v>
      </c>
      <c r="K9181" s="1" t="s">
        <v>24</v>
      </c>
      <c r="L9181" s="1">
        <v>9558404</v>
      </c>
      <c r="M9181" s="2">
        <v>42172</v>
      </c>
      <c r="N9181" s="1" t="s">
        <v>8</v>
      </c>
      <c r="O9181" s="2">
        <v>44376</v>
      </c>
    </row>
    <row r="9182" spans="1:15" ht="43.2" x14ac:dyDescent="0.3">
      <c r="A9182" s="1" t="s">
        <v>12225</v>
      </c>
      <c r="B9182" s="1" t="str">
        <f>"E.G. Lewis &amp; Co. Ltd"</f>
        <v>E.G. Lewis &amp; Co. Ltd</v>
      </c>
      <c r="C9182" s="1" t="s">
        <v>12226</v>
      </c>
      <c r="F9182" s="1" t="s">
        <v>32</v>
      </c>
      <c r="H9182" s="1" t="s">
        <v>10540</v>
      </c>
      <c r="I9182" s="1" t="s">
        <v>19</v>
      </c>
      <c r="J9182" s="1" t="s">
        <v>67</v>
      </c>
      <c r="K9182" s="1" t="s">
        <v>14</v>
      </c>
      <c r="M9182" s="2">
        <v>42171</v>
      </c>
      <c r="N9182" s="1" t="s">
        <v>8</v>
      </c>
      <c r="O9182" s="1" t="s">
        <v>68</v>
      </c>
    </row>
    <row r="9183" spans="1:15" ht="43.2" x14ac:dyDescent="0.3">
      <c r="A9183" s="1" t="s">
        <v>12227</v>
      </c>
      <c r="B9183" s="1" t="str">
        <f>"Skelton Thomas Engineering Ltd"</f>
        <v>Skelton Thomas Engineering Ltd</v>
      </c>
      <c r="C9183" s="1" t="s">
        <v>12226</v>
      </c>
      <c r="F9183" s="1" t="s">
        <v>32</v>
      </c>
      <c r="H9183" s="1" t="s">
        <v>10540</v>
      </c>
      <c r="I9183" s="1" t="s">
        <v>19</v>
      </c>
      <c r="J9183" s="1" t="s">
        <v>67</v>
      </c>
      <c r="K9183" s="1" t="s">
        <v>14</v>
      </c>
      <c r="M9183" s="2">
        <v>42171</v>
      </c>
      <c r="N9183" s="1" t="s">
        <v>8</v>
      </c>
      <c r="O9183" s="1" t="s">
        <v>68</v>
      </c>
    </row>
    <row r="9184" spans="1:15" ht="43.2" x14ac:dyDescent="0.3">
      <c r="A9184" s="1" t="s">
        <v>12228</v>
      </c>
      <c r="B9184" s="1" t="str">
        <f>"scrap metal colector"</f>
        <v>scrap metal colector</v>
      </c>
      <c r="C9184" s="1" t="s">
        <v>12229</v>
      </c>
      <c r="F9184" s="1" t="s">
        <v>5880</v>
      </c>
      <c r="H9184" s="1" t="s">
        <v>12230</v>
      </c>
      <c r="I9184" s="1" t="s">
        <v>188</v>
      </c>
      <c r="J9184" s="1" t="s">
        <v>67</v>
      </c>
      <c r="K9184" s="1" t="s">
        <v>14</v>
      </c>
      <c r="M9184" s="2">
        <v>42171</v>
      </c>
      <c r="N9184" s="1" t="s">
        <v>8</v>
      </c>
      <c r="O9184" s="1" t="s">
        <v>68</v>
      </c>
    </row>
    <row r="9185" spans="1:15" ht="43.2" x14ac:dyDescent="0.3">
      <c r="A9185" s="1" t="s">
        <v>25165</v>
      </c>
      <c r="B9185" s="1" t="str">
        <f>"daniel hopkins"</f>
        <v>daniel hopkins</v>
      </c>
      <c r="C9185" s="1" t="s">
        <v>25166</v>
      </c>
      <c r="F9185" s="1" t="s">
        <v>65</v>
      </c>
      <c r="H9185" s="1" t="s">
        <v>25167</v>
      </c>
      <c r="I9185" s="1" t="s">
        <v>5</v>
      </c>
      <c r="J9185" s="1" t="s">
        <v>67</v>
      </c>
      <c r="K9185" s="1" t="s">
        <v>14</v>
      </c>
      <c r="M9185" s="2">
        <v>42171</v>
      </c>
      <c r="N9185" s="1" t="s">
        <v>8</v>
      </c>
      <c r="O9185" s="1" t="s">
        <v>68</v>
      </c>
    </row>
    <row r="9186" spans="1:15" ht="43.2" x14ac:dyDescent="0.3">
      <c r="A9186" s="1" t="s">
        <v>10215</v>
      </c>
      <c r="B9186" s="1" t="str">
        <f>"Ashfield Community Enterprise"</f>
        <v>Ashfield Community Enterprise</v>
      </c>
      <c r="C9186" s="1" t="s">
        <v>10216</v>
      </c>
      <c r="F9186" s="1" t="s">
        <v>146</v>
      </c>
      <c r="H9186" s="1" t="s">
        <v>10217</v>
      </c>
      <c r="I9186" s="1" t="s">
        <v>1872</v>
      </c>
      <c r="J9186" s="1" t="s">
        <v>67</v>
      </c>
      <c r="K9186" s="1" t="s">
        <v>14</v>
      </c>
      <c r="M9186" s="2">
        <v>42170</v>
      </c>
      <c r="N9186" s="1" t="s">
        <v>8</v>
      </c>
      <c r="O9186" s="1" t="s">
        <v>68</v>
      </c>
    </row>
    <row r="9187" spans="1:15" ht="43.2" x14ac:dyDescent="0.3">
      <c r="A9187" s="1" t="s">
        <v>10218</v>
      </c>
      <c r="B9187" s="1" t="str">
        <f>"JK FLORAL DESIGN"</f>
        <v>JK FLORAL DESIGN</v>
      </c>
      <c r="C9187" s="1" t="s">
        <v>10219</v>
      </c>
      <c r="D9187" s="1" t="s">
        <v>10220</v>
      </c>
      <c r="F9187" s="1" t="s">
        <v>10221</v>
      </c>
      <c r="H9187" s="1" t="s">
        <v>10222</v>
      </c>
      <c r="I9187" s="1" t="s">
        <v>125</v>
      </c>
      <c r="J9187" s="1" t="s">
        <v>67</v>
      </c>
      <c r="K9187" s="1" t="s">
        <v>14</v>
      </c>
      <c r="M9187" s="2">
        <v>42170</v>
      </c>
      <c r="N9187" s="1" t="s">
        <v>8</v>
      </c>
      <c r="O9187" s="1" t="s">
        <v>68</v>
      </c>
    </row>
    <row r="9188" spans="1:15" ht="43.2" x14ac:dyDescent="0.3">
      <c r="A9188" s="1" t="s">
        <v>23447</v>
      </c>
      <c r="B9188" s="1" t="str">
        <f>"Diane Jackson"</f>
        <v>Diane Jackson</v>
      </c>
      <c r="C9188" s="1" t="s">
        <v>23448</v>
      </c>
      <c r="F9188" s="1" t="s">
        <v>146</v>
      </c>
      <c r="H9188" s="1" t="s">
        <v>23449</v>
      </c>
      <c r="I9188" s="1" t="s">
        <v>5</v>
      </c>
      <c r="J9188" s="1" t="s">
        <v>67</v>
      </c>
      <c r="K9188" s="1" t="s">
        <v>14</v>
      </c>
      <c r="M9188" s="2">
        <v>42170</v>
      </c>
      <c r="N9188" s="1" t="s">
        <v>8</v>
      </c>
      <c r="O9188" s="1" t="s">
        <v>68</v>
      </c>
    </row>
    <row r="9189" spans="1:15" ht="43.2" x14ac:dyDescent="0.3">
      <c r="A9189" s="1" t="s">
        <v>25162</v>
      </c>
      <c r="B9189" s="1" t="str">
        <f>"Shaun Jones"</f>
        <v>Shaun Jones</v>
      </c>
      <c r="C9189" s="1" t="s">
        <v>25163</v>
      </c>
      <c r="F9189" s="1" t="s">
        <v>198</v>
      </c>
      <c r="H9189" s="1" t="s">
        <v>25164</v>
      </c>
      <c r="I9189" s="1" t="s">
        <v>5</v>
      </c>
      <c r="J9189" s="1" t="s">
        <v>67</v>
      </c>
      <c r="K9189" s="1" t="s">
        <v>14</v>
      </c>
      <c r="M9189" s="2">
        <v>42170</v>
      </c>
      <c r="N9189" s="1" t="s">
        <v>8</v>
      </c>
      <c r="O9189" s="1" t="s">
        <v>68</v>
      </c>
    </row>
    <row r="9190" spans="1:15" ht="28.8" x14ac:dyDescent="0.3">
      <c r="A9190" s="1" t="s">
        <v>32386</v>
      </c>
      <c r="B9190" s="1" t="str">
        <f>"David Michael Lewis"</f>
        <v>David Michael Lewis</v>
      </c>
      <c r="C9190" s="1" t="s">
        <v>32387</v>
      </c>
      <c r="D9190" s="1" t="s">
        <v>1389</v>
      </c>
      <c r="F9190" s="1" t="s">
        <v>865</v>
      </c>
      <c r="H9190" s="1" t="s">
        <v>32388</v>
      </c>
      <c r="I9190" s="1" t="s">
        <v>5</v>
      </c>
      <c r="J9190" s="1" t="s">
        <v>6</v>
      </c>
      <c r="K9190" s="1" t="s">
        <v>34</v>
      </c>
      <c r="M9190" s="2">
        <v>42170</v>
      </c>
      <c r="N9190" s="1" t="s">
        <v>8</v>
      </c>
      <c r="O9190" s="2">
        <v>44361</v>
      </c>
    </row>
    <row r="9191" spans="1:15" ht="43.2" x14ac:dyDescent="0.3">
      <c r="A9191" s="1" t="s">
        <v>23444</v>
      </c>
      <c r="B9191" s="1" t="str">
        <f>"trevor jones"</f>
        <v>trevor jones</v>
      </c>
      <c r="C9191" s="1" t="s">
        <v>23445</v>
      </c>
      <c r="D9191" s="1" t="s">
        <v>7068</v>
      </c>
      <c r="F9191" s="1" t="s">
        <v>1184</v>
      </c>
      <c r="H9191" s="1" t="s">
        <v>23446</v>
      </c>
      <c r="I9191" s="1" t="s">
        <v>5</v>
      </c>
      <c r="J9191" s="1" t="s">
        <v>67</v>
      </c>
      <c r="K9191" s="1" t="s">
        <v>14</v>
      </c>
      <c r="M9191" s="2">
        <v>42168</v>
      </c>
      <c r="N9191" s="1" t="s">
        <v>8</v>
      </c>
      <c r="O9191" s="1" t="s">
        <v>68</v>
      </c>
    </row>
    <row r="9192" spans="1:15" ht="43.2" x14ac:dyDescent="0.3">
      <c r="A9192" s="1" t="s">
        <v>9111</v>
      </c>
      <c r="B9192" s="1" t="str">
        <f>"Guidfa House"</f>
        <v>Guidfa House</v>
      </c>
      <c r="C9192" s="1" t="s">
        <v>9112</v>
      </c>
      <c r="F9192" s="1" t="s">
        <v>798</v>
      </c>
      <c r="H9192" s="1" t="s">
        <v>9113</v>
      </c>
      <c r="I9192" s="1" t="s">
        <v>125</v>
      </c>
      <c r="J9192" s="1" t="s">
        <v>67</v>
      </c>
      <c r="K9192" s="1" t="s">
        <v>14</v>
      </c>
      <c r="M9192" s="2">
        <v>42167</v>
      </c>
      <c r="N9192" s="1" t="s">
        <v>8</v>
      </c>
      <c r="O9192" s="1" t="s">
        <v>68</v>
      </c>
    </row>
    <row r="9193" spans="1:15" ht="43.2" x14ac:dyDescent="0.3">
      <c r="A9193" s="1" t="s">
        <v>22693</v>
      </c>
      <c r="B9193" s="1" t="str">
        <f>"Andrew Davies"</f>
        <v>Andrew Davies</v>
      </c>
      <c r="C9193" s="1" t="s">
        <v>22694</v>
      </c>
      <c r="F9193" s="1" t="s">
        <v>401</v>
      </c>
      <c r="H9193" s="1" t="s">
        <v>22695</v>
      </c>
      <c r="I9193" s="1" t="s">
        <v>5</v>
      </c>
      <c r="J9193" s="1" t="s">
        <v>67</v>
      </c>
      <c r="K9193" s="1" t="s">
        <v>14</v>
      </c>
      <c r="M9193" s="2">
        <v>42167</v>
      </c>
      <c r="N9193" s="1" t="s">
        <v>8</v>
      </c>
      <c r="O9193" s="1" t="s">
        <v>68</v>
      </c>
    </row>
    <row r="9194" spans="1:15" ht="43.2" x14ac:dyDescent="0.3">
      <c r="A9194" s="1" t="s">
        <v>23438</v>
      </c>
      <c r="B9194" s="1" t="str">
        <f>"William Thomas Ainsworth"</f>
        <v>William Thomas Ainsworth</v>
      </c>
      <c r="C9194" s="1" t="s">
        <v>23439</v>
      </c>
      <c r="F9194" s="1" t="s">
        <v>146</v>
      </c>
      <c r="H9194" s="1" t="s">
        <v>23440</v>
      </c>
      <c r="I9194" s="1" t="s">
        <v>5</v>
      </c>
      <c r="J9194" s="1" t="s">
        <v>67</v>
      </c>
      <c r="K9194" s="1" t="s">
        <v>14</v>
      </c>
      <c r="M9194" s="2">
        <v>42167</v>
      </c>
      <c r="N9194" s="1" t="s">
        <v>8</v>
      </c>
      <c r="O9194" s="1" t="s">
        <v>68</v>
      </c>
    </row>
    <row r="9195" spans="1:15" ht="43.2" x14ac:dyDescent="0.3">
      <c r="A9195" s="1" t="s">
        <v>23441</v>
      </c>
      <c r="B9195" s="1" t="str">
        <f>"Elaine Darrell"</f>
        <v>Elaine Darrell</v>
      </c>
      <c r="C9195" s="1" t="s">
        <v>23442</v>
      </c>
      <c r="F9195" s="1" t="s">
        <v>1986</v>
      </c>
      <c r="H9195" s="1" t="s">
        <v>23443</v>
      </c>
      <c r="I9195" s="1" t="s">
        <v>5</v>
      </c>
      <c r="J9195" s="1" t="s">
        <v>67</v>
      </c>
      <c r="K9195" s="1" t="s">
        <v>14</v>
      </c>
      <c r="M9195" s="2">
        <v>42167</v>
      </c>
      <c r="N9195" s="1" t="s">
        <v>8</v>
      </c>
      <c r="O9195" s="1" t="s">
        <v>68</v>
      </c>
    </row>
    <row r="9196" spans="1:15" ht="43.2" x14ac:dyDescent="0.3">
      <c r="A9196" s="1" t="s">
        <v>9106</v>
      </c>
      <c r="B9196" s="1" t="str">
        <f>"Six companies limited "</f>
        <v xml:space="preserve">Six companies limited </v>
      </c>
      <c r="C9196" s="1" t="s">
        <v>9107</v>
      </c>
      <c r="F9196" s="1" t="s">
        <v>42</v>
      </c>
      <c r="H9196" s="1" t="s">
        <v>9108</v>
      </c>
      <c r="I9196" s="1" t="s">
        <v>19</v>
      </c>
      <c r="J9196" s="1" t="s">
        <v>67</v>
      </c>
      <c r="K9196" s="1" t="s">
        <v>14</v>
      </c>
      <c r="M9196" s="2">
        <v>42166</v>
      </c>
      <c r="N9196" s="1" t="s">
        <v>8</v>
      </c>
      <c r="O9196" s="1" t="s">
        <v>68</v>
      </c>
    </row>
    <row r="9197" spans="1:15" ht="43.2" x14ac:dyDescent="0.3">
      <c r="A9197" s="1" t="s">
        <v>9109</v>
      </c>
      <c r="B9197" s="1" t="str">
        <f>"Rees Machinery Group Ltd"</f>
        <v>Rees Machinery Group Ltd</v>
      </c>
      <c r="C9197" s="1" t="s">
        <v>9110</v>
      </c>
      <c r="D9197" s="1" t="s">
        <v>955</v>
      </c>
      <c r="F9197" s="1" t="s">
        <v>445</v>
      </c>
      <c r="H9197" s="1" t="s">
        <v>1374</v>
      </c>
      <c r="I9197" s="1" t="s">
        <v>19</v>
      </c>
      <c r="J9197" s="1" t="s">
        <v>67</v>
      </c>
      <c r="K9197" s="1" t="s">
        <v>14</v>
      </c>
      <c r="M9197" s="2">
        <v>42166</v>
      </c>
      <c r="N9197" s="1" t="s">
        <v>8</v>
      </c>
      <c r="O9197" s="1" t="s">
        <v>68</v>
      </c>
    </row>
    <row r="9198" spans="1:15" ht="43.2" x14ac:dyDescent="0.3">
      <c r="A9198" s="1" t="s">
        <v>22690</v>
      </c>
      <c r="B9198" s="1" t="str">
        <f>"Nicholas Peter Blakeley"</f>
        <v>Nicholas Peter Blakeley</v>
      </c>
      <c r="C9198" s="1" t="s">
        <v>22691</v>
      </c>
      <c r="F9198" s="1" t="s">
        <v>1786</v>
      </c>
      <c r="H9198" s="1" t="s">
        <v>22692</v>
      </c>
      <c r="I9198" s="1" t="s">
        <v>5</v>
      </c>
      <c r="J9198" s="1" t="s">
        <v>67</v>
      </c>
      <c r="K9198" s="1" t="s">
        <v>24</v>
      </c>
      <c r="M9198" s="2">
        <v>42166</v>
      </c>
      <c r="N9198" s="1" t="s">
        <v>8</v>
      </c>
      <c r="O9198" s="1" t="s">
        <v>68</v>
      </c>
    </row>
    <row r="9199" spans="1:15" x14ac:dyDescent="0.3">
      <c r="A9199" s="1" t="s">
        <v>31368</v>
      </c>
      <c r="B9199" s="1" t="str">
        <f>"Orlik &amp; Son"</f>
        <v>Orlik &amp; Son</v>
      </c>
      <c r="C9199" s="1" t="s">
        <v>31369</v>
      </c>
      <c r="D9199" s="1" t="s">
        <v>30948</v>
      </c>
      <c r="F9199" s="1" t="s">
        <v>710</v>
      </c>
      <c r="G9199" s="1" t="s">
        <v>3</v>
      </c>
      <c r="H9199" s="1" t="s">
        <v>31370</v>
      </c>
      <c r="I9199" s="1" t="s">
        <v>125</v>
      </c>
      <c r="J9199" s="1" t="s">
        <v>6</v>
      </c>
      <c r="K9199" s="1" t="s">
        <v>24</v>
      </c>
      <c r="M9199" s="2">
        <v>42166</v>
      </c>
      <c r="N9199" s="1" t="s">
        <v>8</v>
      </c>
      <c r="O9199" s="2">
        <v>44358</v>
      </c>
    </row>
    <row r="9200" spans="1:15" ht="43.2" x14ac:dyDescent="0.3">
      <c r="A9200" s="1" t="s">
        <v>7890</v>
      </c>
      <c r="B9200" s="1" t="str">
        <f>"E Jones Plumbing &amp; Heating Ltd"</f>
        <v>E Jones Plumbing &amp; Heating Ltd</v>
      </c>
      <c r="C9200" s="1" t="s">
        <v>7891</v>
      </c>
      <c r="F9200" s="1" t="s">
        <v>50</v>
      </c>
      <c r="H9200" s="1" t="s">
        <v>52</v>
      </c>
      <c r="I9200" s="1" t="s">
        <v>19</v>
      </c>
      <c r="J9200" s="1" t="s">
        <v>67</v>
      </c>
      <c r="K9200" s="1" t="s">
        <v>14</v>
      </c>
      <c r="M9200" s="2">
        <v>42165</v>
      </c>
      <c r="N9200" s="1" t="s">
        <v>8</v>
      </c>
      <c r="O9200" s="1" t="s">
        <v>68</v>
      </c>
    </row>
    <row r="9201" spans="1:15" ht="43.2" x14ac:dyDescent="0.3">
      <c r="A9201" s="1" t="s">
        <v>7892</v>
      </c>
      <c r="B9201" s="1" t="str">
        <f>"UNIVERSAL HEATING LTD"</f>
        <v>UNIVERSAL HEATING LTD</v>
      </c>
      <c r="C9201" s="1" t="s">
        <v>7893</v>
      </c>
      <c r="F9201" s="1" t="s">
        <v>5350</v>
      </c>
      <c r="H9201" s="1" t="s">
        <v>7894</v>
      </c>
      <c r="I9201" s="1" t="s">
        <v>19</v>
      </c>
      <c r="J9201" s="1" t="s">
        <v>67</v>
      </c>
      <c r="K9201" s="1" t="s">
        <v>14</v>
      </c>
      <c r="M9201" s="2">
        <v>42165</v>
      </c>
      <c r="N9201" s="1" t="s">
        <v>8</v>
      </c>
      <c r="O9201" s="1" t="s">
        <v>68</v>
      </c>
    </row>
    <row r="9202" spans="1:15" ht="43.2" x14ac:dyDescent="0.3">
      <c r="A9202" s="1" t="s">
        <v>7895</v>
      </c>
      <c r="B9202" s="1" t="str">
        <f>"Cope &amp; Co Caravans Ltd"</f>
        <v>Cope &amp; Co Caravans Ltd</v>
      </c>
      <c r="C9202" s="1" t="s">
        <v>7896</v>
      </c>
      <c r="F9202" s="1" t="s">
        <v>5291</v>
      </c>
      <c r="H9202" s="1" t="s">
        <v>7897</v>
      </c>
      <c r="I9202" s="1" t="s">
        <v>19</v>
      </c>
      <c r="J9202" s="1" t="s">
        <v>67</v>
      </c>
      <c r="K9202" s="1" t="s">
        <v>14</v>
      </c>
      <c r="M9202" s="2">
        <v>42165</v>
      </c>
      <c r="N9202" s="1" t="s">
        <v>8</v>
      </c>
      <c r="O9202" s="1" t="s">
        <v>68</v>
      </c>
    </row>
    <row r="9203" spans="1:15" ht="43.2" x14ac:dyDescent="0.3">
      <c r="A9203" s="1" t="s">
        <v>21883</v>
      </c>
      <c r="B9203" s="1" t="str">
        <f>"Eve pearce"</f>
        <v>Eve pearce</v>
      </c>
      <c r="C9203" s="1" t="s">
        <v>21884</v>
      </c>
      <c r="F9203" s="1" t="s">
        <v>416</v>
      </c>
      <c r="H9203" s="1" t="s">
        <v>21885</v>
      </c>
      <c r="I9203" s="1" t="s">
        <v>5</v>
      </c>
      <c r="J9203" s="1" t="s">
        <v>67</v>
      </c>
      <c r="K9203" s="1" t="s">
        <v>14</v>
      </c>
      <c r="M9203" s="2">
        <v>42165</v>
      </c>
      <c r="N9203" s="1" t="s">
        <v>8</v>
      </c>
      <c r="O9203" s="1" t="s">
        <v>68</v>
      </c>
    </row>
    <row r="9204" spans="1:15" ht="43.2" x14ac:dyDescent="0.3">
      <c r="A9204" s="1" t="s">
        <v>21886</v>
      </c>
      <c r="B9204" s="1" t="str">
        <f>"Andrew Pugh"</f>
        <v>Andrew Pugh</v>
      </c>
      <c r="C9204" s="1" t="s">
        <v>21887</v>
      </c>
      <c r="F9204" s="1" t="s">
        <v>798</v>
      </c>
      <c r="H9204" s="1" t="s">
        <v>21888</v>
      </c>
      <c r="I9204" s="1" t="s">
        <v>5</v>
      </c>
      <c r="J9204" s="1" t="s">
        <v>67</v>
      </c>
      <c r="K9204" s="1" t="s">
        <v>14</v>
      </c>
      <c r="M9204" s="2">
        <v>42165</v>
      </c>
      <c r="N9204" s="1" t="s">
        <v>8</v>
      </c>
      <c r="O9204" s="1" t="s">
        <v>68</v>
      </c>
    </row>
    <row r="9205" spans="1:15" ht="28.8" x14ac:dyDescent="0.3">
      <c r="A9205" s="1" t="s">
        <v>30273</v>
      </c>
      <c r="B9205" s="1" t="str">
        <f>"Richard Robinson LJR Gardening"</f>
        <v>Richard Robinson LJR Gardening</v>
      </c>
      <c r="C9205" s="1" t="s">
        <v>30274</v>
      </c>
      <c r="D9205" s="1" t="s">
        <v>30275</v>
      </c>
      <c r="F9205" s="1" t="s">
        <v>64</v>
      </c>
      <c r="G9205" s="1" t="s">
        <v>65</v>
      </c>
      <c r="H9205" s="1" t="s">
        <v>30276</v>
      </c>
      <c r="I9205" s="1" t="s">
        <v>5</v>
      </c>
      <c r="J9205" s="1" t="s">
        <v>6</v>
      </c>
      <c r="K9205" s="1" t="s">
        <v>24</v>
      </c>
      <c r="M9205" s="2">
        <v>42165</v>
      </c>
      <c r="N9205" s="1" t="s">
        <v>8</v>
      </c>
      <c r="O9205" s="2">
        <v>44357</v>
      </c>
    </row>
    <row r="9206" spans="1:15" ht="28.8" x14ac:dyDescent="0.3">
      <c r="A9206" s="1" t="s">
        <v>31412</v>
      </c>
      <c r="B9206" s="1" t="str">
        <f>"Gower Recycling LTD"</f>
        <v>Gower Recycling LTD</v>
      </c>
      <c r="C9206" s="1" t="s">
        <v>31413</v>
      </c>
      <c r="E9206" s="1" t="s">
        <v>1157</v>
      </c>
      <c r="F9206" s="1" t="s">
        <v>56</v>
      </c>
      <c r="G9206" s="1" t="s">
        <v>51</v>
      </c>
      <c r="H9206" s="1" t="s">
        <v>31414</v>
      </c>
      <c r="I9206" s="1" t="s">
        <v>19</v>
      </c>
      <c r="J9206" s="1" t="s">
        <v>6</v>
      </c>
      <c r="K9206" s="1" t="s">
        <v>34</v>
      </c>
      <c r="L9206" s="1">
        <v>8312227</v>
      </c>
      <c r="M9206" s="2">
        <v>42165</v>
      </c>
      <c r="N9206" s="1" t="s">
        <v>8</v>
      </c>
      <c r="O9206" s="2">
        <v>44356</v>
      </c>
    </row>
    <row r="9207" spans="1:15" ht="43.2" x14ac:dyDescent="0.3">
      <c r="A9207" s="1" t="s">
        <v>6852</v>
      </c>
      <c r="B9207" s="1" t="str">
        <f>"Raven Housing Trust Limited"</f>
        <v>Raven Housing Trust Limited</v>
      </c>
      <c r="C9207" s="1" t="s">
        <v>6853</v>
      </c>
      <c r="F9207" s="1" t="s">
        <v>6854</v>
      </c>
      <c r="H9207" s="1" t="s">
        <v>6855</v>
      </c>
      <c r="I9207" s="1" t="s">
        <v>1872</v>
      </c>
      <c r="J9207" s="1" t="s">
        <v>67</v>
      </c>
      <c r="K9207" s="1" t="s">
        <v>14</v>
      </c>
      <c r="M9207" s="2">
        <v>42164</v>
      </c>
      <c r="N9207" s="1" t="s">
        <v>8</v>
      </c>
      <c r="O9207" s="1" t="s">
        <v>68</v>
      </c>
    </row>
    <row r="9208" spans="1:15" ht="43.2" x14ac:dyDescent="0.3">
      <c r="A9208" s="1" t="s">
        <v>21109</v>
      </c>
      <c r="B9208" s="1" t="str">
        <f>"Ruth Jones"</f>
        <v>Ruth Jones</v>
      </c>
      <c r="C9208" s="1" t="s">
        <v>21110</v>
      </c>
      <c r="F9208" s="1" t="s">
        <v>83</v>
      </c>
      <c r="H9208" s="1" t="s">
        <v>21111</v>
      </c>
      <c r="I9208" s="1" t="s">
        <v>5</v>
      </c>
      <c r="J9208" s="1" t="s">
        <v>67</v>
      </c>
      <c r="K9208" s="1" t="s">
        <v>14</v>
      </c>
      <c r="M9208" s="2">
        <v>42164</v>
      </c>
      <c r="N9208" s="1" t="s">
        <v>8</v>
      </c>
      <c r="O9208" s="1" t="s">
        <v>68</v>
      </c>
    </row>
    <row r="9209" spans="1:15" x14ac:dyDescent="0.3">
      <c r="A9209" s="1" t="s">
        <v>2128</v>
      </c>
      <c r="B9209" s="1" t="str">
        <f>"CSA SITE SERVICES LTD"</f>
        <v>CSA SITE SERVICES LTD</v>
      </c>
      <c r="C9209" s="1" t="s">
        <v>2129</v>
      </c>
      <c r="D9209" s="1" t="s">
        <v>2130</v>
      </c>
      <c r="F9209" s="1" t="s">
        <v>42</v>
      </c>
      <c r="H9209" s="1" t="s">
        <v>2131</v>
      </c>
      <c r="I9209" s="1" t="s">
        <v>19</v>
      </c>
      <c r="J9209" s="1" t="s">
        <v>6</v>
      </c>
      <c r="K9209" s="1" t="s">
        <v>24</v>
      </c>
      <c r="L9209" s="1">
        <v>3636526</v>
      </c>
      <c r="M9209" s="2">
        <v>42163</v>
      </c>
      <c r="N9209" s="1" t="s">
        <v>8</v>
      </c>
      <c r="O9209" s="2">
        <v>44354</v>
      </c>
    </row>
    <row r="9210" spans="1:15" ht="43.2" x14ac:dyDescent="0.3">
      <c r="A9210" s="1" t="s">
        <v>4522</v>
      </c>
      <c r="B9210" s="1" t="str">
        <f>"Llanelli Rural Council"</f>
        <v>Llanelli Rural Council</v>
      </c>
      <c r="C9210" s="1" t="s">
        <v>4523</v>
      </c>
      <c r="F9210" s="1" t="s">
        <v>42</v>
      </c>
      <c r="H9210" s="1" t="s">
        <v>4524</v>
      </c>
      <c r="I9210" s="1" t="s">
        <v>188</v>
      </c>
      <c r="J9210" s="1" t="s">
        <v>67</v>
      </c>
      <c r="K9210" s="1" t="s">
        <v>24</v>
      </c>
      <c r="M9210" s="2">
        <v>42163</v>
      </c>
      <c r="N9210" s="1" t="s">
        <v>8</v>
      </c>
      <c r="O9210" s="1" t="s">
        <v>68</v>
      </c>
    </row>
    <row r="9211" spans="1:15" ht="43.2" x14ac:dyDescent="0.3">
      <c r="A9211" s="1" t="s">
        <v>5647</v>
      </c>
      <c r="B9211" s="1" t="str">
        <f>"Action Doors"</f>
        <v>Action Doors</v>
      </c>
      <c r="C9211" s="1" t="s">
        <v>5648</v>
      </c>
      <c r="F9211" s="1" t="s">
        <v>5649</v>
      </c>
      <c r="H9211" s="1" t="s">
        <v>5650</v>
      </c>
      <c r="I9211" s="1" t="s">
        <v>125</v>
      </c>
      <c r="J9211" s="1" t="s">
        <v>67</v>
      </c>
      <c r="K9211" s="1" t="s">
        <v>14</v>
      </c>
      <c r="M9211" s="2">
        <v>42163</v>
      </c>
      <c r="N9211" s="1" t="s">
        <v>8</v>
      </c>
      <c r="O9211" s="1" t="s">
        <v>68</v>
      </c>
    </row>
    <row r="9212" spans="1:15" ht="43.2" x14ac:dyDescent="0.3">
      <c r="A9212" s="1" t="s">
        <v>5651</v>
      </c>
      <c r="B9212" s="1" t="str">
        <f>"RCT HOMES LIMITED"</f>
        <v>RCT HOMES LIMITED</v>
      </c>
      <c r="C9212" s="1" t="s">
        <v>5652</v>
      </c>
      <c r="D9212" s="1" t="s">
        <v>5653</v>
      </c>
      <c r="F9212" s="1" t="s">
        <v>277</v>
      </c>
      <c r="H9212" s="1" t="s">
        <v>5654</v>
      </c>
      <c r="I9212" s="1" t="s">
        <v>1872</v>
      </c>
      <c r="J9212" s="1" t="s">
        <v>67</v>
      </c>
      <c r="K9212" s="1" t="s">
        <v>24</v>
      </c>
      <c r="L9212" s="1" t="s">
        <v>5655</v>
      </c>
      <c r="M9212" s="2">
        <v>42163</v>
      </c>
      <c r="N9212" s="1" t="s">
        <v>8</v>
      </c>
      <c r="O9212" s="1" t="s">
        <v>68</v>
      </c>
    </row>
    <row r="9213" spans="1:15" ht="43.2" x14ac:dyDescent="0.3">
      <c r="A9213" s="1" t="s">
        <v>5656</v>
      </c>
      <c r="B9213" s="1" t="str">
        <f>"E richards &amp; co Ltd"</f>
        <v>E richards &amp; co Ltd</v>
      </c>
      <c r="C9213" s="1" t="s">
        <v>5657</v>
      </c>
      <c r="F9213" s="1" t="s">
        <v>65</v>
      </c>
      <c r="H9213" s="1" t="s">
        <v>5658</v>
      </c>
      <c r="I9213" s="1" t="s">
        <v>19</v>
      </c>
      <c r="J9213" s="1" t="s">
        <v>67</v>
      </c>
      <c r="K9213" s="1" t="s">
        <v>14</v>
      </c>
      <c r="M9213" s="2">
        <v>42163</v>
      </c>
      <c r="N9213" s="1" t="s">
        <v>8</v>
      </c>
      <c r="O9213" s="1" t="s">
        <v>68</v>
      </c>
    </row>
    <row r="9214" spans="1:15" ht="43.2" x14ac:dyDescent="0.3">
      <c r="A9214" s="1" t="s">
        <v>5659</v>
      </c>
      <c r="B9214" s="1" t="str">
        <f>"EGNIDA LTD"</f>
        <v>EGNIDA LTD</v>
      </c>
      <c r="C9214" s="1" t="s">
        <v>3779</v>
      </c>
      <c r="D9214" s="1" t="s">
        <v>781</v>
      </c>
      <c r="F9214" s="1" t="s">
        <v>782</v>
      </c>
      <c r="H9214" s="1" t="s">
        <v>783</v>
      </c>
      <c r="I9214" s="1" t="s">
        <v>19</v>
      </c>
      <c r="J9214" s="1" t="s">
        <v>67</v>
      </c>
      <c r="K9214" s="1" t="s">
        <v>24</v>
      </c>
      <c r="L9214" s="1">
        <v>7670069</v>
      </c>
      <c r="M9214" s="2">
        <v>42163</v>
      </c>
      <c r="N9214" s="1" t="s">
        <v>8</v>
      </c>
      <c r="O9214" s="1" t="s">
        <v>68</v>
      </c>
    </row>
    <row r="9215" spans="1:15" ht="43.2" x14ac:dyDescent="0.3">
      <c r="A9215" s="1" t="s">
        <v>5660</v>
      </c>
      <c r="B9215" s="1" t="str">
        <f>"AP Cmyru"</f>
        <v>AP Cmyru</v>
      </c>
      <c r="C9215" s="1" t="s">
        <v>5661</v>
      </c>
      <c r="D9215" s="1" t="s">
        <v>5662</v>
      </c>
      <c r="E9215" s="1" t="s">
        <v>5663</v>
      </c>
      <c r="F9215" s="1" t="s">
        <v>27</v>
      </c>
      <c r="H9215" s="1" t="s">
        <v>5664</v>
      </c>
      <c r="I9215" s="1" t="s">
        <v>19</v>
      </c>
      <c r="J9215" s="1" t="s">
        <v>67</v>
      </c>
      <c r="K9215" s="1" t="s">
        <v>14</v>
      </c>
      <c r="M9215" s="2">
        <v>42163</v>
      </c>
      <c r="N9215" s="1" t="s">
        <v>8</v>
      </c>
      <c r="O9215" s="1" t="s">
        <v>68</v>
      </c>
    </row>
    <row r="9216" spans="1:15" ht="43.2" x14ac:dyDescent="0.3">
      <c r="A9216" s="1" t="s">
        <v>19547</v>
      </c>
      <c r="B9216" s="1" t="str">
        <f>"Andrew Grenyer"</f>
        <v>Andrew Grenyer</v>
      </c>
      <c r="C9216" s="1" t="s">
        <v>19548</v>
      </c>
      <c r="F9216" s="1" t="s">
        <v>798</v>
      </c>
      <c r="H9216" s="1" t="s">
        <v>19549</v>
      </c>
      <c r="I9216" s="1" t="s">
        <v>5</v>
      </c>
      <c r="J9216" s="1" t="s">
        <v>67</v>
      </c>
      <c r="K9216" s="1" t="s">
        <v>14</v>
      </c>
      <c r="M9216" s="2">
        <v>42163</v>
      </c>
      <c r="N9216" s="1" t="s">
        <v>8</v>
      </c>
      <c r="O9216" s="1" t="s">
        <v>68</v>
      </c>
    </row>
    <row r="9217" spans="1:15" ht="43.2" x14ac:dyDescent="0.3">
      <c r="A9217" s="1" t="s">
        <v>19550</v>
      </c>
      <c r="B9217" s="1" t="str">
        <f>"Huw Jenkins"</f>
        <v>Huw Jenkins</v>
      </c>
      <c r="C9217" s="1" t="s">
        <v>19551</v>
      </c>
      <c r="F9217" s="1" t="s">
        <v>174</v>
      </c>
      <c r="H9217" s="1" t="s">
        <v>19284</v>
      </c>
      <c r="I9217" s="1" t="s">
        <v>5</v>
      </c>
      <c r="J9217" s="1" t="s">
        <v>67</v>
      </c>
      <c r="K9217" s="1" t="s">
        <v>14</v>
      </c>
      <c r="M9217" s="2">
        <v>42163</v>
      </c>
      <c r="N9217" s="1" t="s">
        <v>8</v>
      </c>
      <c r="O9217" s="1" t="s">
        <v>68</v>
      </c>
    </row>
    <row r="9218" spans="1:15" ht="43.2" x14ac:dyDescent="0.3">
      <c r="A9218" s="1" t="s">
        <v>20302</v>
      </c>
      <c r="B9218" s="1" t="str">
        <f>"Pamela Madden"</f>
        <v>Pamela Madden</v>
      </c>
      <c r="C9218" s="1" t="s">
        <v>20303</v>
      </c>
      <c r="F9218" s="1" t="s">
        <v>996</v>
      </c>
      <c r="H9218" s="1" t="s">
        <v>20304</v>
      </c>
      <c r="I9218" s="1" t="s">
        <v>5</v>
      </c>
      <c r="J9218" s="1" t="s">
        <v>67</v>
      </c>
      <c r="K9218" s="1" t="s">
        <v>14</v>
      </c>
      <c r="M9218" s="2">
        <v>42163</v>
      </c>
      <c r="N9218" s="1" t="s">
        <v>8</v>
      </c>
      <c r="O9218" s="1" t="s">
        <v>68</v>
      </c>
    </row>
    <row r="9219" spans="1:15" ht="43.2" x14ac:dyDescent="0.3">
      <c r="A9219" s="1" t="s">
        <v>20305</v>
      </c>
      <c r="B9219" s="1" t="str">
        <f>"andrew  telford"</f>
        <v>andrew  telford</v>
      </c>
      <c r="C9219" s="1" t="s">
        <v>20306</v>
      </c>
      <c r="F9219" s="1" t="s">
        <v>8878</v>
      </c>
      <c r="H9219" s="1" t="s">
        <v>20307</v>
      </c>
      <c r="I9219" s="1" t="s">
        <v>5</v>
      </c>
      <c r="J9219" s="1" t="s">
        <v>67</v>
      </c>
      <c r="K9219" s="1" t="s">
        <v>14</v>
      </c>
      <c r="M9219" s="2">
        <v>42163</v>
      </c>
      <c r="N9219" s="1" t="s">
        <v>8</v>
      </c>
      <c r="O9219" s="1" t="s">
        <v>68</v>
      </c>
    </row>
    <row r="9220" spans="1:15" ht="43.2" x14ac:dyDescent="0.3">
      <c r="A9220" s="1" t="s">
        <v>20308</v>
      </c>
      <c r="B9220" s="1" t="str">
        <f>"Tony ellis"</f>
        <v>Tony ellis</v>
      </c>
      <c r="C9220" s="1" t="s">
        <v>20309</v>
      </c>
      <c r="F9220" s="1" t="s">
        <v>12</v>
      </c>
      <c r="H9220" s="1" t="s">
        <v>20310</v>
      </c>
      <c r="I9220" s="1" t="s">
        <v>5</v>
      </c>
      <c r="J9220" s="1" t="s">
        <v>67</v>
      </c>
      <c r="K9220" s="1" t="s">
        <v>14</v>
      </c>
      <c r="M9220" s="2">
        <v>42163</v>
      </c>
      <c r="N9220" s="1" t="s">
        <v>8</v>
      </c>
      <c r="O9220" s="1" t="s">
        <v>68</v>
      </c>
    </row>
    <row r="9221" spans="1:15" ht="28.8" x14ac:dyDescent="0.3">
      <c r="A9221" s="1" t="s">
        <v>32003</v>
      </c>
      <c r="B9221" s="1" t="str">
        <f>"PROBUILD (Llandudno) Ltd"</f>
        <v>PROBUILD (Llandudno) Ltd</v>
      </c>
      <c r="C9221" s="1" t="s">
        <v>32004</v>
      </c>
      <c r="F9221" s="1" t="s">
        <v>3242</v>
      </c>
      <c r="H9221" s="1" t="s">
        <v>32005</v>
      </c>
      <c r="I9221" s="1" t="s">
        <v>19</v>
      </c>
      <c r="J9221" s="1" t="s">
        <v>6</v>
      </c>
      <c r="K9221" s="1" t="s">
        <v>24</v>
      </c>
      <c r="L9221" s="1">
        <v>7201413</v>
      </c>
      <c r="M9221" s="2">
        <v>42163</v>
      </c>
      <c r="N9221" s="1" t="s">
        <v>8</v>
      </c>
      <c r="O9221" s="2">
        <v>44354</v>
      </c>
    </row>
    <row r="9222" spans="1:15" ht="43.2" x14ac:dyDescent="0.3">
      <c r="A9222" s="1" t="s">
        <v>19541</v>
      </c>
      <c r="B9222" s="1" t="str">
        <f>"Gary Wyatt"</f>
        <v>Gary Wyatt</v>
      </c>
      <c r="C9222" s="1" t="s">
        <v>19542</v>
      </c>
      <c r="F9222" s="1" t="s">
        <v>27</v>
      </c>
      <c r="H9222" s="1" t="s">
        <v>19543</v>
      </c>
      <c r="I9222" s="1" t="s">
        <v>5</v>
      </c>
      <c r="J9222" s="1" t="s">
        <v>67</v>
      </c>
      <c r="K9222" s="1" t="s">
        <v>24</v>
      </c>
      <c r="M9222" s="2">
        <v>42162</v>
      </c>
      <c r="N9222" s="1" t="s">
        <v>8</v>
      </c>
      <c r="O9222" s="1" t="s">
        <v>68</v>
      </c>
    </row>
    <row r="9223" spans="1:15" ht="43.2" x14ac:dyDescent="0.3">
      <c r="A9223" s="1" t="s">
        <v>19544</v>
      </c>
      <c r="B9223" s="1" t="str">
        <f>"steven thomas"</f>
        <v>steven thomas</v>
      </c>
      <c r="C9223" s="1" t="s">
        <v>19545</v>
      </c>
      <c r="F9223" s="1" t="s">
        <v>1278</v>
      </c>
      <c r="H9223" s="1" t="s">
        <v>19546</v>
      </c>
      <c r="I9223" s="1" t="s">
        <v>5</v>
      </c>
      <c r="J9223" s="1" t="s">
        <v>67</v>
      </c>
      <c r="K9223" s="1" t="s">
        <v>14</v>
      </c>
      <c r="M9223" s="2">
        <v>42162</v>
      </c>
      <c r="N9223" s="1" t="s">
        <v>8</v>
      </c>
      <c r="O9223" s="1" t="s">
        <v>68</v>
      </c>
    </row>
    <row r="9224" spans="1:15" ht="43.2" x14ac:dyDescent="0.3">
      <c r="A9224" s="1" t="s">
        <v>18672</v>
      </c>
      <c r="B9224" s="1" t="str">
        <f>"jimmy jones"</f>
        <v>jimmy jones</v>
      </c>
      <c r="C9224" s="1" t="s">
        <v>18673</v>
      </c>
      <c r="F9224" s="1" t="s">
        <v>198</v>
      </c>
      <c r="H9224" s="1" t="s">
        <v>18674</v>
      </c>
      <c r="I9224" s="1" t="s">
        <v>5</v>
      </c>
      <c r="J9224" s="1" t="s">
        <v>67</v>
      </c>
      <c r="K9224" s="1" t="s">
        <v>14</v>
      </c>
      <c r="M9224" s="2">
        <v>42161</v>
      </c>
      <c r="N9224" s="1" t="s">
        <v>8</v>
      </c>
      <c r="O9224" s="1" t="s">
        <v>68</v>
      </c>
    </row>
    <row r="9225" spans="1:15" ht="43.2" x14ac:dyDescent="0.3">
      <c r="A9225" s="1" t="s">
        <v>3403</v>
      </c>
      <c r="B9225" s="1" t="str">
        <f>"Lapaysanne"</f>
        <v>Lapaysanne</v>
      </c>
      <c r="C9225" s="1" t="s">
        <v>3404</v>
      </c>
      <c r="F9225" s="1" t="s">
        <v>1260</v>
      </c>
      <c r="H9225" s="1" t="s">
        <v>3405</v>
      </c>
      <c r="I9225" s="1" t="s">
        <v>19</v>
      </c>
      <c r="J9225" s="1" t="s">
        <v>67</v>
      </c>
      <c r="K9225" s="1" t="s">
        <v>14</v>
      </c>
      <c r="M9225" s="2">
        <v>42160</v>
      </c>
      <c r="N9225" s="1" t="s">
        <v>8</v>
      </c>
      <c r="O9225" s="1" t="s">
        <v>68</v>
      </c>
    </row>
    <row r="9226" spans="1:15" ht="43.2" x14ac:dyDescent="0.3">
      <c r="A9226" s="1" t="s">
        <v>18666</v>
      </c>
      <c r="B9226" s="1" t="str">
        <f>"Huw Howells"</f>
        <v>Huw Howells</v>
      </c>
      <c r="C9226" s="1" t="s">
        <v>18667</v>
      </c>
      <c r="F9226" s="1" t="s">
        <v>340</v>
      </c>
      <c r="H9226" s="1" t="s">
        <v>18668</v>
      </c>
      <c r="I9226" s="1" t="s">
        <v>5</v>
      </c>
      <c r="J9226" s="1" t="s">
        <v>67</v>
      </c>
      <c r="K9226" s="1" t="s">
        <v>14</v>
      </c>
      <c r="M9226" s="2">
        <v>42160</v>
      </c>
      <c r="N9226" s="1" t="s">
        <v>8</v>
      </c>
      <c r="O9226" s="1" t="s">
        <v>68</v>
      </c>
    </row>
    <row r="9227" spans="1:15" ht="43.2" x14ac:dyDescent="0.3">
      <c r="A9227" s="1" t="s">
        <v>18669</v>
      </c>
      <c r="B9227" s="1" t="str">
        <f>"Paul Sanders"</f>
        <v>Paul Sanders</v>
      </c>
      <c r="C9227" s="1" t="s">
        <v>18670</v>
      </c>
      <c r="F9227" s="1" t="s">
        <v>65</v>
      </c>
      <c r="H9227" s="1" t="s">
        <v>18671</v>
      </c>
      <c r="I9227" s="1" t="s">
        <v>5</v>
      </c>
      <c r="J9227" s="1" t="s">
        <v>67</v>
      </c>
      <c r="K9227" s="1" t="s">
        <v>14</v>
      </c>
      <c r="M9227" s="2">
        <v>42160</v>
      </c>
      <c r="N9227" s="1" t="s">
        <v>8</v>
      </c>
      <c r="O9227" s="1" t="s">
        <v>68</v>
      </c>
    </row>
    <row r="9228" spans="1:15" ht="28.8" x14ac:dyDescent="0.3">
      <c r="A9228" s="1" t="s">
        <v>30594</v>
      </c>
      <c r="B9228" s="1" t="str">
        <f>"KEITH THOMAS (BUILDERS) LTD"</f>
        <v>KEITH THOMAS (BUILDERS) LTD</v>
      </c>
      <c r="C9228" s="1" t="s">
        <v>30595</v>
      </c>
      <c r="D9228" s="1" t="s">
        <v>8812</v>
      </c>
      <c r="F9228" s="1" t="s">
        <v>65</v>
      </c>
      <c r="H9228" s="1" t="s">
        <v>30596</v>
      </c>
      <c r="I9228" s="1" t="s">
        <v>19</v>
      </c>
      <c r="J9228" s="1" t="s">
        <v>6</v>
      </c>
      <c r="K9228" s="1" t="s">
        <v>24</v>
      </c>
      <c r="L9228" s="1">
        <v>6562591</v>
      </c>
      <c r="M9228" s="2">
        <v>42160</v>
      </c>
      <c r="N9228" s="1" t="s">
        <v>8</v>
      </c>
      <c r="O9228" s="2">
        <v>44420</v>
      </c>
    </row>
    <row r="9229" spans="1:15" ht="43.2" x14ac:dyDescent="0.3">
      <c r="A9229" s="1" t="s">
        <v>18108</v>
      </c>
      <c r="B9229" s="1" t="str">
        <f>"Precious Earth Ltd"</f>
        <v>Precious Earth Ltd</v>
      </c>
      <c r="C9229" s="1" t="s">
        <v>18109</v>
      </c>
      <c r="F9229" s="1" t="s">
        <v>1986</v>
      </c>
      <c r="H9229" s="1" t="s">
        <v>3218</v>
      </c>
      <c r="I9229" s="1" t="s">
        <v>19</v>
      </c>
      <c r="J9229" s="1" t="s">
        <v>67</v>
      </c>
      <c r="K9229" s="1" t="s">
        <v>14</v>
      </c>
      <c r="M9229" s="2">
        <v>42159</v>
      </c>
      <c r="N9229" s="1" t="s">
        <v>8</v>
      </c>
      <c r="O9229" s="1" t="s">
        <v>68</v>
      </c>
    </row>
    <row r="9230" spans="1:15" ht="43.2" x14ac:dyDescent="0.3">
      <c r="A9230" s="1" t="s">
        <v>18110</v>
      </c>
      <c r="B9230" s="1" t="str">
        <f>"Ysgol Gynradd Gymraeg Llwyncelyn"</f>
        <v>Ysgol Gynradd Gymraeg Llwyncelyn</v>
      </c>
      <c r="C9230" s="1" t="s">
        <v>18111</v>
      </c>
      <c r="F9230" s="1" t="s">
        <v>22</v>
      </c>
      <c r="H9230" s="1" t="s">
        <v>18112</v>
      </c>
      <c r="I9230" s="1" t="s">
        <v>188</v>
      </c>
      <c r="J9230" s="1" t="s">
        <v>67</v>
      </c>
      <c r="K9230" s="1" t="s">
        <v>14</v>
      </c>
      <c r="M9230" s="2">
        <v>42159</v>
      </c>
      <c r="N9230" s="1" t="s">
        <v>8</v>
      </c>
      <c r="O9230" s="1" t="s">
        <v>68</v>
      </c>
    </row>
    <row r="9231" spans="1:15" ht="43.2" x14ac:dyDescent="0.3">
      <c r="A9231" s="1" t="s">
        <v>18660</v>
      </c>
      <c r="B9231" s="1" t="str">
        <f>"robert williams"</f>
        <v>robert williams</v>
      </c>
      <c r="C9231" s="1" t="s">
        <v>18661</v>
      </c>
      <c r="F9231" s="1" t="s">
        <v>1115</v>
      </c>
      <c r="H9231" s="1" t="s">
        <v>18662</v>
      </c>
      <c r="I9231" s="1" t="s">
        <v>5</v>
      </c>
      <c r="J9231" s="1" t="s">
        <v>67</v>
      </c>
      <c r="K9231" s="1" t="s">
        <v>14</v>
      </c>
      <c r="M9231" s="2">
        <v>42159</v>
      </c>
      <c r="N9231" s="1" t="s">
        <v>8</v>
      </c>
      <c r="O9231" s="1" t="s">
        <v>68</v>
      </c>
    </row>
    <row r="9232" spans="1:15" ht="43.2" x14ac:dyDescent="0.3">
      <c r="A9232" s="1" t="s">
        <v>18663</v>
      </c>
      <c r="B9232" s="1" t="str">
        <f>"David Barry Peters"</f>
        <v>David Barry Peters</v>
      </c>
      <c r="C9232" s="1" t="s">
        <v>18664</v>
      </c>
      <c r="F9232" s="1" t="s">
        <v>198</v>
      </c>
      <c r="H9232" s="1" t="s">
        <v>18665</v>
      </c>
      <c r="I9232" s="1" t="s">
        <v>5</v>
      </c>
      <c r="J9232" s="1" t="s">
        <v>67</v>
      </c>
      <c r="K9232" s="1" t="s">
        <v>24</v>
      </c>
      <c r="M9232" s="2">
        <v>42159</v>
      </c>
      <c r="N9232" s="1" t="s">
        <v>8</v>
      </c>
      <c r="O9232" s="1" t="s">
        <v>68</v>
      </c>
    </row>
    <row r="9233" spans="1:15" ht="28.8" x14ac:dyDescent="0.3">
      <c r="A9233" s="1" t="s">
        <v>31354</v>
      </c>
      <c r="B9233" s="1" t="str">
        <f>"HICKS LOGISTICS LTD"</f>
        <v>HICKS LOGISTICS LTD</v>
      </c>
      <c r="C9233" s="1" t="s">
        <v>31355</v>
      </c>
      <c r="D9233" s="1" t="s">
        <v>1247</v>
      </c>
      <c r="E9233" s="1" t="s">
        <v>400</v>
      </c>
      <c r="F9233" s="1" t="s">
        <v>401</v>
      </c>
      <c r="H9233" s="1" t="s">
        <v>1248</v>
      </c>
      <c r="I9233" s="1" t="s">
        <v>19</v>
      </c>
      <c r="J9233" s="1" t="s">
        <v>6</v>
      </c>
      <c r="K9233" s="1" t="s">
        <v>24</v>
      </c>
      <c r="L9233" s="1">
        <v>4176136</v>
      </c>
      <c r="M9233" s="2">
        <v>42159</v>
      </c>
      <c r="N9233" s="1" t="s">
        <v>8</v>
      </c>
      <c r="O9233" s="2">
        <v>44351</v>
      </c>
    </row>
    <row r="9234" spans="1:15" ht="28.8" x14ac:dyDescent="0.3">
      <c r="A9234" s="1" t="s">
        <v>2150</v>
      </c>
      <c r="B9234" s="1" t="str">
        <f>"Zenith Design &amp; Build Ltd"</f>
        <v>Zenith Design &amp; Build Ltd</v>
      </c>
      <c r="C9234" s="1" t="s">
        <v>2151</v>
      </c>
      <c r="F9234" s="1" t="s">
        <v>2152</v>
      </c>
      <c r="H9234" s="1" t="s">
        <v>2153</v>
      </c>
      <c r="I9234" s="1" t="s">
        <v>19</v>
      </c>
      <c r="J9234" s="1" t="s">
        <v>6</v>
      </c>
      <c r="K9234" s="1" t="s">
        <v>34</v>
      </c>
      <c r="L9234" s="1">
        <v>8761194</v>
      </c>
      <c r="M9234" s="2">
        <v>42158</v>
      </c>
      <c r="N9234" s="1" t="s">
        <v>8</v>
      </c>
      <c r="O9234" s="2">
        <v>44349</v>
      </c>
    </row>
    <row r="9235" spans="1:15" ht="43.2" x14ac:dyDescent="0.3">
      <c r="A9235" s="1" t="s">
        <v>17096</v>
      </c>
      <c r="B9235" s="1" t="str">
        <f>"S K Automotive Ltd"</f>
        <v>S K Automotive Ltd</v>
      </c>
      <c r="C9235" s="1" t="s">
        <v>17097</v>
      </c>
      <c r="D9235" s="1" t="s">
        <v>9924</v>
      </c>
      <c r="E9235" s="1" t="s">
        <v>2623</v>
      </c>
      <c r="F9235" s="1" t="s">
        <v>65</v>
      </c>
      <c r="H9235" s="1" t="s">
        <v>9925</v>
      </c>
      <c r="I9235" s="1" t="s">
        <v>19</v>
      </c>
      <c r="J9235" s="1" t="s">
        <v>67</v>
      </c>
      <c r="K9235" s="1" t="s">
        <v>14</v>
      </c>
      <c r="M9235" s="2">
        <v>42158</v>
      </c>
      <c r="N9235" s="1" t="s">
        <v>8</v>
      </c>
      <c r="O9235" s="1" t="s">
        <v>68</v>
      </c>
    </row>
    <row r="9236" spans="1:15" ht="43.2" x14ac:dyDescent="0.3">
      <c r="A9236" s="1" t="s">
        <v>18105</v>
      </c>
      <c r="B9236" s="1" t="str">
        <f>"K.Tel Gardening Solutions "</f>
        <v xml:space="preserve">K.Tel Gardening Solutions </v>
      </c>
      <c r="C9236" s="1" t="s">
        <v>18106</v>
      </c>
      <c r="F9236" s="1" t="s">
        <v>96</v>
      </c>
      <c r="H9236" s="1" t="s">
        <v>18107</v>
      </c>
      <c r="I9236" s="1" t="s">
        <v>125</v>
      </c>
      <c r="J9236" s="1" t="s">
        <v>67</v>
      </c>
      <c r="K9236" s="1" t="s">
        <v>14</v>
      </c>
      <c r="M9236" s="2">
        <v>42158</v>
      </c>
      <c r="N9236" s="1" t="s">
        <v>8</v>
      </c>
      <c r="O9236" s="1" t="s">
        <v>68</v>
      </c>
    </row>
    <row r="9237" spans="1:15" ht="43.2" x14ac:dyDescent="0.3">
      <c r="A9237" s="1" t="s">
        <v>29031</v>
      </c>
      <c r="B9237" s="1" t="str">
        <f>"Thomas knott"</f>
        <v>Thomas knott</v>
      </c>
      <c r="C9237" s="1" t="s">
        <v>29032</v>
      </c>
      <c r="F9237" s="1" t="s">
        <v>374</v>
      </c>
      <c r="H9237" s="1" t="s">
        <v>28920</v>
      </c>
      <c r="I9237" s="1" t="s">
        <v>5</v>
      </c>
      <c r="J9237" s="1" t="s">
        <v>67</v>
      </c>
      <c r="K9237" s="1" t="s">
        <v>14</v>
      </c>
      <c r="M9237" s="2">
        <v>42158</v>
      </c>
      <c r="N9237" s="1" t="s">
        <v>8</v>
      </c>
      <c r="O9237" s="1" t="s">
        <v>68</v>
      </c>
    </row>
    <row r="9238" spans="1:15" ht="43.2" x14ac:dyDescent="0.3">
      <c r="A9238" s="1" t="s">
        <v>29775</v>
      </c>
      <c r="B9238" s="1" t="str">
        <f>"stephen williams"</f>
        <v>stephen williams</v>
      </c>
      <c r="C9238" s="1" t="s">
        <v>29776</v>
      </c>
      <c r="F9238" s="1" t="s">
        <v>3337</v>
      </c>
      <c r="H9238" s="1" t="s">
        <v>29777</v>
      </c>
      <c r="I9238" s="1" t="s">
        <v>5</v>
      </c>
      <c r="J9238" s="1" t="s">
        <v>67</v>
      </c>
      <c r="K9238" s="1" t="s">
        <v>14</v>
      </c>
      <c r="M9238" s="2">
        <v>42158</v>
      </c>
      <c r="N9238" s="1" t="s">
        <v>8</v>
      </c>
      <c r="O9238" s="1" t="s">
        <v>68</v>
      </c>
    </row>
    <row r="9239" spans="1:15" ht="28.8" x14ac:dyDescent="0.3">
      <c r="A9239" s="1" t="s">
        <v>2154</v>
      </c>
      <c r="B9239" s="1" t="str">
        <f>"Ferryman Ltd."</f>
        <v>Ferryman Ltd.</v>
      </c>
      <c r="C9239" s="1" t="s">
        <v>2155</v>
      </c>
      <c r="D9239" s="1" t="s">
        <v>2156</v>
      </c>
      <c r="E9239" s="1" t="s">
        <v>1676</v>
      </c>
      <c r="F9239" s="1" t="s">
        <v>621</v>
      </c>
      <c r="H9239" s="1" t="s">
        <v>2157</v>
      </c>
      <c r="I9239" s="1" t="s">
        <v>19</v>
      </c>
      <c r="J9239" s="1" t="s">
        <v>6</v>
      </c>
      <c r="K9239" s="1" t="s">
        <v>24</v>
      </c>
      <c r="L9239" s="1">
        <v>2626743</v>
      </c>
      <c r="M9239" s="2">
        <v>42157</v>
      </c>
      <c r="N9239" s="1" t="s">
        <v>8</v>
      </c>
      <c r="O9239" s="2">
        <v>44348</v>
      </c>
    </row>
    <row r="9240" spans="1:15" ht="28.8" x14ac:dyDescent="0.3">
      <c r="A9240" s="1" t="s">
        <v>2158</v>
      </c>
      <c r="B9240" s="1" t="str">
        <f>"S &amp; K MATHEWS LIMITED"</f>
        <v>S &amp; K MATHEWS LIMITED</v>
      </c>
      <c r="C9240" s="1" t="s">
        <v>2159</v>
      </c>
      <c r="D9240" s="1" t="s">
        <v>802</v>
      </c>
      <c r="F9240" s="1" t="s">
        <v>198</v>
      </c>
      <c r="H9240" s="1" t="s">
        <v>2160</v>
      </c>
      <c r="I9240" s="1" t="s">
        <v>19</v>
      </c>
      <c r="J9240" s="1" t="s">
        <v>6</v>
      </c>
      <c r="K9240" s="1" t="s">
        <v>24</v>
      </c>
      <c r="L9240" s="1">
        <v>6857127</v>
      </c>
      <c r="M9240" s="2">
        <v>42157</v>
      </c>
      <c r="N9240" s="1" t="s">
        <v>8</v>
      </c>
      <c r="O9240" s="2">
        <v>44348</v>
      </c>
    </row>
    <row r="9241" spans="1:15" ht="43.2" x14ac:dyDescent="0.3">
      <c r="A9241" s="1" t="s">
        <v>16116</v>
      </c>
      <c r="B9241" s="1" t="str">
        <f>"Mantle's ( Trefeglwys) Ltd"</f>
        <v>Mantle's ( Trefeglwys) Ltd</v>
      </c>
      <c r="C9241" s="1" t="s">
        <v>16117</v>
      </c>
      <c r="D9241" s="1" t="s">
        <v>3142</v>
      </c>
      <c r="F9241" s="1" t="s">
        <v>162</v>
      </c>
      <c r="H9241" s="1" t="s">
        <v>16118</v>
      </c>
      <c r="I9241" s="1" t="s">
        <v>19</v>
      </c>
      <c r="J9241" s="1" t="s">
        <v>67</v>
      </c>
      <c r="K9241" s="1" t="s">
        <v>14</v>
      </c>
      <c r="M9241" s="2">
        <v>42157</v>
      </c>
      <c r="N9241" s="1" t="s">
        <v>8</v>
      </c>
      <c r="O9241" s="1" t="s">
        <v>68</v>
      </c>
    </row>
    <row r="9242" spans="1:15" ht="43.2" x14ac:dyDescent="0.3">
      <c r="A9242" s="1" t="s">
        <v>16119</v>
      </c>
      <c r="B9242" s="1" t="str">
        <f>"Dragon Treecare Ltd"</f>
        <v>Dragon Treecare Ltd</v>
      </c>
      <c r="C9242" s="1" t="s">
        <v>16120</v>
      </c>
      <c r="D9242" s="1" t="s">
        <v>16121</v>
      </c>
      <c r="F9242" s="1" t="s">
        <v>7147</v>
      </c>
      <c r="H9242" s="1" t="s">
        <v>2581</v>
      </c>
      <c r="I9242" s="1" t="s">
        <v>19</v>
      </c>
      <c r="J9242" s="1" t="s">
        <v>67</v>
      </c>
      <c r="K9242" s="1" t="s">
        <v>14</v>
      </c>
      <c r="M9242" s="2">
        <v>42157</v>
      </c>
      <c r="N9242" s="1" t="s">
        <v>8</v>
      </c>
      <c r="O9242" s="1" t="s">
        <v>68</v>
      </c>
    </row>
    <row r="9243" spans="1:15" ht="43.2" x14ac:dyDescent="0.3">
      <c r="A9243" s="1" t="s">
        <v>17087</v>
      </c>
      <c r="B9243" s="1" t="str">
        <f>"SOUTH WALES FORK TRUCKS HIRE LTD"</f>
        <v>SOUTH WALES FORK TRUCKS HIRE LTD</v>
      </c>
      <c r="C9243" s="1" t="s">
        <v>17088</v>
      </c>
      <c r="F9243" s="1" t="s">
        <v>174</v>
      </c>
      <c r="H9243" s="1" t="s">
        <v>1006</v>
      </c>
      <c r="I9243" s="1" t="s">
        <v>19</v>
      </c>
      <c r="J9243" s="1" t="s">
        <v>67</v>
      </c>
      <c r="K9243" s="1" t="s">
        <v>24</v>
      </c>
      <c r="L9243" s="1">
        <v>6429383</v>
      </c>
      <c r="M9243" s="2">
        <v>42157</v>
      </c>
      <c r="N9243" s="1" t="s">
        <v>8</v>
      </c>
      <c r="O9243" s="1" t="s">
        <v>68</v>
      </c>
    </row>
    <row r="9244" spans="1:15" ht="57.6" x14ac:dyDescent="0.3">
      <c r="A9244" s="1" t="s">
        <v>17089</v>
      </c>
      <c r="B9244" s="1" t="str">
        <f>"Caerphilly country borough council"</f>
        <v>Caerphilly country borough council</v>
      </c>
      <c r="C9244" s="1" t="s">
        <v>17090</v>
      </c>
      <c r="D9244" s="1" t="s">
        <v>17091</v>
      </c>
      <c r="F9244" s="1" t="s">
        <v>294</v>
      </c>
      <c r="G9244" s="1" t="s">
        <v>364</v>
      </c>
      <c r="H9244" s="1" t="s">
        <v>17092</v>
      </c>
      <c r="I9244" s="1" t="s">
        <v>188</v>
      </c>
      <c r="J9244" s="1" t="s">
        <v>67</v>
      </c>
      <c r="K9244" s="1" t="s">
        <v>14</v>
      </c>
      <c r="M9244" s="2">
        <v>42157</v>
      </c>
      <c r="N9244" s="1" t="s">
        <v>8</v>
      </c>
      <c r="O9244" s="1" t="s">
        <v>68</v>
      </c>
    </row>
    <row r="9245" spans="1:15" ht="43.2" x14ac:dyDescent="0.3">
      <c r="A9245" s="1" t="s">
        <v>17093</v>
      </c>
      <c r="B9245" s="1" t="str">
        <f>"Cherish - your home and garden"</f>
        <v>Cherish - your home and garden</v>
      </c>
      <c r="C9245" s="1" t="s">
        <v>17094</v>
      </c>
      <c r="F9245" s="1" t="s">
        <v>1175</v>
      </c>
      <c r="H9245" s="1" t="s">
        <v>17095</v>
      </c>
      <c r="I9245" s="1" t="s">
        <v>125</v>
      </c>
      <c r="J9245" s="1" t="s">
        <v>67</v>
      </c>
      <c r="K9245" s="1" t="s">
        <v>14</v>
      </c>
      <c r="M9245" s="2">
        <v>42157</v>
      </c>
      <c r="N9245" s="1" t="s">
        <v>8</v>
      </c>
      <c r="O9245" s="1" t="s">
        <v>68</v>
      </c>
    </row>
    <row r="9246" spans="1:15" ht="43.2" x14ac:dyDescent="0.3">
      <c r="A9246" s="1" t="s">
        <v>28256</v>
      </c>
      <c r="B9246" s="1" t="str">
        <f>"ROGER KIDD"</f>
        <v>ROGER KIDD</v>
      </c>
      <c r="C9246" s="1" t="s">
        <v>28257</v>
      </c>
      <c r="F9246" s="1" t="s">
        <v>3426</v>
      </c>
      <c r="H9246" s="1" t="s">
        <v>28258</v>
      </c>
      <c r="I9246" s="1" t="s">
        <v>5</v>
      </c>
      <c r="J9246" s="1" t="s">
        <v>67</v>
      </c>
      <c r="K9246" s="1" t="s">
        <v>14</v>
      </c>
      <c r="M9246" s="2">
        <v>42157</v>
      </c>
      <c r="N9246" s="1" t="s">
        <v>8</v>
      </c>
      <c r="O9246" s="1" t="s">
        <v>68</v>
      </c>
    </row>
    <row r="9247" spans="1:15" ht="43.2" x14ac:dyDescent="0.3">
      <c r="A9247" s="1" t="s">
        <v>28259</v>
      </c>
      <c r="B9247" s="1" t="str">
        <f>"David Ware"</f>
        <v>David Ware</v>
      </c>
      <c r="C9247" s="1" t="s">
        <v>28260</v>
      </c>
      <c r="F9247" s="1" t="s">
        <v>621</v>
      </c>
      <c r="H9247" s="1" t="s">
        <v>28261</v>
      </c>
      <c r="I9247" s="1" t="s">
        <v>5</v>
      </c>
      <c r="J9247" s="1" t="s">
        <v>67</v>
      </c>
      <c r="K9247" s="1" t="s">
        <v>24</v>
      </c>
      <c r="M9247" s="2">
        <v>42157</v>
      </c>
      <c r="N9247" s="1" t="s">
        <v>8</v>
      </c>
      <c r="O9247" s="1" t="s">
        <v>68</v>
      </c>
    </row>
    <row r="9248" spans="1:15" ht="43.2" x14ac:dyDescent="0.3">
      <c r="A9248" s="1" t="s">
        <v>29026</v>
      </c>
      <c r="B9248" s="1" t="str">
        <f>"Graham Edwards"</f>
        <v>Graham Edwards</v>
      </c>
      <c r="C9248" s="1" t="s">
        <v>29027</v>
      </c>
      <c r="F9248" s="1" t="s">
        <v>1700</v>
      </c>
      <c r="H9248" s="1" t="s">
        <v>1701</v>
      </c>
      <c r="I9248" s="1" t="s">
        <v>5</v>
      </c>
      <c r="J9248" s="1" t="s">
        <v>67</v>
      </c>
      <c r="K9248" s="1" t="s">
        <v>24</v>
      </c>
      <c r="M9248" s="2">
        <v>42157</v>
      </c>
      <c r="N9248" s="1" t="s">
        <v>8</v>
      </c>
      <c r="O9248" s="1" t="s">
        <v>68</v>
      </c>
    </row>
    <row r="9249" spans="1:15" ht="43.2" x14ac:dyDescent="0.3">
      <c r="A9249" s="1" t="s">
        <v>29028</v>
      </c>
      <c r="B9249" s="1" t="str">
        <f>"Stephen Walsh"</f>
        <v>Stephen Walsh</v>
      </c>
      <c r="C9249" s="1" t="s">
        <v>29029</v>
      </c>
      <c r="F9249" s="1" t="s">
        <v>996</v>
      </c>
      <c r="H9249" s="1" t="s">
        <v>29030</v>
      </c>
      <c r="I9249" s="1" t="s">
        <v>5</v>
      </c>
      <c r="J9249" s="1" t="s">
        <v>67</v>
      </c>
      <c r="K9249" s="1" t="s">
        <v>14</v>
      </c>
      <c r="M9249" s="2">
        <v>42157</v>
      </c>
      <c r="N9249" s="1" t="s">
        <v>8</v>
      </c>
      <c r="O9249" s="1" t="s">
        <v>68</v>
      </c>
    </row>
    <row r="9250" spans="1:15" ht="28.8" x14ac:dyDescent="0.3">
      <c r="A9250" s="1" t="s">
        <v>31351</v>
      </c>
      <c r="B9250" s="1" t="str">
        <f>"SAM DRYLINING LTD"</f>
        <v>SAM DRYLINING LTD</v>
      </c>
      <c r="C9250" s="1" t="s">
        <v>31352</v>
      </c>
      <c r="F9250" s="1" t="s">
        <v>2489</v>
      </c>
      <c r="H9250" s="1" t="s">
        <v>31353</v>
      </c>
      <c r="I9250" s="1" t="s">
        <v>19</v>
      </c>
      <c r="J9250" s="1" t="s">
        <v>6</v>
      </c>
      <c r="K9250" s="1" t="s">
        <v>34</v>
      </c>
      <c r="L9250" s="1">
        <v>6357135</v>
      </c>
      <c r="M9250" s="2">
        <v>42157</v>
      </c>
      <c r="N9250" s="1" t="s">
        <v>8</v>
      </c>
      <c r="O9250" s="2">
        <v>44349</v>
      </c>
    </row>
    <row r="9251" spans="1:15" ht="28.8" x14ac:dyDescent="0.3">
      <c r="A9251" s="1" t="s">
        <v>2161</v>
      </c>
      <c r="B9251" s="1" t="str">
        <f>"Industrial GRP Ltd"</f>
        <v>Industrial GRP Ltd</v>
      </c>
      <c r="C9251" s="1" t="s">
        <v>2162</v>
      </c>
      <c r="F9251" s="1" t="s">
        <v>12</v>
      </c>
      <c r="H9251" s="1" t="s">
        <v>2163</v>
      </c>
      <c r="I9251" s="1" t="s">
        <v>19</v>
      </c>
      <c r="J9251" s="1" t="s">
        <v>6</v>
      </c>
      <c r="K9251" s="1" t="s">
        <v>34</v>
      </c>
      <c r="L9251" s="1">
        <v>3826901</v>
      </c>
      <c r="M9251" s="2">
        <v>42156</v>
      </c>
      <c r="N9251" s="1" t="s">
        <v>8</v>
      </c>
      <c r="O9251" s="2">
        <v>44347</v>
      </c>
    </row>
    <row r="9252" spans="1:15" ht="43.2" x14ac:dyDescent="0.3">
      <c r="A9252" s="1" t="s">
        <v>15131</v>
      </c>
      <c r="B9252" s="1" t="str">
        <f>"Clwyd fire Protection ltd"</f>
        <v>Clwyd fire Protection ltd</v>
      </c>
      <c r="C9252" s="1" t="s">
        <v>15132</v>
      </c>
      <c r="F9252" s="1" t="s">
        <v>214</v>
      </c>
      <c r="H9252" s="1" t="s">
        <v>15133</v>
      </c>
      <c r="I9252" s="1" t="s">
        <v>19</v>
      </c>
      <c r="J9252" s="1" t="s">
        <v>67</v>
      </c>
      <c r="K9252" s="1" t="s">
        <v>14</v>
      </c>
      <c r="M9252" s="2">
        <v>42156</v>
      </c>
      <c r="N9252" s="1" t="s">
        <v>8</v>
      </c>
      <c r="O9252" s="1" t="s">
        <v>68</v>
      </c>
    </row>
    <row r="9253" spans="1:15" ht="43.2" x14ac:dyDescent="0.3">
      <c r="A9253" s="1" t="s">
        <v>28253</v>
      </c>
      <c r="B9253" s="1" t="str">
        <f>"shane hammond"</f>
        <v>shane hammond</v>
      </c>
      <c r="C9253" s="1" t="s">
        <v>28254</v>
      </c>
      <c r="F9253" s="1" t="s">
        <v>1880</v>
      </c>
      <c r="H9253" s="1" t="s">
        <v>28255</v>
      </c>
      <c r="I9253" s="1" t="s">
        <v>5</v>
      </c>
      <c r="J9253" s="1" t="s">
        <v>67</v>
      </c>
      <c r="K9253" s="1" t="s">
        <v>14</v>
      </c>
      <c r="M9253" s="2">
        <v>42156</v>
      </c>
      <c r="N9253" s="1" t="s">
        <v>8</v>
      </c>
      <c r="O9253" s="1" t="s">
        <v>68</v>
      </c>
    </row>
    <row r="9254" spans="1:15" ht="28.8" x14ac:dyDescent="0.3">
      <c r="A9254" s="1" t="s">
        <v>31348</v>
      </c>
      <c r="B9254" s="1" t="str">
        <f>"Old Mill Environmental Recycling Ltd"</f>
        <v>Old Mill Environmental Recycling Ltd</v>
      </c>
      <c r="C9254" s="1" t="s">
        <v>31349</v>
      </c>
      <c r="F9254" s="1" t="s">
        <v>211</v>
      </c>
      <c r="H9254" s="1" t="s">
        <v>31350</v>
      </c>
      <c r="I9254" s="1" t="s">
        <v>19</v>
      </c>
      <c r="J9254" s="1" t="s">
        <v>6</v>
      </c>
      <c r="K9254" s="1" t="s">
        <v>34</v>
      </c>
      <c r="L9254" s="1">
        <v>5947447</v>
      </c>
      <c r="M9254" s="2">
        <v>42156</v>
      </c>
      <c r="N9254" s="1" t="s">
        <v>8</v>
      </c>
      <c r="O9254" s="2">
        <v>44348</v>
      </c>
    </row>
    <row r="9255" spans="1:15" ht="28.8" x14ac:dyDescent="0.3">
      <c r="A9255" s="1" t="s">
        <v>31415</v>
      </c>
      <c r="B9255" s="1" t="str">
        <f>"Ross &amp; Hughes Carpets Ltd."</f>
        <v>Ross &amp; Hughes Carpets Ltd.</v>
      </c>
      <c r="C9255" s="1" t="s">
        <v>31416</v>
      </c>
      <c r="D9255" s="1" t="s">
        <v>31417</v>
      </c>
      <c r="E9255" s="1" t="s">
        <v>17737</v>
      </c>
      <c r="F9255" s="1" t="s">
        <v>710</v>
      </c>
      <c r="G9255" s="1" t="s">
        <v>3</v>
      </c>
      <c r="H9255" s="1" t="s">
        <v>9192</v>
      </c>
      <c r="I9255" s="1" t="s">
        <v>19</v>
      </c>
      <c r="J9255" s="1" t="s">
        <v>6</v>
      </c>
      <c r="K9255" s="1" t="s">
        <v>24</v>
      </c>
      <c r="L9255" s="1">
        <v>4184655</v>
      </c>
      <c r="M9255" s="2">
        <v>42156</v>
      </c>
      <c r="N9255" s="1" t="s">
        <v>8</v>
      </c>
      <c r="O9255" s="2">
        <v>44348</v>
      </c>
    </row>
    <row r="9256" spans="1:15" ht="43.2" x14ac:dyDescent="0.3">
      <c r="A9256" s="1" t="s">
        <v>31501</v>
      </c>
      <c r="B9256" s="1" t="str">
        <f>"Intervention Services Ltd."</f>
        <v>Intervention Services Ltd.</v>
      </c>
      <c r="C9256" s="1" t="s">
        <v>31502</v>
      </c>
      <c r="D9256" s="1" t="s">
        <v>934</v>
      </c>
      <c r="F9256" s="1" t="s">
        <v>873</v>
      </c>
      <c r="H9256" s="1" t="s">
        <v>11805</v>
      </c>
      <c r="I9256" s="1" t="s">
        <v>19</v>
      </c>
      <c r="J9256" s="1" t="s">
        <v>6</v>
      </c>
      <c r="K9256" s="1" t="s">
        <v>24</v>
      </c>
      <c r="L9256" s="1">
        <v>4539867</v>
      </c>
      <c r="M9256" s="2">
        <v>42156</v>
      </c>
      <c r="N9256" s="1" t="s">
        <v>8</v>
      </c>
      <c r="O9256" s="2">
        <v>44347</v>
      </c>
    </row>
    <row r="9257" spans="1:15" ht="43.2" x14ac:dyDescent="0.3">
      <c r="A9257" s="1" t="s">
        <v>27473</v>
      </c>
      <c r="B9257" s="1" t="str">
        <f>"David Glyn Bodden"</f>
        <v>David Glyn Bodden</v>
      </c>
      <c r="C9257" s="1" t="s">
        <v>27474</v>
      </c>
      <c r="F9257" s="1" t="s">
        <v>42</v>
      </c>
      <c r="H9257" s="1" t="s">
        <v>27475</v>
      </c>
      <c r="I9257" s="1" t="s">
        <v>5</v>
      </c>
      <c r="J9257" s="1" t="s">
        <v>67</v>
      </c>
      <c r="K9257" s="1" t="s">
        <v>24</v>
      </c>
      <c r="M9257" s="2">
        <v>42155</v>
      </c>
      <c r="N9257" s="1" t="s">
        <v>8</v>
      </c>
      <c r="O9257" s="1" t="s">
        <v>68</v>
      </c>
    </row>
    <row r="9258" spans="1:15" ht="43.2" x14ac:dyDescent="0.3">
      <c r="A9258" s="1" t="s">
        <v>27465</v>
      </c>
      <c r="B9258" s="1" t="str">
        <f>"Helen Kendall"</f>
        <v>Helen Kendall</v>
      </c>
      <c r="C9258" s="1" t="s">
        <v>27466</v>
      </c>
      <c r="F9258" s="1" t="s">
        <v>865</v>
      </c>
      <c r="H9258" s="1" t="s">
        <v>27467</v>
      </c>
      <c r="I9258" s="1" t="s">
        <v>5</v>
      </c>
      <c r="J9258" s="1" t="s">
        <v>67</v>
      </c>
      <c r="K9258" s="1" t="s">
        <v>14</v>
      </c>
      <c r="M9258" s="2">
        <v>42154</v>
      </c>
      <c r="N9258" s="1" t="s">
        <v>8</v>
      </c>
      <c r="O9258" s="1" t="s">
        <v>68</v>
      </c>
    </row>
    <row r="9259" spans="1:15" ht="43.2" x14ac:dyDescent="0.3">
      <c r="A9259" s="1" t="s">
        <v>27468</v>
      </c>
      <c r="B9259" s="1" t="str">
        <f>"tommy mochan"</f>
        <v>tommy mochan</v>
      </c>
      <c r="C9259" s="1" t="s">
        <v>27469</v>
      </c>
      <c r="F9259" s="1" t="s">
        <v>865</v>
      </c>
      <c r="H9259" s="1" t="s">
        <v>565</v>
      </c>
      <c r="I9259" s="1" t="s">
        <v>5</v>
      </c>
      <c r="J9259" s="1" t="s">
        <v>67</v>
      </c>
      <c r="K9259" s="1" t="s">
        <v>14</v>
      </c>
      <c r="M9259" s="2">
        <v>42154</v>
      </c>
      <c r="N9259" s="1" t="s">
        <v>8</v>
      </c>
      <c r="O9259" s="1" t="s">
        <v>68</v>
      </c>
    </row>
    <row r="9260" spans="1:15" ht="43.2" x14ac:dyDescent="0.3">
      <c r="A9260" s="1" t="s">
        <v>27470</v>
      </c>
      <c r="B9260" s="1" t="str">
        <f>"adam james A&amp;J RUBBISH REMOVAL "</f>
        <v xml:space="preserve">adam james A&amp;J RUBBISH REMOVAL </v>
      </c>
      <c r="C9260" s="1" t="s">
        <v>27471</v>
      </c>
      <c r="F9260" s="1" t="s">
        <v>27</v>
      </c>
      <c r="H9260" s="1" t="s">
        <v>27472</v>
      </c>
      <c r="I9260" s="1" t="s">
        <v>5</v>
      </c>
      <c r="J9260" s="1" t="s">
        <v>67</v>
      </c>
      <c r="K9260" s="1" t="s">
        <v>24</v>
      </c>
      <c r="M9260" s="2">
        <v>42154</v>
      </c>
      <c r="N9260" s="1" t="s">
        <v>8</v>
      </c>
      <c r="O9260" s="1" t="s">
        <v>68</v>
      </c>
    </row>
    <row r="9261" spans="1:15" ht="43.2" x14ac:dyDescent="0.3">
      <c r="A9261" s="1" t="s">
        <v>14245</v>
      </c>
      <c r="B9261" s="1" t="str">
        <f>"K J HIRE  &amp;  SALES LTD"</f>
        <v>K J HIRE  &amp;  SALES LTD</v>
      </c>
      <c r="C9261" s="1" t="s">
        <v>3794</v>
      </c>
      <c r="F9261" s="1" t="s">
        <v>65</v>
      </c>
      <c r="H9261" s="1" t="s">
        <v>3795</v>
      </c>
      <c r="I9261" s="1" t="s">
        <v>19</v>
      </c>
      <c r="J9261" s="1" t="s">
        <v>67</v>
      </c>
      <c r="K9261" s="1" t="s">
        <v>34</v>
      </c>
      <c r="L9261" s="1">
        <v>4983464</v>
      </c>
      <c r="M9261" s="2">
        <v>42153</v>
      </c>
      <c r="N9261" s="1" t="s">
        <v>8</v>
      </c>
      <c r="O9261" s="1" t="s">
        <v>68</v>
      </c>
    </row>
    <row r="9262" spans="1:15" ht="43.2" x14ac:dyDescent="0.3">
      <c r="A9262" s="1" t="s">
        <v>15127</v>
      </c>
      <c r="B9262" s="1" t="str">
        <f>"4 Seasons Tree &amp; Garden Services Lt"</f>
        <v>4 Seasons Tree &amp; Garden Services Lt</v>
      </c>
      <c r="C9262" s="1" t="s">
        <v>15128</v>
      </c>
      <c r="D9262" s="1" t="s">
        <v>15129</v>
      </c>
      <c r="F9262" s="1" t="s">
        <v>786</v>
      </c>
      <c r="H9262" s="1" t="s">
        <v>15130</v>
      </c>
      <c r="I9262" s="1" t="s">
        <v>19</v>
      </c>
      <c r="J9262" s="1" t="s">
        <v>67</v>
      </c>
      <c r="K9262" s="1" t="s">
        <v>14</v>
      </c>
      <c r="M9262" s="2">
        <v>42153</v>
      </c>
      <c r="N9262" s="1" t="s">
        <v>8</v>
      </c>
      <c r="O9262" s="1" t="s">
        <v>68</v>
      </c>
    </row>
    <row r="9263" spans="1:15" ht="28.8" x14ac:dyDescent="0.3">
      <c r="A9263" s="1" t="s">
        <v>30352</v>
      </c>
      <c r="B9263" s="1" t="str">
        <f>"Paul Jones"</f>
        <v>Paul Jones</v>
      </c>
      <c r="C9263" s="1" t="s">
        <v>30353</v>
      </c>
      <c r="F9263" s="1" t="s">
        <v>65</v>
      </c>
      <c r="H9263" s="1" t="s">
        <v>30354</v>
      </c>
      <c r="I9263" s="1" t="s">
        <v>5</v>
      </c>
      <c r="J9263" s="1" t="s">
        <v>6</v>
      </c>
      <c r="K9263" s="1" t="s">
        <v>24</v>
      </c>
      <c r="M9263" s="2">
        <v>42153</v>
      </c>
      <c r="N9263" s="1" t="s">
        <v>8</v>
      </c>
      <c r="O9263" s="2">
        <v>44344</v>
      </c>
    </row>
    <row r="9264" spans="1:15" ht="28.8" x14ac:dyDescent="0.3">
      <c r="A9264" s="1" t="s">
        <v>30355</v>
      </c>
      <c r="B9264" s="1" t="str">
        <f>"Rhodes Property Services Ltd."</f>
        <v>Rhodes Property Services Ltd.</v>
      </c>
      <c r="C9264" s="1" t="s">
        <v>30356</v>
      </c>
      <c r="F9264" s="1" t="s">
        <v>380</v>
      </c>
      <c r="H9264" s="1" t="s">
        <v>30357</v>
      </c>
      <c r="I9264" s="1" t="s">
        <v>19</v>
      </c>
      <c r="J9264" s="1" t="s">
        <v>6</v>
      </c>
      <c r="K9264" s="1" t="s">
        <v>24</v>
      </c>
      <c r="L9264" s="1">
        <v>4380749</v>
      </c>
      <c r="M9264" s="2">
        <v>42153</v>
      </c>
      <c r="N9264" s="1" t="s">
        <v>8</v>
      </c>
      <c r="O9264" s="2">
        <v>44344</v>
      </c>
    </row>
    <row r="9265" spans="1:15" ht="43.2" x14ac:dyDescent="0.3">
      <c r="A9265" s="1" t="s">
        <v>25854</v>
      </c>
      <c r="B9265" s="1" t="str">
        <f>"jody james"</f>
        <v>jody james</v>
      </c>
      <c r="C9265" s="1" t="s">
        <v>25855</v>
      </c>
      <c r="F9265" s="1" t="s">
        <v>91</v>
      </c>
      <c r="H9265" s="1" t="s">
        <v>25856</v>
      </c>
      <c r="I9265" s="1" t="s">
        <v>5</v>
      </c>
      <c r="J9265" s="1" t="s">
        <v>67</v>
      </c>
      <c r="K9265" s="1" t="s">
        <v>14</v>
      </c>
      <c r="M9265" s="2">
        <v>42152</v>
      </c>
      <c r="N9265" s="1" t="s">
        <v>8</v>
      </c>
      <c r="O9265" s="1" t="s">
        <v>68</v>
      </c>
    </row>
    <row r="9266" spans="1:15" ht="43.2" x14ac:dyDescent="0.3">
      <c r="A9266" s="1" t="s">
        <v>25857</v>
      </c>
      <c r="B9266" s="1" t="str">
        <f>"Rose  Vyvyan-Robinson"</f>
        <v>Rose  Vyvyan-Robinson</v>
      </c>
      <c r="C9266" s="1" t="s">
        <v>11875</v>
      </c>
      <c r="F9266" s="1" t="s">
        <v>3415</v>
      </c>
      <c r="H9266" s="1" t="s">
        <v>11876</v>
      </c>
      <c r="I9266" s="1" t="s">
        <v>5</v>
      </c>
      <c r="J9266" s="1" t="s">
        <v>67</v>
      </c>
      <c r="K9266" s="1" t="s">
        <v>14</v>
      </c>
      <c r="M9266" s="2">
        <v>42152</v>
      </c>
      <c r="N9266" s="1" t="s">
        <v>8</v>
      </c>
      <c r="O9266" s="1" t="s">
        <v>68</v>
      </c>
    </row>
    <row r="9267" spans="1:15" ht="43.2" x14ac:dyDescent="0.3">
      <c r="A9267" s="1" t="s">
        <v>26600</v>
      </c>
      <c r="B9267" s="1" t="str">
        <f>"peter osborne"</f>
        <v>peter osborne</v>
      </c>
      <c r="C9267" s="1" t="s">
        <v>26601</v>
      </c>
      <c r="F9267" s="1" t="s">
        <v>27</v>
      </c>
      <c r="H9267" s="1" t="s">
        <v>26602</v>
      </c>
      <c r="I9267" s="1" t="s">
        <v>5</v>
      </c>
      <c r="J9267" s="1" t="s">
        <v>67</v>
      </c>
      <c r="K9267" s="1" t="s">
        <v>14</v>
      </c>
      <c r="M9267" s="2">
        <v>42152</v>
      </c>
      <c r="N9267" s="1" t="s">
        <v>8</v>
      </c>
      <c r="O9267" s="1" t="s">
        <v>68</v>
      </c>
    </row>
    <row r="9268" spans="1:15" ht="43.2" x14ac:dyDescent="0.3">
      <c r="A9268" s="1" t="s">
        <v>26603</v>
      </c>
      <c r="B9268" s="1" t="str">
        <f>"carl richards"</f>
        <v>carl richards</v>
      </c>
      <c r="C9268" s="1" t="s">
        <v>26604</v>
      </c>
      <c r="F9268" s="1" t="s">
        <v>3611</v>
      </c>
      <c r="H9268" s="1" t="s">
        <v>26605</v>
      </c>
      <c r="I9268" s="1" t="s">
        <v>5</v>
      </c>
      <c r="J9268" s="1" t="s">
        <v>67</v>
      </c>
      <c r="K9268" s="1" t="s">
        <v>14</v>
      </c>
      <c r="M9268" s="2">
        <v>42152</v>
      </c>
      <c r="N9268" s="1" t="s">
        <v>8</v>
      </c>
      <c r="O9268" s="1" t="s">
        <v>68</v>
      </c>
    </row>
    <row r="9269" spans="1:15" ht="28.8" x14ac:dyDescent="0.3">
      <c r="A9269" s="1" t="s">
        <v>32348</v>
      </c>
      <c r="B9269" s="1" t="str">
        <f>"NORTH WALES SKIP HIRE LIMITED"</f>
        <v>NORTH WALES SKIP HIRE LIMITED</v>
      </c>
      <c r="C9269" s="1" t="s">
        <v>1127</v>
      </c>
      <c r="D9269" s="1" t="s">
        <v>921</v>
      </c>
      <c r="E9269" s="1" t="s">
        <v>5613</v>
      </c>
      <c r="F9269" s="1" t="s">
        <v>1169</v>
      </c>
      <c r="H9269" s="1" t="s">
        <v>5614</v>
      </c>
      <c r="I9269" s="1" t="s">
        <v>19</v>
      </c>
      <c r="J9269" s="1" t="s">
        <v>6</v>
      </c>
      <c r="K9269" s="1" t="s">
        <v>24</v>
      </c>
      <c r="L9269" s="1">
        <v>8083860</v>
      </c>
      <c r="M9269" s="2">
        <v>42152</v>
      </c>
      <c r="N9269" s="1" t="s">
        <v>8</v>
      </c>
      <c r="O9269" s="2">
        <v>44344</v>
      </c>
    </row>
    <row r="9270" spans="1:15" ht="43.2" x14ac:dyDescent="0.3">
      <c r="A9270" s="1" t="s">
        <v>13309</v>
      </c>
      <c r="B9270" s="1" t="str">
        <f>"Alpha Fence"</f>
        <v>Alpha Fence</v>
      </c>
      <c r="C9270" s="1" t="s">
        <v>13310</v>
      </c>
      <c r="F9270" s="1" t="s">
        <v>230</v>
      </c>
      <c r="H9270" s="1" t="s">
        <v>13311</v>
      </c>
      <c r="I9270" s="1" t="s">
        <v>19</v>
      </c>
      <c r="J9270" s="1" t="s">
        <v>67</v>
      </c>
      <c r="K9270" s="1" t="s">
        <v>14</v>
      </c>
      <c r="M9270" s="2">
        <v>42151</v>
      </c>
      <c r="N9270" s="1" t="s">
        <v>8</v>
      </c>
      <c r="O9270" s="1" t="s">
        <v>68</v>
      </c>
    </row>
    <row r="9271" spans="1:15" ht="43.2" x14ac:dyDescent="0.3">
      <c r="A9271" s="1" t="s">
        <v>25847</v>
      </c>
      <c r="B9271" s="1" t="str">
        <f>"dawn porter "</f>
        <v xml:space="preserve">dawn porter </v>
      </c>
      <c r="C9271" s="1" t="s">
        <v>25848</v>
      </c>
      <c r="D9271" s="1" t="s">
        <v>25849</v>
      </c>
      <c r="F9271" s="1" t="s">
        <v>22723</v>
      </c>
      <c r="H9271" s="1" t="s">
        <v>25850</v>
      </c>
      <c r="I9271" s="1" t="s">
        <v>5</v>
      </c>
      <c r="J9271" s="1" t="s">
        <v>67</v>
      </c>
      <c r="K9271" s="1" t="s">
        <v>14</v>
      </c>
      <c r="M9271" s="2">
        <v>42151</v>
      </c>
      <c r="N9271" s="1" t="s">
        <v>8</v>
      </c>
      <c r="O9271" s="1" t="s">
        <v>68</v>
      </c>
    </row>
    <row r="9272" spans="1:15" ht="57.6" x14ac:dyDescent="0.3">
      <c r="A9272" s="1" t="s">
        <v>25851</v>
      </c>
      <c r="B9272" s="1" t="str">
        <f>"Andrew Mc Harrie"</f>
        <v>Andrew Mc Harrie</v>
      </c>
      <c r="C9272" s="1" t="s">
        <v>25852</v>
      </c>
      <c r="F9272" s="1" t="s">
        <v>532</v>
      </c>
      <c r="H9272" s="1" t="s">
        <v>25853</v>
      </c>
      <c r="I9272" s="1" t="s">
        <v>5</v>
      </c>
      <c r="J9272" s="1" t="s">
        <v>67</v>
      </c>
      <c r="K9272" s="1" t="s">
        <v>24</v>
      </c>
      <c r="M9272" s="2">
        <v>42151</v>
      </c>
      <c r="N9272" s="1" t="s">
        <v>8</v>
      </c>
      <c r="O9272" s="1" t="s">
        <v>68</v>
      </c>
    </row>
    <row r="9273" spans="1:15" ht="28.8" x14ac:dyDescent="0.3">
      <c r="A9273" s="1" t="s">
        <v>30350</v>
      </c>
      <c r="B9273" s="1" t="str">
        <f>"G D  Environmental Services Ltd."</f>
        <v>G D  Environmental Services Ltd.</v>
      </c>
      <c r="C9273" s="1" t="s">
        <v>30351</v>
      </c>
      <c r="F9273" s="1" t="s">
        <v>156</v>
      </c>
      <c r="H9273" s="1" t="s">
        <v>1565</v>
      </c>
      <c r="I9273" s="1" t="s">
        <v>19</v>
      </c>
      <c r="J9273" s="1" t="s">
        <v>6</v>
      </c>
      <c r="K9273" s="1" t="s">
        <v>34</v>
      </c>
      <c r="L9273" s="1">
        <v>4704681</v>
      </c>
      <c r="M9273" s="2">
        <v>42151</v>
      </c>
      <c r="N9273" s="1" t="s">
        <v>8</v>
      </c>
      <c r="O9273" s="2">
        <v>44342</v>
      </c>
    </row>
    <row r="9274" spans="1:15" ht="28.8" x14ac:dyDescent="0.3">
      <c r="A9274" s="1" t="s">
        <v>2272</v>
      </c>
      <c r="B9274" s="1" t="str">
        <f>"Ishmael Roberts WERN METALS"</f>
        <v>Ishmael Roberts WERN METALS</v>
      </c>
      <c r="C9274" s="1" t="s">
        <v>2273</v>
      </c>
      <c r="F9274" s="1" t="s">
        <v>1230</v>
      </c>
      <c r="H9274" s="1" t="s">
        <v>2274</v>
      </c>
      <c r="I9274" s="1" t="s">
        <v>5</v>
      </c>
      <c r="J9274" s="1" t="s">
        <v>6</v>
      </c>
      <c r="K9274" s="1" t="s">
        <v>24</v>
      </c>
      <c r="M9274" s="2">
        <v>42150</v>
      </c>
      <c r="N9274" s="1" t="s">
        <v>8</v>
      </c>
      <c r="O9274" s="2">
        <v>44340</v>
      </c>
    </row>
    <row r="9275" spans="1:15" ht="43.2" x14ac:dyDescent="0.3">
      <c r="A9275" s="1" t="s">
        <v>12212</v>
      </c>
      <c r="B9275" s="1" t="str">
        <f>"Infinite Solution"</f>
        <v>Infinite Solution</v>
      </c>
      <c r="C9275" s="1" t="s">
        <v>12213</v>
      </c>
      <c r="F9275" s="1" t="s">
        <v>27</v>
      </c>
      <c r="H9275" s="1" t="s">
        <v>12214</v>
      </c>
      <c r="I9275" s="1" t="s">
        <v>125</v>
      </c>
      <c r="J9275" s="1" t="s">
        <v>67</v>
      </c>
      <c r="K9275" s="1" t="s">
        <v>24</v>
      </c>
      <c r="M9275" s="2">
        <v>42150</v>
      </c>
      <c r="N9275" s="1" t="s">
        <v>8</v>
      </c>
      <c r="O9275" s="1" t="s">
        <v>68</v>
      </c>
    </row>
    <row r="9276" spans="1:15" ht="43.2" x14ac:dyDescent="0.3">
      <c r="A9276" s="1" t="s">
        <v>12215</v>
      </c>
      <c r="B9276" s="1" t="str">
        <f>"Age Concern Havering"</f>
        <v>Age Concern Havering</v>
      </c>
      <c r="C9276" s="1" t="s">
        <v>12216</v>
      </c>
      <c r="F9276" s="1" t="s">
        <v>12217</v>
      </c>
      <c r="H9276" s="1" t="s">
        <v>12218</v>
      </c>
      <c r="I9276" s="1" t="s">
        <v>1872</v>
      </c>
      <c r="J9276" s="1" t="s">
        <v>67</v>
      </c>
      <c r="K9276" s="1" t="s">
        <v>14</v>
      </c>
      <c r="M9276" s="2">
        <v>42150</v>
      </c>
      <c r="N9276" s="1" t="s">
        <v>8</v>
      </c>
      <c r="O9276" s="1" t="s">
        <v>68</v>
      </c>
    </row>
    <row r="9277" spans="1:15" ht="43.2" x14ac:dyDescent="0.3">
      <c r="A9277" s="1" t="s">
        <v>25150</v>
      </c>
      <c r="B9277" s="1" t="str">
        <f>"jonathan matthews"</f>
        <v>jonathan matthews</v>
      </c>
      <c r="C9277" s="1" t="s">
        <v>25151</v>
      </c>
      <c r="D9277" s="1" t="s">
        <v>25152</v>
      </c>
      <c r="F9277" s="1" t="s">
        <v>174</v>
      </c>
      <c r="H9277" s="1" t="s">
        <v>25153</v>
      </c>
      <c r="I9277" s="1" t="s">
        <v>5</v>
      </c>
      <c r="J9277" s="1" t="s">
        <v>67</v>
      </c>
      <c r="K9277" s="1" t="s">
        <v>14</v>
      </c>
      <c r="M9277" s="2">
        <v>42150</v>
      </c>
      <c r="N9277" s="1" t="s">
        <v>8</v>
      </c>
      <c r="O9277" s="1" t="s">
        <v>68</v>
      </c>
    </row>
    <row r="9278" spans="1:15" ht="43.2" x14ac:dyDescent="0.3">
      <c r="A9278" s="1" t="s">
        <v>25844</v>
      </c>
      <c r="B9278" s="1" t="str">
        <f>"lee watkins"</f>
        <v>lee watkins</v>
      </c>
      <c r="C9278" s="1" t="s">
        <v>25845</v>
      </c>
      <c r="F9278" s="1" t="s">
        <v>174</v>
      </c>
      <c r="H9278" s="1" t="s">
        <v>25846</v>
      </c>
      <c r="I9278" s="1" t="s">
        <v>5</v>
      </c>
      <c r="J9278" s="1" t="s">
        <v>67</v>
      </c>
      <c r="K9278" s="1" t="s">
        <v>14</v>
      </c>
      <c r="M9278" s="2">
        <v>42150</v>
      </c>
      <c r="N9278" s="1" t="s">
        <v>8</v>
      </c>
      <c r="O9278" s="1" t="s">
        <v>68</v>
      </c>
    </row>
    <row r="9279" spans="1:15" ht="28.8" x14ac:dyDescent="0.3">
      <c r="A9279" s="1" t="s">
        <v>30344</v>
      </c>
      <c r="B9279" s="1" t="str">
        <f>"R&amp;L Group"</f>
        <v>R&amp;L Group</v>
      </c>
      <c r="C9279" s="1" t="s">
        <v>30345</v>
      </c>
      <c r="F9279" s="1" t="s">
        <v>64</v>
      </c>
      <c r="H9279" s="1" t="s">
        <v>30346</v>
      </c>
      <c r="I9279" s="1" t="s">
        <v>19</v>
      </c>
      <c r="J9279" s="1" t="s">
        <v>6</v>
      </c>
      <c r="K9279" s="1" t="s">
        <v>24</v>
      </c>
      <c r="L9279" s="1">
        <v>7572250</v>
      </c>
      <c r="M9279" s="2">
        <v>42150</v>
      </c>
      <c r="N9279" s="1" t="s">
        <v>8</v>
      </c>
      <c r="O9279" s="2">
        <v>44341</v>
      </c>
    </row>
    <row r="9280" spans="1:15" ht="28.8" x14ac:dyDescent="0.3">
      <c r="A9280" s="1" t="s">
        <v>30347</v>
      </c>
      <c r="B9280" s="1" t="str">
        <f>"CHESHIRE TARMAC &amp; DRIVEWAYS LTD"</f>
        <v>CHESHIRE TARMAC &amp; DRIVEWAYS LTD</v>
      </c>
      <c r="C9280" s="1" t="s">
        <v>30348</v>
      </c>
      <c r="D9280" s="1" t="s">
        <v>746</v>
      </c>
      <c r="F9280" s="1" t="s">
        <v>324</v>
      </c>
      <c r="H9280" s="1" t="s">
        <v>30349</v>
      </c>
      <c r="I9280" s="1" t="s">
        <v>19</v>
      </c>
      <c r="J9280" s="1" t="s">
        <v>6</v>
      </c>
      <c r="K9280" s="1" t="s">
        <v>24</v>
      </c>
      <c r="L9280" s="1">
        <v>7670477</v>
      </c>
      <c r="M9280" s="2">
        <v>42150</v>
      </c>
      <c r="N9280" s="1" t="s">
        <v>8</v>
      </c>
      <c r="O9280" s="2">
        <v>44341</v>
      </c>
    </row>
    <row r="9281" spans="1:15" x14ac:dyDescent="0.3">
      <c r="A9281" s="1" t="s">
        <v>32546</v>
      </c>
      <c r="B9281" s="1" t="str">
        <f>"T &amp; V Haulage Ltd."</f>
        <v>T &amp; V Haulage Ltd.</v>
      </c>
      <c r="C9281" s="1" t="s">
        <v>32547</v>
      </c>
      <c r="D9281" s="1" t="s">
        <v>30948</v>
      </c>
      <c r="F9281" s="1" t="s">
        <v>710</v>
      </c>
      <c r="G9281" s="1" t="s">
        <v>3</v>
      </c>
      <c r="H9281" s="1" t="s">
        <v>9186</v>
      </c>
      <c r="I9281" s="1" t="s">
        <v>19</v>
      </c>
      <c r="J9281" s="1" t="s">
        <v>6</v>
      </c>
      <c r="K9281" s="1" t="s">
        <v>24</v>
      </c>
      <c r="L9281" s="1">
        <v>4712964</v>
      </c>
      <c r="M9281" s="2">
        <v>42149</v>
      </c>
      <c r="N9281" s="1" t="s">
        <v>8</v>
      </c>
      <c r="O9281" s="2">
        <v>44396</v>
      </c>
    </row>
    <row r="9282" spans="1:15" ht="43.2" x14ac:dyDescent="0.3">
      <c r="A9282" s="1" t="s">
        <v>11240</v>
      </c>
      <c r="B9282" s="1" t="str">
        <f>"Cardiff Rescue Ltd"</f>
        <v>Cardiff Rescue Ltd</v>
      </c>
      <c r="C9282" s="1" t="s">
        <v>11241</v>
      </c>
      <c r="D9282" s="1" t="s">
        <v>11242</v>
      </c>
      <c r="F9282" s="1" t="s">
        <v>123</v>
      </c>
      <c r="H9282" s="1" t="s">
        <v>2617</v>
      </c>
      <c r="I9282" s="1" t="s">
        <v>19</v>
      </c>
      <c r="J9282" s="1" t="s">
        <v>67</v>
      </c>
      <c r="K9282" s="1" t="s">
        <v>24</v>
      </c>
      <c r="L9282" s="1">
        <v>7769881</v>
      </c>
      <c r="M9282" s="2">
        <v>42145</v>
      </c>
      <c r="N9282" s="1" t="s">
        <v>8</v>
      </c>
      <c r="O9282" s="1" t="s">
        <v>68</v>
      </c>
    </row>
    <row r="9283" spans="1:15" ht="43.2" x14ac:dyDescent="0.3">
      <c r="A9283" s="1" t="s">
        <v>24299</v>
      </c>
      <c r="B9283" s="1" t="str">
        <f>"Gwyn Powell"</f>
        <v>Gwyn Powell</v>
      </c>
      <c r="C9283" s="1" t="s">
        <v>24300</v>
      </c>
      <c r="F9283" s="1" t="s">
        <v>445</v>
      </c>
      <c r="H9283" s="1" t="s">
        <v>24301</v>
      </c>
      <c r="I9283" s="1" t="s">
        <v>5</v>
      </c>
      <c r="J9283" s="1" t="s">
        <v>67</v>
      </c>
      <c r="K9283" s="1" t="s">
        <v>14</v>
      </c>
      <c r="M9283" s="2">
        <v>42145</v>
      </c>
      <c r="N9283" s="1" t="s">
        <v>8</v>
      </c>
      <c r="O9283" s="1" t="s">
        <v>68</v>
      </c>
    </row>
    <row r="9284" spans="1:15" ht="43.2" x14ac:dyDescent="0.3">
      <c r="A9284" s="1" t="s">
        <v>10209</v>
      </c>
      <c r="B9284" s="1" t="str">
        <f>"Jones Gardening Services"</f>
        <v>Jones Gardening Services</v>
      </c>
      <c r="C9284" s="1" t="s">
        <v>10210</v>
      </c>
      <c r="F9284" s="1" t="s">
        <v>1169</v>
      </c>
      <c r="H9284" s="1" t="s">
        <v>10211</v>
      </c>
      <c r="I9284" s="1" t="s">
        <v>125</v>
      </c>
      <c r="J9284" s="1" t="s">
        <v>67</v>
      </c>
      <c r="K9284" s="1" t="s">
        <v>24</v>
      </c>
      <c r="M9284" s="2">
        <v>42144</v>
      </c>
      <c r="N9284" s="1" t="s">
        <v>8</v>
      </c>
      <c r="O9284" s="1" t="s">
        <v>68</v>
      </c>
    </row>
    <row r="9285" spans="1:15" ht="43.2" x14ac:dyDescent="0.3">
      <c r="A9285" s="1" t="s">
        <v>10212</v>
      </c>
      <c r="B9285" s="1" t="str">
        <f>"Atlas Copco IAS UK Limited"</f>
        <v>Atlas Copco IAS UK Limited</v>
      </c>
      <c r="C9285" s="1" t="s">
        <v>10213</v>
      </c>
      <c r="F9285" s="1" t="s">
        <v>1346</v>
      </c>
      <c r="H9285" s="1" t="s">
        <v>10214</v>
      </c>
      <c r="I9285" s="1" t="s">
        <v>19</v>
      </c>
      <c r="J9285" s="1" t="s">
        <v>67</v>
      </c>
      <c r="K9285" s="1" t="s">
        <v>14</v>
      </c>
      <c r="M9285" s="2">
        <v>42144</v>
      </c>
      <c r="N9285" s="1" t="s">
        <v>8</v>
      </c>
      <c r="O9285" s="1" t="s">
        <v>68</v>
      </c>
    </row>
    <row r="9286" spans="1:15" ht="43.2" x14ac:dyDescent="0.3">
      <c r="A9286" s="1" t="s">
        <v>23430</v>
      </c>
      <c r="B9286" s="1" t="str">
        <f>"Pip Woolf"</f>
        <v>Pip Woolf</v>
      </c>
      <c r="C9286" s="1" t="s">
        <v>23431</v>
      </c>
      <c r="D9286" s="1" t="s">
        <v>2644</v>
      </c>
      <c r="F9286" s="1" t="s">
        <v>7147</v>
      </c>
      <c r="H9286" s="1" t="s">
        <v>2645</v>
      </c>
      <c r="I9286" s="1" t="s">
        <v>5</v>
      </c>
      <c r="J9286" s="1" t="s">
        <v>67</v>
      </c>
      <c r="K9286" s="1" t="s">
        <v>14</v>
      </c>
      <c r="M9286" s="2">
        <v>42144</v>
      </c>
      <c r="N9286" s="1" t="s">
        <v>8</v>
      </c>
      <c r="O9286" s="1" t="s">
        <v>68</v>
      </c>
    </row>
    <row r="9287" spans="1:15" ht="43.2" x14ac:dyDescent="0.3">
      <c r="A9287" s="1" t="s">
        <v>23432</v>
      </c>
      <c r="B9287" s="1" t="str">
        <f>"Owen Cartwright"</f>
        <v>Owen Cartwright</v>
      </c>
      <c r="C9287" s="1" t="s">
        <v>23433</v>
      </c>
      <c r="F9287" s="1" t="s">
        <v>1206</v>
      </c>
      <c r="H9287" s="1" t="s">
        <v>23434</v>
      </c>
      <c r="I9287" s="1" t="s">
        <v>5</v>
      </c>
      <c r="J9287" s="1" t="s">
        <v>67</v>
      </c>
      <c r="K9287" s="1" t="s">
        <v>14</v>
      </c>
      <c r="M9287" s="2">
        <v>42144</v>
      </c>
      <c r="N9287" s="1" t="s">
        <v>8</v>
      </c>
      <c r="O9287" s="1" t="s">
        <v>68</v>
      </c>
    </row>
    <row r="9288" spans="1:15" ht="43.2" x14ac:dyDescent="0.3">
      <c r="A9288" s="1" t="s">
        <v>23435</v>
      </c>
      <c r="B9288" s="1" t="str">
        <f>"Stephen  Thomas"</f>
        <v>Stephen  Thomas</v>
      </c>
      <c r="C9288" s="1" t="s">
        <v>23436</v>
      </c>
      <c r="F9288" s="1" t="s">
        <v>27</v>
      </c>
      <c r="H9288" s="1" t="s">
        <v>23437</v>
      </c>
      <c r="I9288" s="1" t="s">
        <v>5</v>
      </c>
      <c r="J9288" s="1" t="s">
        <v>67</v>
      </c>
      <c r="K9288" s="1" t="s">
        <v>14</v>
      </c>
      <c r="M9288" s="2">
        <v>42144</v>
      </c>
      <c r="N9288" s="1" t="s">
        <v>8</v>
      </c>
      <c r="O9288" s="1" t="s">
        <v>68</v>
      </c>
    </row>
    <row r="9289" spans="1:15" ht="28.8" x14ac:dyDescent="0.3">
      <c r="A9289" s="1" t="s">
        <v>32451</v>
      </c>
      <c r="B9289" s="1" t="str">
        <f>"EXCLUSIVE FLOORING LIMITED"</f>
        <v>EXCLUSIVE FLOORING LIMITED</v>
      </c>
      <c r="C9289" s="1" t="s">
        <v>32452</v>
      </c>
      <c r="D9289" s="1" t="s">
        <v>32453</v>
      </c>
      <c r="F9289" s="1" t="s">
        <v>174</v>
      </c>
      <c r="H9289" s="1" t="s">
        <v>32454</v>
      </c>
      <c r="I9289" s="1" t="s">
        <v>19</v>
      </c>
      <c r="J9289" s="1" t="s">
        <v>6</v>
      </c>
      <c r="K9289" s="1" t="s">
        <v>24</v>
      </c>
      <c r="L9289" s="1">
        <v>3009285</v>
      </c>
      <c r="M9289" s="2">
        <v>42144</v>
      </c>
      <c r="N9289" s="1" t="s">
        <v>8</v>
      </c>
      <c r="O9289" s="2">
        <v>44335</v>
      </c>
    </row>
    <row r="9290" spans="1:15" ht="28.8" x14ac:dyDescent="0.3">
      <c r="A9290" s="1" t="s">
        <v>32455</v>
      </c>
      <c r="B9290" s="1" t="str">
        <f>"Colin Stobart CFS Hygiene"</f>
        <v>Colin Stobart CFS Hygiene</v>
      </c>
      <c r="C9290" s="1" t="s">
        <v>32456</v>
      </c>
      <c r="F9290" s="1" t="s">
        <v>123</v>
      </c>
      <c r="G9290" s="1" t="s">
        <v>27</v>
      </c>
      <c r="H9290" s="1" t="s">
        <v>32457</v>
      </c>
      <c r="I9290" s="1" t="s">
        <v>5</v>
      </c>
      <c r="J9290" s="1" t="s">
        <v>6</v>
      </c>
      <c r="K9290" s="1" t="s">
        <v>24</v>
      </c>
      <c r="M9290" s="2">
        <v>42144</v>
      </c>
      <c r="N9290" s="1" t="s">
        <v>8</v>
      </c>
      <c r="O9290" s="2">
        <v>44335</v>
      </c>
    </row>
    <row r="9291" spans="1:15" x14ac:dyDescent="0.3">
      <c r="A9291" s="1" t="s">
        <v>32458</v>
      </c>
      <c r="B9291" s="1" t="str">
        <f>"R &amp; M Madden"</f>
        <v>R &amp; M Madden</v>
      </c>
      <c r="C9291" s="1" t="s">
        <v>32459</v>
      </c>
      <c r="D9291" s="1" t="s">
        <v>6135</v>
      </c>
      <c r="F9291" s="1" t="s">
        <v>91</v>
      </c>
      <c r="H9291" s="1" t="s">
        <v>29010</v>
      </c>
      <c r="I9291" s="1" t="s">
        <v>125</v>
      </c>
      <c r="J9291" s="1" t="s">
        <v>6</v>
      </c>
      <c r="K9291" s="1" t="s">
        <v>24</v>
      </c>
      <c r="M9291" s="2">
        <v>42144</v>
      </c>
      <c r="N9291" s="1" t="s">
        <v>8</v>
      </c>
      <c r="O9291" s="2">
        <v>44335</v>
      </c>
    </row>
    <row r="9292" spans="1:15" ht="43.2" x14ac:dyDescent="0.3">
      <c r="A9292" s="1" t="s">
        <v>9102</v>
      </c>
      <c r="B9292" s="1" t="str">
        <f>"VANRECK TRANSPORT"</f>
        <v>VANRECK TRANSPORT</v>
      </c>
      <c r="C9292" s="1" t="s">
        <v>9103</v>
      </c>
      <c r="D9292" s="1" t="s">
        <v>9104</v>
      </c>
      <c r="G9292" s="1" t="s">
        <v>9105</v>
      </c>
      <c r="I9292" s="1" t="s">
        <v>19</v>
      </c>
      <c r="J9292" s="1" t="s">
        <v>67</v>
      </c>
      <c r="K9292" s="1" t="s">
        <v>14</v>
      </c>
      <c r="M9292" s="2">
        <v>42143</v>
      </c>
      <c r="N9292" s="1" t="s">
        <v>8</v>
      </c>
      <c r="O9292" s="1" t="s">
        <v>68</v>
      </c>
    </row>
    <row r="9293" spans="1:15" ht="28.8" x14ac:dyDescent="0.3">
      <c r="A9293" s="1" t="s">
        <v>32448</v>
      </c>
      <c r="B9293" s="1" t="str">
        <f>"Kehoe countryside"</f>
        <v>Kehoe countryside</v>
      </c>
      <c r="C9293" s="1" t="s">
        <v>32449</v>
      </c>
      <c r="F9293" s="1" t="s">
        <v>1321</v>
      </c>
      <c r="H9293" s="1" t="s">
        <v>32450</v>
      </c>
      <c r="I9293" s="1" t="s">
        <v>19</v>
      </c>
      <c r="J9293" s="1" t="s">
        <v>6</v>
      </c>
      <c r="K9293" s="1" t="s">
        <v>34</v>
      </c>
      <c r="L9293" s="1">
        <v>4681426</v>
      </c>
      <c r="M9293" s="2">
        <v>42143</v>
      </c>
      <c r="N9293" s="1" t="s">
        <v>8</v>
      </c>
      <c r="O9293" s="2">
        <v>44334</v>
      </c>
    </row>
    <row r="9294" spans="1:15" ht="28.8" x14ac:dyDescent="0.3">
      <c r="A9294" s="1" t="s">
        <v>2192</v>
      </c>
      <c r="B9294" s="1" t="str">
        <f>"D Thomas Building Services"</f>
        <v>D Thomas Building Services</v>
      </c>
      <c r="C9294" s="1" t="s">
        <v>2193</v>
      </c>
      <c r="F9294" s="1" t="s">
        <v>91</v>
      </c>
      <c r="H9294" s="1" t="s">
        <v>2194</v>
      </c>
      <c r="I9294" s="1" t="s">
        <v>125</v>
      </c>
      <c r="J9294" s="1" t="s">
        <v>6</v>
      </c>
      <c r="K9294" s="1" t="s">
        <v>34</v>
      </c>
      <c r="M9294" s="2">
        <v>42142</v>
      </c>
      <c r="N9294" s="1" t="s">
        <v>8</v>
      </c>
      <c r="O9294" s="2">
        <v>44333</v>
      </c>
    </row>
    <row r="9295" spans="1:15" ht="43.2" x14ac:dyDescent="0.3">
      <c r="A9295" s="1" t="s">
        <v>7884</v>
      </c>
      <c r="B9295" s="1" t="str">
        <f>"Luky-Marko LTD"</f>
        <v>Luky-Marko LTD</v>
      </c>
      <c r="C9295" s="1" t="s">
        <v>7885</v>
      </c>
      <c r="F9295" s="1" t="s">
        <v>91</v>
      </c>
      <c r="H9295" s="1" t="s">
        <v>7886</v>
      </c>
      <c r="I9295" s="1" t="s">
        <v>19</v>
      </c>
      <c r="J9295" s="1" t="s">
        <v>67</v>
      </c>
      <c r="K9295" s="1" t="s">
        <v>14</v>
      </c>
      <c r="M9295" s="2">
        <v>42142</v>
      </c>
      <c r="N9295" s="1" t="s">
        <v>8</v>
      </c>
      <c r="O9295" s="1" t="s">
        <v>68</v>
      </c>
    </row>
    <row r="9296" spans="1:15" ht="43.2" x14ac:dyDescent="0.3">
      <c r="A9296" s="1" t="s">
        <v>7887</v>
      </c>
      <c r="B9296" s="1" t="str">
        <f>"Arbwales Ltd"</f>
        <v>Arbwales Ltd</v>
      </c>
      <c r="C9296" s="1" t="s">
        <v>7888</v>
      </c>
      <c r="D9296" s="1" t="s">
        <v>3150</v>
      </c>
      <c r="F9296" s="1" t="s">
        <v>96</v>
      </c>
      <c r="H9296" s="1" t="s">
        <v>7889</v>
      </c>
      <c r="I9296" s="1" t="s">
        <v>19</v>
      </c>
      <c r="J9296" s="1" t="s">
        <v>67</v>
      </c>
      <c r="K9296" s="1" t="s">
        <v>14</v>
      </c>
      <c r="M9296" s="2">
        <v>42142</v>
      </c>
      <c r="N9296" s="1" t="s">
        <v>8</v>
      </c>
      <c r="O9296" s="1" t="s">
        <v>68</v>
      </c>
    </row>
    <row r="9297" spans="1:15" ht="43.2" x14ac:dyDescent="0.3">
      <c r="A9297" s="1" t="s">
        <v>9091</v>
      </c>
      <c r="B9297" s="1" t="str">
        <f>"The Handmade Beer Company ltd "</f>
        <v xml:space="preserve">The Handmade Beer Company ltd </v>
      </c>
      <c r="C9297" s="1" t="s">
        <v>9092</v>
      </c>
      <c r="F9297" s="1" t="s">
        <v>2961</v>
      </c>
      <c r="H9297" s="1" t="s">
        <v>9093</v>
      </c>
      <c r="I9297" s="1" t="s">
        <v>19</v>
      </c>
      <c r="J9297" s="1" t="s">
        <v>67</v>
      </c>
      <c r="K9297" s="1" t="s">
        <v>14</v>
      </c>
      <c r="M9297" s="2">
        <v>42142</v>
      </c>
      <c r="N9297" s="1" t="s">
        <v>8</v>
      </c>
      <c r="O9297" s="1" t="s">
        <v>68</v>
      </c>
    </row>
    <row r="9298" spans="1:15" ht="43.2" x14ac:dyDescent="0.3">
      <c r="A9298" s="1" t="s">
        <v>9094</v>
      </c>
      <c r="B9298" s="1" t="str">
        <f>"brewery lane motors"</f>
        <v>brewery lane motors</v>
      </c>
      <c r="C9298" s="1" t="s">
        <v>9095</v>
      </c>
      <c r="F9298" s="1" t="s">
        <v>9096</v>
      </c>
      <c r="H9298" s="1" t="s">
        <v>9097</v>
      </c>
      <c r="I9298" s="1" t="s">
        <v>125</v>
      </c>
      <c r="J9298" s="1" t="s">
        <v>67</v>
      </c>
      <c r="K9298" s="1" t="s">
        <v>14</v>
      </c>
      <c r="M9298" s="2">
        <v>42142</v>
      </c>
      <c r="N9298" s="1" t="s">
        <v>8</v>
      </c>
      <c r="O9298" s="1" t="s">
        <v>68</v>
      </c>
    </row>
    <row r="9299" spans="1:15" ht="43.2" x14ac:dyDescent="0.3">
      <c r="A9299" s="1" t="s">
        <v>9098</v>
      </c>
      <c r="B9299" s="1" t="str">
        <f>"Exousia Trust"</f>
        <v>Exousia Trust</v>
      </c>
      <c r="C9299" s="1" t="s">
        <v>9099</v>
      </c>
      <c r="D9299" s="1" t="s">
        <v>9100</v>
      </c>
      <c r="F9299" s="1" t="s">
        <v>65</v>
      </c>
      <c r="H9299" s="1" t="s">
        <v>9101</v>
      </c>
      <c r="I9299" s="1" t="s">
        <v>1872</v>
      </c>
      <c r="J9299" s="1" t="s">
        <v>67</v>
      </c>
      <c r="K9299" s="1" t="s">
        <v>14</v>
      </c>
      <c r="M9299" s="2">
        <v>42142</v>
      </c>
      <c r="N9299" s="1" t="s">
        <v>8</v>
      </c>
      <c r="O9299" s="1" t="s">
        <v>68</v>
      </c>
    </row>
    <row r="9300" spans="1:15" ht="43.2" x14ac:dyDescent="0.3">
      <c r="A9300" s="1" t="s">
        <v>21877</v>
      </c>
      <c r="B9300" s="1" t="str">
        <f>"Ann Reese"</f>
        <v>Ann Reese</v>
      </c>
      <c r="C9300" s="1" t="s">
        <v>21878</v>
      </c>
      <c r="F9300" s="1" t="s">
        <v>3415</v>
      </c>
      <c r="H9300" s="1" t="s">
        <v>21879</v>
      </c>
      <c r="I9300" s="1" t="s">
        <v>5</v>
      </c>
      <c r="J9300" s="1" t="s">
        <v>67</v>
      </c>
      <c r="K9300" s="1" t="s">
        <v>14</v>
      </c>
      <c r="M9300" s="2">
        <v>42142</v>
      </c>
      <c r="N9300" s="1" t="s">
        <v>8</v>
      </c>
      <c r="O9300" s="1" t="s">
        <v>68</v>
      </c>
    </row>
    <row r="9301" spans="1:15" ht="43.2" x14ac:dyDescent="0.3">
      <c r="A9301" s="1" t="s">
        <v>21880</v>
      </c>
      <c r="B9301" s="1" t="str">
        <f>"james price"</f>
        <v>james price</v>
      </c>
      <c r="C9301" s="1" t="s">
        <v>21881</v>
      </c>
      <c r="D9301" s="1" t="s">
        <v>16675</v>
      </c>
      <c r="F9301" s="1" t="s">
        <v>123</v>
      </c>
      <c r="H9301" s="1" t="s">
        <v>21882</v>
      </c>
      <c r="I9301" s="1" t="s">
        <v>5</v>
      </c>
      <c r="J9301" s="1" t="s">
        <v>67</v>
      </c>
      <c r="K9301" s="1" t="s">
        <v>14</v>
      </c>
      <c r="M9301" s="2">
        <v>42142</v>
      </c>
      <c r="N9301" s="1" t="s">
        <v>8</v>
      </c>
      <c r="O9301" s="1" t="s">
        <v>68</v>
      </c>
    </row>
    <row r="9302" spans="1:15" ht="43.2" x14ac:dyDescent="0.3">
      <c r="A9302" s="1" t="s">
        <v>22684</v>
      </c>
      <c r="B9302" s="1" t="str">
        <f>"adam lewis"</f>
        <v>adam lewis</v>
      </c>
      <c r="C9302" s="1" t="s">
        <v>22685</v>
      </c>
      <c r="F9302" s="1" t="s">
        <v>298</v>
      </c>
      <c r="H9302" s="1" t="s">
        <v>22686</v>
      </c>
      <c r="I9302" s="1" t="s">
        <v>5</v>
      </c>
      <c r="J9302" s="1" t="s">
        <v>67</v>
      </c>
      <c r="K9302" s="1" t="s">
        <v>14</v>
      </c>
      <c r="M9302" s="2">
        <v>42142</v>
      </c>
      <c r="N9302" s="1" t="s">
        <v>8</v>
      </c>
      <c r="O9302" s="1" t="s">
        <v>68</v>
      </c>
    </row>
    <row r="9303" spans="1:15" ht="43.2" x14ac:dyDescent="0.3">
      <c r="A9303" s="1" t="s">
        <v>22687</v>
      </c>
      <c r="B9303" s="1" t="str">
        <f>"steve langford"</f>
        <v>steve langford</v>
      </c>
      <c r="C9303" s="1" t="s">
        <v>22688</v>
      </c>
      <c r="F9303" s="1" t="s">
        <v>873</v>
      </c>
      <c r="H9303" s="1" t="s">
        <v>22689</v>
      </c>
      <c r="I9303" s="1" t="s">
        <v>5</v>
      </c>
      <c r="J9303" s="1" t="s">
        <v>67</v>
      </c>
      <c r="K9303" s="1" t="s">
        <v>14</v>
      </c>
      <c r="M9303" s="2">
        <v>42142</v>
      </c>
      <c r="N9303" s="1" t="s">
        <v>8</v>
      </c>
      <c r="O9303" s="1" t="s">
        <v>68</v>
      </c>
    </row>
    <row r="9304" spans="1:15" ht="28.8" x14ac:dyDescent="0.3">
      <c r="A9304" s="1" t="s">
        <v>32442</v>
      </c>
      <c r="B9304" s="1" t="str">
        <f>"Cwm Environmental Ltd."</f>
        <v>Cwm Environmental Ltd.</v>
      </c>
      <c r="C9304" s="1" t="s">
        <v>6921</v>
      </c>
      <c r="F9304" s="1" t="s">
        <v>96</v>
      </c>
      <c r="H9304" s="1" t="s">
        <v>32443</v>
      </c>
      <c r="I9304" s="1" t="s">
        <v>19</v>
      </c>
      <c r="J9304" s="1" t="s">
        <v>6</v>
      </c>
      <c r="K9304" s="1" t="s">
        <v>34</v>
      </c>
      <c r="L9304" s="1">
        <v>2640102</v>
      </c>
      <c r="M9304" s="2">
        <v>42142</v>
      </c>
      <c r="N9304" s="1" t="s">
        <v>8</v>
      </c>
      <c r="O9304" s="2">
        <v>44333</v>
      </c>
    </row>
    <row r="9305" spans="1:15" ht="28.8" x14ac:dyDescent="0.3">
      <c r="A9305" s="1" t="s">
        <v>32444</v>
      </c>
      <c r="B9305" s="1" t="str">
        <f>"Watkin Davies Ltd."</f>
        <v>Watkin Davies Ltd.</v>
      </c>
      <c r="C9305" s="1" t="s">
        <v>32445</v>
      </c>
      <c r="D9305" s="1" t="s">
        <v>1571</v>
      </c>
      <c r="F9305" s="1" t="s">
        <v>91</v>
      </c>
      <c r="H9305" s="1" t="s">
        <v>19276</v>
      </c>
      <c r="I9305" s="1" t="s">
        <v>19</v>
      </c>
      <c r="J9305" s="1" t="s">
        <v>6</v>
      </c>
      <c r="K9305" s="1" t="s">
        <v>24</v>
      </c>
      <c r="L9305" s="1">
        <v>785996</v>
      </c>
      <c r="M9305" s="2">
        <v>42142</v>
      </c>
      <c r="N9305" s="1" t="s">
        <v>8</v>
      </c>
      <c r="O9305" s="2">
        <v>44333</v>
      </c>
    </row>
    <row r="9306" spans="1:15" ht="43.2" x14ac:dyDescent="0.3">
      <c r="A9306" s="1" t="s">
        <v>21874</v>
      </c>
      <c r="B9306" s="1" t="str">
        <f>"Ian Crabtree"</f>
        <v>Ian Crabtree</v>
      </c>
      <c r="C9306" s="1" t="s">
        <v>21875</v>
      </c>
      <c r="F9306" s="1" t="s">
        <v>8709</v>
      </c>
      <c r="H9306" s="1" t="s">
        <v>21876</v>
      </c>
      <c r="I9306" s="1" t="s">
        <v>5</v>
      </c>
      <c r="J9306" s="1" t="s">
        <v>67</v>
      </c>
      <c r="K9306" s="1" t="s">
        <v>14</v>
      </c>
      <c r="M9306" s="2">
        <v>42141</v>
      </c>
      <c r="N9306" s="1" t="s">
        <v>8</v>
      </c>
      <c r="O9306" s="1" t="s">
        <v>68</v>
      </c>
    </row>
    <row r="9307" spans="1:15" ht="43.2" x14ac:dyDescent="0.3">
      <c r="A9307" s="1" t="s">
        <v>6844</v>
      </c>
      <c r="B9307" s="1" t="str">
        <f>"Pearn's Pharmacies Ltd."</f>
        <v>Pearn's Pharmacies Ltd.</v>
      </c>
      <c r="C9307" s="1" t="s">
        <v>6845</v>
      </c>
      <c r="D9307" s="1" t="s">
        <v>6846</v>
      </c>
      <c r="F9307" s="1" t="s">
        <v>6847</v>
      </c>
      <c r="H9307" s="1" t="s">
        <v>6848</v>
      </c>
      <c r="I9307" s="1" t="s">
        <v>19</v>
      </c>
      <c r="J9307" s="1" t="s">
        <v>67</v>
      </c>
      <c r="K9307" s="1" t="s">
        <v>24</v>
      </c>
      <c r="L9307" s="1">
        <v>2453256</v>
      </c>
      <c r="M9307" s="2">
        <v>42139</v>
      </c>
      <c r="N9307" s="1" t="s">
        <v>8</v>
      </c>
      <c r="O9307" s="1" t="s">
        <v>68</v>
      </c>
    </row>
    <row r="9308" spans="1:15" ht="43.2" x14ac:dyDescent="0.3">
      <c r="A9308" s="1" t="s">
        <v>6849</v>
      </c>
      <c r="B9308" s="1" t="str">
        <f>"EVS FACILITIES LTD"</f>
        <v>EVS FACILITIES LTD</v>
      </c>
      <c r="C9308" s="1" t="s">
        <v>6850</v>
      </c>
      <c r="F9308" s="1" t="s">
        <v>3415</v>
      </c>
      <c r="H9308" s="1" t="s">
        <v>6851</v>
      </c>
      <c r="I9308" s="1" t="s">
        <v>19</v>
      </c>
      <c r="J9308" s="1" t="s">
        <v>67</v>
      </c>
      <c r="K9308" s="1" t="s">
        <v>24</v>
      </c>
      <c r="L9308" s="1">
        <v>7186026</v>
      </c>
      <c r="M9308" s="2">
        <v>42139</v>
      </c>
      <c r="N9308" s="1" t="s">
        <v>8</v>
      </c>
      <c r="O9308" s="1" t="s">
        <v>68</v>
      </c>
    </row>
    <row r="9309" spans="1:15" ht="43.2" x14ac:dyDescent="0.3">
      <c r="A9309" s="1" t="s">
        <v>7881</v>
      </c>
      <c r="B9309" s="1" t="str">
        <f>"INTERSHELL SYSTEMS LTD"</f>
        <v>INTERSHELL SYSTEMS LTD</v>
      </c>
      <c r="C9309" s="1" t="s">
        <v>7882</v>
      </c>
      <c r="D9309" s="1" t="s">
        <v>7883</v>
      </c>
      <c r="E9309" s="1" t="s">
        <v>5722</v>
      </c>
      <c r="F9309" s="1" t="s">
        <v>380</v>
      </c>
      <c r="H9309" s="1" t="s">
        <v>5723</v>
      </c>
      <c r="I9309" s="1" t="s">
        <v>19</v>
      </c>
      <c r="J9309" s="1" t="s">
        <v>67</v>
      </c>
      <c r="K9309" s="1" t="s">
        <v>24</v>
      </c>
      <c r="L9309" s="1">
        <v>2414771</v>
      </c>
      <c r="M9309" s="2">
        <v>42139</v>
      </c>
      <c r="N9309" s="1" t="s">
        <v>8</v>
      </c>
      <c r="O9309" s="1" t="s">
        <v>68</v>
      </c>
    </row>
    <row r="9310" spans="1:15" ht="43.2" x14ac:dyDescent="0.3">
      <c r="A9310" s="1" t="s">
        <v>5642</v>
      </c>
      <c r="B9310" s="1" t="str">
        <f>"RAPID SUPPORT SERVICES S.WEST LTD"</f>
        <v>RAPID SUPPORT SERVICES S.WEST LTD</v>
      </c>
      <c r="C9310" s="1" t="s">
        <v>5643</v>
      </c>
      <c r="D9310" s="1" t="s">
        <v>5644</v>
      </c>
      <c r="F9310" s="1" t="s">
        <v>5645</v>
      </c>
      <c r="H9310" s="1" t="s">
        <v>5646</v>
      </c>
      <c r="I9310" s="1" t="s">
        <v>19</v>
      </c>
      <c r="J9310" s="1" t="s">
        <v>67</v>
      </c>
      <c r="K9310" s="1" t="s">
        <v>14</v>
      </c>
      <c r="M9310" s="2">
        <v>42138</v>
      </c>
      <c r="N9310" s="1" t="s">
        <v>8</v>
      </c>
      <c r="O9310" s="1" t="s">
        <v>68</v>
      </c>
    </row>
    <row r="9311" spans="1:15" ht="43.2" x14ac:dyDescent="0.3">
      <c r="A9311" s="1" t="s">
        <v>21102</v>
      </c>
      <c r="B9311" s="1" t="str">
        <f>"Richard Williams"</f>
        <v>Richard Williams</v>
      </c>
      <c r="C9311" s="1" t="s">
        <v>21103</v>
      </c>
      <c r="F9311" s="1" t="s">
        <v>174</v>
      </c>
      <c r="H9311" s="1" t="s">
        <v>21104</v>
      </c>
      <c r="I9311" s="1" t="s">
        <v>5</v>
      </c>
      <c r="J9311" s="1" t="s">
        <v>67</v>
      </c>
      <c r="K9311" s="1" t="s">
        <v>14</v>
      </c>
      <c r="M9311" s="2">
        <v>42138</v>
      </c>
      <c r="N9311" s="1" t="s">
        <v>8</v>
      </c>
      <c r="O9311" s="1" t="s">
        <v>68</v>
      </c>
    </row>
    <row r="9312" spans="1:15" ht="43.2" x14ac:dyDescent="0.3">
      <c r="A9312" s="1" t="s">
        <v>21105</v>
      </c>
      <c r="B9312" s="1" t="str">
        <f>"Gareth Upham"</f>
        <v>Gareth Upham</v>
      </c>
      <c r="C9312" s="1" t="s">
        <v>21106</v>
      </c>
      <c r="F9312" s="1" t="s">
        <v>21107</v>
      </c>
      <c r="H9312" s="1" t="s">
        <v>21108</v>
      </c>
      <c r="I9312" s="1" t="s">
        <v>5</v>
      </c>
      <c r="J9312" s="1" t="s">
        <v>67</v>
      </c>
      <c r="K9312" s="1" t="s">
        <v>14</v>
      </c>
      <c r="M9312" s="2">
        <v>42138</v>
      </c>
      <c r="N9312" s="1" t="s">
        <v>8</v>
      </c>
      <c r="O9312" s="1" t="s">
        <v>68</v>
      </c>
    </row>
    <row r="9313" spans="1:15" ht="28.8" x14ac:dyDescent="0.3">
      <c r="A9313" s="1" t="s">
        <v>32440</v>
      </c>
      <c r="B9313" s="1" t="str">
        <f>"H &amp; J LTD"</f>
        <v>H &amp; J LTD</v>
      </c>
      <c r="C9313" s="1" t="s">
        <v>32441</v>
      </c>
      <c r="D9313" s="1" t="s">
        <v>1025</v>
      </c>
      <c r="F9313" s="1" t="s">
        <v>27</v>
      </c>
      <c r="H9313" s="1" t="s">
        <v>1026</v>
      </c>
      <c r="I9313" s="1" t="s">
        <v>19</v>
      </c>
      <c r="J9313" s="1" t="s">
        <v>6</v>
      </c>
      <c r="K9313" s="1" t="s">
        <v>34</v>
      </c>
      <c r="L9313" s="1">
        <v>3665851</v>
      </c>
      <c r="M9313" s="2">
        <v>42138</v>
      </c>
      <c r="N9313" s="1" t="s">
        <v>8</v>
      </c>
      <c r="O9313" s="2">
        <v>44329</v>
      </c>
    </row>
    <row r="9314" spans="1:15" ht="43.2" x14ac:dyDescent="0.3">
      <c r="A9314" s="1" t="s">
        <v>5638</v>
      </c>
      <c r="B9314" s="1" t="str">
        <f>"g jones"</f>
        <v>g jones</v>
      </c>
      <c r="C9314" s="1" t="s">
        <v>5639</v>
      </c>
      <c r="F9314" s="1" t="s">
        <v>5640</v>
      </c>
      <c r="H9314" s="1" t="s">
        <v>5641</v>
      </c>
      <c r="I9314" s="1" t="s">
        <v>188</v>
      </c>
      <c r="J9314" s="1" t="s">
        <v>67</v>
      </c>
      <c r="K9314" s="1" t="s">
        <v>14</v>
      </c>
      <c r="M9314" s="2">
        <v>42137</v>
      </c>
      <c r="N9314" s="1" t="s">
        <v>8</v>
      </c>
      <c r="O9314" s="1" t="s">
        <v>68</v>
      </c>
    </row>
    <row r="9315" spans="1:15" ht="43.2" x14ac:dyDescent="0.3">
      <c r="A9315" s="1" t="s">
        <v>4509</v>
      </c>
      <c r="B9315" s="1" t="str">
        <f>"Mudrat limited"</f>
        <v>Mudrat limited</v>
      </c>
      <c r="C9315" s="1" t="s">
        <v>4510</v>
      </c>
      <c r="D9315" s="1" t="s">
        <v>4511</v>
      </c>
      <c r="F9315" s="1" t="s">
        <v>865</v>
      </c>
      <c r="H9315" s="1" t="s">
        <v>4512</v>
      </c>
      <c r="I9315" s="1" t="s">
        <v>19</v>
      </c>
      <c r="J9315" s="1" t="s">
        <v>67</v>
      </c>
      <c r="K9315" s="1" t="s">
        <v>14</v>
      </c>
      <c r="M9315" s="2">
        <v>42136</v>
      </c>
      <c r="N9315" s="1" t="s">
        <v>8</v>
      </c>
      <c r="O9315" s="1" t="s">
        <v>68</v>
      </c>
    </row>
    <row r="9316" spans="1:15" ht="43.2" x14ac:dyDescent="0.3">
      <c r="A9316" s="1" t="s">
        <v>4513</v>
      </c>
      <c r="B9316" s="1" t="str">
        <f>"taylors management limited"</f>
        <v>taylors management limited</v>
      </c>
      <c r="C9316" s="1" t="s">
        <v>4514</v>
      </c>
      <c r="F9316" s="1" t="s">
        <v>865</v>
      </c>
      <c r="H9316" s="1" t="s">
        <v>4515</v>
      </c>
      <c r="I9316" s="1" t="s">
        <v>19</v>
      </c>
      <c r="J9316" s="1" t="s">
        <v>67</v>
      </c>
      <c r="K9316" s="1" t="s">
        <v>14</v>
      </c>
      <c r="M9316" s="2">
        <v>42136</v>
      </c>
      <c r="N9316" s="1" t="s">
        <v>8</v>
      </c>
      <c r="O9316" s="1" t="s">
        <v>68</v>
      </c>
    </row>
    <row r="9317" spans="1:15" ht="28.8" x14ac:dyDescent="0.3">
      <c r="A9317" s="1" t="s">
        <v>4516</v>
      </c>
      <c r="B9317" s="1" t="str">
        <f>"CJ Heating Services ltd"</f>
        <v>CJ Heating Services ltd</v>
      </c>
      <c r="C9317" s="1" t="s">
        <v>4517</v>
      </c>
      <c r="F9317" s="1" t="s">
        <v>179</v>
      </c>
      <c r="H9317" s="1" t="s">
        <v>4518</v>
      </c>
      <c r="I9317" s="1" t="s">
        <v>19</v>
      </c>
      <c r="J9317" s="1" t="s">
        <v>6</v>
      </c>
      <c r="K9317" s="1" t="s">
        <v>34</v>
      </c>
      <c r="L9317" s="1">
        <v>9670654</v>
      </c>
      <c r="M9317" s="2">
        <v>42136</v>
      </c>
      <c r="N9317" s="1" t="s">
        <v>8</v>
      </c>
      <c r="O9317" s="2">
        <v>44317</v>
      </c>
    </row>
    <row r="9318" spans="1:15" ht="43.2" x14ac:dyDescent="0.3">
      <c r="A9318" s="1" t="s">
        <v>4519</v>
      </c>
      <c r="B9318" s="1" t="str">
        <f>"DERWEN LIGHTING LTD"</f>
        <v>DERWEN LIGHTING LTD</v>
      </c>
      <c r="C9318" s="1" t="s">
        <v>4520</v>
      </c>
      <c r="F9318" s="1" t="s">
        <v>50</v>
      </c>
      <c r="H9318" s="1" t="s">
        <v>4521</v>
      </c>
      <c r="I9318" s="1" t="s">
        <v>19</v>
      </c>
      <c r="J9318" s="1" t="s">
        <v>67</v>
      </c>
      <c r="K9318" s="1" t="s">
        <v>14</v>
      </c>
      <c r="M9318" s="2">
        <v>42136</v>
      </c>
      <c r="N9318" s="1" t="s">
        <v>8</v>
      </c>
      <c r="O9318" s="1" t="s">
        <v>68</v>
      </c>
    </row>
    <row r="9319" spans="1:15" ht="43.2" x14ac:dyDescent="0.3">
      <c r="A9319" s="1" t="s">
        <v>18657</v>
      </c>
      <c r="B9319" s="1" t="str">
        <f>"Gavin Keogh"</f>
        <v>Gavin Keogh</v>
      </c>
      <c r="C9319" s="1" t="s">
        <v>18658</v>
      </c>
      <c r="F9319" s="1" t="s">
        <v>457</v>
      </c>
      <c r="H9319" s="1" t="s">
        <v>18659</v>
      </c>
      <c r="I9319" s="1" t="s">
        <v>5</v>
      </c>
      <c r="J9319" s="1" t="s">
        <v>67</v>
      </c>
      <c r="K9319" s="1" t="s">
        <v>14</v>
      </c>
      <c r="M9319" s="2">
        <v>42136</v>
      </c>
      <c r="N9319" s="1" t="s">
        <v>8</v>
      </c>
      <c r="O9319" s="1" t="s">
        <v>68</v>
      </c>
    </row>
    <row r="9320" spans="1:15" ht="43.2" x14ac:dyDescent="0.3">
      <c r="A9320" s="1" t="s">
        <v>32432</v>
      </c>
      <c r="B9320" s="1" t="str">
        <f>"PAUL TAYLOR BUILDING SERVICES LTD"</f>
        <v>PAUL TAYLOR BUILDING SERVICES LTD</v>
      </c>
      <c r="C9320" s="1" t="s">
        <v>32433</v>
      </c>
      <c r="F9320" s="1" t="s">
        <v>665</v>
      </c>
      <c r="G9320" s="1" t="s">
        <v>51</v>
      </c>
      <c r="H9320" s="1" t="s">
        <v>32434</v>
      </c>
      <c r="I9320" s="1" t="s">
        <v>19</v>
      </c>
      <c r="J9320" s="1" t="s">
        <v>6</v>
      </c>
      <c r="K9320" s="1" t="s">
        <v>34</v>
      </c>
      <c r="L9320" s="1">
        <v>7389944</v>
      </c>
      <c r="M9320" s="2">
        <v>42136</v>
      </c>
      <c r="N9320" s="1" t="s">
        <v>8</v>
      </c>
      <c r="O9320" s="2">
        <v>44327</v>
      </c>
    </row>
    <row r="9321" spans="1:15" ht="28.8" x14ac:dyDescent="0.3">
      <c r="A9321" s="1" t="s">
        <v>32596</v>
      </c>
      <c r="B9321" s="1" t="str">
        <f>"NAG RECYCLING LTD"</f>
        <v>NAG RECYCLING LTD</v>
      </c>
      <c r="C9321" s="1" t="s">
        <v>32597</v>
      </c>
      <c r="D9321" s="1" t="s">
        <v>32598</v>
      </c>
      <c r="E9321" s="1" t="s">
        <v>3128</v>
      </c>
      <c r="F9321" s="1" t="s">
        <v>91</v>
      </c>
      <c r="H9321" s="1" t="s">
        <v>17165</v>
      </c>
      <c r="I9321" s="1" t="s">
        <v>19</v>
      </c>
      <c r="J9321" s="1" t="s">
        <v>6</v>
      </c>
      <c r="K9321" s="1" t="s">
        <v>34</v>
      </c>
      <c r="L9321" s="1">
        <v>5824218</v>
      </c>
      <c r="M9321" s="2">
        <v>42136</v>
      </c>
      <c r="N9321" s="1" t="s">
        <v>8</v>
      </c>
      <c r="O9321" s="2">
        <v>44413</v>
      </c>
    </row>
    <row r="9322" spans="1:15" ht="43.2" x14ac:dyDescent="0.3">
      <c r="A9322" s="1" t="s">
        <v>3394</v>
      </c>
      <c r="B9322" s="1" t="str">
        <f>"TIR PRINCE RACEWAY LTD"</f>
        <v>TIR PRINCE RACEWAY LTD</v>
      </c>
      <c r="C9322" s="1" t="s">
        <v>3395</v>
      </c>
      <c r="F9322" s="1" t="s">
        <v>374</v>
      </c>
      <c r="H9322" s="1" t="s">
        <v>3396</v>
      </c>
      <c r="I9322" s="1" t="s">
        <v>19</v>
      </c>
      <c r="J9322" s="1" t="s">
        <v>67</v>
      </c>
      <c r="K9322" s="1" t="s">
        <v>24</v>
      </c>
      <c r="L9322" s="1">
        <v>2287227</v>
      </c>
      <c r="M9322" s="2">
        <v>42135</v>
      </c>
      <c r="N9322" s="1" t="s">
        <v>8</v>
      </c>
      <c r="O9322" s="1" t="s">
        <v>68</v>
      </c>
    </row>
    <row r="9323" spans="1:15" ht="43.2" x14ac:dyDescent="0.3">
      <c r="A9323" s="1" t="s">
        <v>3397</v>
      </c>
      <c r="B9323" s="1" t="str">
        <f>"Yesteryears Toy Shop"</f>
        <v>Yesteryears Toy Shop</v>
      </c>
      <c r="C9323" s="1" t="s">
        <v>3398</v>
      </c>
      <c r="F9323" s="1" t="s">
        <v>1260</v>
      </c>
      <c r="H9323" s="1" t="s">
        <v>3399</v>
      </c>
      <c r="I9323" s="1" t="s">
        <v>125</v>
      </c>
      <c r="J9323" s="1" t="s">
        <v>67</v>
      </c>
      <c r="K9323" s="1" t="s">
        <v>14</v>
      </c>
      <c r="M9323" s="2">
        <v>42135</v>
      </c>
      <c r="N9323" s="1" t="s">
        <v>8</v>
      </c>
      <c r="O9323" s="1" t="s">
        <v>68</v>
      </c>
    </row>
    <row r="9324" spans="1:15" ht="43.2" x14ac:dyDescent="0.3">
      <c r="A9324" s="1" t="s">
        <v>3400</v>
      </c>
      <c r="B9324" s="1" t="str">
        <f>"G O &amp; O H Roberts"</f>
        <v>G O &amp; O H Roberts</v>
      </c>
      <c r="C9324" s="1" t="s">
        <v>3401</v>
      </c>
      <c r="F9324" s="1" t="s">
        <v>416</v>
      </c>
      <c r="H9324" s="1" t="s">
        <v>3402</v>
      </c>
      <c r="I9324" s="1" t="s">
        <v>125</v>
      </c>
      <c r="J9324" s="1" t="s">
        <v>67</v>
      </c>
      <c r="K9324" s="1" t="s">
        <v>14</v>
      </c>
      <c r="M9324" s="2">
        <v>42135</v>
      </c>
      <c r="N9324" s="1" t="s">
        <v>8</v>
      </c>
      <c r="O9324" s="1" t="s">
        <v>68</v>
      </c>
    </row>
    <row r="9325" spans="1:15" ht="43.2" x14ac:dyDescent="0.3">
      <c r="A9325" s="1" t="s">
        <v>18651</v>
      </c>
      <c r="B9325" s="1" t="str">
        <f>"Lynn Jones"</f>
        <v>Lynn Jones</v>
      </c>
      <c r="C9325" s="1" t="s">
        <v>18652</v>
      </c>
      <c r="F9325" s="1" t="s">
        <v>1351</v>
      </c>
      <c r="H9325" s="1" t="s">
        <v>18653</v>
      </c>
      <c r="I9325" s="1" t="s">
        <v>5</v>
      </c>
      <c r="J9325" s="1" t="s">
        <v>67</v>
      </c>
      <c r="K9325" s="1" t="s">
        <v>24</v>
      </c>
      <c r="M9325" s="2">
        <v>42135</v>
      </c>
      <c r="N9325" s="1" t="s">
        <v>8</v>
      </c>
      <c r="O9325" s="1" t="s">
        <v>68</v>
      </c>
    </row>
    <row r="9326" spans="1:15" ht="43.2" x14ac:dyDescent="0.3">
      <c r="A9326" s="1" t="s">
        <v>18654</v>
      </c>
      <c r="B9326" s="1" t="str">
        <f>"Philip Meek"</f>
        <v>Philip Meek</v>
      </c>
      <c r="C9326" s="1" t="s">
        <v>18655</v>
      </c>
      <c r="F9326" s="1" t="s">
        <v>27</v>
      </c>
      <c r="H9326" s="1" t="s">
        <v>18656</v>
      </c>
      <c r="I9326" s="1" t="s">
        <v>5</v>
      </c>
      <c r="J9326" s="1" t="s">
        <v>67</v>
      </c>
      <c r="K9326" s="1" t="s">
        <v>14</v>
      </c>
      <c r="M9326" s="2">
        <v>42135</v>
      </c>
      <c r="N9326" s="1" t="s">
        <v>8</v>
      </c>
      <c r="O9326" s="1" t="s">
        <v>68</v>
      </c>
    </row>
    <row r="9327" spans="1:15" ht="43.2" x14ac:dyDescent="0.3">
      <c r="A9327" s="1" t="s">
        <v>29772</v>
      </c>
      <c r="B9327" s="1" t="str">
        <f>"James Enston"</f>
        <v>James Enston</v>
      </c>
      <c r="C9327" s="1" t="s">
        <v>29773</v>
      </c>
      <c r="F9327" s="1" t="s">
        <v>1184</v>
      </c>
      <c r="H9327" s="1" t="s">
        <v>29774</v>
      </c>
      <c r="I9327" s="1" t="s">
        <v>5</v>
      </c>
      <c r="J9327" s="1" t="s">
        <v>67</v>
      </c>
      <c r="K9327" s="1" t="s">
        <v>14</v>
      </c>
      <c r="M9327" s="2">
        <v>42135</v>
      </c>
      <c r="N9327" s="1" t="s">
        <v>8</v>
      </c>
      <c r="O9327" s="1" t="s">
        <v>68</v>
      </c>
    </row>
    <row r="9328" spans="1:15" ht="28.8" x14ac:dyDescent="0.3">
      <c r="A9328" s="1" t="s">
        <v>31441</v>
      </c>
      <c r="B9328" s="1" t="str">
        <f>"L L I W BUILDING SUPPLIES LTD"</f>
        <v>L L I W BUILDING SUPPLIES LTD</v>
      </c>
      <c r="C9328" s="1" t="s">
        <v>31442</v>
      </c>
      <c r="F9328" s="1" t="s">
        <v>65</v>
      </c>
      <c r="H9328" s="1" t="s">
        <v>31443</v>
      </c>
      <c r="I9328" s="1" t="s">
        <v>19</v>
      </c>
      <c r="J9328" s="1" t="s">
        <v>6</v>
      </c>
      <c r="K9328" s="1" t="s">
        <v>34</v>
      </c>
      <c r="L9328" s="1">
        <v>2606063</v>
      </c>
      <c r="M9328" s="2">
        <v>42135</v>
      </c>
      <c r="N9328" s="1" t="s">
        <v>8</v>
      </c>
      <c r="O9328" s="2">
        <v>44326</v>
      </c>
    </row>
    <row r="9329" spans="1:15" ht="28.8" x14ac:dyDescent="0.3">
      <c r="A9329" s="1" t="s">
        <v>32435</v>
      </c>
      <c r="B9329" s="1" t="str">
        <f>"Solar Windows Ltd."</f>
        <v>Solar Windows Ltd.</v>
      </c>
      <c r="C9329" s="1" t="s">
        <v>32436</v>
      </c>
      <c r="D9329" s="1" t="s">
        <v>5091</v>
      </c>
      <c r="E9329" s="1" t="s">
        <v>1839</v>
      </c>
      <c r="F9329" s="1" t="s">
        <v>103</v>
      </c>
      <c r="H9329" s="1" t="s">
        <v>5092</v>
      </c>
      <c r="I9329" s="1" t="s">
        <v>19</v>
      </c>
      <c r="J9329" s="1" t="s">
        <v>6</v>
      </c>
      <c r="K9329" s="1" t="s">
        <v>34</v>
      </c>
      <c r="L9329" s="1">
        <v>2678809</v>
      </c>
      <c r="M9329" s="2">
        <v>42135</v>
      </c>
      <c r="N9329" s="1" t="s">
        <v>8</v>
      </c>
      <c r="O9329" s="2">
        <v>44326</v>
      </c>
    </row>
    <row r="9330" spans="1:15" ht="28.8" x14ac:dyDescent="0.3">
      <c r="A9330" s="1" t="s">
        <v>32437</v>
      </c>
      <c r="B9330" s="1" t="str">
        <f>"Michael Quinton Wyecliff Garden Care"</f>
        <v>Michael Quinton Wyecliff Garden Care</v>
      </c>
      <c r="C9330" s="1" t="s">
        <v>32438</v>
      </c>
      <c r="F9330" s="1" t="s">
        <v>12</v>
      </c>
      <c r="H9330" s="1" t="s">
        <v>32439</v>
      </c>
      <c r="I9330" s="1" t="s">
        <v>5</v>
      </c>
      <c r="J9330" s="1" t="s">
        <v>6</v>
      </c>
      <c r="K9330" s="1" t="s">
        <v>24</v>
      </c>
      <c r="M9330" s="2">
        <v>42135</v>
      </c>
      <c r="N9330" s="1" t="s">
        <v>8</v>
      </c>
      <c r="O9330" s="2">
        <v>44326</v>
      </c>
    </row>
    <row r="9331" spans="1:15" ht="43.2" x14ac:dyDescent="0.3">
      <c r="A9331" s="1" t="s">
        <v>18099</v>
      </c>
      <c r="B9331" s="1" t="str">
        <f>"W J DAVIES NW LTD"</f>
        <v>W J DAVIES NW LTD</v>
      </c>
      <c r="C9331" s="1" t="s">
        <v>18100</v>
      </c>
      <c r="F9331" s="1" t="s">
        <v>1184</v>
      </c>
      <c r="H9331" s="1" t="s">
        <v>18101</v>
      </c>
      <c r="I9331" s="1" t="s">
        <v>19</v>
      </c>
      <c r="J9331" s="1" t="s">
        <v>67</v>
      </c>
      <c r="K9331" s="1" t="s">
        <v>14</v>
      </c>
      <c r="M9331" s="2">
        <v>42134</v>
      </c>
      <c r="N9331" s="1" t="s">
        <v>8</v>
      </c>
      <c r="O9331" s="1" t="s">
        <v>68</v>
      </c>
    </row>
    <row r="9332" spans="1:15" ht="43.2" x14ac:dyDescent="0.3">
      <c r="A9332" s="1" t="s">
        <v>29769</v>
      </c>
      <c r="B9332" s="1" t="str">
        <f>"Kevin Williams"</f>
        <v>Kevin Williams</v>
      </c>
      <c r="C9332" s="1" t="s">
        <v>29770</v>
      </c>
      <c r="F9332" s="1" t="s">
        <v>277</v>
      </c>
      <c r="H9332" s="1" t="s">
        <v>29771</v>
      </c>
      <c r="I9332" s="1" t="s">
        <v>5</v>
      </c>
      <c r="J9332" s="1" t="s">
        <v>67</v>
      </c>
      <c r="K9332" s="1" t="s">
        <v>24</v>
      </c>
      <c r="M9332" s="2">
        <v>42134</v>
      </c>
      <c r="N9332" s="1" t="s">
        <v>8</v>
      </c>
      <c r="O9332" s="1" t="s">
        <v>68</v>
      </c>
    </row>
    <row r="9333" spans="1:15" ht="28.8" x14ac:dyDescent="0.3">
      <c r="A9333" s="1" t="s">
        <v>32430</v>
      </c>
      <c r="B9333" s="1" t="str">
        <f>"Robert Hawkes"</f>
        <v>Robert Hawkes</v>
      </c>
      <c r="C9333" s="1" t="s">
        <v>32431</v>
      </c>
      <c r="D9333" s="1" t="s">
        <v>578</v>
      </c>
      <c r="F9333" s="1" t="s">
        <v>65</v>
      </c>
      <c r="H9333" s="1" t="s">
        <v>26994</v>
      </c>
      <c r="I9333" s="1" t="s">
        <v>5</v>
      </c>
      <c r="J9333" s="1" t="s">
        <v>6</v>
      </c>
      <c r="K9333" s="1" t="s">
        <v>24</v>
      </c>
      <c r="M9333" s="2">
        <v>42134</v>
      </c>
      <c r="N9333" s="1" t="s">
        <v>8</v>
      </c>
      <c r="O9333" s="2">
        <v>44325</v>
      </c>
    </row>
    <row r="9334" spans="1:15" ht="43.2" x14ac:dyDescent="0.3">
      <c r="A9334" s="1" t="s">
        <v>17080</v>
      </c>
      <c r="B9334" s="1" t="str">
        <f>"Phillip Rees Welding Ltd"</f>
        <v>Phillip Rees Welding Ltd</v>
      </c>
      <c r="C9334" s="1" t="s">
        <v>17081</v>
      </c>
      <c r="F9334" s="1" t="s">
        <v>42</v>
      </c>
      <c r="H9334" s="1" t="s">
        <v>17082</v>
      </c>
      <c r="I9334" s="1" t="s">
        <v>19</v>
      </c>
      <c r="J9334" s="1" t="s">
        <v>67</v>
      </c>
      <c r="K9334" s="1" t="s">
        <v>14</v>
      </c>
      <c r="M9334" s="2">
        <v>42132</v>
      </c>
      <c r="N9334" s="1" t="s">
        <v>8</v>
      </c>
      <c r="O9334" s="1" t="s">
        <v>68</v>
      </c>
    </row>
    <row r="9335" spans="1:15" ht="43.2" x14ac:dyDescent="0.3">
      <c r="A9335" s="1" t="s">
        <v>29007</v>
      </c>
      <c r="B9335" s="1" t="str">
        <f>"ROBERT MADDEN"</f>
        <v>ROBERT MADDEN</v>
      </c>
      <c r="C9335" s="1" t="s">
        <v>29008</v>
      </c>
      <c r="D9335" s="1" t="s">
        <v>29009</v>
      </c>
      <c r="E9335" s="1" t="s">
        <v>6135</v>
      </c>
      <c r="F9335" s="1" t="s">
        <v>91</v>
      </c>
      <c r="H9335" s="1" t="s">
        <v>29010</v>
      </c>
      <c r="I9335" s="1" t="s">
        <v>5</v>
      </c>
      <c r="J9335" s="1" t="s">
        <v>67</v>
      </c>
      <c r="K9335" s="1" t="s">
        <v>24</v>
      </c>
      <c r="M9335" s="2">
        <v>42132</v>
      </c>
      <c r="N9335" s="1" t="s">
        <v>8</v>
      </c>
      <c r="O9335" s="1" t="s">
        <v>68</v>
      </c>
    </row>
    <row r="9336" spans="1:15" ht="43.2" x14ac:dyDescent="0.3">
      <c r="A9336" s="1" t="s">
        <v>29011</v>
      </c>
      <c r="B9336" s="1" t="str">
        <f>"Robert Prosser"</f>
        <v>Robert Prosser</v>
      </c>
      <c r="C9336" s="1" t="s">
        <v>29012</v>
      </c>
      <c r="D9336" s="1" t="s">
        <v>1206</v>
      </c>
      <c r="F9336" s="1" t="s">
        <v>162</v>
      </c>
      <c r="H9336" s="1" t="s">
        <v>29013</v>
      </c>
      <c r="I9336" s="1" t="s">
        <v>5</v>
      </c>
      <c r="J9336" s="1" t="s">
        <v>67</v>
      </c>
      <c r="K9336" s="1" t="s">
        <v>14</v>
      </c>
      <c r="M9336" s="2">
        <v>42132</v>
      </c>
      <c r="N9336" s="1" t="s">
        <v>8</v>
      </c>
      <c r="O9336" s="1" t="s">
        <v>68</v>
      </c>
    </row>
    <row r="9337" spans="1:15" ht="43.2" x14ac:dyDescent="0.3">
      <c r="A9337" s="1" t="s">
        <v>15124</v>
      </c>
      <c r="B9337" s="1" t="str">
        <f>"Intellectual Property Office"</f>
        <v>Intellectual Property Office</v>
      </c>
      <c r="C9337" s="1" t="s">
        <v>15125</v>
      </c>
      <c r="F9337" s="1" t="s">
        <v>91</v>
      </c>
      <c r="H9337" s="1" t="s">
        <v>15126</v>
      </c>
      <c r="I9337" s="1" t="s">
        <v>188</v>
      </c>
      <c r="J9337" s="1" t="s">
        <v>67</v>
      </c>
      <c r="K9337" s="1" t="s">
        <v>1859</v>
      </c>
      <c r="M9337" s="2">
        <v>42131</v>
      </c>
      <c r="N9337" s="1" t="s">
        <v>8</v>
      </c>
      <c r="O9337" s="1" t="s">
        <v>68</v>
      </c>
    </row>
    <row r="9338" spans="1:15" ht="43.2" x14ac:dyDescent="0.3">
      <c r="A9338" s="1" t="s">
        <v>16101</v>
      </c>
      <c r="B9338" s="1" t="str">
        <f>"WCADA Ltd"</f>
        <v>WCADA Ltd</v>
      </c>
      <c r="C9338" s="1" t="s">
        <v>16102</v>
      </c>
      <c r="D9338" s="1" t="s">
        <v>55</v>
      </c>
      <c r="F9338" s="1" t="s">
        <v>64</v>
      </c>
      <c r="H9338" s="1" t="s">
        <v>16103</v>
      </c>
      <c r="I9338" s="1" t="s">
        <v>1872</v>
      </c>
      <c r="J9338" s="1" t="s">
        <v>67</v>
      </c>
      <c r="K9338" s="1" t="s">
        <v>14</v>
      </c>
      <c r="M9338" s="2">
        <v>42131</v>
      </c>
      <c r="N9338" s="1" t="s">
        <v>8</v>
      </c>
      <c r="O9338" s="1" t="s">
        <v>68</v>
      </c>
    </row>
    <row r="9339" spans="1:15" ht="43.2" x14ac:dyDescent="0.3">
      <c r="A9339" s="1" t="s">
        <v>16104</v>
      </c>
      <c r="B9339" s="1" t="str">
        <f>"J H WILLIS LTD"</f>
        <v>J H WILLIS LTD</v>
      </c>
      <c r="C9339" s="1" t="s">
        <v>16105</v>
      </c>
      <c r="D9339" s="1" t="s">
        <v>14862</v>
      </c>
      <c r="F9339" s="1" t="s">
        <v>198</v>
      </c>
      <c r="H9339" s="1" t="s">
        <v>16106</v>
      </c>
      <c r="I9339" s="1" t="s">
        <v>19</v>
      </c>
      <c r="J9339" s="1" t="s">
        <v>67</v>
      </c>
      <c r="K9339" s="1" t="s">
        <v>34</v>
      </c>
      <c r="L9339" s="1">
        <v>1443876</v>
      </c>
      <c r="M9339" s="2">
        <v>42131</v>
      </c>
      <c r="N9339" s="1" t="s">
        <v>8</v>
      </c>
      <c r="O9339" s="1" t="s">
        <v>68</v>
      </c>
    </row>
    <row r="9340" spans="1:15" ht="43.2" x14ac:dyDescent="0.3">
      <c r="A9340" s="1" t="s">
        <v>17069</v>
      </c>
      <c r="B9340" s="1" t="str">
        <f>"J.E &amp; R.M Jones"</f>
        <v>J.E &amp; R.M Jones</v>
      </c>
      <c r="C9340" s="1" t="s">
        <v>17070</v>
      </c>
      <c r="F9340" s="1" t="s">
        <v>1511</v>
      </c>
      <c r="H9340" s="1" t="s">
        <v>17071</v>
      </c>
      <c r="I9340" s="1" t="s">
        <v>125</v>
      </c>
      <c r="J9340" s="1" t="s">
        <v>67</v>
      </c>
      <c r="K9340" s="1" t="s">
        <v>14</v>
      </c>
      <c r="M9340" s="2">
        <v>42131</v>
      </c>
      <c r="N9340" s="1" t="s">
        <v>8</v>
      </c>
      <c r="O9340" s="1" t="s">
        <v>68</v>
      </c>
    </row>
    <row r="9341" spans="1:15" ht="43.2" x14ac:dyDescent="0.3">
      <c r="A9341" s="1" t="s">
        <v>17072</v>
      </c>
      <c r="B9341" s="1" t="str">
        <f>"Wales Air Ambulance"</f>
        <v>Wales Air Ambulance</v>
      </c>
      <c r="C9341" s="1" t="s">
        <v>17073</v>
      </c>
      <c r="D9341" s="1" t="s">
        <v>17074</v>
      </c>
      <c r="F9341" s="1" t="s">
        <v>64</v>
      </c>
      <c r="H9341" s="1" t="s">
        <v>17075</v>
      </c>
      <c r="I9341" s="1" t="s">
        <v>125</v>
      </c>
      <c r="J9341" s="1" t="s">
        <v>67</v>
      </c>
      <c r="K9341" s="1" t="s">
        <v>14</v>
      </c>
      <c r="M9341" s="2">
        <v>42131</v>
      </c>
      <c r="N9341" s="1" t="s">
        <v>8</v>
      </c>
      <c r="O9341" s="1" t="s">
        <v>68</v>
      </c>
    </row>
    <row r="9342" spans="1:15" ht="43.2" x14ac:dyDescent="0.3">
      <c r="A9342" s="1" t="s">
        <v>17076</v>
      </c>
      <c r="B9342" s="1" t="str">
        <f>"Wales Air Ambulance"</f>
        <v>Wales Air Ambulance</v>
      </c>
      <c r="C9342" s="1" t="s">
        <v>17073</v>
      </c>
      <c r="D9342" s="1" t="s">
        <v>17074</v>
      </c>
      <c r="F9342" s="1" t="s">
        <v>64</v>
      </c>
      <c r="H9342" s="1" t="s">
        <v>17075</v>
      </c>
      <c r="I9342" s="1" t="s">
        <v>1872</v>
      </c>
      <c r="J9342" s="1" t="s">
        <v>67</v>
      </c>
      <c r="K9342" s="1" t="s">
        <v>14</v>
      </c>
      <c r="M9342" s="2">
        <v>42131</v>
      </c>
      <c r="N9342" s="1" t="s">
        <v>8</v>
      </c>
      <c r="O9342" s="1" t="s">
        <v>68</v>
      </c>
    </row>
    <row r="9343" spans="1:15" ht="43.2" x14ac:dyDescent="0.3">
      <c r="A9343" s="1" t="s">
        <v>17077</v>
      </c>
      <c r="B9343" s="1" t="str">
        <f>"Lawnkeeper South Glamorgan Ltd"</f>
        <v>Lawnkeeper South Glamorgan Ltd</v>
      </c>
      <c r="C9343" s="1" t="s">
        <v>17078</v>
      </c>
      <c r="F9343" s="1" t="s">
        <v>277</v>
      </c>
      <c r="H9343" s="1" t="s">
        <v>17079</v>
      </c>
      <c r="I9343" s="1" t="s">
        <v>19</v>
      </c>
      <c r="J9343" s="1" t="s">
        <v>67</v>
      </c>
      <c r="K9343" s="1" t="s">
        <v>14</v>
      </c>
      <c r="M9343" s="2">
        <v>42131</v>
      </c>
      <c r="N9343" s="1" t="s">
        <v>8</v>
      </c>
      <c r="O9343" s="1" t="s">
        <v>68</v>
      </c>
    </row>
    <row r="9344" spans="1:15" ht="43.2" x14ac:dyDescent="0.3">
      <c r="A9344" s="1" t="s">
        <v>27462</v>
      </c>
      <c r="B9344" s="1" t="str">
        <f>"James Reading"</f>
        <v>James Reading</v>
      </c>
      <c r="C9344" s="1" t="s">
        <v>27463</v>
      </c>
      <c r="F9344" s="1" t="s">
        <v>3726</v>
      </c>
      <c r="H9344" s="1" t="s">
        <v>27464</v>
      </c>
      <c r="I9344" s="1" t="s">
        <v>5</v>
      </c>
      <c r="J9344" s="1" t="s">
        <v>67</v>
      </c>
      <c r="K9344" s="1" t="s">
        <v>14</v>
      </c>
      <c r="M9344" s="2">
        <v>42131</v>
      </c>
      <c r="N9344" s="1" t="s">
        <v>8</v>
      </c>
      <c r="O9344" s="1" t="s">
        <v>68</v>
      </c>
    </row>
    <row r="9345" spans="1:15" ht="43.2" x14ac:dyDescent="0.3">
      <c r="A9345" s="1" t="s">
        <v>29004</v>
      </c>
      <c r="B9345" s="1" t="str">
        <f>"Peter Owen"</f>
        <v>Peter Owen</v>
      </c>
      <c r="C9345" s="1" t="s">
        <v>29005</v>
      </c>
      <c r="F9345" s="1" t="s">
        <v>416</v>
      </c>
      <c r="H9345" s="1" t="s">
        <v>29006</v>
      </c>
      <c r="I9345" s="1" t="s">
        <v>5</v>
      </c>
      <c r="J9345" s="1" t="s">
        <v>67</v>
      </c>
      <c r="K9345" s="1" t="s">
        <v>14</v>
      </c>
      <c r="M9345" s="2">
        <v>42131</v>
      </c>
      <c r="N9345" s="1" t="s">
        <v>8</v>
      </c>
      <c r="O9345" s="1" t="s">
        <v>68</v>
      </c>
    </row>
    <row r="9346" spans="1:15" ht="28.8" x14ac:dyDescent="0.3">
      <c r="A9346" s="1" t="s">
        <v>30321</v>
      </c>
      <c r="B9346" s="1" t="str">
        <f>"Neil Godwin Diamonds Duties"</f>
        <v>Neil Godwin Diamonds Duties</v>
      </c>
      <c r="C9346" s="1" t="s">
        <v>30322</v>
      </c>
      <c r="F9346" s="1" t="s">
        <v>1351</v>
      </c>
      <c r="H9346" s="1" t="s">
        <v>2027</v>
      </c>
      <c r="I9346" s="1" t="s">
        <v>5</v>
      </c>
      <c r="J9346" s="1" t="s">
        <v>6</v>
      </c>
      <c r="K9346" s="1" t="s">
        <v>24</v>
      </c>
      <c r="M9346" s="2">
        <v>42131</v>
      </c>
      <c r="N9346" s="1" t="s">
        <v>8</v>
      </c>
      <c r="O9346" s="2">
        <v>44322</v>
      </c>
    </row>
    <row r="9347" spans="1:15" ht="28.8" x14ac:dyDescent="0.3">
      <c r="A9347" s="1" t="s">
        <v>30340</v>
      </c>
      <c r="B9347" s="1" t="str">
        <f>"Intellectual Property Office"</f>
        <v>Intellectual Property Office</v>
      </c>
      <c r="C9347" s="1" t="s">
        <v>15125</v>
      </c>
      <c r="F9347" s="1" t="s">
        <v>91</v>
      </c>
      <c r="H9347" s="1" t="s">
        <v>15126</v>
      </c>
      <c r="I9347" s="1" t="s">
        <v>188</v>
      </c>
      <c r="J9347" s="1" t="s">
        <v>6</v>
      </c>
      <c r="K9347" s="1" t="s">
        <v>1859</v>
      </c>
      <c r="M9347" s="2">
        <v>42131</v>
      </c>
      <c r="N9347" s="1" t="s">
        <v>8</v>
      </c>
      <c r="O9347" s="2">
        <v>44322</v>
      </c>
    </row>
    <row r="9348" spans="1:15" ht="43.2" x14ac:dyDescent="0.3">
      <c r="A9348" s="1" t="s">
        <v>15121</v>
      </c>
      <c r="B9348" s="1" t="str">
        <f>"partyhippo"</f>
        <v>partyhippo</v>
      </c>
      <c r="C9348" s="1" t="s">
        <v>11366</v>
      </c>
      <c r="F9348" s="1" t="s">
        <v>445</v>
      </c>
      <c r="H9348" s="1" t="s">
        <v>7383</v>
      </c>
      <c r="I9348" s="1" t="s">
        <v>19</v>
      </c>
      <c r="J9348" s="1" t="s">
        <v>67</v>
      </c>
      <c r="K9348" s="1" t="s">
        <v>14</v>
      </c>
      <c r="M9348" s="2">
        <v>42130</v>
      </c>
      <c r="N9348" s="1" t="s">
        <v>8</v>
      </c>
      <c r="O9348" s="1" t="s">
        <v>68</v>
      </c>
    </row>
    <row r="9349" spans="1:15" ht="43.2" x14ac:dyDescent="0.3">
      <c r="A9349" s="1" t="s">
        <v>15122</v>
      </c>
      <c r="B9349" s="1" t="str">
        <f>"H TUCKER"</f>
        <v>H TUCKER</v>
      </c>
      <c r="C9349" s="1" t="s">
        <v>15123</v>
      </c>
      <c r="F9349" s="1" t="s">
        <v>65</v>
      </c>
      <c r="H9349" s="1" t="s">
        <v>14282</v>
      </c>
      <c r="I9349" s="1" t="s">
        <v>188</v>
      </c>
      <c r="J9349" s="1" t="s">
        <v>67</v>
      </c>
      <c r="K9349" s="1" t="s">
        <v>24</v>
      </c>
      <c r="M9349" s="2">
        <v>42130</v>
      </c>
      <c r="N9349" s="1" t="s">
        <v>8</v>
      </c>
      <c r="O9349" s="1" t="s">
        <v>68</v>
      </c>
    </row>
    <row r="9350" spans="1:15" ht="43.2" x14ac:dyDescent="0.3">
      <c r="A9350" s="1" t="s">
        <v>26598</v>
      </c>
      <c r="B9350" s="1" t="str">
        <f>"james mcmanus"</f>
        <v>james mcmanus</v>
      </c>
      <c r="C9350" s="1" t="s">
        <v>26599</v>
      </c>
      <c r="F9350" s="1" t="s">
        <v>65</v>
      </c>
      <c r="H9350" s="1" t="s">
        <v>20252</v>
      </c>
      <c r="I9350" s="1" t="s">
        <v>5</v>
      </c>
      <c r="J9350" s="1" t="s">
        <v>67</v>
      </c>
      <c r="K9350" s="1" t="s">
        <v>14</v>
      </c>
      <c r="M9350" s="2">
        <v>42130</v>
      </c>
      <c r="N9350" s="1" t="s">
        <v>8</v>
      </c>
      <c r="O9350" s="1" t="s">
        <v>68</v>
      </c>
    </row>
    <row r="9351" spans="1:15" ht="43.2" x14ac:dyDescent="0.3">
      <c r="A9351" s="1" t="s">
        <v>27459</v>
      </c>
      <c r="B9351" s="1" t="str">
        <f>"Adrian Evans"</f>
        <v>Adrian Evans</v>
      </c>
      <c r="C9351" s="1" t="s">
        <v>27460</v>
      </c>
      <c r="F9351" s="1" t="s">
        <v>416</v>
      </c>
      <c r="H9351" s="1" t="s">
        <v>27461</v>
      </c>
      <c r="I9351" s="1" t="s">
        <v>5</v>
      </c>
      <c r="J9351" s="1" t="s">
        <v>67</v>
      </c>
      <c r="K9351" s="1" t="s">
        <v>14</v>
      </c>
      <c r="M9351" s="2">
        <v>42130</v>
      </c>
      <c r="N9351" s="1" t="s">
        <v>8</v>
      </c>
      <c r="O9351" s="1" t="s">
        <v>68</v>
      </c>
    </row>
    <row r="9352" spans="1:15" ht="28.8" x14ac:dyDescent="0.3">
      <c r="A9352" s="1" t="s">
        <v>30334</v>
      </c>
      <c r="B9352" s="1" t="str">
        <f>"B.T. JONES &amp; SONS LTD"</f>
        <v>B.T. JONES &amp; SONS LTD</v>
      </c>
      <c r="C9352" s="1" t="s">
        <v>30335</v>
      </c>
      <c r="F9352" s="1" t="s">
        <v>96</v>
      </c>
      <c r="H9352" s="1" t="s">
        <v>30336</v>
      </c>
      <c r="I9352" s="1" t="s">
        <v>19</v>
      </c>
      <c r="J9352" s="1" t="s">
        <v>6</v>
      </c>
      <c r="K9352" s="1" t="s">
        <v>34</v>
      </c>
      <c r="L9352" s="1">
        <v>1983345</v>
      </c>
      <c r="M9352" s="2">
        <v>42130</v>
      </c>
      <c r="N9352" s="1" t="s">
        <v>8</v>
      </c>
      <c r="O9352" s="2">
        <v>44321</v>
      </c>
    </row>
    <row r="9353" spans="1:15" ht="43.2" x14ac:dyDescent="0.3">
      <c r="A9353" s="1" t="s">
        <v>13294</v>
      </c>
      <c r="B9353" s="1" t="str">
        <f>"Edmund Jones Charity"</f>
        <v>Edmund Jones Charity</v>
      </c>
      <c r="C9353" s="1" t="s">
        <v>10171</v>
      </c>
      <c r="F9353" s="1" t="s">
        <v>1206</v>
      </c>
      <c r="H9353" s="1" t="s">
        <v>10172</v>
      </c>
      <c r="I9353" s="1" t="s">
        <v>1872</v>
      </c>
      <c r="J9353" s="1" t="s">
        <v>67</v>
      </c>
      <c r="K9353" s="1" t="s">
        <v>14</v>
      </c>
      <c r="M9353" s="2">
        <v>42129</v>
      </c>
      <c r="N9353" s="1" t="s">
        <v>8</v>
      </c>
      <c r="O9353" s="1" t="s">
        <v>68</v>
      </c>
    </row>
    <row r="9354" spans="1:15" ht="43.2" x14ac:dyDescent="0.3">
      <c r="A9354" s="1" t="s">
        <v>13295</v>
      </c>
      <c r="B9354" s="1" t="str">
        <f>"Heacol Ltd"</f>
        <v>Heacol Ltd</v>
      </c>
      <c r="C9354" s="1" t="s">
        <v>13296</v>
      </c>
      <c r="F9354" s="1" t="s">
        <v>13297</v>
      </c>
      <c r="H9354" s="1" t="s">
        <v>13298</v>
      </c>
      <c r="I9354" s="1" t="s">
        <v>19</v>
      </c>
      <c r="J9354" s="1" t="s">
        <v>67</v>
      </c>
      <c r="K9354" s="1" t="s">
        <v>14</v>
      </c>
      <c r="M9354" s="2">
        <v>42129</v>
      </c>
      <c r="N9354" s="1" t="s">
        <v>8</v>
      </c>
      <c r="O9354" s="1" t="s">
        <v>68</v>
      </c>
    </row>
    <row r="9355" spans="1:15" ht="43.2" x14ac:dyDescent="0.3">
      <c r="A9355" s="1" t="s">
        <v>13299</v>
      </c>
      <c r="B9355" s="1" t="str">
        <f>"QUANTUM GEOTECHNICAL LIMITED"</f>
        <v>QUANTUM GEOTECHNICAL LIMITED</v>
      </c>
      <c r="C9355" s="1" t="s">
        <v>13300</v>
      </c>
      <c r="D9355" s="1" t="s">
        <v>13301</v>
      </c>
      <c r="E9355" s="1" t="s">
        <v>6219</v>
      </c>
      <c r="F9355" s="1" t="s">
        <v>42</v>
      </c>
      <c r="H9355" s="1" t="s">
        <v>6220</v>
      </c>
      <c r="I9355" s="1" t="s">
        <v>19</v>
      </c>
      <c r="J9355" s="1" t="s">
        <v>67</v>
      </c>
      <c r="K9355" s="1" t="s">
        <v>24</v>
      </c>
      <c r="L9355" s="1">
        <v>7782715</v>
      </c>
      <c r="M9355" s="2">
        <v>42129</v>
      </c>
      <c r="N9355" s="1" t="s">
        <v>8</v>
      </c>
      <c r="O9355" s="1" t="s">
        <v>68</v>
      </c>
    </row>
    <row r="9356" spans="1:15" ht="43.2" x14ac:dyDescent="0.3">
      <c r="A9356" s="1" t="s">
        <v>13302</v>
      </c>
      <c r="B9356" s="1" t="str">
        <f>"A1-CBISS Limited"</f>
        <v>A1-CBISS Limited</v>
      </c>
      <c r="C9356" s="1" t="s">
        <v>13303</v>
      </c>
      <c r="F9356" s="1" t="s">
        <v>13304</v>
      </c>
      <c r="H9356" s="1" t="s">
        <v>13305</v>
      </c>
      <c r="I9356" s="1" t="s">
        <v>19</v>
      </c>
      <c r="J9356" s="1" t="s">
        <v>67</v>
      </c>
      <c r="K9356" s="1" t="s">
        <v>14</v>
      </c>
      <c r="M9356" s="2">
        <v>42129</v>
      </c>
      <c r="N9356" s="1" t="s">
        <v>8</v>
      </c>
      <c r="O9356" s="1" t="s">
        <v>68</v>
      </c>
    </row>
    <row r="9357" spans="1:15" ht="43.2" x14ac:dyDescent="0.3">
      <c r="A9357" s="1" t="s">
        <v>13306</v>
      </c>
      <c r="B9357" s="1" t="str">
        <f>"JOYNER P. A.(CYMRU) LTD"</f>
        <v>JOYNER P. A.(CYMRU) LTD</v>
      </c>
      <c r="C9357" s="1" t="s">
        <v>13307</v>
      </c>
      <c r="D9357" s="1" t="s">
        <v>6212</v>
      </c>
      <c r="F9357" s="1" t="s">
        <v>155</v>
      </c>
      <c r="H9357" s="1" t="s">
        <v>6213</v>
      </c>
      <c r="I9357" s="1" t="s">
        <v>19</v>
      </c>
      <c r="J9357" s="1" t="s">
        <v>67</v>
      </c>
      <c r="K9357" s="1" t="s">
        <v>24</v>
      </c>
      <c r="L9357" s="1">
        <v>1684550</v>
      </c>
      <c r="M9357" s="2">
        <v>42129</v>
      </c>
      <c r="N9357" s="1" t="s">
        <v>8</v>
      </c>
      <c r="O9357" s="1" t="s">
        <v>68</v>
      </c>
    </row>
    <row r="9358" spans="1:15" ht="43.2" x14ac:dyDescent="0.3">
      <c r="A9358" s="1" t="s">
        <v>13308</v>
      </c>
      <c r="B9358" s="1" t="str">
        <f>"The Clean Oven Company"</f>
        <v>The Clean Oven Company</v>
      </c>
      <c r="C9358" s="1" t="s">
        <v>10998</v>
      </c>
      <c r="F9358" s="1" t="s">
        <v>401</v>
      </c>
      <c r="H9358" s="1" t="s">
        <v>10999</v>
      </c>
      <c r="I9358" s="1" t="s">
        <v>19</v>
      </c>
      <c r="J9358" s="1" t="s">
        <v>67</v>
      </c>
      <c r="K9358" s="1" t="s">
        <v>14</v>
      </c>
      <c r="M9358" s="2">
        <v>42129</v>
      </c>
      <c r="N9358" s="1" t="s">
        <v>8</v>
      </c>
      <c r="O9358" s="1" t="s">
        <v>68</v>
      </c>
    </row>
    <row r="9359" spans="1:15" ht="43.2" x14ac:dyDescent="0.3">
      <c r="A9359" s="1" t="s">
        <v>14235</v>
      </c>
      <c r="B9359" s="1" t="str">
        <f>"Birch Farm Plastic Collection Ltd."</f>
        <v>Birch Farm Plastic Collection Ltd.</v>
      </c>
      <c r="C9359" s="1" t="s">
        <v>14236</v>
      </c>
      <c r="D9359" s="1" t="s">
        <v>14237</v>
      </c>
      <c r="F9359" s="1" t="s">
        <v>65</v>
      </c>
      <c r="H9359" s="1" t="s">
        <v>14238</v>
      </c>
      <c r="I9359" s="1" t="s">
        <v>19</v>
      </c>
      <c r="J9359" s="1" t="s">
        <v>67</v>
      </c>
      <c r="K9359" s="1" t="s">
        <v>24</v>
      </c>
      <c r="L9359" s="1">
        <v>5529812</v>
      </c>
      <c r="M9359" s="2">
        <v>42129</v>
      </c>
      <c r="N9359" s="1" t="s">
        <v>8</v>
      </c>
      <c r="O9359" s="1" t="s">
        <v>68</v>
      </c>
    </row>
    <row r="9360" spans="1:15" ht="43.2" x14ac:dyDescent="0.3">
      <c r="A9360" s="1" t="s">
        <v>14239</v>
      </c>
      <c r="B9360" s="1" t="str">
        <f>"KNK TRADING  &amp; MARKETING (UK) LTD"</f>
        <v>KNK TRADING  &amp; MARKETING (UK) LTD</v>
      </c>
      <c r="C9360" s="1" t="s">
        <v>14240</v>
      </c>
      <c r="D9360" s="1" t="s">
        <v>123</v>
      </c>
      <c r="G9360" s="1" t="s">
        <v>14241</v>
      </c>
      <c r="I9360" s="1" t="s">
        <v>19</v>
      </c>
      <c r="J9360" s="1" t="s">
        <v>67</v>
      </c>
      <c r="K9360" s="1" t="s">
        <v>14</v>
      </c>
      <c r="M9360" s="2">
        <v>42129</v>
      </c>
      <c r="N9360" s="1" t="s">
        <v>8</v>
      </c>
      <c r="O9360" s="1" t="s">
        <v>68</v>
      </c>
    </row>
    <row r="9361" spans="1:15" ht="43.2" x14ac:dyDescent="0.3">
      <c r="A9361" s="1" t="s">
        <v>14242</v>
      </c>
      <c r="B9361" s="1" t="str">
        <f>"Pace haulage"</f>
        <v>Pace haulage</v>
      </c>
      <c r="C9361" s="1" t="s">
        <v>14243</v>
      </c>
      <c r="D9361" s="1" t="s">
        <v>1408</v>
      </c>
      <c r="F9361" s="1" t="s">
        <v>198</v>
      </c>
      <c r="H9361" s="1" t="s">
        <v>14244</v>
      </c>
      <c r="I9361" s="1" t="s">
        <v>125</v>
      </c>
      <c r="J9361" s="1" t="s">
        <v>67</v>
      </c>
      <c r="K9361" s="1" t="s">
        <v>14</v>
      </c>
      <c r="M9361" s="2">
        <v>42129</v>
      </c>
      <c r="N9361" s="1" t="s">
        <v>8</v>
      </c>
      <c r="O9361" s="1" t="s">
        <v>68</v>
      </c>
    </row>
    <row r="9362" spans="1:15" ht="43.2" x14ac:dyDescent="0.3">
      <c r="A9362" s="1" t="s">
        <v>25841</v>
      </c>
      <c r="B9362" s="1" t="str">
        <f>"Alan  James"</f>
        <v>Alan  James</v>
      </c>
      <c r="C9362" s="1" t="s">
        <v>25842</v>
      </c>
      <c r="F9362" s="1" t="s">
        <v>42</v>
      </c>
      <c r="H9362" s="1" t="s">
        <v>25843</v>
      </c>
      <c r="I9362" s="1" t="s">
        <v>5</v>
      </c>
      <c r="J9362" s="1" t="s">
        <v>67</v>
      </c>
      <c r="K9362" s="1" t="s">
        <v>14</v>
      </c>
      <c r="M9362" s="2">
        <v>42128</v>
      </c>
      <c r="N9362" s="1" t="s">
        <v>8</v>
      </c>
      <c r="O9362" s="1" t="s">
        <v>68</v>
      </c>
    </row>
    <row r="9363" spans="1:15" ht="43.2" x14ac:dyDescent="0.3">
      <c r="A9363" s="1" t="s">
        <v>12209</v>
      </c>
      <c r="B9363" s="1" t="str">
        <f>"CAMDDWR CONTRACTORS CYF"</f>
        <v>CAMDDWR CONTRACTORS CYF</v>
      </c>
      <c r="C9363" s="1" t="s">
        <v>12210</v>
      </c>
      <c r="F9363" s="1" t="s">
        <v>37</v>
      </c>
      <c r="H9363" s="1" t="s">
        <v>12211</v>
      </c>
      <c r="I9363" s="1" t="s">
        <v>19</v>
      </c>
      <c r="J9363" s="1" t="s">
        <v>67</v>
      </c>
      <c r="K9363" s="1" t="s">
        <v>34</v>
      </c>
      <c r="L9363" s="1">
        <v>7783743</v>
      </c>
      <c r="M9363" s="2">
        <v>42126</v>
      </c>
      <c r="N9363" s="1" t="s">
        <v>8</v>
      </c>
      <c r="O9363" s="1" t="s">
        <v>68</v>
      </c>
    </row>
    <row r="9364" spans="1:15" ht="43.2" x14ac:dyDescent="0.3">
      <c r="A9364" s="1" t="s">
        <v>11233</v>
      </c>
      <c r="B9364" s="1" t="str">
        <f>"bof Group Ltd"</f>
        <v>bof Group Ltd</v>
      </c>
      <c r="C9364" s="1" t="s">
        <v>11234</v>
      </c>
      <c r="D9364" s="1" t="s">
        <v>4511</v>
      </c>
      <c r="F9364" s="1" t="s">
        <v>865</v>
      </c>
      <c r="H9364" s="1" t="s">
        <v>9604</v>
      </c>
      <c r="I9364" s="1" t="s">
        <v>19</v>
      </c>
      <c r="J9364" s="1" t="s">
        <v>67</v>
      </c>
      <c r="K9364" s="1" t="s">
        <v>14</v>
      </c>
      <c r="M9364" s="2">
        <v>42124</v>
      </c>
      <c r="N9364" s="1" t="s">
        <v>8</v>
      </c>
      <c r="O9364" s="1" t="s">
        <v>68</v>
      </c>
    </row>
    <row r="9365" spans="1:15" ht="43.2" x14ac:dyDescent="0.3">
      <c r="A9365" s="1" t="s">
        <v>11235</v>
      </c>
      <c r="B9365" s="1" t="str">
        <f>"Lanes of Abergavenny"</f>
        <v>Lanes of Abergavenny</v>
      </c>
      <c r="C9365" s="1" t="s">
        <v>11236</v>
      </c>
      <c r="F9365" s="1" t="s">
        <v>230</v>
      </c>
      <c r="H9365" s="1" t="s">
        <v>3393</v>
      </c>
      <c r="I9365" s="1" t="s">
        <v>19</v>
      </c>
      <c r="J9365" s="1" t="s">
        <v>67</v>
      </c>
      <c r="K9365" s="1" t="s">
        <v>34</v>
      </c>
      <c r="L9365" s="1">
        <v>7928809</v>
      </c>
      <c r="M9365" s="2">
        <v>42124</v>
      </c>
      <c r="N9365" s="1" t="s">
        <v>8</v>
      </c>
      <c r="O9365" s="1" t="s">
        <v>68</v>
      </c>
    </row>
    <row r="9366" spans="1:15" ht="43.2" x14ac:dyDescent="0.3">
      <c r="A9366" s="1" t="s">
        <v>11237</v>
      </c>
      <c r="B9366" s="1" t="str">
        <f>"Powys Training Skills Academy"</f>
        <v>Powys Training Skills Academy</v>
      </c>
      <c r="C9366" s="1" t="s">
        <v>11238</v>
      </c>
      <c r="F9366" s="1" t="s">
        <v>146</v>
      </c>
      <c r="H9366" s="1" t="s">
        <v>11239</v>
      </c>
      <c r="I9366" s="1" t="s">
        <v>188</v>
      </c>
      <c r="J9366" s="1" t="s">
        <v>67</v>
      </c>
      <c r="K9366" s="1" t="s">
        <v>14</v>
      </c>
      <c r="M9366" s="2">
        <v>42124</v>
      </c>
      <c r="N9366" s="1" t="s">
        <v>8</v>
      </c>
      <c r="O9366" s="1" t="s">
        <v>68</v>
      </c>
    </row>
    <row r="9367" spans="1:15" ht="43.2" x14ac:dyDescent="0.3">
      <c r="A9367" s="1" t="s">
        <v>25143</v>
      </c>
      <c r="B9367" s="1" t="str">
        <f>"david owen david owen"</f>
        <v>david owen david owen</v>
      </c>
      <c r="C9367" s="1" t="s">
        <v>25144</v>
      </c>
      <c r="F9367" s="1" t="s">
        <v>65</v>
      </c>
      <c r="H9367" s="1" t="s">
        <v>25145</v>
      </c>
      <c r="I9367" s="1" t="s">
        <v>5</v>
      </c>
      <c r="J9367" s="1" t="s">
        <v>67</v>
      </c>
      <c r="K9367" s="1" t="s">
        <v>24</v>
      </c>
      <c r="M9367" s="2">
        <v>42124</v>
      </c>
      <c r="N9367" s="1" t="s">
        <v>8</v>
      </c>
      <c r="O9367" s="1" t="s">
        <v>68</v>
      </c>
    </row>
    <row r="9368" spans="1:15" ht="43.2" x14ac:dyDescent="0.3">
      <c r="A9368" s="1" t="s">
        <v>25146</v>
      </c>
      <c r="B9368" s="1" t="str">
        <f>"Graeme Moore"</f>
        <v>Graeme Moore</v>
      </c>
      <c r="C9368" s="1" t="s">
        <v>25147</v>
      </c>
      <c r="F9368" s="1" t="s">
        <v>621</v>
      </c>
      <c r="H9368" s="1" t="s">
        <v>11390</v>
      </c>
      <c r="I9368" s="1" t="s">
        <v>5</v>
      </c>
      <c r="J9368" s="1" t="s">
        <v>67</v>
      </c>
      <c r="K9368" s="1" t="s">
        <v>14</v>
      </c>
      <c r="M9368" s="2">
        <v>42124</v>
      </c>
      <c r="N9368" s="1" t="s">
        <v>8</v>
      </c>
      <c r="O9368" s="1" t="s">
        <v>68</v>
      </c>
    </row>
    <row r="9369" spans="1:15" ht="43.2" x14ac:dyDescent="0.3">
      <c r="A9369" s="1" t="s">
        <v>25148</v>
      </c>
      <c r="B9369" s="1" t="str">
        <f>"Najib Barazi"</f>
        <v>Najib Barazi</v>
      </c>
      <c r="C9369" s="1" t="s">
        <v>25149</v>
      </c>
      <c r="F9369" s="1" t="s">
        <v>1260</v>
      </c>
      <c r="H9369" s="1" t="s">
        <v>4567</v>
      </c>
      <c r="I9369" s="1" t="s">
        <v>5</v>
      </c>
      <c r="J9369" s="1" t="s">
        <v>67</v>
      </c>
      <c r="K9369" s="1" t="s">
        <v>14</v>
      </c>
      <c r="M9369" s="2">
        <v>42124</v>
      </c>
      <c r="N9369" s="1" t="s">
        <v>8</v>
      </c>
      <c r="O9369" s="1" t="s">
        <v>68</v>
      </c>
    </row>
    <row r="9370" spans="1:15" ht="43.2" x14ac:dyDescent="0.3">
      <c r="A9370" s="1" t="s">
        <v>10203</v>
      </c>
      <c r="B9370" s="1" t="str">
        <f>"R Garwood Auto Electrical"</f>
        <v>R Garwood Auto Electrical</v>
      </c>
      <c r="C9370" s="1" t="s">
        <v>10204</v>
      </c>
      <c r="F9370" s="1" t="s">
        <v>27</v>
      </c>
      <c r="H9370" s="1" t="s">
        <v>10205</v>
      </c>
      <c r="I9370" s="1" t="s">
        <v>125</v>
      </c>
      <c r="J9370" s="1" t="s">
        <v>67</v>
      </c>
      <c r="K9370" s="1" t="s">
        <v>24</v>
      </c>
      <c r="M9370" s="2">
        <v>42123</v>
      </c>
      <c r="N9370" s="1" t="s">
        <v>8</v>
      </c>
      <c r="O9370" s="1" t="s">
        <v>68</v>
      </c>
    </row>
    <row r="9371" spans="1:15" ht="43.2" x14ac:dyDescent="0.3">
      <c r="A9371" s="1" t="s">
        <v>10206</v>
      </c>
      <c r="B9371" s="1" t="str">
        <f>"Monnow Marquees"</f>
        <v>Monnow Marquees</v>
      </c>
      <c r="C9371" s="1" t="s">
        <v>10207</v>
      </c>
      <c r="F9371" s="1" t="s">
        <v>2065</v>
      </c>
      <c r="H9371" s="1" t="s">
        <v>10208</v>
      </c>
      <c r="I9371" s="1" t="s">
        <v>125</v>
      </c>
      <c r="J9371" s="1" t="s">
        <v>67</v>
      </c>
      <c r="K9371" s="1" t="s">
        <v>14</v>
      </c>
      <c r="M9371" s="2">
        <v>42123</v>
      </c>
      <c r="N9371" s="1" t="s">
        <v>8</v>
      </c>
      <c r="O9371" s="1" t="s">
        <v>68</v>
      </c>
    </row>
    <row r="9372" spans="1:15" ht="43.2" x14ac:dyDescent="0.3">
      <c r="A9372" s="1" t="s">
        <v>11229</v>
      </c>
      <c r="B9372" s="1" t="str">
        <f>"West Wales Music Collective C.I.C."</f>
        <v>West Wales Music Collective C.I.C.</v>
      </c>
      <c r="C9372" s="1" t="s">
        <v>11230</v>
      </c>
      <c r="F9372" s="1" t="s">
        <v>56</v>
      </c>
      <c r="H9372" s="1" t="s">
        <v>11231</v>
      </c>
      <c r="I9372" s="1" t="s">
        <v>1872</v>
      </c>
      <c r="J9372" s="1" t="s">
        <v>67</v>
      </c>
      <c r="K9372" s="1" t="s">
        <v>14</v>
      </c>
      <c r="M9372" s="2">
        <v>42123</v>
      </c>
      <c r="N9372" s="1" t="s">
        <v>8</v>
      </c>
      <c r="O9372" s="1" t="s">
        <v>68</v>
      </c>
    </row>
    <row r="9373" spans="1:15" ht="43.2" x14ac:dyDescent="0.3">
      <c r="A9373" s="1" t="s">
        <v>11232</v>
      </c>
      <c r="B9373" s="1" t="str">
        <f>"Arch Services"</f>
        <v>Arch Services</v>
      </c>
      <c r="C9373" s="1" t="s">
        <v>7041</v>
      </c>
      <c r="F9373" s="1" t="s">
        <v>277</v>
      </c>
      <c r="H9373" s="1" t="s">
        <v>7042</v>
      </c>
      <c r="I9373" s="1" t="s">
        <v>125</v>
      </c>
      <c r="J9373" s="1" t="s">
        <v>67</v>
      </c>
      <c r="K9373" s="1" t="s">
        <v>14</v>
      </c>
      <c r="M9373" s="2">
        <v>42123</v>
      </c>
      <c r="N9373" s="1" t="s">
        <v>8</v>
      </c>
      <c r="O9373" s="1" t="s">
        <v>68</v>
      </c>
    </row>
    <row r="9374" spans="1:15" ht="43.2" x14ac:dyDescent="0.3">
      <c r="A9374" s="1" t="s">
        <v>23428</v>
      </c>
      <c r="B9374" s="1" t="str">
        <f>"John Docker"</f>
        <v>John Docker</v>
      </c>
      <c r="C9374" s="1" t="s">
        <v>23429</v>
      </c>
      <c r="F9374" s="1" t="s">
        <v>223</v>
      </c>
      <c r="H9374" s="1" t="s">
        <v>3906</v>
      </c>
      <c r="I9374" s="1" t="s">
        <v>5</v>
      </c>
      <c r="J9374" s="1" t="s">
        <v>67</v>
      </c>
      <c r="K9374" s="1" t="s">
        <v>14</v>
      </c>
      <c r="M9374" s="2">
        <v>42123</v>
      </c>
      <c r="N9374" s="1" t="s">
        <v>8</v>
      </c>
      <c r="O9374" s="1" t="s">
        <v>68</v>
      </c>
    </row>
    <row r="9375" spans="1:15" ht="43.2" x14ac:dyDescent="0.3">
      <c r="A9375" s="1" t="s">
        <v>9088</v>
      </c>
      <c r="B9375" s="1" t="str">
        <f>"Qual-IT Services Ltd"</f>
        <v>Qual-IT Services Ltd</v>
      </c>
      <c r="C9375" s="1" t="s">
        <v>9089</v>
      </c>
      <c r="F9375" s="1" t="s">
        <v>1184</v>
      </c>
      <c r="H9375" s="1" t="s">
        <v>9090</v>
      </c>
      <c r="I9375" s="1" t="s">
        <v>19</v>
      </c>
      <c r="J9375" s="1" t="s">
        <v>67</v>
      </c>
      <c r="K9375" s="1" t="s">
        <v>14</v>
      </c>
      <c r="M9375" s="2">
        <v>42122</v>
      </c>
      <c r="N9375" s="1" t="s">
        <v>8</v>
      </c>
      <c r="O9375" s="1" t="s">
        <v>68</v>
      </c>
    </row>
    <row r="9376" spans="1:15" ht="43.2" x14ac:dyDescent="0.3">
      <c r="A9376" s="1" t="s">
        <v>23425</v>
      </c>
      <c r="B9376" s="1" t="str">
        <f>"Graham Edleston "</f>
        <v xml:space="preserve">Graham Edleston </v>
      </c>
      <c r="C9376" s="1" t="s">
        <v>23426</v>
      </c>
      <c r="F9376" s="1" t="s">
        <v>27</v>
      </c>
      <c r="H9376" s="1" t="s">
        <v>23427</v>
      </c>
      <c r="I9376" s="1" t="s">
        <v>5</v>
      </c>
      <c r="J9376" s="1" t="s">
        <v>67</v>
      </c>
      <c r="K9376" s="1" t="s">
        <v>14</v>
      </c>
      <c r="M9376" s="2">
        <v>42122</v>
      </c>
      <c r="N9376" s="1" t="s">
        <v>8</v>
      </c>
      <c r="O9376" s="1" t="s">
        <v>68</v>
      </c>
    </row>
    <row r="9377" spans="1:15" ht="28.8" x14ac:dyDescent="0.3">
      <c r="A9377" s="1" t="s">
        <v>32446</v>
      </c>
      <c r="B9377" s="1" t="str">
        <f>"Pole to Pole Climate Control Ltd"</f>
        <v>Pole to Pole Climate Control Ltd</v>
      </c>
      <c r="C9377" s="1" t="s">
        <v>32447</v>
      </c>
      <c r="D9377" s="1" t="s">
        <v>9924</v>
      </c>
      <c r="E9377" s="1" t="s">
        <v>258</v>
      </c>
      <c r="F9377" s="1" t="s">
        <v>64</v>
      </c>
      <c r="G9377" s="1" t="s">
        <v>65</v>
      </c>
      <c r="H9377" s="1" t="s">
        <v>9925</v>
      </c>
      <c r="I9377" s="1" t="s">
        <v>19</v>
      </c>
      <c r="J9377" s="1" t="s">
        <v>6</v>
      </c>
      <c r="K9377" s="1" t="s">
        <v>24</v>
      </c>
      <c r="L9377" s="1">
        <v>6491858</v>
      </c>
      <c r="M9377" s="2">
        <v>42122</v>
      </c>
      <c r="N9377" s="1" t="s">
        <v>8</v>
      </c>
      <c r="O9377" s="2">
        <v>44334</v>
      </c>
    </row>
    <row r="9378" spans="1:15" ht="43.2" x14ac:dyDescent="0.3">
      <c r="A9378" s="1" t="s">
        <v>9081</v>
      </c>
      <c r="B9378" s="1" t="str">
        <f>"thomas rowdy herne"</f>
        <v>thomas rowdy herne</v>
      </c>
      <c r="C9378" s="1" t="s">
        <v>2747</v>
      </c>
      <c r="F9378" s="1" t="s">
        <v>865</v>
      </c>
      <c r="H9378" s="1" t="s">
        <v>2748</v>
      </c>
      <c r="I9378" s="1" t="s">
        <v>188</v>
      </c>
      <c r="J9378" s="1" t="s">
        <v>67</v>
      </c>
      <c r="K9378" s="1" t="s">
        <v>14</v>
      </c>
      <c r="M9378" s="2">
        <v>42121</v>
      </c>
      <c r="N9378" s="1" t="s">
        <v>8</v>
      </c>
      <c r="O9378" s="1" t="s">
        <v>68</v>
      </c>
    </row>
    <row r="9379" spans="1:15" ht="43.2" x14ac:dyDescent="0.3">
      <c r="A9379" s="1" t="s">
        <v>9082</v>
      </c>
      <c r="B9379" s="1" t="str">
        <f>"Edwards Jeffery Carpet Cleaning"</f>
        <v>Edwards Jeffery Carpet Cleaning</v>
      </c>
      <c r="C9379" s="1" t="s">
        <v>9083</v>
      </c>
      <c r="F9379" s="1" t="s">
        <v>865</v>
      </c>
      <c r="H9379" s="1" t="s">
        <v>9084</v>
      </c>
      <c r="I9379" s="1" t="s">
        <v>19</v>
      </c>
      <c r="J9379" s="1" t="s">
        <v>67</v>
      </c>
      <c r="K9379" s="1" t="s">
        <v>14</v>
      </c>
      <c r="M9379" s="2">
        <v>42121</v>
      </c>
      <c r="N9379" s="1" t="s">
        <v>8</v>
      </c>
      <c r="O9379" s="1" t="s">
        <v>68</v>
      </c>
    </row>
    <row r="9380" spans="1:15" ht="43.2" x14ac:dyDescent="0.3">
      <c r="A9380" s="1" t="s">
        <v>9085</v>
      </c>
      <c r="B9380" s="1" t="str">
        <f>"The Card Shop"</f>
        <v>The Card Shop</v>
      </c>
      <c r="C9380" s="1" t="s">
        <v>9086</v>
      </c>
      <c r="F9380" s="1" t="s">
        <v>364</v>
      </c>
      <c r="H9380" s="1" t="s">
        <v>9087</v>
      </c>
      <c r="I9380" s="1" t="s">
        <v>125</v>
      </c>
      <c r="J9380" s="1" t="s">
        <v>67</v>
      </c>
      <c r="K9380" s="1" t="s">
        <v>14</v>
      </c>
      <c r="M9380" s="2">
        <v>42121</v>
      </c>
      <c r="N9380" s="1" t="s">
        <v>8</v>
      </c>
      <c r="O9380" s="1" t="s">
        <v>68</v>
      </c>
    </row>
    <row r="9381" spans="1:15" ht="43.2" x14ac:dyDescent="0.3">
      <c r="A9381" s="1" t="s">
        <v>21871</v>
      </c>
      <c r="B9381" s="1" t="str">
        <f>"anthony chick"</f>
        <v>anthony chick</v>
      </c>
      <c r="C9381" s="1" t="s">
        <v>21872</v>
      </c>
      <c r="F9381" s="1" t="s">
        <v>27</v>
      </c>
      <c r="H9381" s="1" t="s">
        <v>21873</v>
      </c>
      <c r="I9381" s="1" t="s">
        <v>5</v>
      </c>
      <c r="J9381" s="1" t="s">
        <v>67</v>
      </c>
      <c r="K9381" s="1" t="s">
        <v>14</v>
      </c>
      <c r="M9381" s="2">
        <v>42121</v>
      </c>
      <c r="N9381" s="1" t="s">
        <v>8</v>
      </c>
      <c r="O9381" s="1" t="s">
        <v>68</v>
      </c>
    </row>
    <row r="9382" spans="1:15" ht="43.2" x14ac:dyDescent="0.3">
      <c r="A9382" s="1" t="s">
        <v>22681</v>
      </c>
      <c r="B9382" s="1" t="str">
        <f>"robert prydie"</f>
        <v>robert prydie</v>
      </c>
      <c r="C9382" s="1" t="s">
        <v>22682</v>
      </c>
      <c r="F9382" s="1" t="s">
        <v>1351</v>
      </c>
      <c r="H9382" s="1" t="s">
        <v>22683</v>
      </c>
      <c r="I9382" s="1" t="s">
        <v>5</v>
      </c>
      <c r="J9382" s="1" t="s">
        <v>67</v>
      </c>
      <c r="K9382" s="1" t="s">
        <v>14</v>
      </c>
      <c r="M9382" s="2">
        <v>42121</v>
      </c>
      <c r="N9382" s="1" t="s">
        <v>8</v>
      </c>
      <c r="O9382" s="1" t="s">
        <v>68</v>
      </c>
    </row>
    <row r="9383" spans="1:15" ht="43.2" x14ac:dyDescent="0.3">
      <c r="A9383" s="1" t="s">
        <v>6837</v>
      </c>
      <c r="B9383" s="1" t="str">
        <f>"New Moors Surgery"</f>
        <v>New Moors Surgery</v>
      </c>
      <c r="C9383" s="1" t="s">
        <v>6838</v>
      </c>
      <c r="F9383" s="1" t="s">
        <v>27</v>
      </c>
      <c r="H9383" s="1" t="s">
        <v>6839</v>
      </c>
      <c r="I9383" s="1" t="s">
        <v>125</v>
      </c>
      <c r="J9383" s="1" t="s">
        <v>67</v>
      </c>
      <c r="K9383" s="1" t="s">
        <v>14</v>
      </c>
      <c r="M9383" s="2">
        <v>42118</v>
      </c>
      <c r="N9383" s="1" t="s">
        <v>8</v>
      </c>
      <c r="O9383" s="1" t="s">
        <v>68</v>
      </c>
    </row>
    <row r="9384" spans="1:15" ht="43.2" x14ac:dyDescent="0.3">
      <c r="A9384" s="1" t="s">
        <v>6840</v>
      </c>
      <c r="B9384" s="1" t="str">
        <f>"G H &amp; M Edwards"</f>
        <v>G H &amp; M Edwards</v>
      </c>
      <c r="C9384" s="1" t="s">
        <v>6841</v>
      </c>
      <c r="F9384" s="1" t="s">
        <v>1260</v>
      </c>
      <c r="H9384" s="1" t="s">
        <v>6842</v>
      </c>
      <c r="I9384" s="1" t="s">
        <v>19</v>
      </c>
      <c r="J9384" s="1" t="s">
        <v>67</v>
      </c>
      <c r="K9384" s="1" t="s">
        <v>14</v>
      </c>
      <c r="M9384" s="2">
        <v>42118</v>
      </c>
      <c r="N9384" s="1" t="s">
        <v>8</v>
      </c>
      <c r="O9384" s="1" t="s">
        <v>68</v>
      </c>
    </row>
    <row r="9385" spans="1:15" ht="43.2" x14ac:dyDescent="0.3">
      <c r="A9385" s="1" t="s">
        <v>6843</v>
      </c>
      <c r="B9385" s="1" t="str">
        <f>"SURVIVA Ltd"</f>
        <v>SURVIVA Ltd</v>
      </c>
      <c r="C9385" s="1" t="s">
        <v>5616</v>
      </c>
      <c r="D9385" s="1" t="s">
        <v>5617</v>
      </c>
      <c r="E9385" s="1" t="s">
        <v>2623</v>
      </c>
      <c r="F9385" s="1" t="s">
        <v>65</v>
      </c>
      <c r="H9385" s="1" t="s">
        <v>5618</v>
      </c>
      <c r="I9385" s="1" t="s">
        <v>19</v>
      </c>
      <c r="J9385" s="1" t="s">
        <v>67</v>
      </c>
      <c r="K9385" s="1" t="s">
        <v>14</v>
      </c>
      <c r="M9385" s="2">
        <v>42118</v>
      </c>
      <c r="N9385" s="1" t="s">
        <v>8</v>
      </c>
      <c r="O9385" s="1" t="s">
        <v>68</v>
      </c>
    </row>
    <row r="9386" spans="1:15" ht="28.8" x14ac:dyDescent="0.3">
      <c r="A9386" s="1" t="s">
        <v>30331</v>
      </c>
      <c r="B9386" s="1" t="str">
        <f>"DCM CONTRACTING LTD"</f>
        <v>DCM CONTRACTING LTD</v>
      </c>
      <c r="C9386" s="1" t="s">
        <v>30332</v>
      </c>
      <c r="F9386" s="1" t="s">
        <v>401</v>
      </c>
      <c r="H9386" s="1" t="s">
        <v>30333</v>
      </c>
      <c r="I9386" s="1" t="s">
        <v>19</v>
      </c>
      <c r="J9386" s="1" t="s">
        <v>6</v>
      </c>
      <c r="K9386" s="1" t="s">
        <v>24</v>
      </c>
      <c r="L9386" s="1">
        <v>9276180</v>
      </c>
      <c r="M9386" s="2">
        <v>42118</v>
      </c>
      <c r="N9386" s="1" t="s">
        <v>8</v>
      </c>
      <c r="O9386" s="2">
        <v>44309</v>
      </c>
    </row>
    <row r="9387" spans="1:15" ht="28.8" x14ac:dyDescent="0.3">
      <c r="A9387" s="1" t="s">
        <v>32190</v>
      </c>
      <c r="B9387" s="1" t="str">
        <f>"Watkins Property Services Ltd"</f>
        <v>Watkins Property Services Ltd</v>
      </c>
      <c r="C9387" s="1" t="s">
        <v>32191</v>
      </c>
      <c r="D9387" s="1" t="s">
        <v>32192</v>
      </c>
      <c r="F9387" s="1" t="s">
        <v>1175</v>
      </c>
      <c r="H9387" s="1" t="s">
        <v>32193</v>
      </c>
      <c r="I9387" s="1" t="s">
        <v>19</v>
      </c>
      <c r="J9387" s="1" t="s">
        <v>6</v>
      </c>
      <c r="K9387" s="1" t="s">
        <v>34</v>
      </c>
      <c r="L9387" s="1">
        <v>8494334</v>
      </c>
      <c r="M9387" s="2">
        <v>42118</v>
      </c>
      <c r="N9387" s="1" t="s">
        <v>8</v>
      </c>
      <c r="O9387" s="2">
        <v>44310</v>
      </c>
    </row>
    <row r="9388" spans="1:15" ht="43.2" x14ac:dyDescent="0.3">
      <c r="A9388" s="1" t="s">
        <v>5633</v>
      </c>
      <c r="B9388" s="1" t="str">
        <f>"Absolute Performance"</f>
        <v>Absolute Performance</v>
      </c>
      <c r="C9388" s="1" t="s">
        <v>5634</v>
      </c>
      <c r="F9388" s="1" t="s">
        <v>27</v>
      </c>
      <c r="H9388" s="1" t="s">
        <v>2827</v>
      </c>
      <c r="I9388" s="1" t="s">
        <v>19</v>
      </c>
      <c r="J9388" s="1" t="s">
        <v>67</v>
      </c>
      <c r="K9388" s="1" t="s">
        <v>14</v>
      </c>
      <c r="M9388" s="2">
        <v>42117</v>
      </c>
      <c r="N9388" s="1" t="s">
        <v>8</v>
      </c>
      <c r="O9388" s="1" t="s">
        <v>68</v>
      </c>
    </row>
    <row r="9389" spans="1:15" ht="43.2" x14ac:dyDescent="0.3">
      <c r="A9389" s="1" t="s">
        <v>5635</v>
      </c>
      <c r="B9389" s="1" t="str">
        <f>"Lewis Mobile Welding"</f>
        <v>Lewis Mobile Welding</v>
      </c>
      <c r="C9389" s="1" t="s">
        <v>5636</v>
      </c>
      <c r="F9389" s="1" t="s">
        <v>277</v>
      </c>
      <c r="H9389" s="1" t="s">
        <v>5637</v>
      </c>
      <c r="I9389" s="1" t="s">
        <v>188</v>
      </c>
      <c r="J9389" s="1" t="s">
        <v>67</v>
      </c>
      <c r="K9389" s="1" t="s">
        <v>24</v>
      </c>
      <c r="M9389" s="2">
        <v>42117</v>
      </c>
      <c r="N9389" s="1" t="s">
        <v>8</v>
      </c>
      <c r="O9389" s="1" t="s">
        <v>68</v>
      </c>
    </row>
    <row r="9390" spans="1:15" ht="43.2" x14ac:dyDescent="0.3">
      <c r="A9390" s="1" t="s">
        <v>20299</v>
      </c>
      <c r="B9390" s="1" t="str">
        <f>"Mike  Jackson"</f>
        <v>Mike  Jackson</v>
      </c>
      <c r="C9390" s="1" t="s">
        <v>20300</v>
      </c>
      <c r="F9390" s="1" t="s">
        <v>2277</v>
      </c>
      <c r="H9390" s="1" t="s">
        <v>20301</v>
      </c>
      <c r="I9390" s="1" t="s">
        <v>5</v>
      </c>
      <c r="J9390" s="1" t="s">
        <v>67</v>
      </c>
      <c r="K9390" s="1" t="s">
        <v>14</v>
      </c>
      <c r="M9390" s="2">
        <v>42117</v>
      </c>
      <c r="N9390" s="1" t="s">
        <v>8</v>
      </c>
      <c r="O9390" s="1" t="s">
        <v>68</v>
      </c>
    </row>
    <row r="9391" spans="1:15" ht="43.2" x14ac:dyDescent="0.3">
      <c r="A9391" s="1" t="s">
        <v>21099</v>
      </c>
      <c r="B9391" s="1" t="str">
        <f>"mark gunn"</f>
        <v>mark gunn</v>
      </c>
      <c r="C9391" s="1" t="s">
        <v>21100</v>
      </c>
      <c r="F9391" s="1" t="s">
        <v>380</v>
      </c>
      <c r="H9391" s="1" t="s">
        <v>21101</v>
      </c>
      <c r="I9391" s="1" t="s">
        <v>5</v>
      </c>
      <c r="J9391" s="1" t="s">
        <v>67</v>
      </c>
      <c r="K9391" s="1" t="s">
        <v>14</v>
      </c>
      <c r="M9391" s="2">
        <v>42117</v>
      </c>
      <c r="N9391" s="1" t="s">
        <v>8</v>
      </c>
      <c r="O9391" s="1" t="s">
        <v>68</v>
      </c>
    </row>
    <row r="9392" spans="1:15" ht="43.2" x14ac:dyDescent="0.3">
      <c r="A9392" s="1" t="s">
        <v>4499</v>
      </c>
      <c r="B9392" s="1" t="str">
        <f>"National Trust"</f>
        <v>National Trust</v>
      </c>
      <c r="C9392" s="1" t="s">
        <v>4500</v>
      </c>
      <c r="F9392" s="1" t="s">
        <v>416</v>
      </c>
      <c r="H9392" s="1" t="s">
        <v>4501</v>
      </c>
      <c r="I9392" s="1" t="s">
        <v>1872</v>
      </c>
      <c r="J9392" s="1" t="s">
        <v>67</v>
      </c>
      <c r="K9392" s="1" t="s">
        <v>14</v>
      </c>
      <c r="M9392" s="2">
        <v>42116</v>
      </c>
      <c r="N9392" s="1" t="s">
        <v>8</v>
      </c>
      <c r="O9392" s="1" t="s">
        <v>68</v>
      </c>
    </row>
    <row r="9393" spans="1:15" ht="43.2" x14ac:dyDescent="0.3">
      <c r="A9393" s="1" t="s">
        <v>4502</v>
      </c>
      <c r="B9393" s="1" t="str">
        <f>"The Knight Shop International Ltd"</f>
        <v>The Knight Shop International Ltd</v>
      </c>
      <c r="C9393" s="1" t="s">
        <v>4503</v>
      </c>
      <c r="F9393" s="1" t="s">
        <v>1260</v>
      </c>
      <c r="H9393" s="1" t="s">
        <v>4504</v>
      </c>
      <c r="I9393" s="1" t="s">
        <v>19</v>
      </c>
      <c r="J9393" s="1" t="s">
        <v>67</v>
      </c>
      <c r="K9393" s="1" t="s">
        <v>14</v>
      </c>
      <c r="M9393" s="2">
        <v>42116</v>
      </c>
      <c r="N9393" s="1" t="s">
        <v>8</v>
      </c>
      <c r="O9393" s="1" t="s">
        <v>68</v>
      </c>
    </row>
    <row r="9394" spans="1:15" ht="43.2" x14ac:dyDescent="0.3">
      <c r="A9394" s="1" t="s">
        <v>4505</v>
      </c>
      <c r="B9394" s="1" t="str">
        <f>"REFURBS FLINTSHIRE"</f>
        <v>REFURBS FLINTSHIRE</v>
      </c>
      <c r="C9394" s="1" t="s">
        <v>4506</v>
      </c>
      <c r="F9394" s="1" t="s">
        <v>4507</v>
      </c>
      <c r="H9394" s="1" t="s">
        <v>4508</v>
      </c>
      <c r="I9394" s="1" t="s">
        <v>1872</v>
      </c>
      <c r="J9394" s="1" t="s">
        <v>67</v>
      </c>
      <c r="K9394" s="1" t="s">
        <v>24</v>
      </c>
      <c r="L9394" s="1">
        <v>4367121</v>
      </c>
      <c r="M9394" s="2">
        <v>42116</v>
      </c>
      <c r="N9394" s="1" t="s">
        <v>8</v>
      </c>
      <c r="O9394" s="1" t="s">
        <v>68</v>
      </c>
    </row>
    <row r="9395" spans="1:15" ht="43.2" x14ac:dyDescent="0.3">
      <c r="A9395" s="1" t="s">
        <v>19532</v>
      </c>
      <c r="B9395" s="1" t="str">
        <f>"Joanne Evans"</f>
        <v>Joanne Evans</v>
      </c>
      <c r="C9395" s="1" t="s">
        <v>19533</v>
      </c>
      <c r="D9395" s="1" t="s">
        <v>15670</v>
      </c>
      <c r="F9395" s="1" t="s">
        <v>1346</v>
      </c>
      <c r="H9395" s="1" t="s">
        <v>19534</v>
      </c>
      <c r="I9395" s="1" t="s">
        <v>5</v>
      </c>
      <c r="J9395" s="1" t="s">
        <v>67</v>
      </c>
      <c r="K9395" s="1" t="s">
        <v>14</v>
      </c>
      <c r="M9395" s="2">
        <v>42116</v>
      </c>
      <c r="N9395" s="1" t="s">
        <v>8</v>
      </c>
      <c r="O9395" s="1" t="s">
        <v>68</v>
      </c>
    </row>
    <row r="9396" spans="1:15" ht="43.2" x14ac:dyDescent="0.3">
      <c r="A9396" s="1" t="s">
        <v>19535</v>
      </c>
      <c r="B9396" s="1" t="str">
        <f>"D G  Davies"</f>
        <v>D G  Davies</v>
      </c>
      <c r="C9396" s="1" t="s">
        <v>19536</v>
      </c>
      <c r="F9396" s="1" t="s">
        <v>37</v>
      </c>
      <c r="H9396" s="1" t="s">
        <v>19537</v>
      </c>
      <c r="I9396" s="1" t="s">
        <v>5</v>
      </c>
      <c r="J9396" s="1" t="s">
        <v>67</v>
      </c>
      <c r="K9396" s="1" t="s">
        <v>14</v>
      </c>
      <c r="M9396" s="2">
        <v>42116</v>
      </c>
      <c r="N9396" s="1" t="s">
        <v>8</v>
      </c>
      <c r="O9396" s="1" t="s">
        <v>68</v>
      </c>
    </row>
    <row r="9397" spans="1:15" ht="43.2" x14ac:dyDescent="0.3">
      <c r="A9397" s="1" t="s">
        <v>19538</v>
      </c>
      <c r="B9397" s="1" t="str">
        <f>"James Livingstone"</f>
        <v>James Livingstone</v>
      </c>
      <c r="C9397" s="1" t="s">
        <v>19539</v>
      </c>
      <c r="F9397" s="1" t="s">
        <v>174</v>
      </c>
      <c r="H9397" s="1" t="s">
        <v>19540</v>
      </c>
      <c r="I9397" s="1" t="s">
        <v>5</v>
      </c>
      <c r="J9397" s="1" t="s">
        <v>67</v>
      </c>
      <c r="K9397" s="1" t="s">
        <v>14</v>
      </c>
      <c r="M9397" s="2">
        <v>42116</v>
      </c>
      <c r="N9397" s="1" t="s">
        <v>8</v>
      </c>
      <c r="O9397" s="1" t="s">
        <v>68</v>
      </c>
    </row>
    <row r="9398" spans="1:15" ht="43.2" x14ac:dyDescent="0.3">
      <c r="A9398" s="1" t="s">
        <v>20287</v>
      </c>
      <c r="B9398" s="1" t="str">
        <f>"William David Roberts"</f>
        <v>William David Roberts</v>
      </c>
      <c r="C9398" s="1" t="s">
        <v>20288</v>
      </c>
      <c r="D9398" s="1" t="s">
        <v>14474</v>
      </c>
      <c r="F9398" s="1" t="s">
        <v>328</v>
      </c>
      <c r="H9398" s="1" t="s">
        <v>20289</v>
      </c>
      <c r="I9398" s="1" t="s">
        <v>5</v>
      </c>
      <c r="J9398" s="1" t="s">
        <v>67</v>
      </c>
      <c r="K9398" s="1" t="s">
        <v>24</v>
      </c>
      <c r="M9398" s="2">
        <v>42116</v>
      </c>
      <c r="N9398" s="1" t="s">
        <v>8</v>
      </c>
      <c r="O9398" s="1" t="s">
        <v>68</v>
      </c>
    </row>
    <row r="9399" spans="1:15" ht="43.2" x14ac:dyDescent="0.3">
      <c r="A9399" s="1" t="s">
        <v>20290</v>
      </c>
      <c r="B9399" s="1" t="str">
        <f>"Yvette Marriott"</f>
        <v>Yvette Marriott</v>
      </c>
      <c r="C9399" s="1" t="s">
        <v>20291</v>
      </c>
      <c r="F9399" s="1" t="s">
        <v>3415</v>
      </c>
      <c r="H9399" s="1" t="s">
        <v>20292</v>
      </c>
      <c r="I9399" s="1" t="s">
        <v>5</v>
      </c>
      <c r="J9399" s="1" t="s">
        <v>67</v>
      </c>
      <c r="K9399" s="1" t="s">
        <v>14</v>
      </c>
      <c r="M9399" s="2">
        <v>42116</v>
      </c>
      <c r="N9399" s="1" t="s">
        <v>8</v>
      </c>
      <c r="O9399" s="1" t="s">
        <v>68</v>
      </c>
    </row>
    <row r="9400" spans="1:15" ht="43.2" x14ac:dyDescent="0.3">
      <c r="A9400" s="1" t="s">
        <v>20293</v>
      </c>
      <c r="B9400" s="1" t="str">
        <f>"Trevor Gould"</f>
        <v>Trevor Gould</v>
      </c>
      <c r="C9400" s="1" t="s">
        <v>20294</v>
      </c>
      <c r="F9400" s="1" t="s">
        <v>20295</v>
      </c>
      <c r="H9400" s="1" t="s">
        <v>20296</v>
      </c>
      <c r="I9400" s="1" t="s">
        <v>5</v>
      </c>
      <c r="J9400" s="1" t="s">
        <v>67</v>
      </c>
      <c r="K9400" s="1" t="s">
        <v>14</v>
      </c>
      <c r="M9400" s="2">
        <v>42116</v>
      </c>
      <c r="N9400" s="1" t="s">
        <v>8</v>
      </c>
      <c r="O9400" s="1" t="s">
        <v>68</v>
      </c>
    </row>
    <row r="9401" spans="1:15" ht="43.2" x14ac:dyDescent="0.3">
      <c r="A9401" s="1" t="s">
        <v>20297</v>
      </c>
      <c r="B9401" s="1" t="str">
        <f>"Graeme Sears"</f>
        <v>Graeme Sears</v>
      </c>
      <c r="C9401" s="1" t="s">
        <v>20298</v>
      </c>
      <c r="F9401" s="1" t="s">
        <v>65</v>
      </c>
      <c r="H9401" s="1" t="s">
        <v>6651</v>
      </c>
      <c r="I9401" s="1" t="s">
        <v>5</v>
      </c>
      <c r="J9401" s="1" t="s">
        <v>67</v>
      </c>
      <c r="K9401" s="1" t="s">
        <v>14</v>
      </c>
      <c r="M9401" s="2">
        <v>42116</v>
      </c>
      <c r="N9401" s="1" t="s">
        <v>8</v>
      </c>
      <c r="O9401" s="1" t="s">
        <v>68</v>
      </c>
    </row>
    <row r="9402" spans="1:15" ht="43.2" x14ac:dyDescent="0.3">
      <c r="A9402" s="1" t="s">
        <v>18648</v>
      </c>
      <c r="B9402" s="1" t="str">
        <f>"Amanda Jones"</f>
        <v>Amanda Jones</v>
      </c>
      <c r="C9402" s="1" t="s">
        <v>18649</v>
      </c>
      <c r="F9402" s="1" t="s">
        <v>416</v>
      </c>
      <c r="H9402" s="1" t="s">
        <v>18650</v>
      </c>
      <c r="I9402" s="1" t="s">
        <v>5</v>
      </c>
      <c r="J9402" s="1" t="s">
        <v>67</v>
      </c>
      <c r="K9402" s="1" t="s">
        <v>14</v>
      </c>
      <c r="M9402" s="2">
        <v>42115</v>
      </c>
      <c r="N9402" s="1" t="s">
        <v>8</v>
      </c>
      <c r="O9402" s="1" t="s">
        <v>68</v>
      </c>
    </row>
    <row r="9403" spans="1:15" ht="43.2" x14ac:dyDescent="0.3">
      <c r="A9403" s="1" t="s">
        <v>17083</v>
      </c>
      <c r="B9403" s="1" t="str">
        <f>"The Albert Hall"</f>
        <v>The Albert Hall</v>
      </c>
      <c r="C9403" s="1" t="s">
        <v>17084</v>
      </c>
      <c r="F9403" s="1" t="s">
        <v>17085</v>
      </c>
      <c r="H9403" s="1" t="s">
        <v>17086</v>
      </c>
      <c r="I9403" s="1" t="s">
        <v>1872</v>
      </c>
      <c r="J9403" s="1" t="s">
        <v>67</v>
      </c>
      <c r="K9403" s="1" t="s">
        <v>14</v>
      </c>
      <c r="M9403" s="2">
        <v>42114</v>
      </c>
      <c r="N9403" s="1" t="s">
        <v>8</v>
      </c>
      <c r="O9403" s="1" t="s">
        <v>68</v>
      </c>
    </row>
    <row r="9404" spans="1:15" ht="43.2" x14ac:dyDescent="0.3">
      <c r="A9404" s="1" t="s">
        <v>18102</v>
      </c>
      <c r="B9404" s="1" t="str">
        <f>"P&amp;D Property Maintenance "</f>
        <v xml:space="preserve">P&amp;D Property Maintenance </v>
      </c>
      <c r="C9404" s="1" t="s">
        <v>18103</v>
      </c>
      <c r="F9404" s="1" t="s">
        <v>65</v>
      </c>
      <c r="H9404" s="1" t="s">
        <v>18104</v>
      </c>
      <c r="I9404" s="1" t="s">
        <v>188</v>
      </c>
      <c r="J9404" s="1" t="s">
        <v>67</v>
      </c>
      <c r="K9404" s="1" t="s">
        <v>14</v>
      </c>
      <c r="M9404" s="2">
        <v>42114</v>
      </c>
      <c r="N9404" s="1" t="s">
        <v>8</v>
      </c>
      <c r="O9404" s="1" t="s">
        <v>68</v>
      </c>
    </row>
    <row r="9405" spans="1:15" ht="43.2" x14ac:dyDescent="0.3">
      <c r="A9405" s="1" t="s">
        <v>18645</v>
      </c>
      <c r="B9405" s="1" t="str">
        <f>"Paul Cullen"</f>
        <v>Paul Cullen</v>
      </c>
      <c r="C9405" s="1" t="s">
        <v>18646</v>
      </c>
      <c r="F9405" s="1" t="s">
        <v>65</v>
      </c>
      <c r="H9405" s="1" t="s">
        <v>18647</v>
      </c>
      <c r="I9405" s="1" t="s">
        <v>5</v>
      </c>
      <c r="J9405" s="1" t="s">
        <v>67</v>
      </c>
      <c r="K9405" s="1" t="s">
        <v>14</v>
      </c>
      <c r="M9405" s="2">
        <v>42114</v>
      </c>
      <c r="N9405" s="1" t="s">
        <v>8</v>
      </c>
      <c r="O9405" s="1" t="s">
        <v>68</v>
      </c>
    </row>
    <row r="9406" spans="1:15" ht="43.2" x14ac:dyDescent="0.3">
      <c r="A9406" s="1" t="s">
        <v>29020</v>
      </c>
      <c r="B9406" s="1" t="str">
        <f>"Darren Carter"</f>
        <v>Darren Carter</v>
      </c>
      <c r="C9406" s="1" t="s">
        <v>29021</v>
      </c>
      <c r="F9406" s="1" t="s">
        <v>1162</v>
      </c>
      <c r="H9406" s="1" t="s">
        <v>29022</v>
      </c>
      <c r="I9406" s="1" t="s">
        <v>5</v>
      </c>
      <c r="J9406" s="1" t="s">
        <v>67</v>
      </c>
      <c r="K9406" s="1" t="s">
        <v>14</v>
      </c>
      <c r="M9406" s="2">
        <v>42114</v>
      </c>
      <c r="N9406" s="1" t="s">
        <v>8</v>
      </c>
      <c r="O9406" s="1" t="s">
        <v>68</v>
      </c>
    </row>
    <row r="9407" spans="1:15" ht="43.2" x14ac:dyDescent="0.3">
      <c r="A9407" s="1" t="s">
        <v>29023</v>
      </c>
      <c r="B9407" s="1" t="str">
        <f>"Emma Price"</f>
        <v>Emma Price</v>
      </c>
      <c r="C9407" s="1" t="s">
        <v>29024</v>
      </c>
      <c r="F9407" s="1" t="s">
        <v>15211</v>
      </c>
      <c r="H9407" s="1" t="s">
        <v>29025</v>
      </c>
      <c r="I9407" s="1" t="s">
        <v>5</v>
      </c>
      <c r="J9407" s="1" t="s">
        <v>67</v>
      </c>
      <c r="K9407" s="1" t="s">
        <v>14</v>
      </c>
      <c r="M9407" s="2">
        <v>42114</v>
      </c>
      <c r="N9407" s="1" t="s">
        <v>8</v>
      </c>
      <c r="O9407" s="1" t="s">
        <v>68</v>
      </c>
    </row>
    <row r="9408" spans="1:15" ht="28.8" x14ac:dyDescent="0.3">
      <c r="A9408" s="1" t="s">
        <v>31478</v>
      </c>
      <c r="B9408" s="1" t="str">
        <f>"Lewis Construction B C Wales LTD"</f>
        <v>Lewis Construction B C Wales LTD</v>
      </c>
      <c r="C9408" s="1" t="s">
        <v>2045</v>
      </c>
      <c r="D9408" s="1" t="s">
        <v>31479</v>
      </c>
      <c r="E9408" s="1" t="s">
        <v>1871</v>
      </c>
      <c r="F9408" s="1" t="s">
        <v>42</v>
      </c>
      <c r="G9408" s="1" t="s">
        <v>51</v>
      </c>
      <c r="H9408" s="1" t="s">
        <v>43</v>
      </c>
      <c r="I9408" s="1" t="s">
        <v>19</v>
      </c>
      <c r="J9408" s="1" t="s">
        <v>6</v>
      </c>
      <c r="K9408" s="1" t="s">
        <v>34</v>
      </c>
      <c r="L9408" s="1">
        <v>6956552</v>
      </c>
      <c r="M9408" s="2">
        <v>42114</v>
      </c>
      <c r="N9408" s="1" t="s">
        <v>8</v>
      </c>
      <c r="O9408" s="2">
        <v>44306</v>
      </c>
    </row>
    <row r="9409" spans="1:15" ht="28.8" x14ac:dyDescent="0.3">
      <c r="A9409" s="1" t="s">
        <v>31480</v>
      </c>
      <c r="B9409" s="1" t="str">
        <f>"LEE FOOTE &amp; SONS PLANT HIRE LIMITED"</f>
        <v>LEE FOOTE &amp; SONS PLANT HIRE LIMITED</v>
      </c>
      <c r="C9409" s="1" t="s">
        <v>31481</v>
      </c>
      <c r="D9409" s="1" t="s">
        <v>31482</v>
      </c>
      <c r="F9409" s="1" t="s">
        <v>641</v>
      </c>
      <c r="G9409" s="1" t="s">
        <v>642</v>
      </c>
      <c r="H9409" s="1" t="s">
        <v>31483</v>
      </c>
      <c r="I9409" s="1" t="s">
        <v>19</v>
      </c>
      <c r="J9409" s="1" t="s">
        <v>6</v>
      </c>
      <c r="K9409" s="1" t="s">
        <v>34</v>
      </c>
      <c r="L9409" s="1">
        <v>6321443</v>
      </c>
      <c r="M9409" s="2">
        <v>42114</v>
      </c>
      <c r="N9409" s="1" t="s">
        <v>8</v>
      </c>
      <c r="O9409" s="2">
        <v>44306</v>
      </c>
    </row>
    <row r="9410" spans="1:15" x14ac:dyDescent="0.3">
      <c r="A9410" s="1" t="s">
        <v>31484</v>
      </c>
      <c r="B9410" s="1" t="str">
        <f>"Andrew George Baker"</f>
        <v>Andrew George Baker</v>
      </c>
      <c r="C9410" s="1" t="s">
        <v>31485</v>
      </c>
      <c r="D9410" s="1" t="s">
        <v>31486</v>
      </c>
      <c r="E9410" s="1" t="s">
        <v>18020</v>
      </c>
      <c r="F9410" s="1" t="s">
        <v>156</v>
      </c>
      <c r="G9410" s="1" t="s">
        <v>156</v>
      </c>
      <c r="H9410" s="1" t="s">
        <v>31487</v>
      </c>
      <c r="I9410" s="1" t="s">
        <v>5</v>
      </c>
      <c r="J9410" s="1" t="s">
        <v>6</v>
      </c>
      <c r="K9410" s="1" t="s">
        <v>24</v>
      </c>
      <c r="M9410" s="2">
        <v>42114</v>
      </c>
      <c r="N9410" s="1" t="s">
        <v>8</v>
      </c>
      <c r="O9410" s="2">
        <v>44306</v>
      </c>
    </row>
    <row r="9411" spans="1:15" ht="43.2" x14ac:dyDescent="0.3">
      <c r="A9411" s="1" t="s">
        <v>29017</v>
      </c>
      <c r="B9411" s="1" t="str">
        <f>"justin phillips phillips gardening and maintainance"</f>
        <v>justin phillips phillips gardening and maintainance</v>
      </c>
      <c r="C9411" s="1" t="s">
        <v>29018</v>
      </c>
      <c r="D9411" s="1" t="s">
        <v>108</v>
      </c>
      <c r="F9411" s="1" t="s">
        <v>65</v>
      </c>
      <c r="H9411" s="1" t="s">
        <v>29019</v>
      </c>
      <c r="I9411" s="1" t="s">
        <v>5</v>
      </c>
      <c r="J9411" s="1" t="s">
        <v>67</v>
      </c>
      <c r="K9411" s="1" t="s">
        <v>24</v>
      </c>
      <c r="M9411" s="2">
        <v>42113</v>
      </c>
      <c r="N9411" s="1" t="s">
        <v>8</v>
      </c>
      <c r="O9411" s="1" t="s">
        <v>68</v>
      </c>
    </row>
    <row r="9412" spans="1:15" ht="43.2" x14ac:dyDescent="0.3">
      <c r="A9412" s="1" t="s">
        <v>29014</v>
      </c>
      <c r="B9412" s="1" t="str">
        <f>"Andrew Storey sjd handyvan"</f>
        <v>Andrew Storey sjd handyvan</v>
      </c>
      <c r="C9412" s="1" t="s">
        <v>29015</v>
      </c>
      <c r="F9412" s="1" t="s">
        <v>3415</v>
      </c>
      <c r="H9412" s="1" t="s">
        <v>29016</v>
      </c>
      <c r="I9412" s="1" t="s">
        <v>5</v>
      </c>
      <c r="J9412" s="1" t="s">
        <v>67</v>
      </c>
      <c r="K9412" s="1" t="s">
        <v>34</v>
      </c>
      <c r="M9412" s="2">
        <v>42112</v>
      </c>
      <c r="N9412" s="1" t="s">
        <v>8</v>
      </c>
      <c r="O9412" s="1" t="s">
        <v>68</v>
      </c>
    </row>
    <row r="9413" spans="1:15" ht="43.2" x14ac:dyDescent="0.3">
      <c r="A9413" s="1" t="s">
        <v>16114</v>
      </c>
      <c r="B9413" s="1" t="str">
        <f>"Elephant Beds Ltd."</f>
        <v>Elephant Beds Ltd.</v>
      </c>
      <c r="C9413" s="1" t="s">
        <v>16115</v>
      </c>
      <c r="F9413" s="1" t="s">
        <v>27</v>
      </c>
      <c r="H9413" s="1" t="s">
        <v>12890</v>
      </c>
      <c r="I9413" s="1" t="s">
        <v>19</v>
      </c>
      <c r="J9413" s="1" t="s">
        <v>67</v>
      </c>
      <c r="K9413" s="1" t="s">
        <v>24</v>
      </c>
      <c r="L9413" s="1">
        <v>5901174</v>
      </c>
      <c r="M9413" s="2">
        <v>42111</v>
      </c>
      <c r="N9413" s="1" t="s">
        <v>8</v>
      </c>
      <c r="O9413" s="1" t="s">
        <v>68</v>
      </c>
    </row>
    <row r="9414" spans="1:15" ht="28.8" x14ac:dyDescent="0.3">
      <c r="A9414" s="1" t="s">
        <v>16107</v>
      </c>
      <c r="B9414" s="1" t="str">
        <f>"Transwaste Ltd"</f>
        <v>Transwaste Ltd</v>
      </c>
      <c r="C9414" s="1" t="s">
        <v>16108</v>
      </c>
      <c r="D9414" s="1" t="s">
        <v>942</v>
      </c>
      <c r="F9414" s="1" t="s">
        <v>12</v>
      </c>
      <c r="H9414" s="1" t="s">
        <v>943</v>
      </c>
      <c r="I9414" s="1" t="s">
        <v>19</v>
      </c>
      <c r="J9414" s="1" t="s">
        <v>6</v>
      </c>
      <c r="K9414" s="1" t="s">
        <v>34</v>
      </c>
      <c r="L9414" s="1">
        <v>3089536</v>
      </c>
      <c r="M9414" s="2">
        <v>42110</v>
      </c>
      <c r="N9414" s="1" t="s">
        <v>8</v>
      </c>
      <c r="O9414" s="2">
        <v>44269</v>
      </c>
    </row>
    <row r="9415" spans="1:15" ht="43.2" x14ac:dyDescent="0.3">
      <c r="A9415" s="1" t="s">
        <v>16109</v>
      </c>
      <c r="B9415" s="1" t="str">
        <f>"Wrexham Warehouse Project"</f>
        <v>Wrexham Warehouse Project</v>
      </c>
      <c r="C9415" s="1" t="s">
        <v>16110</v>
      </c>
      <c r="D9415" s="1" t="s">
        <v>7509</v>
      </c>
      <c r="F9415" s="1" t="s">
        <v>532</v>
      </c>
      <c r="H9415" s="1" t="s">
        <v>7475</v>
      </c>
      <c r="I9415" s="1" t="s">
        <v>1872</v>
      </c>
      <c r="J9415" s="1" t="s">
        <v>67</v>
      </c>
      <c r="K9415" s="1" t="s">
        <v>14</v>
      </c>
      <c r="M9415" s="2">
        <v>42110</v>
      </c>
      <c r="N9415" s="1" t="s">
        <v>8</v>
      </c>
      <c r="O9415" s="1" t="s">
        <v>68</v>
      </c>
    </row>
    <row r="9416" spans="1:15" ht="43.2" x14ac:dyDescent="0.3">
      <c r="A9416" s="1" t="s">
        <v>16111</v>
      </c>
      <c r="B9416" s="1" t="str">
        <f>"mid wales pestcontrol ltd"</f>
        <v>mid wales pestcontrol ltd</v>
      </c>
      <c r="C9416" s="1" t="s">
        <v>16112</v>
      </c>
      <c r="F9416" s="1" t="s">
        <v>10241</v>
      </c>
      <c r="H9416" s="1" t="s">
        <v>16113</v>
      </c>
      <c r="I9416" s="1" t="s">
        <v>19</v>
      </c>
      <c r="J9416" s="1" t="s">
        <v>67</v>
      </c>
      <c r="K9416" s="1" t="s">
        <v>14</v>
      </c>
      <c r="M9416" s="2">
        <v>42110</v>
      </c>
      <c r="N9416" s="1" t="s">
        <v>8</v>
      </c>
      <c r="O9416" s="1" t="s">
        <v>68</v>
      </c>
    </row>
    <row r="9417" spans="1:15" ht="43.2" x14ac:dyDescent="0.3">
      <c r="A9417" s="1" t="s">
        <v>24296</v>
      </c>
      <c r="B9417" s="1" t="str">
        <f>"Paul Cattell"</f>
        <v>Paul Cattell</v>
      </c>
      <c r="C9417" s="1" t="s">
        <v>24297</v>
      </c>
      <c r="F9417" s="1" t="s">
        <v>1260</v>
      </c>
      <c r="H9417" s="1" t="s">
        <v>24298</v>
      </c>
      <c r="I9417" s="1" t="s">
        <v>5</v>
      </c>
      <c r="J9417" s="1" t="s">
        <v>67</v>
      </c>
      <c r="K9417" s="1" t="s">
        <v>14</v>
      </c>
      <c r="M9417" s="2">
        <v>42110</v>
      </c>
      <c r="N9417" s="1" t="s">
        <v>8</v>
      </c>
      <c r="O9417" s="1" t="s">
        <v>68</v>
      </c>
    </row>
    <row r="9418" spans="1:15" ht="43.2" x14ac:dyDescent="0.3">
      <c r="A9418" s="1" t="s">
        <v>28251</v>
      </c>
      <c r="B9418" s="1" t="str">
        <f>"Colin Wrigley"</f>
        <v>Colin Wrigley</v>
      </c>
      <c r="C9418" s="1" t="s">
        <v>28252</v>
      </c>
      <c r="F9418" s="1" t="s">
        <v>83</v>
      </c>
      <c r="H9418" s="1" t="s">
        <v>9548</v>
      </c>
      <c r="I9418" s="1" t="s">
        <v>5</v>
      </c>
      <c r="J9418" s="1" t="s">
        <v>67</v>
      </c>
      <c r="K9418" s="1" t="s">
        <v>14</v>
      </c>
      <c r="M9418" s="2">
        <v>42110</v>
      </c>
      <c r="N9418" s="1" t="s">
        <v>8</v>
      </c>
      <c r="O9418" s="1" t="s">
        <v>68</v>
      </c>
    </row>
    <row r="9419" spans="1:15" ht="43.2" x14ac:dyDescent="0.3">
      <c r="A9419" s="1" t="s">
        <v>11223</v>
      </c>
      <c r="B9419" s="1" t="str">
        <f>"DYFFRYN SEASIDE ESTATE CO LTD"</f>
        <v>DYFFRYN SEASIDE ESTATE CO LTD</v>
      </c>
      <c r="C9419" s="1" t="s">
        <v>3468</v>
      </c>
      <c r="F9419" s="1" t="s">
        <v>11224</v>
      </c>
      <c r="H9419" s="1" t="s">
        <v>11225</v>
      </c>
      <c r="I9419" s="1" t="s">
        <v>19</v>
      </c>
      <c r="J9419" s="1" t="s">
        <v>67</v>
      </c>
      <c r="K9419" s="1" t="s">
        <v>24</v>
      </c>
      <c r="L9419" s="1">
        <v>663469</v>
      </c>
      <c r="M9419" s="2">
        <v>42109</v>
      </c>
      <c r="N9419" s="1" t="s">
        <v>8</v>
      </c>
      <c r="O9419" s="1" t="s">
        <v>68</v>
      </c>
    </row>
    <row r="9420" spans="1:15" ht="43.2" x14ac:dyDescent="0.3">
      <c r="A9420" s="1" t="s">
        <v>11226</v>
      </c>
      <c r="B9420" s="1" t="str">
        <f>"Telemech mid-Wales ltd"</f>
        <v>Telemech mid-Wales ltd</v>
      </c>
      <c r="C9420" s="1" t="s">
        <v>11227</v>
      </c>
      <c r="F9420" s="1" t="s">
        <v>416</v>
      </c>
      <c r="H9420" s="1" t="s">
        <v>11228</v>
      </c>
      <c r="I9420" s="1" t="s">
        <v>19</v>
      </c>
      <c r="J9420" s="1" t="s">
        <v>67</v>
      </c>
      <c r="K9420" s="1" t="s">
        <v>14</v>
      </c>
      <c r="M9420" s="2">
        <v>42109</v>
      </c>
      <c r="N9420" s="1" t="s">
        <v>8</v>
      </c>
      <c r="O9420" s="1" t="s">
        <v>68</v>
      </c>
    </row>
    <row r="9421" spans="1:15" ht="43.2" x14ac:dyDescent="0.3">
      <c r="A9421" s="1" t="s">
        <v>24293</v>
      </c>
      <c r="B9421" s="1" t="str">
        <f>"Graham  Gillies"</f>
        <v>Graham  Gillies</v>
      </c>
      <c r="C9421" s="1" t="s">
        <v>24294</v>
      </c>
      <c r="D9421" s="1" t="s">
        <v>24295</v>
      </c>
      <c r="F9421" s="1" t="s">
        <v>37</v>
      </c>
      <c r="H9421" s="1" t="s">
        <v>17661</v>
      </c>
      <c r="I9421" s="1" t="s">
        <v>5</v>
      </c>
      <c r="J9421" s="1" t="s">
        <v>67</v>
      </c>
      <c r="K9421" s="1" t="s">
        <v>24</v>
      </c>
      <c r="M9421" s="2">
        <v>42109</v>
      </c>
      <c r="N9421" s="1" t="s">
        <v>8</v>
      </c>
      <c r="O9421" s="1" t="s">
        <v>68</v>
      </c>
    </row>
    <row r="9422" spans="1:15" ht="28.8" x14ac:dyDescent="0.3">
      <c r="A9422" s="1" t="s">
        <v>31475</v>
      </c>
      <c r="B9422" s="1" t="str">
        <f>"James Duffy JSB Transport UK"</f>
        <v>James Duffy JSB Transport UK</v>
      </c>
      <c r="C9422" s="1" t="s">
        <v>31476</v>
      </c>
      <c r="D9422" s="1" t="s">
        <v>13323</v>
      </c>
      <c r="E9422" s="1" t="s">
        <v>878</v>
      </c>
      <c r="F9422" s="1" t="s">
        <v>37</v>
      </c>
      <c r="G9422" s="1" t="s">
        <v>654</v>
      </c>
      <c r="H9422" s="1" t="s">
        <v>31477</v>
      </c>
      <c r="I9422" s="1" t="s">
        <v>5</v>
      </c>
      <c r="J9422" s="1" t="s">
        <v>6</v>
      </c>
      <c r="K9422" s="1" t="s">
        <v>24</v>
      </c>
      <c r="M9422" s="2">
        <v>42109</v>
      </c>
      <c r="N9422" s="1" t="s">
        <v>8</v>
      </c>
      <c r="O9422" s="2">
        <v>44301</v>
      </c>
    </row>
    <row r="9423" spans="1:15" ht="43.2" x14ac:dyDescent="0.3">
      <c r="A9423" s="1" t="s">
        <v>10198</v>
      </c>
      <c r="B9423" s="1" t="str">
        <f>"NEWTOWNTYRES POWYS LTD"</f>
        <v>NEWTOWNTYRES POWYS LTD</v>
      </c>
      <c r="C9423" s="1" t="s">
        <v>10199</v>
      </c>
      <c r="D9423" s="1" t="s">
        <v>955</v>
      </c>
      <c r="F9423" s="1" t="s">
        <v>445</v>
      </c>
      <c r="H9423" s="1" t="s">
        <v>1374</v>
      </c>
      <c r="I9423" s="1" t="s">
        <v>19</v>
      </c>
      <c r="J9423" s="1" t="s">
        <v>67</v>
      </c>
      <c r="K9423" s="1" t="s">
        <v>14</v>
      </c>
      <c r="M9423" s="2">
        <v>42108</v>
      </c>
      <c r="N9423" s="1" t="s">
        <v>8</v>
      </c>
      <c r="O9423" s="1" t="s">
        <v>68</v>
      </c>
    </row>
    <row r="9424" spans="1:15" ht="43.2" x14ac:dyDescent="0.3">
      <c r="A9424" s="1" t="s">
        <v>10200</v>
      </c>
      <c r="B9424" s="1" t="str">
        <f>"Llanhari Primary School"</f>
        <v>Llanhari Primary School</v>
      </c>
      <c r="C9424" s="1" t="s">
        <v>10201</v>
      </c>
      <c r="F9424" s="1" t="s">
        <v>873</v>
      </c>
      <c r="H9424" s="1" t="s">
        <v>10202</v>
      </c>
      <c r="I9424" s="1" t="s">
        <v>188</v>
      </c>
      <c r="J9424" s="1" t="s">
        <v>67</v>
      </c>
      <c r="K9424" s="1" t="s">
        <v>14</v>
      </c>
      <c r="M9424" s="2">
        <v>42108</v>
      </c>
      <c r="N9424" s="1" t="s">
        <v>8</v>
      </c>
      <c r="O9424" s="1" t="s">
        <v>68</v>
      </c>
    </row>
    <row r="9425" spans="1:15" ht="43.2" x14ac:dyDescent="0.3">
      <c r="A9425" s="1" t="s">
        <v>23417</v>
      </c>
      <c r="B9425" s="1" t="str">
        <f>"Simon Ward"</f>
        <v>Simon Ward</v>
      </c>
      <c r="C9425" s="1" t="s">
        <v>23418</v>
      </c>
      <c r="D9425" s="1" t="s">
        <v>23419</v>
      </c>
      <c r="F9425" s="1" t="s">
        <v>23420</v>
      </c>
      <c r="H9425" s="1" t="s">
        <v>23421</v>
      </c>
      <c r="I9425" s="1" t="s">
        <v>5</v>
      </c>
      <c r="J9425" s="1" t="s">
        <v>67</v>
      </c>
      <c r="K9425" s="1" t="s">
        <v>14</v>
      </c>
      <c r="M9425" s="2">
        <v>42108</v>
      </c>
      <c r="N9425" s="1" t="s">
        <v>8</v>
      </c>
      <c r="O9425" s="1" t="s">
        <v>68</v>
      </c>
    </row>
    <row r="9426" spans="1:15" ht="43.2" x14ac:dyDescent="0.3">
      <c r="A9426" s="1" t="s">
        <v>23422</v>
      </c>
      <c r="B9426" s="1" t="str">
        <f>"richard  withers home-prove"</f>
        <v>richard  withers home-prove</v>
      </c>
      <c r="C9426" s="1" t="s">
        <v>23423</v>
      </c>
      <c r="F9426" s="1" t="s">
        <v>27</v>
      </c>
      <c r="H9426" s="1" t="s">
        <v>23424</v>
      </c>
      <c r="I9426" s="1" t="s">
        <v>5</v>
      </c>
      <c r="J9426" s="1" t="s">
        <v>67</v>
      </c>
      <c r="K9426" s="1" t="s">
        <v>34</v>
      </c>
      <c r="M9426" s="2">
        <v>42108</v>
      </c>
      <c r="N9426" s="1" t="s">
        <v>8</v>
      </c>
      <c r="O9426" s="1" t="s">
        <v>68</v>
      </c>
    </row>
    <row r="9427" spans="1:15" x14ac:dyDescent="0.3">
      <c r="A9427" s="1" t="s">
        <v>31472</v>
      </c>
      <c r="B9427" s="1" t="str">
        <f>"Brian James Backhouse"</f>
        <v>Brian James Backhouse</v>
      </c>
      <c r="C9427" s="1" t="s">
        <v>31473</v>
      </c>
      <c r="F9427" s="1" t="s">
        <v>328</v>
      </c>
      <c r="H9427" s="1" t="s">
        <v>31474</v>
      </c>
      <c r="I9427" s="1" t="s">
        <v>5</v>
      </c>
      <c r="J9427" s="1" t="s">
        <v>6</v>
      </c>
      <c r="K9427" s="1" t="s">
        <v>24</v>
      </c>
      <c r="M9427" s="2">
        <v>42108</v>
      </c>
      <c r="N9427" s="1" t="s">
        <v>8</v>
      </c>
      <c r="O9427" s="2">
        <v>44300</v>
      </c>
    </row>
    <row r="9428" spans="1:15" ht="43.2" x14ac:dyDescent="0.3">
      <c r="A9428" s="1" t="s">
        <v>9076</v>
      </c>
      <c r="B9428" s="1" t="str">
        <f>"STAINLESS KITCHEN FABRICATION LTD"</f>
        <v>STAINLESS KITCHEN FABRICATION LTD</v>
      </c>
      <c r="C9428" s="1" t="s">
        <v>9077</v>
      </c>
      <c r="D9428" s="1" t="s">
        <v>9078</v>
      </c>
      <c r="F9428" s="1" t="s">
        <v>9079</v>
      </c>
      <c r="H9428" s="1" t="s">
        <v>9080</v>
      </c>
      <c r="I9428" s="1" t="s">
        <v>19</v>
      </c>
      <c r="J9428" s="1" t="s">
        <v>67</v>
      </c>
      <c r="K9428" s="1" t="s">
        <v>14</v>
      </c>
      <c r="M9428" s="2">
        <v>42107</v>
      </c>
      <c r="N9428" s="1" t="s">
        <v>8</v>
      </c>
      <c r="O9428" s="1" t="s">
        <v>68</v>
      </c>
    </row>
    <row r="9429" spans="1:15" ht="43.2" x14ac:dyDescent="0.3">
      <c r="A9429" s="1" t="s">
        <v>22678</v>
      </c>
      <c r="B9429" s="1" t="str">
        <f>"Sion  Evans"</f>
        <v>Sion  Evans</v>
      </c>
      <c r="C9429" s="1" t="s">
        <v>22679</v>
      </c>
      <c r="F9429" s="1" t="s">
        <v>607</v>
      </c>
      <c r="H9429" s="1" t="s">
        <v>22680</v>
      </c>
      <c r="I9429" s="1" t="s">
        <v>5</v>
      </c>
      <c r="J9429" s="1" t="s">
        <v>67</v>
      </c>
      <c r="K9429" s="1" t="s">
        <v>14</v>
      </c>
      <c r="M9429" s="2">
        <v>42107</v>
      </c>
      <c r="N9429" s="1" t="s">
        <v>8</v>
      </c>
      <c r="O9429" s="1" t="s">
        <v>68</v>
      </c>
    </row>
    <row r="9430" spans="1:15" ht="28.8" x14ac:dyDescent="0.3">
      <c r="A9430" s="1" t="s">
        <v>30161</v>
      </c>
      <c r="B9430" s="1" t="str">
        <f>"OWEN &amp; PALMER LTD"</f>
        <v>OWEN &amp; PALMER LTD</v>
      </c>
      <c r="C9430" s="1" t="s">
        <v>30162</v>
      </c>
      <c r="D9430" s="1" t="s">
        <v>2890</v>
      </c>
      <c r="F9430" s="1" t="s">
        <v>1321</v>
      </c>
      <c r="H9430" s="1" t="s">
        <v>2763</v>
      </c>
      <c r="I9430" s="1" t="s">
        <v>19</v>
      </c>
      <c r="J9430" s="1" t="s">
        <v>6</v>
      </c>
      <c r="K9430" s="1" t="s">
        <v>1859</v>
      </c>
      <c r="L9430" s="1">
        <v>1101421</v>
      </c>
      <c r="M9430" s="2">
        <v>42107</v>
      </c>
      <c r="N9430" s="1" t="s">
        <v>8</v>
      </c>
      <c r="O9430" s="2">
        <v>44298</v>
      </c>
    </row>
    <row r="9431" spans="1:15" ht="43.2" x14ac:dyDescent="0.3">
      <c r="A9431" s="1" t="s">
        <v>9072</v>
      </c>
      <c r="B9431" s="1" t="str">
        <f>"ASI ELECTRICAL SERVICES LTD"</f>
        <v>ASI ELECTRICAL SERVICES LTD</v>
      </c>
      <c r="C9431" s="1" t="s">
        <v>9073</v>
      </c>
      <c r="F9431" s="1" t="s">
        <v>9074</v>
      </c>
      <c r="H9431" s="1" t="s">
        <v>9075</v>
      </c>
      <c r="I9431" s="1" t="s">
        <v>19</v>
      </c>
      <c r="J9431" s="1" t="s">
        <v>67</v>
      </c>
      <c r="K9431" s="1" t="s">
        <v>14</v>
      </c>
      <c r="M9431" s="2">
        <v>42106</v>
      </c>
      <c r="N9431" s="1" t="s">
        <v>8</v>
      </c>
      <c r="O9431" s="1" t="s">
        <v>68</v>
      </c>
    </row>
    <row r="9432" spans="1:15" ht="43.2" x14ac:dyDescent="0.3">
      <c r="A9432" s="1" t="s">
        <v>21868</v>
      </c>
      <c r="B9432" s="1" t="str">
        <f>"Philip Chowdhury"</f>
        <v>Philip Chowdhury</v>
      </c>
      <c r="C9432" s="1" t="s">
        <v>21869</v>
      </c>
      <c r="F9432" s="1" t="s">
        <v>1278</v>
      </c>
      <c r="H9432" s="1" t="s">
        <v>21870</v>
      </c>
      <c r="I9432" s="1" t="s">
        <v>5</v>
      </c>
      <c r="J9432" s="1" t="s">
        <v>67</v>
      </c>
      <c r="K9432" s="1" t="s">
        <v>24</v>
      </c>
      <c r="M9432" s="2">
        <v>42106</v>
      </c>
      <c r="N9432" s="1" t="s">
        <v>8</v>
      </c>
      <c r="O9432" s="1" t="s">
        <v>68</v>
      </c>
    </row>
    <row r="9433" spans="1:15" ht="43.2" x14ac:dyDescent="0.3">
      <c r="A9433" s="1" t="s">
        <v>7878</v>
      </c>
      <c r="B9433" s="1" t="str">
        <f>"Cwm Ogwr Development Trust"</f>
        <v>Cwm Ogwr Development Trust</v>
      </c>
      <c r="C9433" s="1" t="s">
        <v>7879</v>
      </c>
      <c r="F9433" s="1" t="s">
        <v>865</v>
      </c>
      <c r="H9433" s="1" t="s">
        <v>7880</v>
      </c>
      <c r="I9433" s="1" t="s">
        <v>1872</v>
      </c>
      <c r="J9433" s="1" t="s">
        <v>67</v>
      </c>
      <c r="K9433" s="1" t="s">
        <v>14</v>
      </c>
      <c r="M9433" s="2">
        <v>42105</v>
      </c>
      <c r="N9433" s="1" t="s">
        <v>8</v>
      </c>
      <c r="O9433" s="1" t="s">
        <v>68</v>
      </c>
    </row>
    <row r="9434" spans="1:15" ht="43.2" x14ac:dyDescent="0.3">
      <c r="A9434" s="1" t="s">
        <v>21865</v>
      </c>
      <c r="B9434" s="1" t="str">
        <f>"MARCUS AVOTH"</f>
        <v>MARCUS AVOTH</v>
      </c>
      <c r="C9434" s="1" t="s">
        <v>21866</v>
      </c>
      <c r="F9434" s="1" t="s">
        <v>27</v>
      </c>
      <c r="H9434" s="1" t="s">
        <v>21867</v>
      </c>
      <c r="I9434" s="1" t="s">
        <v>5</v>
      </c>
      <c r="J9434" s="1" t="s">
        <v>67</v>
      </c>
      <c r="K9434" s="1" t="s">
        <v>14</v>
      </c>
      <c r="M9434" s="2">
        <v>42105</v>
      </c>
      <c r="N9434" s="1" t="s">
        <v>8</v>
      </c>
      <c r="O9434" s="1" t="s">
        <v>68</v>
      </c>
    </row>
    <row r="9435" spans="1:15" ht="43.2" x14ac:dyDescent="0.3">
      <c r="A9435" s="1" t="s">
        <v>21861</v>
      </c>
      <c r="B9435" s="1" t="str">
        <f>"richard Withers"</f>
        <v>richard Withers</v>
      </c>
      <c r="C9435" s="1" t="s">
        <v>21862</v>
      </c>
      <c r="D9435" s="1" t="s">
        <v>21863</v>
      </c>
      <c r="F9435" s="1" t="s">
        <v>5963</v>
      </c>
      <c r="H9435" s="1" t="s">
        <v>21864</v>
      </c>
      <c r="I9435" s="1" t="s">
        <v>5</v>
      </c>
      <c r="J9435" s="1" t="s">
        <v>67</v>
      </c>
      <c r="K9435" s="1" t="s">
        <v>14</v>
      </c>
      <c r="M9435" s="2">
        <v>42104</v>
      </c>
      <c r="N9435" s="1" t="s">
        <v>8</v>
      </c>
      <c r="O9435" s="1" t="s">
        <v>68</v>
      </c>
    </row>
    <row r="9436" spans="1:15" ht="28.8" x14ac:dyDescent="0.3">
      <c r="A9436" s="1" t="s">
        <v>30152</v>
      </c>
      <c r="B9436" s="1" t="str">
        <f>"L H BUILDING MAINTENANCE LTD"</f>
        <v>L H BUILDING MAINTENANCE LTD</v>
      </c>
      <c r="C9436" s="1" t="s">
        <v>30153</v>
      </c>
      <c r="F9436" s="1" t="s">
        <v>65</v>
      </c>
      <c r="H9436" s="1" t="s">
        <v>30154</v>
      </c>
      <c r="I9436" s="1" t="s">
        <v>19</v>
      </c>
      <c r="J9436" s="1" t="s">
        <v>6</v>
      </c>
      <c r="K9436" s="1" t="s">
        <v>34</v>
      </c>
      <c r="L9436" s="1">
        <v>6066648</v>
      </c>
      <c r="M9436" s="2">
        <v>42104</v>
      </c>
      <c r="N9436" s="1" t="s">
        <v>8</v>
      </c>
      <c r="O9436" s="2">
        <v>44295</v>
      </c>
    </row>
    <row r="9437" spans="1:15" x14ac:dyDescent="0.3">
      <c r="A9437" s="1" t="s">
        <v>30158</v>
      </c>
      <c r="B9437" s="1" t="str">
        <f>"Bob 'a' Job"</f>
        <v>Bob 'a' Job</v>
      </c>
      <c r="C9437" s="1" t="s">
        <v>30159</v>
      </c>
      <c r="F9437" s="1" t="s">
        <v>3242</v>
      </c>
      <c r="G9437" s="1" t="s">
        <v>359</v>
      </c>
      <c r="H9437" s="1" t="s">
        <v>30160</v>
      </c>
      <c r="I9437" s="1" t="s">
        <v>125</v>
      </c>
      <c r="J9437" s="1" t="s">
        <v>6</v>
      </c>
      <c r="K9437" s="1" t="s">
        <v>24</v>
      </c>
      <c r="M9437" s="2">
        <v>42104</v>
      </c>
      <c r="N9437" s="1" t="s">
        <v>8</v>
      </c>
      <c r="O9437" s="2">
        <v>44295</v>
      </c>
    </row>
    <row r="9438" spans="1:15" ht="43.2" x14ac:dyDescent="0.3">
      <c r="A9438" s="1" t="s">
        <v>7872</v>
      </c>
      <c r="B9438" s="1" t="str">
        <f>"PRESTEIGNE TYRE SERVICES LTD"</f>
        <v>PRESTEIGNE TYRE SERVICES LTD</v>
      </c>
      <c r="C9438" s="1" t="s">
        <v>7873</v>
      </c>
      <c r="D9438" s="1" t="s">
        <v>7874</v>
      </c>
      <c r="F9438" s="1" t="s">
        <v>3426</v>
      </c>
      <c r="H9438" s="1" t="s">
        <v>4361</v>
      </c>
      <c r="I9438" s="1" t="s">
        <v>19</v>
      </c>
      <c r="J9438" s="1" t="s">
        <v>67</v>
      </c>
      <c r="K9438" s="1" t="s">
        <v>34</v>
      </c>
      <c r="L9438" s="1">
        <v>6407584</v>
      </c>
      <c r="M9438" s="2">
        <v>42103</v>
      </c>
      <c r="N9438" s="1" t="s">
        <v>8</v>
      </c>
      <c r="O9438" s="1" t="s">
        <v>68</v>
      </c>
    </row>
    <row r="9439" spans="1:15" ht="43.2" x14ac:dyDescent="0.3">
      <c r="A9439" s="1" t="s">
        <v>7875</v>
      </c>
      <c r="B9439" s="1" t="str">
        <f>"Lacey Ducati"</f>
        <v>Lacey Ducati</v>
      </c>
      <c r="C9439" s="1" t="s">
        <v>7876</v>
      </c>
      <c r="F9439" s="1" t="s">
        <v>7844</v>
      </c>
      <c r="H9439" s="1" t="s">
        <v>7877</v>
      </c>
      <c r="I9439" s="1" t="s">
        <v>125</v>
      </c>
      <c r="J9439" s="1" t="s">
        <v>67</v>
      </c>
      <c r="K9439" s="1" t="s">
        <v>14</v>
      </c>
      <c r="M9439" s="2">
        <v>42103</v>
      </c>
      <c r="N9439" s="1" t="s">
        <v>8</v>
      </c>
      <c r="O9439" s="1" t="s">
        <v>68</v>
      </c>
    </row>
    <row r="9440" spans="1:15" ht="28.8" x14ac:dyDescent="0.3">
      <c r="A9440" s="1" t="s">
        <v>30155</v>
      </c>
      <c r="B9440" s="1" t="str">
        <f>"Heat Pump Services Ltd"</f>
        <v>Heat Pump Services Ltd</v>
      </c>
      <c r="C9440" s="1" t="s">
        <v>30156</v>
      </c>
      <c r="D9440" s="1" t="s">
        <v>108</v>
      </c>
      <c r="F9440" s="1" t="s">
        <v>64</v>
      </c>
      <c r="H9440" s="1" t="s">
        <v>30157</v>
      </c>
      <c r="I9440" s="1" t="s">
        <v>19</v>
      </c>
      <c r="J9440" s="1" t="s">
        <v>6</v>
      </c>
      <c r="K9440" s="1" t="s">
        <v>24</v>
      </c>
      <c r="L9440" s="1">
        <v>6795274</v>
      </c>
      <c r="M9440" s="2">
        <v>42103</v>
      </c>
      <c r="N9440" s="1" t="s">
        <v>8</v>
      </c>
      <c r="O9440" s="2">
        <v>44294</v>
      </c>
    </row>
    <row r="9441" spans="1:15" ht="28.8" x14ac:dyDescent="0.3">
      <c r="A9441" s="1" t="s">
        <v>32460</v>
      </c>
      <c r="B9441" s="1" t="str">
        <f>"Baron Jackson Ltd."</f>
        <v>Baron Jackson Ltd.</v>
      </c>
      <c r="C9441" s="1" t="s">
        <v>32461</v>
      </c>
      <c r="D9441" s="1" t="s">
        <v>32462</v>
      </c>
      <c r="F9441" s="1" t="s">
        <v>865</v>
      </c>
      <c r="H9441" s="1" t="s">
        <v>32463</v>
      </c>
      <c r="I9441" s="1" t="s">
        <v>19</v>
      </c>
      <c r="J9441" s="1" t="s">
        <v>6</v>
      </c>
      <c r="K9441" s="1" t="s">
        <v>34</v>
      </c>
      <c r="L9441" s="1">
        <v>1686689</v>
      </c>
      <c r="M9441" s="2">
        <v>42103</v>
      </c>
      <c r="N9441" s="1" t="s">
        <v>8</v>
      </c>
      <c r="O9441" s="2">
        <v>44294</v>
      </c>
    </row>
    <row r="9442" spans="1:15" ht="43.2" x14ac:dyDescent="0.3">
      <c r="A9442" s="1" t="s">
        <v>5629</v>
      </c>
      <c r="B9442" s="1" t="str">
        <f>"P&amp;T HOTELS LTD"</f>
        <v>P&amp;T HOTELS LTD</v>
      </c>
      <c r="C9442" s="1" t="s">
        <v>5630</v>
      </c>
      <c r="F9442" s="1" t="s">
        <v>5631</v>
      </c>
      <c r="H9442" s="1" t="s">
        <v>5632</v>
      </c>
      <c r="I9442" s="1" t="s">
        <v>19</v>
      </c>
      <c r="J9442" s="1" t="s">
        <v>67</v>
      </c>
      <c r="K9442" s="1" t="s">
        <v>14</v>
      </c>
      <c r="M9442" s="2">
        <v>42102</v>
      </c>
      <c r="N9442" s="1" t="s">
        <v>8</v>
      </c>
      <c r="O9442" s="1" t="s">
        <v>68</v>
      </c>
    </row>
    <row r="9443" spans="1:15" ht="43.2" x14ac:dyDescent="0.3">
      <c r="A9443" s="1" t="s">
        <v>6832</v>
      </c>
      <c r="B9443" s="1" t="str">
        <f>"POWER ON DEMAND LTD"</f>
        <v>POWER ON DEMAND LTD</v>
      </c>
      <c r="C9443" s="1" t="s">
        <v>6833</v>
      </c>
      <c r="D9443" s="1" t="s">
        <v>6834</v>
      </c>
      <c r="F9443" s="1" t="s">
        <v>6835</v>
      </c>
      <c r="H9443" s="1" t="s">
        <v>6836</v>
      </c>
      <c r="I9443" s="1" t="s">
        <v>19</v>
      </c>
      <c r="J9443" s="1" t="s">
        <v>67</v>
      </c>
      <c r="K9443" s="1" t="s">
        <v>14</v>
      </c>
      <c r="M9443" s="2">
        <v>42102</v>
      </c>
      <c r="N9443" s="1" t="s">
        <v>8</v>
      </c>
      <c r="O9443" s="1" t="s">
        <v>68</v>
      </c>
    </row>
    <row r="9444" spans="1:15" ht="43.2" x14ac:dyDescent="0.3">
      <c r="A9444" s="1" t="s">
        <v>20284</v>
      </c>
      <c r="B9444" s="1" t="str">
        <f>"Benjamin Thomas"</f>
        <v>Benjamin Thomas</v>
      </c>
      <c r="C9444" s="1" t="s">
        <v>20285</v>
      </c>
      <c r="F9444" s="1" t="s">
        <v>1351</v>
      </c>
      <c r="H9444" s="1" t="s">
        <v>20286</v>
      </c>
      <c r="I9444" s="1" t="s">
        <v>5</v>
      </c>
      <c r="J9444" s="1" t="s">
        <v>67</v>
      </c>
      <c r="K9444" s="1" t="s">
        <v>14</v>
      </c>
      <c r="M9444" s="2">
        <v>42102</v>
      </c>
      <c r="N9444" s="1" t="s">
        <v>8</v>
      </c>
      <c r="O9444" s="1" t="s">
        <v>68</v>
      </c>
    </row>
    <row r="9445" spans="1:15" x14ac:dyDescent="0.3">
      <c r="A9445" s="1" t="s">
        <v>30215</v>
      </c>
      <c r="B9445" s="1" t="str">
        <f>"Jonathan Barbier"</f>
        <v>Jonathan Barbier</v>
      </c>
      <c r="C9445" s="1" t="s">
        <v>30216</v>
      </c>
      <c r="D9445" s="1" t="s">
        <v>30217</v>
      </c>
      <c r="F9445" s="1" t="s">
        <v>1108</v>
      </c>
      <c r="G9445" s="1" t="s">
        <v>679</v>
      </c>
      <c r="H9445" s="1" t="s">
        <v>30218</v>
      </c>
      <c r="I9445" s="1" t="s">
        <v>5</v>
      </c>
      <c r="J9445" s="1" t="s">
        <v>6</v>
      </c>
      <c r="K9445" s="1" t="s">
        <v>24</v>
      </c>
      <c r="M9445" s="2">
        <v>42102</v>
      </c>
      <c r="N9445" s="1" t="s">
        <v>8</v>
      </c>
      <c r="O9445" s="2">
        <v>44294</v>
      </c>
    </row>
    <row r="9446" spans="1:15" ht="43.2" x14ac:dyDescent="0.3">
      <c r="A9446" s="1" t="s">
        <v>4486</v>
      </c>
      <c r="B9446" s="1" t="str">
        <f>"R&amp;A Dairy Limited"</f>
        <v>R&amp;A Dairy Limited</v>
      </c>
      <c r="C9446" s="1" t="s">
        <v>4487</v>
      </c>
      <c r="D9446" s="1" t="s">
        <v>4488</v>
      </c>
      <c r="E9446" s="1" t="s">
        <v>596</v>
      </c>
      <c r="F9446" s="1" t="s">
        <v>65</v>
      </c>
      <c r="H9446" s="1" t="s">
        <v>4489</v>
      </c>
      <c r="I9446" s="1" t="s">
        <v>19</v>
      </c>
      <c r="J9446" s="1" t="s">
        <v>67</v>
      </c>
      <c r="K9446" s="1" t="s">
        <v>14</v>
      </c>
      <c r="M9446" s="2">
        <v>42101</v>
      </c>
      <c r="N9446" s="1" t="s">
        <v>8</v>
      </c>
      <c r="O9446" s="1" t="s">
        <v>68</v>
      </c>
    </row>
    <row r="9447" spans="1:15" ht="43.2" x14ac:dyDescent="0.3">
      <c r="A9447" s="1" t="s">
        <v>4490</v>
      </c>
      <c r="B9447" s="1" t="str">
        <f>"Shilam Restaurant"</f>
        <v>Shilam Restaurant</v>
      </c>
      <c r="C9447" s="1" t="s">
        <v>4491</v>
      </c>
      <c r="F9447" s="1" t="s">
        <v>445</v>
      </c>
      <c r="H9447" s="1" t="s">
        <v>4492</v>
      </c>
      <c r="I9447" s="1" t="s">
        <v>19</v>
      </c>
      <c r="J9447" s="1" t="s">
        <v>67</v>
      </c>
      <c r="K9447" s="1" t="s">
        <v>14</v>
      </c>
      <c r="M9447" s="2">
        <v>42101</v>
      </c>
      <c r="N9447" s="1" t="s">
        <v>8</v>
      </c>
      <c r="O9447" s="1" t="s">
        <v>68</v>
      </c>
    </row>
    <row r="9448" spans="1:15" ht="43.2" x14ac:dyDescent="0.3">
      <c r="A9448" s="1" t="s">
        <v>4493</v>
      </c>
      <c r="B9448" s="1" t="str">
        <f>"Educ8 Ltd"</f>
        <v>Educ8 Ltd</v>
      </c>
      <c r="C9448" s="1" t="s">
        <v>4494</v>
      </c>
      <c r="D9448" s="1" t="s">
        <v>294</v>
      </c>
      <c r="F9448" s="1" t="s">
        <v>1093</v>
      </c>
      <c r="H9448" s="1" t="s">
        <v>4495</v>
      </c>
      <c r="I9448" s="1" t="s">
        <v>19</v>
      </c>
      <c r="J9448" s="1" t="s">
        <v>67</v>
      </c>
      <c r="K9448" s="1" t="s">
        <v>14</v>
      </c>
      <c r="M9448" s="2">
        <v>42101</v>
      </c>
      <c r="N9448" s="1" t="s">
        <v>8</v>
      </c>
      <c r="O9448" s="1" t="s">
        <v>68</v>
      </c>
    </row>
    <row r="9449" spans="1:15" ht="43.2" x14ac:dyDescent="0.3">
      <c r="A9449" s="1" t="s">
        <v>4496</v>
      </c>
      <c r="B9449" s="1" t="str">
        <f>"R&amp;A Dairy"</f>
        <v>R&amp;A Dairy</v>
      </c>
      <c r="C9449" s="1" t="s">
        <v>4497</v>
      </c>
      <c r="D9449" s="1" t="s">
        <v>596</v>
      </c>
      <c r="F9449" s="1" t="s">
        <v>64</v>
      </c>
      <c r="H9449" s="1" t="s">
        <v>4498</v>
      </c>
      <c r="I9449" s="1" t="s">
        <v>19</v>
      </c>
      <c r="J9449" s="1" t="s">
        <v>67</v>
      </c>
      <c r="K9449" s="1" t="s">
        <v>14</v>
      </c>
      <c r="M9449" s="2">
        <v>42101</v>
      </c>
      <c r="N9449" s="1" t="s">
        <v>8</v>
      </c>
      <c r="O9449" s="1" t="s">
        <v>68</v>
      </c>
    </row>
    <row r="9450" spans="1:15" ht="43.2" x14ac:dyDescent="0.3">
      <c r="A9450" s="1" t="s">
        <v>5623</v>
      </c>
      <c r="B9450" s="1" t="str">
        <f>"Woodlands Service Station"</f>
        <v>Woodlands Service Station</v>
      </c>
      <c r="C9450" s="1" t="s">
        <v>5624</v>
      </c>
      <c r="F9450" s="1" t="s">
        <v>65</v>
      </c>
      <c r="H9450" s="1" t="s">
        <v>5625</v>
      </c>
      <c r="I9450" s="1" t="s">
        <v>125</v>
      </c>
      <c r="J9450" s="1" t="s">
        <v>67</v>
      </c>
      <c r="K9450" s="1" t="s">
        <v>24</v>
      </c>
      <c r="M9450" s="2">
        <v>42101</v>
      </c>
      <c r="N9450" s="1" t="s">
        <v>8</v>
      </c>
      <c r="O9450" s="1" t="s">
        <v>68</v>
      </c>
    </row>
    <row r="9451" spans="1:15" ht="43.2" x14ac:dyDescent="0.3">
      <c r="A9451" s="1" t="s">
        <v>5626</v>
      </c>
      <c r="B9451" s="1" t="str">
        <f>"Arborwood Tree Care Ltd"</f>
        <v>Arborwood Tree Care Ltd</v>
      </c>
      <c r="C9451" s="1" t="s">
        <v>5627</v>
      </c>
      <c r="F9451" s="1" t="s">
        <v>504</v>
      </c>
      <c r="H9451" s="1" t="s">
        <v>5628</v>
      </c>
      <c r="I9451" s="1" t="s">
        <v>19</v>
      </c>
      <c r="J9451" s="1" t="s">
        <v>67</v>
      </c>
      <c r="K9451" s="1" t="s">
        <v>14</v>
      </c>
      <c r="M9451" s="2">
        <v>42101</v>
      </c>
      <c r="N9451" s="1" t="s">
        <v>8</v>
      </c>
      <c r="O9451" s="1" t="s">
        <v>68</v>
      </c>
    </row>
    <row r="9452" spans="1:15" ht="43.2" x14ac:dyDescent="0.3">
      <c r="A9452" s="1" t="s">
        <v>19525</v>
      </c>
      <c r="B9452" s="1" t="str">
        <f>"Gareth Saunders"</f>
        <v>Gareth Saunders</v>
      </c>
      <c r="C9452" s="1" t="s">
        <v>19526</v>
      </c>
      <c r="F9452" s="1" t="s">
        <v>1175</v>
      </c>
      <c r="H9452" s="1" t="s">
        <v>19527</v>
      </c>
      <c r="I9452" s="1" t="s">
        <v>5</v>
      </c>
      <c r="J9452" s="1" t="s">
        <v>67</v>
      </c>
      <c r="K9452" s="1" t="s">
        <v>14</v>
      </c>
      <c r="M9452" s="2">
        <v>42101</v>
      </c>
      <c r="N9452" s="1" t="s">
        <v>8</v>
      </c>
      <c r="O9452" s="1" t="s">
        <v>68</v>
      </c>
    </row>
    <row r="9453" spans="1:15" ht="28.8" x14ac:dyDescent="0.3">
      <c r="A9453" s="1" t="s">
        <v>19528</v>
      </c>
      <c r="B9453" s="1" t="str">
        <f>"Richard Rogers Rogers transport"</f>
        <v>Richard Rogers Rogers transport</v>
      </c>
      <c r="C9453" s="1" t="s">
        <v>19529</v>
      </c>
      <c r="D9453" s="1" t="s">
        <v>19530</v>
      </c>
      <c r="F9453" s="1" t="s">
        <v>607</v>
      </c>
      <c r="H9453" s="1" t="s">
        <v>19531</v>
      </c>
      <c r="I9453" s="1" t="s">
        <v>5</v>
      </c>
      <c r="J9453" s="1" t="s">
        <v>6</v>
      </c>
      <c r="K9453" s="1" t="s">
        <v>34</v>
      </c>
      <c r="M9453" s="2">
        <v>42101</v>
      </c>
      <c r="N9453" s="1" t="s">
        <v>8</v>
      </c>
      <c r="O9453" s="2">
        <v>44289</v>
      </c>
    </row>
    <row r="9454" spans="1:15" ht="43.2" x14ac:dyDescent="0.3">
      <c r="A9454" s="1" t="s">
        <v>20281</v>
      </c>
      <c r="B9454" s="1" t="str">
        <f>"Carley Dowding"</f>
        <v>Carley Dowding</v>
      </c>
      <c r="C9454" s="1" t="s">
        <v>20282</v>
      </c>
      <c r="F9454" s="1" t="s">
        <v>6400</v>
      </c>
      <c r="H9454" s="1" t="s">
        <v>20283</v>
      </c>
      <c r="I9454" s="1" t="s">
        <v>5</v>
      </c>
      <c r="J9454" s="1" t="s">
        <v>67</v>
      </c>
      <c r="K9454" s="1" t="s">
        <v>14</v>
      </c>
      <c r="M9454" s="2">
        <v>42101</v>
      </c>
      <c r="N9454" s="1" t="s">
        <v>8</v>
      </c>
      <c r="O9454" s="1" t="s">
        <v>68</v>
      </c>
    </row>
    <row r="9455" spans="1:15" ht="28.8" x14ac:dyDescent="0.3">
      <c r="A9455" s="1" t="s">
        <v>30209</v>
      </c>
      <c r="B9455" s="1" t="str">
        <f>"Woodlands Service Station"</f>
        <v>Woodlands Service Station</v>
      </c>
      <c r="C9455" s="1" t="s">
        <v>30210</v>
      </c>
      <c r="D9455" s="1" t="s">
        <v>6825</v>
      </c>
      <c r="F9455" s="1" t="s">
        <v>64</v>
      </c>
      <c r="G9455" s="1" t="s">
        <v>162</v>
      </c>
      <c r="H9455" s="1" t="s">
        <v>5625</v>
      </c>
      <c r="I9455" s="1" t="s">
        <v>125</v>
      </c>
      <c r="J9455" s="1" t="s">
        <v>6</v>
      </c>
      <c r="K9455" s="1" t="s">
        <v>24</v>
      </c>
      <c r="M9455" s="2">
        <v>42101</v>
      </c>
      <c r="N9455" s="1" t="s">
        <v>8</v>
      </c>
      <c r="O9455" s="2">
        <v>44293</v>
      </c>
    </row>
    <row r="9456" spans="1:15" ht="28.8" x14ac:dyDescent="0.3">
      <c r="A9456" s="1" t="s">
        <v>30211</v>
      </c>
      <c r="B9456" s="1" t="str">
        <f>"Indigo Telecom Group Ltd"</f>
        <v>Indigo Telecom Group Ltd</v>
      </c>
      <c r="C9456" s="1" t="s">
        <v>30212</v>
      </c>
      <c r="D9456" s="1" t="s">
        <v>30213</v>
      </c>
      <c r="E9456" s="1" t="s">
        <v>6353</v>
      </c>
      <c r="F9456" s="1" t="s">
        <v>401</v>
      </c>
      <c r="G9456" s="1" t="s">
        <v>231</v>
      </c>
      <c r="H9456" s="1" t="s">
        <v>30214</v>
      </c>
      <c r="I9456" s="1" t="s">
        <v>19</v>
      </c>
      <c r="J9456" s="1" t="s">
        <v>6</v>
      </c>
      <c r="K9456" s="1" t="s">
        <v>34</v>
      </c>
      <c r="L9456" s="1">
        <v>3675459</v>
      </c>
      <c r="M9456" s="2">
        <v>42101</v>
      </c>
      <c r="N9456" s="1" t="s">
        <v>8</v>
      </c>
      <c r="O9456" s="2">
        <v>44293</v>
      </c>
    </row>
    <row r="9457" spans="1:15" x14ac:dyDescent="0.3">
      <c r="A9457" s="1" t="s">
        <v>2347</v>
      </c>
      <c r="B9457" s="1" t="str">
        <f>"Dragon Logistics Ltd"</f>
        <v>Dragon Logistics Ltd</v>
      </c>
      <c r="C9457" s="1" t="s">
        <v>2348</v>
      </c>
      <c r="D9457" s="1" t="s">
        <v>2349</v>
      </c>
      <c r="F9457" s="1" t="s">
        <v>123</v>
      </c>
      <c r="G9457" s="1" t="s">
        <v>27</v>
      </c>
      <c r="H9457" s="1" t="s">
        <v>2350</v>
      </c>
      <c r="I9457" s="1" t="s">
        <v>19</v>
      </c>
      <c r="J9457" s="1" t="s">
        <v>6</v>
      </c>
      <c r="K9457" s="1" t="s">
        <v>24</v>
      </c>
      <c r="L9457" s="1">
        <v>4840848</v>
      </c>
      <c r="M9457" s="2">
        <v>42100</v>
      </c>
      <c r="N9457" s="1" t="s">
        <v>8</v>
      </c>
      <c r="O9457" s="2">
        <v>44308</v>
      </c>
    </row>
    <row r="9458" spans="1:15" ht="43.2" x14ac:dyDescent="0.3">
      <c r="A9458" s="1" t="s">
        <v>19522</v>
      </c>
      <c r="B9458" s="1" t="str">
        <f>"Leonard John Rees"</f>
        <v>Leonard John Rees</v>
      </c>
      <c r="C9458" s="1" t="s">
        <v>19523</v>
      </c>
      <c r="F9458" s="1" t="s">
        <v>865</v>
      </c>
      <c r="H9458" s="1" t="s">
        <v>19524</v>
      </c>
      <c r="I9458" s="1" t="s">
        <v>5</v>
      </c>
      <c r="J9458" s="1" t="s">
        <v>67</v>
      </c>
      <c r="K9458" s="1" t="s">
        <v>24</v>
      </c>
      <c r="M9458" s="2">
        <v>42100</v>
      </c>
      <c r="N9458" s="1" t="s">
        <v>8</v>
      </c>
      <c r="O9458" s="1" t="s">
        <v>68</v>
      </c>
    </row>
    <row r="9459" spans="1:15" ht="43.2" x14ac:dyDescent="0.3">
      <c r="A9459" s="1" t="s">
        <v>4483</v>
      </c>
      <c r="B9459" s="1" t="str">
        <f>"Novitera Recycling UK Ltd"</f>
        <v>Novitera Recycling UK Ltd</v>
      </c>
      <c r="C9459" s="1" t="s">
        <v>4484</v>
      </c>
      <c r="F9459" s="1" t="s">
        <v>3472</v>
      </c>
      <c r="H9459" s="1" t="s">
        <v>4485</v>
      </c>
      <c r="I9459" s="1" t="s">
        <v>19</v>
      </c>
      <c r="J9459" s="1" t="s">
        <v>67</v>
      </c>
      <c r="K9459" s="1" t="s">
        <v>14</v>
      </c>
      <c r="M9459" s="2">
        <v>42098</v>
      </c>
      <c r="N9459" s="1" t="s">
        <v>8</v>
      </c>
      <c r="O9459" s="1" t="s">
        <v>68</v>
      </c>
    </row>
    <row r="9460" spans="1:15" ht="43.2" x14ac:dyDescent="0.3">
      <c r="A9460" s="1" t="s">
        <v>3384</v>
      </c>
      <c r="B9460" s="1" t="str">
        <f>"Remsdaq Limited"</f>
        <v>Remsdaq Limited</v>
      </c>
      <c r="C9460" s="1" t="s">
        <v>3385</v>
      </c>
      <c r="D9460" s="1" t="s">
        <v>323</v>
      </c>
      <c r="F9460" s="1" t="s">
        <v>324</v>
      </c>
      <c r="H9460" s="1" t="s">
        <v>3386</v>
      </c>
      <c r="I9460" s="1" t="s">
        <v>19</v>
      </c>
      <c r="J9460" s="1" t="s">
        <v>67</v>
      </c>
      <c r="K9460" s="1" t="s">
        <v>14</v>
      </c>
      <c r="M9460" s="2">
        <v>42096</v>
      </c>
      <c r="N9460" s="1" t="s">
        <v>8</v>
      </c>
      <c r="O9460" s="1" t="s">
        <v>68</v>
      </c>
    </row>
    <row r="9461" spans="1:15" ht="43.2" x14ac:dyDescent="0.3">
      <c r="A9461" s="1" t="s">
        <v>3387</v>
      </c>
      <c r="B9461" s="1" t="str">
        <f>"MB Fine Arts Ltd"</f>
        <v>MB Fine Arts Ltd</v>
      </c>
      <c r="C9461" s="1" t="s">
        <v>3388</v>
      </c>
      <c r="F9461" s="1" t="s">
        <v>3389</v>
      </c>
      <c r="H9461" s="1" t="s">
        <v>3390</v>
      </c>
      <c r="I9461" s="1" t="s">
        <v>19</v>
      </c>
      <c r="J9461" s="1" t="s">
        <v>67</v>
      </c>
      <c r="K9461" s="1" t="s">
        <v>14</v>
      </c>
      <c r="M9461" s="2">
        <v>42096</v>
      </c>
      <c r="N9461" s="1" t="s">
        <v>8</v>
      </c>
      <c r="O9461" s="1" t="s">
        <v>68</v>
      </c>
    </row>
    <row r="9462" spans="1:15" ht="43.2" x14ac:dyDescent="0.3">
      <c r="A9462" s="1" t="s">
        <v>3391</v>
      </c>
      <c r="B9462" s="1" t="str">
        <f>"Lanes of Abergavenny"</f>
        <v>Lanes of Abergavenny</v>
      </c>
      <c r="C9462" s="1" t="s">
        <v>3392</v>
      </c>
      <c r="F9462" s="1" t="s">
        <v>205</v>
      </c>
      <c r="H9462" s="1" t="s">
        <v>3393</v>
      </c>
      <c r="I9462" s="1" t="s">
        <v>19</v>
      </c>
      <c r="J9462" s="1" t="s">
        <v>67</v>
      </c>
      <c r="K9462" s="1" t="s">
        <v>34</v>
      </c>
      <c r="L9462" s="1">
        <v>7928809</v>
      </c>
      <c r="M9462" s="2">
        <v>42096</v>
      </c>
      <c r="N9462" s="1" t="s">
        <v>8</v>
      </c>
      <c r="O9462" s="1" t="s">
        <v>68</v>
      </c>
    </row>
    <row r="9463" spans="1:15" ht="43.2" x14ac:dyDescent="0.3">
      <c r="A9463" s="1" t="s">
        <v>18642</v>
      </c>
      <c r="B9463" s="1" t="str">
        <f>"michael craddock"</f>
        <v>michael craddock</v>
      </c>
      <c r="C9463" s="1" t="s">
        <v>18643</v>
      </c>
      <c r="F9463" s="1" t="s">
        <v>560</v>
      </c>
      <c r="H9463" s="1" t="s">
        <v>18644</v>
      </c>
      <c r="I9463" s="1" t="s">
        <v>5</v>
      </c>
      <c r="J9463" s="1" t="s">
        <v>67</v>
      </c>
      <c r="K9463" s="1" t="s">
        <v>14</v>
      </c>
      <c r="M9463" s="2">
        <v>42096</v>
      </c>
      <c r="N9463" s="1" t="s">
        <v>8</v>
      </c>
      <c r="O9463" s="1" t="s">
        <v>68</v>
      </c>
    </row>
    <row r="9464" spans="1:15" ht="43.2" x14ac:dyDescent="0.3">
      <c r="A9464" s="1" t="s">
        <v>19516</v>
      </c>
      <c r="B9464" s="1" t="str">
        <f>"Andy Jones"</f>
        <v>Andy Jones</v>
      </c>
      <c r="C9464" s="1" t="s">
        <v>19517</v>
      </c>
      <c r="F9464" s="1" t="s">
        <v>374</v>
      </c>
      <c r="H9464" s="1" t="s">
        <v>19518</v>
      </c>
      <c r="I9464" s="1" t="s">
        <v>5</v>
      </c>
      <c r="J9464" s="1" t="s">
        <v>67</v>
      </c>
      <c r="K9464" s="1" t="s">
        <v>14</v>
      </c>
      <c r="M9464" s="2">
        <v>42096</v>
      </c>
      <c r="N9464" s="1" t="s">
        <v>8</v>
      </c>
      <c r="O9464" s="1" t="s">
        <v>68</v>
      </c>
    </row>
    <row r="9465" spans="1:15" ht="43.2" x14ac:dyDescent="0.3">
      <c r="A9465" s="1" t="s">
        <v>19519</v>
      </c>
      <c r="B9465" s="1" t="str">
        <f>"Damian Mason"</f>
        <v>Damian Mason</v>
      </c>
      <c r="C9465" s="1" t="s">
        <v>19520</v>
      </c>
      <c r="D9465" s="1" t="s">
        <v>1219</v>
      </c>
      <c r="F9465" s="1" t="s">
        <v>607</v>
      </c>
      <c r="H9465" s="1" t="s">
        <v>19521</v>
      </c>
      <c r="I9465" s="1" t="s">
        <v>5</v>
      </c>
      <c r="J9465" s="1" t="s">
        <v>67</v>
      </c>
      <c r="K9465" s="1" t="s">
        <v>14</v>
      </c>
      <c r="M9465" s="2">
        <v>42096</v>
      </c>
      <c r="N9465" s="1" t="s">
        <v>8</v>
      </c>
      <c r="O9465" s="1" t="s">
        <v>68</v>
      </c>
    </row>
    <row r="9466" spans="1:15" ht="43.2" x14ac:dyDescent="0.3">
      <c r="A9466" s="1" t="s">
        <v>3381</v>
      </c>
      <c r="B9466" s="1" t="str">
        <f>"ARK (WALES) LTD"</f>
        <v>ARK (WALES) LTD</v>
      </c>
      <c r="C9466" s="1" t="s">
        <v>3382</v>
      </c>
      <c r="F9466" s="1" t="s">
        <v>91</v>
      </c>
      <c r="H9466" s="1" t="s">
        <v>3383</v>
      </c>
      <c r="I9466" s="1" t="s">
        <v>19</v>
      </c>
      <c r="J9466" s="1" t="s">
        <v>67</v>
      </c>
      <c r="K9466" s="1" t="s">
        <v>24</v>
      </c>
      <c r="L9466" s="1">
        <v>6117316</v>
      </c>
      <c r="M9466" s="2">
        <v>42095</v>
      </c>
      <c r="N9466" s="1" t="s">
        <v>8</v>
      </c>
      <c r="O9466" s="1" t="s">
        <v>68</v>
      </c>
    </row>
    <row r="9467" spans="1:15" ht="43.2" x14ac:dyDescent="0.3">
      <c r="A9467" s="1" t="s">
        <v>18095</v>
      </c>
      <c r="B9467" s="1" t="str">
        <f>"caerffili c.h.a.d caerphilly"</f>
        <v>caerffili c.h.a.d caerphilly</v>
      </c>
      <c r="C9467" s="1" t="s">
        <v>18096</v>
      </c>
      <c r="D9467" s="1" t="s">
        <v>18097</v>
      </c>
      <c r="F9467" s="1" t="s">
        <v>5645</v>
      </c>
      <c r="H9467" s="1" t="s">
        <v>18098</v>
      </c>
      <c r="I9467" s="1" t="s">
        <v>1872</v>
      </c>
      <c r="J9467" s="1" t="s">
        <v>67</v>
      </c>
      <c r="K9467" s="1" t="s">
        <v>14</v>
      </c>
      <c r="M9467" s="2">
        <v>42095</v>
      </c>
      <c r="N9467" s="1" t="s">
        <v>8</v>
      </c>
      <c r="O9467" s="1" t="s">
        <v>68</v>
      </c>
    </row>
    <row r="9468" spans="1:15" ht="43.2" x14ac:dyDescent="0.3">
      <c r="A9468" s="1" t="s">
        <v>29765</v>
      </c>
      <c r="B9468" s="1" t="str">
        <f>"Clive Malam"</f>
        <v>Clive Malam</v>
      </c>
      <c r="C9468" s="1" t="s">
        <v>29766</v>
      </c>
      <c r="D9468" s="1" t="s">
        <v>155</v>
      </c>
      <c r="F9468" s="1" t="s">
        <v>91</v>
      </c>
      <c r="H9468" s="1" t="s">
        <v>29767</v>
      </c>
      <c r="I9468" s="1" t="s">
        <v>5</v>
      </c>
      <c r="J9468" s="1" t="s">
        <v>67</v>
      </c>
      <c r="K9468" s="1" t="s">
        <v>14</v>
      </c>
      <c r="M9468" s="2">
        <v>42095</v>
      </c>
      <c r="N9468" s="1" t="s">
        <v>8</v>
      </c>
      <c r="O9468" s="1" t="s">
        <v>68</v>
      </c>
    </row>
    <row r="9469" spans="1:15" ht="43.2" x14ac:dyDescent="0.3">
      <c r="A9469" s="1" t="s">
        <v>29768</v>
      </c>
      <c r="B9469" s="1" t="str">
        <f>"Graham  Gillies"</f>
        <v>Graham  Gillies</v>
      </c>
      <c r="C9469" s="1" t="s">
        <v>24294</v>
      </c>
      <c r="D9469" s="1" t="s">
        <v>24295</v>
      </c>
      <c r="F9469" s="1" t="s">
        <v>37</v>
      </c>
      <c r="H9469" s="1" t="s">
        <v>17661</v>
      </c>
      <c r="I9469" s="1" t="s">
        <v>5</v>
      </c>
      <c r="J9469" s="1" t="s">
        <v>67</v>
      </c>
      <c r="K9469" s="1" t="s">
        <v>24</v>
      </c>
      <c r="M9469" s="2">
        <v>42095</v>
      </c>
      <c r="N9469" s="1" t="s">
        <v>8</v>
      </c>
      <c r="O9469" s="1" t="s">
        <v>68</v>
      </c>
    </row>
    <row r="9470" spans="1:15" ht="43.2" x14ac:dyDescent="0.3">
      <c r="A9470" s="1" t="s">
        <v>17067</v>
      </c>
      <c r="B9470" s="1" t="str">
        <f>"Harvey Kitchens (N.W.) Ltd"</f>
        <v>Harvey Kitchens (N.W.) Ltd</v>
      </c>
      <c r="C9470" s="1" t="s">
        <v>17068</v>
      </c>
      <c r="F9470" s="1" t="s">
        <v>955</v>
      </c>
      <c r="H9470" s="1" t="s">
        <v>5471</v>
      </c>
      <c r="I9470" s="1" t="s">
        <v>19</v>
      </c>
      <c r="J9470" s="1" t="s">
        <v>67</v>
      </c>
      <c r="K9470" s="1" t="s">
        <v>1859</v>
      </c>
      <c r="L9470" s="1">
        <v>8553257</v>
      </c>
      <c r="M9470" s="2">
        <v>42094</v>
      </c>
      <c r="N9470" s="1" t="s">
        <v>8</v>
      </c>
      <c r="O9470" s="1" t="s">
        <v>68</v>
      </c>
    </row>
    <row r="9471" spans="1:15" ht="43.2" x14ac:dyDescent="0.3">
      <c r="A9471" s="1" t="s">
        <v>29002</v>
      </c>
      <c r="B9471" s="1" t="str">
        <f>"Gareth Williams"</f>
        <v>Gareth Williams</v>
      </c>
      <c r="C9471" s="1" t="s">
        <v>29003</v>
      </c>
      <c r="D9471" s="1" t="s">
        <v>1336</v>
      </c>
      <c r="F9471" s="1" t="s">
        <v>1321</v>
      </c>
      <c r="H9471" s="1" t="s">
        <v>20553</v>
      </c>
      <c r="I9471" s="1" t="s">
        <v>5</v>
      </c>
      <c r="J9471" s="1" t="s">
        <v>67</v>
      </c>
      <c r="K9471" s="1" t="s">
        <v>14</v>
      </c>
      <c r="M9471" s="2">
        <v>42094</v>
      </c>
      <c r="N9471" s="1" t="s">
        <v>8</v>
      </c>
      <c r="O9471" s="1" t="s">
        <v>68</v>
      </c>
    </row>
    <row r="9472" spans="1:15" ht="43.2" x14ac:dyDescent="0.3">
      <c r="A9472" s="1" t="s">
        <v>16095</v>
      </c>
      <c r="B9472" s="1" t="str">
        <f>"APPLIED PRODUCTS (WALES) LTD"</f>
        <v>APPLIED PRODUCTS (WALES) LTD</v>
      </c>
      <c r="C9472" s="1" t="s">
        <v>16096</v>
      </c>
      <c r="D9472" s="1" t="s">
        <v>2523</v>
      </c>
      <c r="E9472" s="1" t="s">
        <v>578</v>
      </c>
      <c r="F9472" s="1" t="s">
        <v>65</v>
      </c>
      <c r="H9472" s="1" t="s">
        <v>2524</v>
      </c>
      <c r="I9472" s="1" t="s">
        <v>19</v>
      </c>
      <c r="J9472" s="1" t="s">
        <v>67</v>
      </c>
      <c r="K9472" s="1" t="s">
        <v>24</v>
      </c>
      <c r="L9472" s="1">
        <v>4168478</v>
      </c>
      <c r="M9472" s="2">
        <v>42093</v>
      </c>
      <c r="N9472" s="1" t="s">
        <v>8</v>
      </c>
      <c r="O9472" s="1" t="s">
        <v>68</v>
      </c>
    </row>
    <row r="9473" spans="1:15" ht="43.2" x14ac:dyDescent="0.3">
      <c r="A9473" s="1" t="s">
        <v>16097</v>
      </c>
      <c r="B9473" s="1" t="str">
        <f>"Rhos House Surgery"</f>
        <v>Rhos House Surgery</v>
      </c>
      <c r="C9473" s="1" t="s">
        <v>16098</v>
      </c>
      <c r="F9473" s="1" t="s">
        <v>16099</v>
      </c>
      <c r="H9473" s="1" t="s">
        <v>16100</v>
      </c>
      <c r="I9473" s="1" t="s">
        <v>125</v>
      </c>
      <c r="J9473" s="1" t="s">
        <v>67</v>
      </c>
      <c r="K9473" s="1" t="s">
        <v>14</v>
      </c>
      <c r="M9473" s="2">
        <v>42093</v>
      </c>
      <c r="N9473" s="1" t="s">
        <v>8</v>
      </c>
      <c r="O9473" s="1" t="s">
        <v>68</v>
      </c>
    </row>
    <row r="9474" spans="1:15" x14ac:dyDescent="0.3">
      <c r="A9474" s="1" t="s">
        <v>30205</v>
      </c>
      <c r="B9474" s="1" t="str">
        <f>"TYDDYN MON LTD"</f>
        <v>TYDDYN MON LTD</v>
      </c>
      <c r="C9474" s="1" t="s">
        <v>30206</v>
      </c>
      <c r="D9474" s="1" t="s">
        <v>3045</v>
      </c>
      <c r="E9474" s="1" t="s">
        <v>30207</v>
      </c>
      <c r="F9474" s="1" t="s">
        <v>4798</v>
      </c>
      <c r="G9474" s="1" t="s">
        <v>679</v>
      </c>
      <c r="H9474" s="1" t="s">
        <v>30208</v>
      </c>
      <c r="I9474" s="1" t="s">
        <v>19</v>
      </c>
      <c r="J9474" s="1" t="s">
        <v>6</v>
      </c>
      <c r="K9474" s="1" t="s">
        <v>24</v>
      </c>
      <c r="L9474" s="1">
        <v>2228346</v>
      </c>
      <c r="M9474" s="2">
        <v>42093</v>
      </c>
      <c r="N9474" s="1" t="s">
        <v>8</v>
      </c>
      <c r="O9474" s="2">
        <v>44285</v>
      </c>
    </row>
    <row r="9475" spans="1:15" ht="43.2" x14ac:dyDescent="0.3">
      <c r="A9475" s="1" t="s">
        <v>16092</v>
      </c>
      <c r="B9475" s="1" t="str">
        <f>"Oswyn Roberts Cyf"</f>
        <v>Oswyn Roberts Cyf</v>
      </c>
      <c r="C9475" s="1" t="s">
        <v>16093</v>
      </c>
      <c r="F9475" s="1" t="s">
        <v>1419</v>
      </c>
      <c r="H9475" s="1" t="s">
        <v>16094</v>
      </c>
      <c r="I9475" s="1" t="s">
        <v>19</v>
      </c>
      <c r="J9475" s="1" t="s">
        <v>67</v>
      </c>
      <c r="K9475" s="1" t="s">
        <v>14</v>
      </c>
      <c r="M9475" s="2">
        <v>42092</v>
      </c>
      <c r="N9475" s="1" t="s">
        <v>8</v>
      </c>
      <c r="O9475" s="1" t="s">
        <v>68</v>
      </c>
    </row>
    <row r="9476" spans="1:15" ht="43.2" x14ac:dyDescent="0.3">
      <c r="A9476" s="1" t="s">
        <v>28248</v>
      </c>
      <c r="B9476" s="1" t="str">
        <f>"Daniel Beer"</f>
        <v>Daniel Beer</v>
      </c>
      <c r="C9476" s="1" t="s">
        <v>28249</v>
      </c>
      <c r="F9476" s="1" t="s">
        <v>3888</v>
      </c>
      <c r="H9476" s="1" t="s">
        <v>28250</v>
      </c>
      <c r="I9476" s="1" t="s">
        <v>5</v>
      </c>
      <c r="J9476" s="1" t="s">
        <v>67</v>
      </c>
      <c r="K9476" s="1" t="s">
        <v>24</v>
      </c>
      <c r="M9476" s="2">
        <v>42092</v>
      </c>
      <c r="N9476" s="1" t="s">
        <v>8</v>
      </c>
      <c r="O9476" s="1" t="s">
        <v>68</v>
      </c>
    </row>
    <row r="9477" spans="1:15" ht="43.2" x14ac:dyDescent="0.3">
      <c r="A9477" s="1" t="s">
        <v>15111</v>
      </c>
      <c r="B9477" s="1" t="str">
        <f>"JW and E Morris and Sons Ltd"</f>
        <v>JW and E Morris and Sons Ltd</v>
      </c>
      <c r="C9477" s="1" t="s">
        <v>15112</v>
      </c>
      <c r="D9477" s="1" t="s">
        <v>4511</v>
      </c>
      <c r="F9477" s="1" t="s">
        <v>865</v>
      </c>
      <c r="H9477" s="1" t="s">
        <v>15113</v>
      </c>
      <c r="I9477" s="1" t="s">
        <v>19</v>
      </c>
      <c r="J9477" s="1" t="s">
        <v>67</v>
      </c>
      <c r="K9477" s="1" t="s">
        <v>1859</v>
      </c>
      <c r="L9477" s="1">
        <v>1505158</v>
      </c>
      <c r="M9477" s="2">
        <v>42090</v>
      </c>
      <c r="N9477" s="1" t="s">
        <v>8</v>
      </c>
      <c r="O9477" s="1" t="s">
        <v>68</v>
      </c>
    </row>
    <row r="9478" spans="1:15" ht="28.8" x14ac:dyDescent="0.3">
      <c r="A9478" s="1" t="s">
        <v>15114</v>
      </c>
      <c r="B9478" s="1" t="str">
        <f>"Electrical Innovation (Wales) Ltd"</f>
        <v>Electrical Innovation (Wales) Ltd</v>
      </c>
      <c r="C9478" s="1" t="s">
        <v>15115</v>
      </c>
      <c r="F9478" s="1" t="s">
        <v>996</v>
      </c>
      <c r="H9478" s="1" t="s">
        <v>15116</v>
      </c>
      <c r="I9478" s="1" t="s">
        <v>19</v>
      </c>
      <c r="J9478" s="1" t="s">
        <v>6</v>
      </c>
      <c r="K9478" s="1" t="s">
        <v>34</v>
      </c>
      <c r="L9478" s="1">
        <v>7893835</v>
      </c>
      <c r="M9478" s="2">
        <v>42090</v>
      </c>
      <c r="N9478" s="1" t="s">
        <v>8</v>
      </c>
      <c r="O9478" s="2">
        <v>44269</v>
      </c>
    </row>
    <row r="9479" spans="1:15" ht="43.2" x14ac:dyDescent="0.3">
      <c r="A9479" s="1" t="s">
        <v>15117</v>
      </c>
      <c r="B9479" s="1" t="str">
        <f>"Tongan Community "</f>
        <v xml:space="preserve">Tongan Community </v>
      </c>
      <c r="C9479" s="1" t="s">
        <v>15118</v>
      </c>
      <c r="D9479" s="1" t="s">
        <v>15119</v>
      </c>
      <c r="F9479" s="1" t="s">
        <v>1058</v>
      </c>
      <c r="H9479" s="1" t="s">
        <v>15120</v>
      </c>
      <c r="I9479" s="1" t="s">
        <v>1872</v>
      </c>
      <c r="J9479" s="1" t="s">
        <v>67</v>
      </c>
      <c r="K9479" s="1" t="s">
        <v>14</v>
      </c>
      <c r="M9479" s="2">
        <v>42090</v>
      </c>
      <c r="N9479" s="1" t="s">
        <v>8</v>
      </c>
      <c r="O9479" s="1" t="s">
        <v>68</v>
      </c>
    </row>
    <row r="9480" spans="1:15" ht="43.2" x14ac:dyDescent="0.3">
      <c r="A9480" s="1" t="s">
        <v>12203</v>
      </c>
      <c r="B9480" s="1" t="str">
        <f>"Post Office Stores Tregynon"</f>
        <v>Post Office Stores Tregynon</v>
      </c>
      <c r="C9480" s="1" t="s">
        <v>12204</v>
      </c>
      <c r="F9480" s="1" t="s">
        <v>445</v>
      </c>
      <c r="H9480" s="1" t="s">
        <v>12205</v>
      </c>
      <c r="I9480" s="1" t="s">
        <v>125</v>
      </c>
      <c r="J9480" s="1" t="s">
        <v>67</v>
      </c>
      <c r="K9480" s="1" t="s">
        <v>14</v>
      </c>
      <c r="M9480" s="2">
        <v>42089</v>
      </c>
      <c r="N9480" s="1" t="s">
        <v>8</v>
      </c>
      <c r="O9480" s="1" t="s">
        <v>68</v>
      </c>
    </row>
    <row r="9481" spans="1:15" ht="43.2" x14ac:dyDescent="0.3">
      <c r="A9481" s="1" t="s">
        <v>12206</v>
      </c>
      <c r="B9481" s="1" t="str">
        <f>"GD (UK) Ltd"</f>
        <v>GD (UK) Ltd</v>
      </c>
      <c r="C9481" s="1" t="s">
        <v>12207</v>
      </c>
      <c r="F9481" s="1" t="s">
        <v>3864</v>
      </c>
      <c r="H9481" s="1" t="s">
        <v>12208</v>
      </c>
      <c r="I9481" s="1" t="s">
        <v>19</v>
      </c>
      <c r="J9481" s="1" t="s">
        <v>67</v>
      </c>
      <c r="K9481" s="1" t="s">
        <v>14</v>
      </c>
      <c r="M9481" s="2">
        <v>42089</v>
      </c>
      <c r="N9481" s="1" t="s">
        <v>8</v>
      </c>
      <c r="O9481" s="1" t="s">
        <v>68</v>
      </c>
    </row>
    <row r="9482" spans="1:15" ht="43.2" x14ac:dyDescent="0.3">
      <c r="A9482" s="1" t="s">
        <v>13290</v>
      </c>
      <c r="B9482" s="1" t="str">
        <f>"Euroby Limited"</f>
        <v>Euroby Limited</v>
      </c>
      <c r="C9482" s="1" t="s">
        <v>13291</v>
      </c>
      <c r="F9482" s="1" t="s">
        <v>13292</v>
      </c>
      <c r="H9482" s="1" t="s">
        <v>13293</v>
      </c>
      <c r="I9482" s="1" t="s">
        <v>19</v>
      </c>
      <c r="J9482" s="1" t="s">
        <v>67</v>
      </c>
      <c r="K9482" s="1" t="s">
        <v>14</v>
      </c>
      <c r="M9482" s="2">
        <v>42089</v>
      </c>
      <c r="N9482" s="1" t="s">
        <v>8</v>
      </c>
      <c r="O9482" s="1" t="s">
        <v>68</v>
      </c>
    </row>
    <row r="9483" spans="1:15" ht="43.2" x14ac:dyDescent="0.3">
      <c r="A9483" s="1" t="s">
        <v>25836</v>
      </c>
      <c r="B9483" s="1" t="str">
        <f>"lorna higgins"</f>
        <v>lorna higgins</v>
      </c>
      <c r="C9483" s="1" t="s">
        <v>25837</v>
      </c>
      <c r="F9483" s="1" t="s">
        <v>5683</v>
      </c>
      <c r="H9483" s="1" t="s">
        <v>17740</v>
      </c>
      <c r="I9483" s="1" t="s">
        <v>5</v>
      </c>
      <c r="J9483" s="1" t="s">
        <v>67</v>
      </c>
      <c r="K9483" s="1" t="s">
        <v>14</v>
      </c>
      <c r="M9483" s="2">
        <v>42089</v>
      </c>
      <c r="N9483" s="1" t="s">
        <v>8</v>
      </c>
      <c r="O9483" s="1" t="s">
        <v>68</v>
      </c>
    </row>
    <row r="9484" spans="1:15" ht="43.2" x14ac:dyDescent="0.3">
      <c r="A9484" s="1" t="s">
        <v>25838</v>
      </c>
      <c r="B9484" s="1" t="str">
        <f>"Robert Longden Robert Longden"</f>
        <v>Robert Longden Robert Longden</v>
      </c>
      <c r="C9484" s="1" t="s">
        <v>25839</v>
      </c>
      <c r="F9484" s="1" t="s">
        <v>790</v>
      </c>
      <c r="H9484" s="1" t="s">
        <v>25840</v>
      </c>
      <c r="I9484" s="1" t="s">
        <v>5</v>
      </c>
      <c r="J9484" s="1" t="s">
        <v>67</v>
      </c>
      <c r="K9484" s="1" t="s">
        <v>34</v>
      </c>
      <c r="M9484" s="2">
        <v>42089</v>
      </c>
      <c r="N9484" s="1" t="s">
        <v>8</v>
      </c>
      <c r="O9484" s="1" t="s">
        <v>68</v>
      </c>
    </row>
    <row r="9485" spans="1:15" ht="43.2" x14ac:dyDescent="0.3">
      <c r="A9485" s="1" t="s">
        <v>26595</v>
      </c>
      <c r="B9485" s="1" t="str">
        <f>"Allun Jones"</f>
        <v>Allun Jones</v>
      </c>
      <c r="C9485" s="1" t="s">
        <v>26596</v>
      </c>
      <c r="F9485" s="1" t="s">
        <v>3415</v>
      </c>
      <c r="H9485" s="1" t="s">
        <v>26597</v>
      </c>
      <c r="I9485" s="1" t="s">
        <v>5</v>
      </c>
      <c r="J9485" s="1" t="s">
        <v>67</v>
      </c>
      <c r="K9485" s="1" t="s">
        <v>14</v>
      </c>
      <c r="M9485" s="2">
        <v>42089</v>
      </c>
      <c r="N9485" s="1" t="s">
        <v>8</v>
      </c>
      <c r="O9485" s="1" t="s">
        <v>68</v>
      </c>
    </row>
    <row r="9486" spans="1:15" ht="28.8" x14ac:dyDescent="0.3">
      <c r="A9486" s="1" t="s">
        <v>30202</v>
      </c>
      <c r="B9486" s="1" t="str">
        <f>"Ryan Landscaping"</f>
        <v>Ryan Landscaping</v>
      </c>
      <c r="C9486" s="1" t="s">
        <v>30203</v>
      </c>
      <c r="F9486" s="1" t="s">
        <v>123</v>
      </c>
      <c r="G9486" s="1" t="s">
        <v>27</v>
      </c>
      <c r="H9486" s="1" t="s">
        <v>30204</v>
      </c>
      <c r="I9486" s="1" t="s">
        <v>19</v>
      </c>
      <c r="J9486" s="1" t="s">
        <v>6</v>
      </c>
      <c r="K9486" s="1" t="s">
        <v>34</v>
      </c>
      <c r="L9486" s="1">
        <v>8859415</v>
      </c>
      <c r="M9486" s="2">
        <v>42089</v>
      </c>
      <c r="N9486" s="1" t="s">
        <v>8</v>
      </c>
      <c r="O9486" s="2">
        <v>44281</v>
      </c>
    </row>
    <row r="9487" spans="1:15" ht="43.2" x14ac:dyDescent="0.3">
      <c r="A9487" s="1" t="s">
        <v>11213</v>
      </c>
      <c r="B9487" s="1" t="str">
        <f>"Ecofit Energy Systems Ltd"</f>
        <v>Ecofit Energy Systems Ltd</v>
      </c>
      <c r="C9487" s="1" t="s">
        <v>11214</v>
      </c>
      <c r="F9487" s="1" t="s">
        <v>10065</v>
      </c>
      <c r="H9487" s="1" t="s">
        <v>6530</v>
      </c>
      <c r="I9487" s="1" t="s">
        <v>19</v>
      </c>
      <c r="J9487" s="1" t="s">
        <v>67</v>
      </c>
      <c r="K9487" s="1" t="s">
        <v>14</v>
      </c>
      <c r="M9487" s="2">
        <v>42088</v>
      </c>
      <c r="N9487" s="1" t="s">
        <v>8</v>
      </c>
      <c r="O9487" s="1" t="s">
        <v>68</v>
      </c>
    </row>
    <row r="9488" spans="1:15" ht="43.2" x14ac:dyDescent="0.3">
      <c r="A9488" s="1" t="s">
        <v>11215</v>
      </c>
      <c r="B9488" s="1" t="str">
        <f>"North Celynen Practice"</f>
        <v>North Celynen Practice</v>
      </c>
      <c r="C9488" s="1" t="s">
        <v>11216</v>
      </c>
      <c r="F9488" s="1" t="s">
        <v>91</v>
      </c>
      <c r="H9488" s="1" t="s">
        <v>11217</v>
      </c>
      <c r="I9488" s="1" t="s">
        <v>125</v>
      </c>
      <c r="J9488" s="1" t="s">
        <v>67</v>
      </c>
      <c r="K9488" s="1" t="s">
        <v>14</v>
      </c>
      <c r="M9488" s="2">
        <v>42088</v>
      </c>
      <c r="N9488" s="1" t="s">
        <v>8</v>
      </c>
      <c r="O9488" s="1" t="s">
        <v>68</v>
      </c>
    </row>
    <row r="9489" spans="1:15" ht="43.2" x14ac:dyDescent="0.3">
      <c r="A9489" s="1" t="s">
        <v>11218</v>
      </c>
      <c r="B9489" s="1" t="str">
        <f>"North Celynen Practice"</f>
        <v>North Celynen Practice</v>
      </c>
      <c r="C9489" s="1" t="s">
        <v>11219</v>
      </c>
      <c r="F9489" s="1" t="s">
        <v>91</v>
      </c>
      <c r="H9489" s="1" t="s">
        <v>11220</v>
      </c>
      <c r="I9489" s="1" t="s">
        <v>125</v>
      </c>
      <c r="J9489" s="1" t="s">
        <v>67</v>
      </c>
      <c r="K9489" s="1" t="s">
        <v>14</v>
      </c>
      <c r="M9489" s="2">
        <v>42088</v>
      </c>
      <c r="N9489" s="1" t="s">
        <v>8</v>
      </c>
      <c r="O9489" s="1" t="s">
        <v>68</v>
      </c>
    </row>
    <row r="9490" spans="1:15" ht="43.2" x14ac:dyDescent="0.3">
      <c r="A9490" s="1" t="s">
        <v>11221</v>
      </c>
      <c r="B9490" s="1" t="str">
        <f>"Triratna Sarana"</f>
        <v>Triratna Sarana</v>
      </c>
      <c r="C9490" s="1" t="s">
        <v>11222</v>
      </c>
      <c r="F9490" s="1" t="s">
        <v>3415</v>
      </c>
      <c r="H9490" s="1" t="s">
        <v>8919</v>
      </c>
      <c r="I9490" s="1" t="s">
        <v>1872</v>
      </c>
      <c r="J9490" s="1" t="s">
        <v>67</v>
      </c>
      <c r="K9490" s="1" t="s">
        <v>14</v>
      </c>
      <c r="M9490" s="2">
        <v>42088</v>
      </c>
      <c r="N9490" s="1" t="s">
        <v>8</v>
      </c>
      <c r="O9490" s="1" t="s">
        <v>68</v>
      </c>
    </row>
    <row r="9491" spans="1:15" ht="43.2" x14ac:dyDescent="0.3">
      <c r="A9491" s="1" t="s">
        <v>24290</v>
      </c>
      <c r="B9491" s="1" t="str">
        <f>"Ganesh Balasubramanian"</f>
        <v>Ganesh Balasubramanian</v>
      </c>
      <c r="C9491" s="1" t="s">
        <v>24291</v>
      </c>
      <c r="F9491" s="1" t="s">
        <v>7375</v>
      </c>
      <c r="H9491" s="1" t="s">
        <v>24292</v>
      </c>
      <c r="I9491" s="1" t="s">
        <v>5</v>
      </c>
      <c r="J9491" s="1" t="s">
        <v>67</v>
      </c>
      <c r="K9491" s="1" t="s">
        <v>14</v>
      </c>
      <c r="M9491" s="2">
        <v>42088</v>
      </c>
      <c r="N9491" s="1" t="s">
        <v>8</v>
      </c>
      <c r="O9491" s="1" t="s">
        <v>68</v>
      </c>
    </row>
    <row r="9492" spans="1:15" ht="43.2" x14ac:dyDescent="0.3">
      <c r="A9492" s="1" t="s">
        <v>25138</v>
      </c>
      <c r="B9492" s="1" t="str">
        <f>"David J England"</f>
        <v>David J England</v>
      </c>
      <c r="C9492" s="1" t="s">
        <v>25139</v>
      </c>
      <c r="F9492" s="1" t="s">
        <v>4536</v>
      </c>
      <c r="H9492" s="1" t="s">
        <v>25140</v>
      </c>
      <c r="I9492" s="1" t="s">
        <v>5</v>
      </c>
      <c r="J9492" s="1" t="s">
        <v>67</v>
      </c>
      <c r="K9492" s="1" t="s">
        <v>14</v>
      </c>
      <c r="M9492" s="2">
        <v>42088</v>
      </c>
      <c r="N9492" s="1" t="s">
        <v>8</v>
      </c>
      <c r="O9492" s="1" t="s">
        <v>68</v>
      </c>
    </row>
    <row r="9493" spans="1:15" ht="43.2" x14ac:dyDescent="0.3">
      <c r="A9493" s="1" t="s">
        <v>25141</v>
      </c>
      <c r="B9493" s="1" t="str">
        <f>"Jonathan Proudman"</f>
        <v>Jonathan Proudman</v>
      </c>
      <c r="C9493" s="1" t="s">
        <v>25142</v>
      </c>
      <c r="F9493" s="1" t="s">
        <v>146</v>
      </c>
      <c r="H9493" s="1" t="s">
        <v>21184</v>
      </c>
      <c r="I9493" s="1" t="s">
        <v>5</v>
      </c>
      <c r="J9493" s="1" t="s">
        <v>67</v>
      </c>
      <c r="K9493" s="1" t="s">
        <v>14</v>
      </c>
      <c r="M9493" s="2">
        <v>42088</v>
      </c>
      <c r="N9493" s="1" t="s">
        <v>8</v>
      </c>
      <c r="O9493" s="1" t="s">
        <v>68</v>
      </c>
    </row>
    <row r="9494" spans="1:15" ht="28.8" x14ac:dyDescent="0.3">
      <c r="A9494" s="1" t="s">
        <v>30199</v>
      </c>
      <c r="B9494" s="1" t="str">
        <f>"Vale Removals &amp; Packing Supplies"</f>
        <v>Vale Removals &amp; Packing Supplies</v>
      </c>
      <c r="C9494" s="1" t="s">
        <v>30200</v>
      </c>
      <c r="D9494" s="1" t="s">
        <v>30201</v>
      </c>
      <c r="E9494" s="1" t="s">
        <v>1025</v>
      </c>
      <c r="F9494" s="1" t="s">
        <v>123</v>
      </c>
      <c r="G9494" s="1" t="s">
        <v>211</v>
      </c>
      <c r="H9494" s="1" t="s">
        <v>484</v>
      </c>
      <c r="I9494" s="1" t="s">
        <v>125</v>
      </c>
      <c r="J9494" s="1" t="s">
        <v>6</v>
      </c>
      <c r="K9494" s="1" t="s">
        <v>34</v>
      </c>
      <c r="M9494" s="2">
        <v>42088</v>
      </c>
      <c r="N9494" s="1" t="s">
        <v>8</v>
      </c>
      <c r="O9494" s="2">
        <v>44280</v>
      </c>
    </row>
    <row r="9495" spans="1:15" ht="28.8" x14ac:dyDescent="0.3">
      <c r="A9495" s="1" t="s">
        <v>2123</v>
      </c>
      <c r="B9495" s="1" t="str">
        <f>"W.R.W. CONSTRUCTION LTD."</f>
        <v>W.R.W. CONSTRUCTION LTD.</v>
      </c>
      <c r="C9495" s="1" t="s">
        <v>2124</v>
      </c>
      <c r="D9495" s="1" t="s">
        <v>2125</v>
      </c>
      <c r="E9495" s="1" t="s">
        <v>2126</v>
      </c>
      <c r="F9495" s="1" t="s">
        <v>42</v>
      </c>
      <c r="G9495" s="1" t="s">
        <v>51</v>
      </c>
      <c r="H9495" s="1" t="s">
        <v>2127</v>
      </c>
      <c r="I9495" s="1" t="s">
        <v>19</v>
      </c>
      <c r="J9495" s="1" t="s">
        <v>6</v>
      </c>
      <c r="K9495" s="1" t="s">
        <v>24</v>
      </c>
      <c r="L9495" s="1">
        <v>2956215</v>
      </c>
      <c r="M9495" s="2">
        <v>42087</v>
      </c>
      <c r="N9495" s="1" t="s">
        <v>8</v>
      </c>
      <c r="O9495" s="2">
        <v>44279</v>
      </c>
    </row>
    <row r="9496" spans="1:15" ht="28.8" x14ac:dyDescent="0.3">
      <c r="A9496" s="1" t="s">
        <v>9069</v>
      </c>
      <c r="B9496" s="1" t="str">
        <f>"M &amp; B MARKETS LTD"</f>
        <v>M &amp; B MARKETS LTD</v>
      </c>
      <c r="C9496" s="1" t="s">
        <v>9070</v>
      </c>
      <c r="F9496" s="1" t="s">
        <v>96</v>
      </c>
      <c r="H9496" s="1" t="s">
        <v>9071</v>
      </c>
      <c r="I9496" s="1" t="s">
        <v>19</v>
      </c>
      <c r="J9496" s="1" t="s">
        <v>6</v>
      </c>
      <c r="K9496" s="1" t="s">
        <v>34</v>
      </c>
      <c r="L9496" s="1">
        <v>9102261</v>
      </c>
      <c r="M9496" s="2">
        <v>42087</v>
      </c>
      <c r="N9496" s="1" t="s">
        <v>8</v>
      </c>
      <c r="O9496" s="2">
        <v>44278</v>
      </c>
    </row>
    <row r="9497" spans="1:15" ht="43.2" x14ac:dyDescent="0.3">
      <c r="A9497" s="1" t="s">
        <v>23414</v>
      </c>
      <c r="B9497" s="1" t="str">
        <f>"Wendy Jones"</f>
        <v>Wendy Jones</v>
      </c>
      <c r="C9497" s="1" t="s">
        <v>23415</v>
      </c>
      <c r="F9497" s="1" t="s">
        <v>786</v>
      </c>
      <c r="H9497" s="1" t="s">
        <v>787</v>
      </c>
      <c r="I9497" s="1" t="s">
        <v>5</v>
      </c>
      <c r="J9497" s="1" t="s">
        <v>67</v>
      </c>
      <c r="K9497" s="1" t="s">
        <v>14</v>
      </c>
      <c r="M9497" s="2">
        <v>42087</v>
      </c>
      <c r="N9497" s="1" t="s">
        <v>8</v>
      </c>
      <c r="O9497" s="1" t="s">
        <v>68</v>
      </c>
    </row>
    <row r="9498" spans="1:15" ht="43.2" x14ac:dyDescent="0.3">
      <c r="A9498" s="1" t="s">
        <v>23416</v>
      </c>
      <c r="B9498" s="1" t="str">
        <f>"NICK BEYNON N BEYNON"</f>
        <v>NICK BEYNON N BEYNON</v>
      </c>
      <c r="C9498" s="1" t="s">
        <v>21442</v>
      </c>
      <c r="F9498" s="1" t="s">
        <v>174</v>
      </c>
      <c r="H9498" s="1" t="s">
        <v>21443</v>
      </c>
      <c r="I9498" s="1" t="s">
        <v>5</v>
      </c>
      <c r="J9498" s="1" t="s">
        <v>67</v>
      </c>
      <c r="K9498" s="1" t="s">
        <v>24</v>
      </c>
      <c r="M9498" s="2">
        <v>42087</v>
      </c>
      <c r="N9498" s="1" t="s">
        <v>8</v>
      </c>
      <c r="O9498" s="1" t="s">
        <v>68</v>
      </c>
    </row>
    <row r="9499" spans="1:15" ht="28.8" x14ac:dyDescent="0.3">
      <c r="A9499" s="1" t="s">
        <v>31827</v>
      </c>
      <c r="B9499" s="1" t="str">
        <f>"Pentagon NW Ltd"</f>
        <v>Pentagon NW Ltd</v>
      </c>
      <c r="C9499" s="1" t="s">
        <v>31034</v>
      </c>
      <c r="D9499" s="1" t="s">
        <v>31828</v>
      </c>
      <c r="E9499" s="1" t="s">
        <v>31829</v>
      </c>
      <c r="F9499" s="1" t="s">
        <v>1479</v>
      </c>
      <c r="H9499" s="1" t="s">
        <v>4234</v>
      </c>
      <c r="I9499" s="1" t="s">
        <v>19</v>
      </c>
      <c r="J9499" s="1" t="s">
        <v>6</v>
      </c>
      <c r="K9499" s="1" t="s">
        <v>34</v>
      </c>
      <c r="L9499" s="1">
        <v>7808895</v>
      </c>
      <c r="M9499" s="2">
        <v>42087</v>
      </c>
      <c r="N9499" s="1" t="s">
        <v>8</v>
      </c>
      <c r="O9499" s="2">
        <v>44279</v>
      </c>
    </row>
    <row r="9500" spans="1:15" ht="43.2" x14ac:dyDescent="0.3">
      <c r="A9500" s="1" t="s">
        <v>5611</v>
      </c>
      <c r="B9500" s="1" t="str">
        <f>"NHS Wales Shared Service Partnershi"</f>
        <v>NHS Wales Shared Service Partnershi</v>
      </c>
      <c r="C9500" s="1" t="s">
        <v>5612</v>
      </c>
      <c r="D9500" s="1" t="s">
        <v>5613</v>
      </c>
      <c r="F9500" s="1" t="s">
        <v>1169</v>
      </c>
      <c r="H9500" s="1" t="s">
        <v>5614</v>
      </c>
      <c r="I9500" s="1" t="s">
        <v>188</v>
      </c>
      <c r="J9500" s="1" t="s">
        <v>67</v>
      </c>
      <c r="K9500" s="1" t="s">
        <v>14</v>
      </c>
      <c r="M9500" s="2">
        <v>42086</v>
      </c>
      <c r="N9500" s="1" t="s">
        <v>8</v>
      </c>
      <c r="O9500" s="1" t="s">
        <v>68</v>
      </c>
    </row>
    <row r="9501" spans="1:15" ht="43.2" x14ac:dyDescent="0.3">
      <c r="A9501" s="1" t="s">
        <v>5615</v>
      </c>
      <c r="B9501" s="1" t="str">
        <f>"SURVIVA Ltd"</f>
        <v>SURVIVA Ltd</v>
      </c>
      <c r="C9501" s="1" t="s">
        <v>5616</v>
      </c>
      <c r="D9501" s="1" t="s">
        <v>5617</v>
      </c>
      <c r="E9501" s="1" t="s">
        <v>2623</v>
      </c>
      <c r="F9501" s="1" t="s">
        <v>65</v>
      </c>
      <c r="H9501" s="1" t="s">
        <v>5618</v>
      </c>
      <c r="I9501" s="1" t="s">
        <v>19</v>
      </c>
      <c r="J9501" s="1" t="s">
        <v>67</v>
      </c>
      <c r="K9501" s="1" t="s">
        <v>14</v>
      </c>
      <c r="M9501" s="2">
        <v>42086</v>
      </c>
      <c r="N9501" s="1" t="s">
        <v>8</v>
      </c>
      <c r="O9501" s="1" t="s">
        <v>68</v>
      </c>
    </row>
    <row r="9502" spans="1:15" ht="43.2" x14ac:dyDescent="0.3">
      <c r="A9502" s="1" t="s">
        <v>5619</v>
      </c>
      <c r="B9502" s="1" t="str">
        <f>"Alltrades North Wales Ltd"</f>
        <v>Alltrades North Wales Ltd</v>
      </c>
      <c r="C9502" s="1" t="s">
        <v>5620</v>
      </c>
      <c r="D9502" s="1" t="s">
        <v>5621</v>
      </c>
      <c r="F9502" s="1" t="s">
        <v>83</v>
      </c>
      <c r="H9502" s="1" t="s">
        <v>5622</v>
      </c>
      <c r="I9502" s="1" t="s">
        <v>19</v>
      </c>
      <c r="J9502" s="1" t="s">
        <v>67</v>
      </c>
      <c r="K9502" s="1" t="s">
        <v>14</v>
      </c>
      <c r="M9502" s="2">
        <v>42086</v>
      </c>
      <c r="N9502" s="1" t="s">
        <v>8</v>
      </c>
      <c r="O9502" s="1" t="s">
        <v>68</v>
      </c>
    </row>
    <row r="9503" spans="1:15" ht="43.2" x14ac:dyDescent="0.3">
      <c r="A9503" s="1" t="s">
        <v>7869</v>
      </c>
      <c r="B9503" s="1" t="str">
        <f>"Cahill Industrial Cleaning"</f>
        <v>Cahill Industrial Cleaning</v>
      </c>
      <c r="C9503" s="1" t="s">
        <v>7870</v>
      </c>
      <c r="F9503" s="1" t="s">
        <v>710</v>
      </c>
      <c r="H9503" s="1" t="s">
        <v>7871</v>
      </c>
      <c r="I9503" s="1" t="s">
        <v>125</v>
      </c>
      <c r="J9503" s="1" t="s">
        <v>67</v>
      </c>
      <c r="K9503" s="1" t="s">
        <v>14</v>
      </c>
      <c r="M9503" s="2">
        <v>42086</v>
      </c>
      <c r="N9503" s="1" t="s">
        <v>8</v>
      </c>
      <c r="O9503" s="1" t="s">
        <v>68</v>
      </c>
    </row>
    <row r="9504" spans="1:15" ht="43.2" x14ac:dyDescent="0.3">
      <c r="A9504" s="1" t="s">
        <v>20272</v>
      </c>
      <c r="B9504" s="1" t="str">
        <f>"Paul Richards"</f>
        <v>Paul Richards</v>
      </c>
      <c r="C9504" s="1" t="s">
        <v>20273</v>
      </c>
      <c r="F9504" s="1" t="s">
        <v>65</v>
      </c>
      <c r="H9504" s="1" t="s">
        <v>20274</v>
      </c>
      <c r="I9504" s="1" t="s">
        <v>5</v>
      </c>
      <c r="J9504" s="1" t="s">
        <v>67</v>
      </c>
      <c r="K9504" s="1" t="s">
        <v>14</v>
      </c>
      <c r="M9504" s="2">
        <v>42086</v>
      </c>
      <c r="N9504" s="1" t="s">
        <v>8</v>
      </c>
      <c r="O9504" s="1" t="s">
        <v>68</v>
      </c>
    </row>
    <row r="9505" spans="1:15" ht="43.2" x14ac:dyDescent="0.3">
      <c r="A9505" s="1" t="s">
        <v>20275</v>
      </c>
      <c r="B9505" s="1" t="str">
        <f>"evelyn richards"</f>
        <v>evelyn richards</v>
      </c>
      <c r="C9505" s="1" t="s">
        <v>20276</v>
      </c>
      <c r="F9505" s="1" t="s">
        <v>3415</v>
      </c>
      <c r="H9505" s="1" t="s">
        <v>20277</v>
      </c>
      <c r="I9505" s="1" t="s">
        <v>5</v>
      </c>
      <c r="J9505" s="1" t="s">
        <v>67</v>
      </c>
      <c r="K9505" s="1" t="s">
        <v>14</v>
      </c>
      <c r="M9505" s="2">
        <v>42086</v>
      </c>
      <c r="N9505" s="1" t="s">
        <v>8</v>
      </c>
      <c r="O9505" s="1" t="s">
        <v>68</v>
      </c>
    </row>
    <row r="9506" spans="1:15" ht="43.2" x14ac:dyDescent="0.3">
      <c r="A9506" s="1" t="s">
        <v>20278</v>
      </c>
      <c r="B9506" s="1" t="str">
        <f>"Frederick Holloway Holloway Heating Services"</f>
        <v>Frederick Holloway Holloway Heating Services</v>
      </c>
      <c r="C9506" s="1" t="s">
        <v>20279</v>
      </c>
      <c r="F9506" s="1" t="s">
        <v>323</v>
      </c>
      <c r="H9506" s="1" t="s">
        <v>20280</v>
      </c>
      <c r="I9506" s="1" t="s">
        <v>5</v>
      </c>
      <c r="J9506" s="1" t="s">
        <v>6</v>
      </c>
      <c r="K9506" s="1" t="s">
        <v>34</v>
      </c>
      <c r="M9506" s="2">
        <v>42086</v>
      </c>
      <c r="N9506" s="1" t="s">
        <v>8</v>
      </c>
      <c r="O9506" s="2">
        <v>44278</v>
      </c>
    </row>
    <row r="9507" spans="1:15" ht="43.2" x14ac:dyDescent="0.3">
      <c r="A9507" s="1" t="s">
        <v>21854</v>
      </c>
      <c r="B9507" s="1" t="str">
        <f>"Anne Booth"</f>
        <v>Anne Booth</v>
      </c>
      <c r="C9507" s="1" t="s">
        <v>21855</v>
      </c>
      <c r="D9507" s="1" t="s">
        <v>21856</v>
      </c>
      <c r="F9507" s="1" t="s">
        <v>5683</v>
      </c>
      <c r="H9507" s="1" t="s">
        <v>21857</v>
      </c>
      <c r="I9507" s="1" t="s">
        <v>5</v>
      </c>
      <c r="J9507" s="1" t="s">
        <v>67</v>
      </c>
      <c r="K9507" s="1" t="s">
        <v>14</v>
      </c>
      <c r="M9507" s="2">
        <v>42086</v>
      </c>
      <c r="N9507" s="1" t="s">
        <v>8</v>
      </c>
      <c r="O9507" s="1" t="s">
        <v>68</v>
      </c>
    </row>
    <row r="9508" spans="1:15" ht="43.2" x14ac:dyDescent="0.3">
      <c r="A9508" s="1" t="s">
        <v>21858</v>
      </c>
      <c r="B9508" s="1" t="str">
        <f>"Stephen Smith"</f>
        <v>Stephen Smith</v>
      </c>
      <c r="C9508" s="1" t="s">
        <v>21859</v>
      </c>
      <c r="F9508" s="1" t="s">
        <v>146</v>
      </c>
      <c r="H9508" s="1" t="s">
        <v>21860</v>
      </c>
      <c r="I9508" s="1" t="s">
        <v>5</v>
      </c>
      <c r="J9508" s="1" t="s">
        <v>67</v>
      </c>
      <c r="K9508" s="1" t="s">
        <v>14</v>
      </c>
      <c r="M9508" s="2">
        <v>42086</v>
      </c>
      <c r="N9508" s="1" t="s">
        <v>8</v>
      </c>
      <c r="O9508" s="1" t="s">
        <v>68</v>
      </c>
    </row>
    <row r="9509" spans="1:15" ht="28.8" x14ac:dyDescent="0.3">
      <c r="A9509" s="1" t="s">
        <v>30196</v>
      </c>
      <c r="B9509" s="1" t="str">
        <f>"Charles Coray Coray Developments"</f>
        <v>Charles Coray Coray Developments</v>
      </c>
      <c r="C9509" s="1" t="s">
        <v>30197</v>
      </c>
      <c r="D9509" s="1" t="s">
        <v>1042</v>
      </c>
      <c r="F9509" s="1" t="s">
        <v>123</v>
      </c>
      <c r="G9509" s="1" t="s">
        <v>27</v>
      </c>
      <c r="H9509" s="1" t="s">
        <v>30198</v>
      </c>
      <c r="I9509" s="1" t="s">
        <v>5</v>
      </c>
      <c r="J9509" s="1" t="s">
        <v>6</v>
      </c>
      <c r="K9509" s="1" t="s">
        <v>24</v>
      </c>
      <c r="M9509" s="2">
        <v>42086</v>
      </c>
      <c r="N9509" s="1" t="s">
        <v>8</v>
      </c>
      <c r="O9509" s="2">
        <v>44278</v>
      </c>
    </row>
    <row r="9510" spans="1:15" ht="28.8" x14ac:dyDescent="0.3">
      <c r="A9510" s="1" t="s">
        <v>30341</v>
      </c>
      <c r="B9510" s="1" t="str">
        <f>"DIGGERS PLANT HIRE AND LOGISTICS LT"</f>
        <v>DIGGERS PLANT HIRE AND LOGISTICS LT</v>
      </c>
      <c r="C9510" s="1" t="s">
        <v>30342</v>
      </c>
      <c r="F9510" s="1" t="s">
        <v>641</v>
      </c>
      <c r="H9510" s="1" t="s">
        <v>30343</v>
      </c>
      <c r="I9510" s="1" t="s">
        <v>19</v>
      </c>
      <c r="J9510" s="1" t="s">
        <v>6</v>
      </c>
      <c r="K9510" s="1" t="s">
        <v>34</v>
      </c>
      <c r="L9510" s="1">
        <v>9430615</v>
      </c>
      <c r="M9510" s="2">
        <v>42086</v>
      </c>
      <c r="N9510" s="1" t="s">
        <v>8</v>
      </c>
      <c r="O9510" s="2">
        <v>44278</v>
      </c>
    </row>
    <row r="9511" spans="1:15" x14ac:dyDescent="0.3">
      <c r="A9511" s="1" t="s">
        <v>30870</v>
      </c>
      <c r="B9511" s="1" t="str">
        <f>"L &amp; D Plant Hire Ltd."</f>
        <v>L &amp; D Plant Hire Ltd.</v>
      </c>
      <c r="C9511" s="1" t="s">
        <v>30871</v>
      </c>
      <c r="D9511" s="1" t="s">
        <v>95</v>
      </c>
      <c r="F9511" s="1" t="s">
        <v>198</v>
      </c>
      <c r="H9511" s="1" t="s">
        <v>30872</v>
      </c>
      <c r="I9511" s="1" t="s">
        <v>19</v>
      </c>
      <c r="J9511" s="1" t="s">
        <v>6</v>
      </c>
      <c r="K9511" s="1" t="s">
        <v>24</v>
      </c>
      <c r="L9511" s="1">
        <v>4977897</v>
      </c>
      <c r="M9511" s="2">
        <v>42086</v>
      </c>
      <c r="N9511" s="1" t="s">
        <v>8</v>
      </c>
      <c r="O9511" s="2">
        <v>44278</v>
      </c>
    </row>
    <row r="9512" spans="1:15" x14ac:dyDescent="0.3">
      <c r="A9512" s="1" t="s">
        <v>32398</v>
      </c>
      <c r="B9512" s="1" t="str">
        <f>"Simon Davies"</f>
        <v>Simon Davies</v>
      </c>
      <c r="C9512" s="1" t="s">
        <v>32399</v>
      </c>
      <c r="D9512" s="1" t="s">
        <v>32400</v>
      </c>
      <c r="F9512" s="1" t="s">
        <v>174</v>
      </c>
      <c r="H9512" s="1" t="s">
        <v>32401</v>
      </c>
      <c r="I9512" s="1" t="s">
        <v>5</v>
      </c>
      <c r="J9512" s="1" t="s">
        <v>6</v>
      </c>
      <c r="K9512" s="1" t="s">
        <v>7</v>
      </c>
      <c r="M9512" s="2">
        <v>42086</v>
      </c>
      <c r="N9512" s="1" t="s">
        <v>8</v>
      </c>
      <c r="O9512" s="2">
        <v>44278</v>
      </c>
    </row>
    <row r="9513" spans="1:15" ht="43.2" x14ac:dyDescent="0.3">
      <c r="A9513" s="1" t="s">
        <v>32402</v>
      </c>
      <c r="B9513" s="1" t="str">
        <f>"NEWPORT AND HEREFORD DRAINAGE LIMITED"</f>
        <v>NEWPORT AND HEREFORD DRAINAGE LIMITED</v>
      </c>
      <c r="C9513" s="1" t="s">
        <v>32403</v>
      </c>
      <c r="D9513" s="1" t="s">
        <v>1867</v>
      </c>
      <c r="F9513" s="1" t="s">
        <v>102</v>
      </c>
      <c r="H9513" s="1" t="s">
        <v>3501</v>
      </c>
      <c r="I9513" s="1" t="s">
        <v>19</v>
      </c>
      <c r="J9513" s="1" t="s">
        <v>6</v>
      </c>
      <c r="K9513" s="1" t="s">
        <v>24</v>
      </c>
      <c r="L9513" s="1">
        <v>7909733</v>
      </c>
      <c r="M9513" s="2">
        <v>42086</v>
      </c>
      <c r="N9513" s="1" t="s">
        <v>8</v>
      </c>
      <c r="O9513" s="2">
        <v>44278</v>
      </c>
    </row>
    <row r="9514" spans="1:15" ht="28.8" x14ac:dyDescent="0.3">
      <c r="A9514" s="1" t="s">
        <v>32464</v>
      </c>
      <c r="B9514" s="1" t="str">
        <f>"Krislyn Commercials"</f>
        <v>Krislyn Commercials</v>
      </c>
      <c r="C9514" s="1" t="s">
        <v>4481</v>
      </c>
      <c r="F9514" s="1" t="s">
        <v>65</v>
      </c>
      <c r="H9514" s="1" t="s">
        <v>4482</v>
      </c>
      <c r="I9514" s="1" t="s">
        <v>125</v>
      </c>
      <c r="J9514" s="1" t="s">
        <v>6</v>
      </c>
      <c r="K9514" s="1" t="s">
        <v>24</v>
      </c>
      <c r="M9514" s="2">
        <v>42086</v>
      </c>
      <c r="N9514" s="1" t="s">
        <v>8</v>
      </c>
      <c r="O9514" s="2">
        <v>44278</v>
      </c>
    </row>
    <row r="9515" spans="1:15" ht="43.2" x14ac:dyDescent="0.3">
      <c r="A9515" s="1" t="s">
        <v>4480</v>
      </c>
      <c r="B9515" s="1" t="str">
        <f>"Krislyn Commercials"</f>
        <v>Krislyn Commercials</v>
      </c>
      <c r="C9515" s="1" t="s">
        <v>4481</v>
      </c>
      <c r="F9515" s="1" t="s">
        <v>65</v>
      </c>
      <c r="H9515" s="1" t="s">
        <v>4482</v>
      </c>
      <c r="I9515" s="1" t="s">
        <v>125</v>
      </c>
      <c r="J9515" s="1" t="s">
        <v>67</v>
      </c>
      <c r="K9515" s="1" t="s">
        <v>34</v>
      </c>
      <c r="M9515" s="2">
        <v>42085</v>
      </c>
      <c r="N9515" s="1" t="s">
        <v>8</v>
      </c>
      <c r="O9515" s="1" t="s">
        <v>68</v>
      </c>
    </row>
    <row r="9516" spans="1:15" ht="43.2" x14ac:dyDescent="0.3">
      <c r="A9516" s="1" t="s">
        <v>19510</v>
      </c>
      <c r="B9516" s="1" t="str">
        <f>"Richard Horder"</f>
        <v>Richard Horder</v>
      </c>
      <c r="C9516" s="1" t="s">
        <v>19511</v>
      </c>
      <c r="F9516" s="1" t="s">
        <v>37</v>
      </c>
      <c r="H9516" s="1" t="s">
        <v>19512</v>
      </c>
      <c r="I9516" s="1" t="s">
        <v>5</v>
      </c>
      <c r="J9516" s="1" t="s">
        <v>67</v>
      </c>
      <c r="K9516" s="1" t="s">
        <v>14</v>
      </c>
      <c r="M9516" s="2">
        <v>42085</v>
      </c>
      <c r="N9516" s="1" t="s">
        <v>8</v>
      </c>
      <c r="O9516" s="1" t="s">
        <v>68</v>
      </c>
    </row>
    <row r="9517" spans="1:15" ht="43.2" x14ac:dyDescent="0.3">
      <c r="A9517" s="1" t="s">
        <v>19513</v>
      </c>
      <c r="B9517" s="1" t="str">
        <f>"howard davies"</f>
        <v>howard davies</v>
      </c>
      <c r="C9517" s="1" t="s">
        <v>19514</v>
      </c>
      <c r="F9517" s="1" t="s">
        <v>865</v>
      </c>
      <c r="H9517" s="1" t="s">
        <v>19515</v>
      </c>
      <c r="I9517" s="1" t="s">
        <v>5</v>
      </c>
      <c r="J9517" s="1" t="s">
        <v>67</v>
      </c>
      <c r="K9517" s="1" t="s">
        <v>14</v>
      </c>
      <c r="M9517" s="2">
        <v>42085</v>
      </c>
      <c r="N9517" s="1" t="s">
        <v>8</v>
      </c>
      <c r="O9517" s="1" t="s">
        <v>68</v>
      </c>
    </row>
    <row r="9518" spans="1:15" ht="28.8" x14ac:dyDescent="0.3">
      <c r="A9518" s="1" t="s">
        <v>2052</v>
      </c>
      <c r="B9518" s="1" t="str">
        <f>"Cardiff Demolition Co. Ltd."</f>
        <v>Cardiff Demolition Co. Ltd.</v>
      </c>
      <c r="C9518" s="1" t="s">
        <v>2053</v>
      </c>
      <c r="D9518" s="1" t="s">
        <v>2054</v>
      </c>
      <c r="E9518" s="1" t="s">
        <v>500</v>
      </c>
      <c r="F9518" s="1" t="s">
        <v>123</v>
      </c>
      <c r="G9518" s="1" t="s">
        <v>27</v>
      </c>
      <c r="H9518" s="1" t="s">
        <v>501</v>
      </c>
      <c r="I9518" s="1" t="s">
        <v>19</v>
      </c>
      <c r="J9518" s="1" t="s">
        <v>6</v>
      </c>
      <c r="K9518" s="1" t="s">
        <v>24</v>
      </c>
      <c r="L9518" s="1">
        <v>3931458</v>
      </c>
      <c r="M9518" s="2">
        <v>42083</v>
      </c>
      <c r="N9518" s="1" t="s">
        <v>8</v>
      </c>
      <c r="O9518" s="2">
        <v>44275</v>
      </c>
    </row>
    <row r="9519" spans="1:15" ht="28.8" x14ac:dyDescent="0.3">
      <c r="A9519" s="1" t="s">
        <v>2062</v>
      </c>
      <c r="B9519" s="1" t="str">
        <f>"KRAVEN ENTERPRISES LTD"</f>
        <v>KRAVEN ENTERPRISES LTD</v>
      </c>
      <c r="C9519" s="1" t="s">
        <v>2063</v>
      </c>
      <c r="D9519" s="1" t="s">
        <v>2064</v>
      </c>
      <c r="E9519" s="1" t="s">
        <v>2065</v>
      </c>
      <c r="F9519" s="1" t="s">
        <v>2066</v>
      </c>
      <c r="G9519" s="1" t="s">
        <v>231</v>
      </c>
      <c r="H9519" s="1" t="s">
        <v>2067</v>
      </c>
      <c r="I9519" s="1" t="s">
        <v>19</v>
      </c>
      <c r="J9519" s="1" t="s">
        <v>6</v>
      </c>
      <c r="K9519" s="1" t="s">
        <v>24</v>
      </c>
      <c r="L9519" s="1">
        <v>7909650</v>
      </c>
      <c r="M9519" s="2">
        <v>42083</v>
      </c>
      <c r="N9519" s="1" t="s">
        <v>8</v>
      </c>
      <c r="O9519" s="2">
        <v>44275</v>
      </c>
    </row>
    <row r="9520" spans="1:15" ht="28.8" x14ac:dyDescent="0.3">
      <c r="A9520" s="1" t="s">
        <v>2068</v>
      </c>
      <c r="B9520" s="1" t="str">
        <f>"HOLDSWORTH ROOFING LIMITED"</f>
        <v>HOLDSWORTH ROOFING LIMITED</v>
      </c>
      <c r="C9520" s="1" t="s">
        <v>2069</v>
      </c>
      <c r="D9520" s="1" t="s">
        <v>2070</v>
      </c>
      <c r="F9520" s="1" t="s">
        <v>897</v>
      </c>
      <c r="G9520" s="1" t="s">
        <v>73</v>
      </c>
      <c r="H9520" s="1" t="s">
        <v>2071</v>
      </c>
      <c r="I9520" s="1" t="s">
        <v>19</v>
      </c>
      <c r="J9520" s="1" t="s">
        <v>6</v>
      </c>
      <c r="K9520" s="1" t="s">
        <v>24</v>
      </c>
      <c r="L9520" s="1">
        <v>5269363</v>
      </c>
      <c r="M9520" s="2">
        <v>42083</v>
      </c>
      <c r="N9520" s="1" t="s">
        <v>8</v>
      </c>
      <c r="O9520" s="2">
        <v>44275</v>
      </c>
    </row>
    <row r="9521" spans="1:15" ht="28.8" x14ac:dyDescent="0.3">
      <c r="A9521" s="1" t="s">
        <v>2072</v>
      </c>
      <c r="B9521" s="1" t="str">
        <f>"PAUL POWELL ( GWENT ) LIMITED"</f>
        <v>PAUL POWELL ( GWENT ) LIMITED</v>
      </c>
      <c r="C9521" s="1" t="s">
        <v>2073</v>
      </c>
      <c r="D9521" s="1" t="s">
        <v>2074</v>
      </c>
      <c r="F9521" s="1" t="s">
        <v>1058</v>
      </c>
      <c r="G9521" s="1" t="s">
        <v>381</v>
      </c>
      <c r="H9521" s="1" t="s">
        <v>2075</v>
      </c>
      <c r="I9521" s="1" t="s">
        <v>19</v>
      </c>
      <c r="J9521" s="1" t="s">
        <v>6</v>
      </c>
      <c r="K9521" s="1" t="s">
        <v>24</v>
      </c>
      <c r="L9521" s="1">
        <v>6853438</v>
      </c>
      <c r="M9521" s="2">
        <v>42083</v>
      </c>
      <c r="N9521" s="1" t="s">
        <v>8</v>
      </c>
      <c r="O9521" s="2">
        <v>44275</v>
      </c>
    </row>
    <row r="9522" spans="1:15" ht="28.8" x14ac:dyDescent="0.3">
      <c r="A9522" s="1" t="s">
        <v>2076</v>
      </c>
      <c r="B9522" s="1" t="str">
        <f>"Checkfire Ltd"</f>
        <v>Checkfire Ltd</v>
      </c>
      <c r="C9522" s="1" t="s">
        <v>2077</v>
      </c>
      <c r="D9522" s="1" t="s">
        <v>2078</v>
      </c>
      <c r="E9522" s="1" t="s">
        <v>2079</v>
      </c>
      <c r="F9522" s="1" t="s">
        <v>1093</v>
      </c>
      <c r="G9522" s="1" t="s">
        <v>103</v>
      </c>
      <c r="H9522" s="1" t="s">
        <v>2080</v>
      </c>
      <c r="I9522" s="1" t="s">
        <v>19</v>
      </c>
      <c r="J9522" s="1" t="s">
        <v>6</v>
      </c>
      <c r="K9522" s="1" t="s">
        <v>24</v>
      </c>
      <c r="L9522" s="1">
        <v>7990436</v>
      </c>
      <c r="M9522" s="2">
        <v>42083</v>
      </c>
      <c r="N9522" s="1" t="s">
        <v>8</v>
      </c>
      <c r="O9522" s="2">
        <v>44275</v>
      </c>
    </row>
    <row r="9523" spans="1:15" ht="28.8" x14ac:dyDescent="0.3">
      <c r="A9523" s="1" t="s">
        <v>2119</v>
      </c>
      <c r="B9523" s="1" t="str">
        <f>"Glyndwr Phillips Glyndwr Phillips"</f>
        <v>Glyndwr Phillips Glyndwr Phillips</v>
      </c>
      <c r="C9523" s="1" t="s">
        <v>2120</v>
      </c>
      <c r="D9523" s="1" t="s">
        <v>2121</v>
      </c>
      <c r="F9523" s="1" t="s">
        <v>1351</v>
      </c>
      <c r="G9523" s="1" t="s">
        <v>109</v>
      </c>
      <c r="H9523" s="1" t="s">
        <v>2122</v>
      </c>
      <c r="I9523" s="1" t="s">
        <v>5</v>
      </c>
      <c r="J9523" s="1" t="s">
        <v>6</v>
      </c>
      <c r="K9523" s="1" t="s">
        <v>24</v>
      </c>
      <c r="M9523" s="2">
        <v>42083</v>
      </c>
      <c r="N9523" s="1" t="s">
        <v>8</v>
      </c>
      <c r="O9523" s="2">
        <v>44275</v>
      </c>
    </row>
    <row r="9524" spans="1:15" ht="43.2" x14ac:dyDescent="0.3">
      <c r="A9524" s="1" t="s">
        <v>3367</v>
      </c>
      <c r="B9524" s="1" t="str">
        <f>"Ickle Bubba Limited"</f>
        <v>Ickle Bubba Limited</v>
      </c>
      <c r="C9524" s="1" t="s">
        <v>3368</v>
      </c>
      <c r="D9524" s="1" t="s">
        <v>1954</v>
      </c>
      <c r="F9524" s="1" t="s">
        <v>42</v>
      </c>
      <c r="H9524" s="1" t="s">
        <v>1955</v>
      </c>
      <c r="I9524" s="1" t="s">
        <v>19</v>
      </c>
      <c r="J9524" s="1" t="s">
        <v>67</v>
      </c>
      <c r="K9524" s="1" t="s">
        <v>14</v>
      </c>
      <c r="M9524" s="2">
        <v>42083</v>
      </c>
      <c r="N9524" s="1" t="s">
        <v>8</v>
      </c>
      <c r="O9524" s="1" t="s">
        <v>68</v>
      </c>
    </row>
    <row r="9525" spans="1:15" ht="43.2" x14ac:dyDescent="0.3">
      <c r="A9525" s="1" t="s">
        <v>3369</v>
      </c>
      <c r="B9525" s="1" t="str">
        <f>"Mal Heating and Plumbing"</f>
        <v>Mal Heating and Plumbing</v>
      </c>
      <c r="C9525" s="1" t="s">
        <v>3370</v>
      </c>
      <c r="F9525" s="1" t="s">
        <v>3371</v>
      </c>
      <c r="H9525" s="1" t="s">
        <v>3372</v>
      </c>
      <c r="I9525" s="1" t="s">
        <v>125</v>
      </c>
      <c r="J9525" s="1" t="s">
        <v>67</v>
      </c>
      <c r="K9525" s="1" t="s">
        <v>24</v>
      </c>
      <c r="M9525" s="2">
        <v>42083</v>
      </c>
      <c r="N9525" s="1" t="s">
        <v>8</v>
      </c>
      <c r="O9525" s="1" t="s">
        <v>68</v>
      </c>
    </row>
    <row r="9526" spans="1:15" ht="28.8" x14ac:dyDescent="0.3">
      <c r="A9526" s="1" t="s">
        <v>3373</v>
      </c>
      <c r="B9526" s="1" t="str">
        <f>"BRECONGATE PROJECTS LTD"</f>
        <v>BRECONGATE PROJECTS LTD</v>
      </c>
      <c r="C9526" s="1" t="s">
        <v>3374</v>
      </c>
      <c r="F9526" s="1" t="s">
        <v>277</v>
      </c>
      <c r="H9526" s="1" t="s">
        <v>963</v>
      </c>
      <c r="I9526" s="1" t="s">
        <v>19</v>
      </c>
      <c r="J9526" s="1" t="s">
        <v>6</v>
      </c>
      <c r="K9526" s="1" t="s">
        <v>34</v>
      </c>
      <c r="L9526" s="1">
        <v>3086379</v>
      </c>
      <c r="M9526" s="2">
        <v>42083</v>
      </c>
      <c r="N9526" s="1" t="s">
        <v>8</v>
      </c>
      <c r="O9526" s="2">
        <v>44275</v>
      </c>
    </row>
    <row r="9527" spans="1:15" ht="28.8" x14ac:dyDescent="0.3">
      <c r="A9527" s="1" t="s">
        <v>3375</v>
      </c>
      <c r="B9527" s="1" t="str">
        <f>"PREMIER HEATING UK LTD"</f>
        <v>PREMIER HEATING UK LTD</v>
      </c>
      <c r="C9527" s="1" t="s">
        <v>3376</v>
      </c>
      <c r="F9527" s="1" t="s">
        <v>1169</v>
      </c>
      <c r="H9527" s="1" t="s">
        <v>3377</v>
      </c>
      <c r="I9527" s="1" t="s">
        <v>19</v>
      </c>
      <c r="J9527" s="1" t="s">
        <v>6</v>
      </c>
      <c r="K9527" s="1" t="s">
        <v>34</v>
      </c>
      <c r="L9527" s="1">
        <v>6539580</v>
      </c>
      <c r="M9527" s="2">
        <v>42083</v>
      </c>
      <c r="N9527" s="1" t="s">
        <v>8</v>
      </c>
      <c r="O9527" s="2">
        <v>44274</v>
      </c>
    </row>
    <row r="9528" spans="1:15" ht="43.2" x14ac:dyDescent="0.3">
      <c r="A9528" s="1" t="s">
        <v>3378</v>
      </c>
      <c r="B9528" s="1" t="str">
        <f>"CAMBRIAN DECORATORS SUPPLIES(C.D.S)"</f>
        <v>CAMBRIAN DECORATORS SUPPLIES(C.D.S)</v>
      </c>
      <c r="C9528" s="1" t="s">
        <v>3379</v>
      </c>
      <c r="F9528" s="1" t="s">
        <v>156</v>
      </c>
      <c r="H9528" s="1" t="s">
        <v>3380</v>
      </c>
      <c r="I9528" s="1" t="s">
        <v>19</v>
      </c>
      <c r="J9528" s="1" t="s">
        <v>6</v>
      </c>
      <c r="K9528" s="1" t="s">
        <v>34</v>
      </c>
      <c r="L9528" s="1">
        <v>629568</v>
      </c>
      <c r="M9528" s="2">
        <v>42083</v>
      </c>
      <c r="N9528" s="1" t="s">
        <v>8</v>
      </c>
      <c r="O9528" s="2">
        <v>44275</v>
      </c>
    </row>
    <row r="9529" spans="1:15" ht="43.2" x14ac:dyDescent="0.3">
      <c r="A9529" s="1" t="s">
        <v>29762</v>
      </c>
      <c r="B9529" s="1" t="str">
        <f>"Peter Williams"</f>
        <v>Peter Williams</v>
      </c>
      <c r="C9529" s="1" t="s">
        <v>29763</v>
      </c>
      <c r="F9529" s="1" t="s">
        <v>27</v>
      </c>
      <c r="H9529" s="1" t="s">
        <v>29764</v>
      </c>
      <c r="I9529" s="1" t="s">
        <v>5</v>
      </c>
      <c r="J9529" s="1" t="s">
        <v>67</v>
      </c>
      <c r="K9529" s="1" t="s">
        <v>14</v>
      </c>
      <c r="M9529" s="2">
        <v>42083</v>
      </c>
      <c r="N9529" s="1" t="s">
        <v>8</v>
      </c>
      <c r="O9529" s="1" t="s">
        <v>68</v>
      </c>
    </row>
    <row r="9530" spans="1:15" ht="28.8" x14ac:dyDescent="0.3">
      <c r="A9530" s="1" t="s">
        <v>30141</v>
      </c>
      <c r="B9530" s="1" t="str">
        <f>"Mel Stark"</f>
        <v>Mel Stark</v>
      </c>
      <c r="C9530" s="1" t="s">
        <v>30142</v>
      </c>
      <c r="D9530" s="1" t="s">
        <v>23957</v>
      </c>
      <c r="F9530" s="1" t="s">
        <v>380</v>
      </c>
      <c r="G9530" s="1" t="s">
        <v>381</v>
      </c>
      <c r="H9530" s="1" t="s">
        <v>25424</v>
      </c>
      <c r="I9530" s="1" t="s">
        <v>5</v>
      </c>
      <c r="J9530" s="1" t="s">
        <v>6</v>
      </c>
      <c r="K9530" s="1" t="s">
        <v>34</v>
      </c>
      <c r="M9530" s="2">
        <v>42083</v>
      </c>
      <c r="N9530" s="1" t="s">
        <v>8</v>
      </c>
      <c r="O9530" s="2">
        <v>44275</v>
      </c>
    </row>
    <row r="9531" spans="1:15" ht="28.8" x14ac:dyDescent="0.3">
      <c r="A9531" s="1" t="s">
        <v>30143</v>
      </c>
      <c r="B9531" s="1" t="str">
        <f>"D.T.H. WALTERS &amp; SONS LTD"</f>
        <v>D.T.H. WALTERS &amp; SONS LTD</v>
      </c>
      <c r="C9531" s="1" t="s">
        <v>30144</v>
      </c>
      <c r="D9531" s="1" t="s">
        <v>30145</v>
      </c>
      <c r="F9531" s="1" t="s">
        <v>42</v>
      </c>
      <c r="H9531" s="1" t="s">
        <v>4214</v>
      </c>
      <c r="I9531" s="1" t="s">
        <v>19</v>
      </c>
      <c r="J9531" s="1" t="s">
        <v>6</v>
      </c>
      <c r="K9531" s="1" t="s">
        <v>24</v>
      </c>
      <c r="L9531" s="1">
        <v>2251085</v>
      </c>
      <c r="M9531" s="2">
        <v>42083</v>
      </c>
      <c r="N9531" s="1" t="s">
        <v>8</v>
      </c>
      <c r="O9531" s="2">
        <v>44275</v>
      </c>
    </row>
    <row r="9532" spans="1:15" ht="28.8" x14ac:dyDescent="0.3">
      <c r="A9532" s="1" t="s">
        <v>30146</v>
      </c>
      <c r="B9532" s="1" t="str">
        <f>"Paul Cole Paul.F.J.Cole"</f>
        <v>Paul Cole Paul.F.J.Cole</v>
      </c>
      <c r="C9532" s="1" t="s">
        <v>30147</v>
      </c>
      <c r="D9532" s="1" t="s">
        <v>1239</v>
      </c>
      <c r="F9532" s="1" t="s">
        <v>1642</v>
      </c>
      <c r="H9532" s="1" t="s">
        <v>30148</v>
      </c>
      <c r="I9532" s="1" t="s">
        <v>5</v>
      </c>
      <c r="J9532" s="1" t="s">
        <v>6</v>
      </c>
      <c r="K9532" s="1" t="s">
        <v>34</v>
      </c>
      <c r="M9532" s="2">
        <v>42083</v>
      </c>
      <c r="N9532" s="1" t="s">
        <v>8</v>
      </c>
      <c r="O9532" s="2">
        <v>44275</v>
      </c>
    </row>
    <row r="9533" spans="1:15" ht="28.8" x14ac:dyDescent="0.3">
      <c r="A9533" s="1" t="s">
        <v>30680</v>
      </c>
      <c r="B9533" s="1" t="str">
        <f>"A.J.S. LANDSCAPES (CWMBRAN) LTD"</f>
        <v>A.J.S. LANDSCAPES (CWMBRAN) LTD</v>
      </c>
      <c r="C9533" s="1" t="s">
        <v>30681</v>
      </c>
      <c r="F9533" s="1" t="s">
        <v>380</v>
      </c>
      <c r="H9533" s="1" t="s">
        <v>30682</v>
      </c>
      <c r="I9533" s="1" t="s">
        <v>19</v>
      </c>
      <c r="J9533" s="1" t="s">
        <v>6</v>
      </c>
      <c r="K9533" s="1" t="s">
        <v>24</v>
      </c>
      <c r="L9533" s="1">
        <v>5502987</v>
      </c>
      <c r="M9533" s="2">
        <v>42083</v>
      </c>
      <c r="N9533" s="1" t="s">
        <v>8</v>
      </c>
      <c r="O9533" s="2">
        <v>44275</v>
      </c>
    </row>
    <row r="9534" spans="1:15" ht="28.8" x14ac:dyDescent="0.3">
      <c r="A9534" s="1" t="s">
        <v>32392</v>
      </c>
      <c r="B9534" s="1" t="str">
        <f>"I. Q. P Garden &amp; Tree Services"</f>
        <v>I. Q. P Garden &amp; Tree Services</v>
      </c>
      <c r="C9534" s="1" t="s">
        <v>32393</v>
      </c>
      <c r="D9534" s="1" t="s">
        <v>9949</v>
      </c>
      <c r="F9534" s="1" t="s">
        <v>665</v>
      </c>
      <c r="G9534" s="1" t="s">
        <v>51</v>
      </c>
      <c r="H9534" s="1" t="s">
        <v>32394</v>
      </c>
      <c r="I9534" s="1" t="s">
        <v>125</v>
      </c>
      <c r="J9534" s="1" t="s">
        <v>6</v>
      </c>
      <c r="K9534" s="1" t="s">
        <v>24</v>
      </c>
      <c r="M9534" s="2">
        <v>42083</v>
      </c>
      <c r="N9534" s="1" t="s">
        <v>8</v>
      </c>
      <c r="O9534" s="2">
        <v>44275</v>
      </c>
    </row>
    <row r="9535" spans="1:15" x14ac:dyDescent="0.3">
      <c r="A9535" s="1" t="s">
        <v>2012</v>
      </c>
      <c r="B9535" s="1" t="str">
        <f>"G. OWEN &amp; SONS"</f>
        <v>G. OWEN &amp; SONS</v>
      </c>
      <c r="C9535" s="1" t="s">
        <v>2013</v>
      </c>
      <c r="D9535" s="1" t="s">
        <v>2014</v>
      </c>
      <c r="F9535" s="1" t="s">
        <v>445</v>
      </c>
      <c r="H9535" s="1" t="s">
        <v>2015</v>
      </c>
      <c r="I9535" s="1" t="s">
        <v>19</v>
      </c>
      <c r="J9535" s="1" t="s">
        <v>6</v>
      </c>
      <c r="K9535" s="1" t="s">
        <v>24</v>
      </c>
      <c r="L9535" s="1">
        <v>6554287</v>
      </c>
      <c r="M9535" s="2">
        <v>42082</v>
      </c>
      <c r="N9535" s="1" t="s">
        <v>8</v>
      </c>
      <c r="O9535" s="2">
        <v>44275</v>
      </c>
    </row>
    <row r="9536" spans="1:15" ht="28.8" x14ac:dyDescent="0.3">
      <c r="A9536" s="1" t="s">
        <v>2058</v>
      </c>
      <c r="B9536" s="1" t="str">
        <f>"4 Crosses Construction Ltd."</f>
        <v>4 Crosses Construction Ltd.</v>
      </c>
      <c r="C9536" s="1" t="s">
        <v>2059</v>
      </c>
      <c r="D9536" s="1" t="s">
        <v>2060</v>
      </c>
      <c r="F9536" s="1" t="s">
        <v>1609</v>
      </c>
      <c r="H9536" s="1" t="s">
        <v>2061</v>
      </c>
      <c r="I9536" s="1" t="s">
        <v>19</v>
      </c>
      <c r="J9536" s="1" t="s">
        <v>6</v>
      </c>
      <c r="K9536" s="1" t="s">
        <v>24</v>
      </c>
      <c r="L9536" s="1">
        <v>5155516</v>
      </c>
      <c r="M9536" s="2">
        <v>42082</v>
      </c>
      <c r="N9536" s="1" t="s">
        <v>8</v>
      </c>
      <c r="O9536" s="2">
        <v>44275</v>
      </c>
    </row>
    <row r="9537" spans="1:15" ht="28.8" x14ac:dyDescent="0.3">
      <c r="A9537" s="1" t="s">
        <v>17058</v>
      </c>
      <c r="B9537" s="1" t="str">
        <f>"Unitech Services Group Limited"</f>
        <v>Unitech Services Group Limited</v>
      </c>
      <c r="C9537" s="1" t="s">
        <v>17059</v>
      </c>
      <c r="D9537" s="1" t="s">
        <v>4055</v>
      </c>
      <c r="E9537" s="1" t="s">
        <v>389</v>
      </c>
      <c r="F9537" s="1" t="s">
        <v>91</v>
      </c>
      <c r="H9537" s="1" t="s">
        <v>4056</v>
      </c>
      <c r="I9537" s="1" t="s">
        <v>19</v>
      </c>
      <c r="J9537" s="1" t="s">
        <v>6</v>
      </c>
      <c r="K9537" s="1" t="s">
        <v>34</v>
      </c>
      <c r="L9537" s="1">
        <v>5103812</v>
      </c>
      <c r="M9537" s="2">
        <v>42082</v>
      </c>
      <c r="N9537" s="1" t="s">
        <v>8</v>
      </c>
      <c r="O9537" s="2">
        <v>44248</v>
      </c>
    </row>
    <row r="9538" spans="1:15" ht="43.2" x14ac:dyDescent="0.3">
      <c r="A9538" s="1" t="s">
        <v>17060</v>
      </c>
      <c r="B9538" s="1" t="str">
        <f>"Arvon Ales Ltd"</f>
        <v>Arvon Ales Ltd</v>
      </c>
      <c r="C9538" s="1" t="s">
        <v>17061</v>
      </c>
      <c r="F9538" s="1" t="s">
        <v>146</v>
      </c>
      <c r="H9538" s="1" t="s">
        <v>17062</v>
      </c>
      <c r="I9538" s="1" t="s">
        <v>19</v>
      </c>
      <c r="J9538" s="1" t="s">
        <v>67</v>
      </c>
      <c r="K9538" s="1" t="s">
        <v>14</v>
      </c>
      <c r="M9538" s="2">
        <v>42082</v>
      </c>
      <c r="N9538" s="1" t="s">
        <v>8</v>
      </c>
      <c r="O9538" s="1" t="s">
        <v>68</v>
      </c>
    </row>
    <row r="9539" spans="1:15" ht="43.2" x14ac:dyDescent="0.3">
      <c r="A9539" s="1" t="s">
        <v>17063</v>
      </c>
      <c r="B9539" s="1" t="str">
        <f>"Brecon Electrical &amp; Security Ltd"</f>
        <v>Brecon Electrical &amp; Security Ltd</v>
      </c>
      <c r="C9539" s="1" t="s">
        <v>17064</v>
      </c>
      <c r="F9539" s="1" t="s">
        <v>3415</v>
      </c>
      <c r="H9539" s="1" t="s">
        <v>3199</v>
      </c>
      <c r="I9539" s="1" t="s">
        <v>19</v>
      </c>
      <c r="J9539" s="1" t="s">
        <v>67</v>
      </c>
      <c r="K9539" s="1" t="s">
        <v>24</v>
      </c>
      <c r="L9539" s="1">
        <v>3103945</v>
      </c>
      <c r="M9539" s="2">
        <v>42082</v>
      </c>
      <c r="N9539" s="1" t="s">
        <v>8</v>
      </c>
      <c r="O9539" s="1" t="s">
        <v>68</v>
      </c>
    </row>
    <row r="9540" spans="1:15" ht="43.2" x14ac:dyDescent="0.3">
      <c r="A9540" s="1" t="s">
        <v>17065</v>
      </c>
      <c r="B9540" s="1" t="str">
        <f>"Quality Floorcare Ltd"</f>
        <v>Quality Floorcare Ltd</v>
      </c>
      <c r="C9540" s="1" t="s">
        <v>17066</v>
      </c>
      <c r="F9540" s="1" t="s">
        <v>91</v>
      </c>
      <c r="H9540" s="1" t="s">
        <v>2047</v>
      </c>
      <c r="I9540" s="1" t="s">
        <v>19</v>
      </c>
      <c r="J9540" s="1" t="s">
        <v>67</v>
      </c>
      <c r="K9540" s="1" t="s">
        <v>14</v>
      </c>
      <c r="M9540" s="2">
        <v>42082</v>
      </c>
      <c r="N9540" s="1" t="s">
        <v>8</v>
      </c>
      <c r="O9540" s="1" t="s">
        <v>68</v>
      </c>
    </row>
    <row r="9541" spans="1:15" ht="43.2" x14ac:dyDescent="0.3">
      <c r="A9541" s="1" t="s">
        <v>18091</v>
      </c>
      <c r="B9541" s="1" t="str">
        <f>"G &amp; J Engineering Ltd"</f>
        <v>G &amp; J Engineering Ltd</v>
      </c>
      <c r="C9541" s="1" t="s">
        <v>18092</v>
      </c>
      <c r="D9541" s="1" t="s">
        <v>18093</v>
      </c>
      <c r="F9541" s="1" t="s">
        <v>27</v>
      </c>
      <c r="H9541" s="1" t="s">
        <v>18094</v>
      </c>
      <c r="I9541" s="1" t="s">
        <v>19</v>
      </c>
      <c r="J9541" s="1" t="s">
        <v>67</v>
      </c>
      <c r="K9541" s="1" t="s">
        <v>14</v>
      </c>
      <c r="M9541" s="2">
        <v>42082</v>
      </c>
      <c r="N9541" s="1" t="s">
        <v>8</v>
      </c>
      <c r="O9541" s="1" t="s">
        <v>68</v>
      </c>
    </row>
    <row r="9542" spans="1:15" ht="43.2" x14ac:dyDescent="0.3">
      <c r="A9542" s="1" t="s">
        <v>28999</v>
      </c>
      <c r="B9542" s="1" t="str">
        <f>"Rebecca Brown"</f>
        <v>Rebecca Brown</v>
      </c>
      <c r="C9542" s="1" t="s">
        <v>29000</v>
      </c>
      <c r="F9542" s="1" t="s">
        <v>65</v>
      </c>
      <c r="H9542" s="1" t="s">
        <v>29001</v>
      </c>
      <c r="I9542" s="1" t="s">
        <v>5</v>
      </c>
      <c r="J9542" s="1" t="s">
        <v>67</v>
      </c>
      <c r="K9542" s="1" t="s">
        <v>14</v>
      </c>
      <c r="M9542" s="2">
        <v>42082</v>
      </c>
      <c r="N9542" s="1" t="s">
        <v>8</v>
      </c>
      <c r="O9542" s="1" t="s">
        <v>68</v>
      </c>
    </row>
    <row r="9543" spans="1:15" ht="43.2" x14ac:dyDescent="0.3">
      <c r="A9543" s="1" t="s">
        <v>29761</v>
      </c>
      <c r="B9543" s="1" t="str">
        <f>"Evelyn Richards"</f>
        <v>Evelyn Richards</v>
      </c>
      <c r="C9543" s="1" t="s">
        <v>20276</v>
      </c>
      <c r="F9543" s="1" t="s">
        <v>3415</v>
      </c>
      <c r="H9543" s="1" t="s">
        <v>20277</v>
      </c>
      <c r="I9543" s="1" t="s">
        <v>5</v>
      </c>
      <c r="J9543" s="1" t="s">
        <v>67</v>
      </c>
      <c r="K9543" s="1" t="s">
        <v>14</v>
      </c>
      <c r="M9543" s="2">
        <v>42082</v>
      </c>
      <c r="N9543" s="1" t="s">
        <v>8</v>
      </c>
      <c r="O9543" s="1" t="s">
        <v>68</v>
      </c>
    </row>
    <row r="9544" spans="1:15" ht="43.2" x14ac:dyDescent="0.3">
      <c r="A9544" s="1" t="s">
        <v>32395</v>
      </c>
      <c r="B9544" s="1" t="str">
        <f>"Alwyn Frazer Alwyn Frazer Plastering Contractor "</f>
        <v xml:space="preserve">Alwyn Frazer Alwyn Frazer Plastering Contractor </v>
      </c>
      <c r="C9544" s="1" t="s">
        <v>32396</v>
      </c>
      <c r="F9544" s="1" t="s">
        <v>678</v>
      </c>
      <c r="H9544" s="1" t="s">
        <v>32397</v>
      </c>
      <c r="I9544" s="1" t="s">
        <v>5</v>
      </c>
      <c r="J9544" s="1" t="s">
        <v>6</v>
      </c>
      <c r="K9544" s="1" t="s">
        <v>24</v>
      </c>
      <c r="M9544" s="2">
        <v>42082</v>
      </c>
      <c r="N9544" s="1" t="s">
        <v>8</v>
      </c>
      <c r="O9544" s="2">
        <v>44275</v>
      </c>
    </row>
    <row r="9545" spans="1:15" ht="43.2" x14ac:dyDescent="0.3">
      <c r="A9545" s="1" t="s">
        <v>15108</v>
      </c>
      <c r="B9545" s="1" t="str">
        <f>"Roberts and Son"</f>
        <v>Roberts and Son</v>
      </c>
      <c r="C9545" s="1" t="s">
        <v>15109</v>
      </c>
      <c r="F9545" s="1" t="s">
        <v>119</v>
      </c>
      <c r="H9545" s="1" t="s">
        <v>15110</v>
      </c>
      <c r="I9545" s="1" t="s">
        <v>125</v>
      </c>
      <c r="J9545" s="1" t="s">
        <v>67</v>
      </c>
      <c r="K9545" s="1" t="s">
        <v>14</v>
      </c>
      <c r="M9545" s="2">
        <v>42081</v>
      </c>
      <c r="N9545" s="1" t="s">
        <v>8</v>
      </c>
      <c r="O9545" s="1" t="s">
        <v>68</v>
      </c>
    </row>
    <row r="9546" spans="1:15" ht="43.2" x14ac:dyDescent="0.3">
      <c r="A9546" s="1" t="s">
        <v>16089</v>
      </c>
      <c r="B9546" s="1" t="str">
        <f>"CRAFT"</f>
        <v>CRAFT</v>
      </c>
      <c r="C9546" s="1" t="s">
        <v>16090</v>
      </c>
      <c r="F9546" s="1" t="s">
        <v>37</v>
      </c>
      <c r="H9546" s="1" t="s">
        <v>16091</v>
      </c>
      <c r="I9546" s="1" t="s">
        <v>1872</v>
      </c>
      <c r="J9546" s="1" t="s">
        <v>67</v>
      </c>
      <c r="K9546" s="1" t="s">
        <v>14</v>
      </c>
      <c r="M9546" s="2">
        <v>42081</v>
      </c>
      <c r="N9546" s="1" t="s">
        <v>8</v>
      </c>
      <c r="O9546" s="1" t="s">
        <v>68</v>
      </c>
    </row>
    <row r="9547" spans="1:15" ht="43.2" x14ac:dyDescent="0.3">
      <c r="A9547" s="1" t="s">
        <v>28234</v>
      </c>
      <c r="B9547" s="1" t="str">
        <f>"Phillip Benfield"</f>
        <v>Phillip Benfield</v>
      </c>
      <c r="C9547" s="1" t="s">
        <v>28235</v>
      </c>
      <c r="D9547" s="1" t="s">
        <v>6135</v>
      </c>
      <c r="F9547" s="1" t="s">
        <v>198</v>
      </c>
      <c r="H9547" s="1" t="s">
        <v>28236</v>
      </c>
      <c r="I9547" s="1" t="s">
        <v>5</v>
      </c>
      <c r="J9547" s="1" t="s">
        <v>67</v>
      </c>
      <c r="K9547" s="1" t="s">
        <v>14</v>
      </c>
      <c r="M9547" s="2">
        <v>42081</v>
      </c>
      <c r="N9547" s="1" t="s">
        <v>8</v>
      </c>
      <c r="O9547" s="1" t="s">
        <v>68</v>
      </c>
    </row>
    <row r="9548" spans="1:15" ht="43.2" x14ac:dyDescent="0.3">
      <c r="A9548" s="1" t="s">
        <v>28237</v>
      </c>
      <c r="B9548" s="1" t="str">
        <f>"John Bradford"</f>
        <v>John Bradford</v>
      </c>
      <c r="C9548" s="1" t="s">
        <v>28238</v>
      </c>
      <c r="F9548" s="1" t="s">
        <v>5683</v>
      </c>
      <c r="H9548" s="1" t="s">
        <v>23443</v>
      </c>
      <c r="I9548" s="1" t="s">
        <v>5</v>
      </c>
      <c r="J9548" s="1" t="s">
        <v>67</v>
      </c>
      <c r="K9548" s="1" t="s">
        <v>14</v>
      </c>
      <c r="M9548" s="2">
        <v>42081</v>
      </c>
      <c r="N9548" s="1" t="s">
        <v>8</v>
      </c>
      <c r="O9548" s="1" t="s">
        <v>68</v>
      </c>
    </row>
    <row r="9549" spans="1:15" ht="43.2" x14ac:dyDescent="0.3">
      <c r="A9549" s="1" t="s">
        <v>28239</v>
      </c>
      <c r="B9549" s="1" t="str">
        <f>"Andrew Ellis"</f>
        <v>Andrew Ellis</v>
      </c>
      <c r="C9549" s="1" t="s">
        <v>28240</v>
      </c>
      <c r="F9549" s="1" t="s">
        <v>1230</v>
      </c>
      <c r="H9549" s="1" t="s">
        <v>6590</v>
      </c>
      <c r="I9549" s="1" t="s">
        <v>5</v>
      </c>
      <c r="J9549" s="1" t="s">
        <v>67</v>
      </c>
      <c r="K9549" s="1" t="s">
        <v>14</v>
      </c>
      <c r="M9549" s="2">
        <v>42081</v>
      </c>
      <c r="N9549" s="1" t="s">
        <v>8</v>
      </c>
      <c r="O9549" s="1" t="s">
        <v>68</v>
      </c>
    </row>
    <row r="9550" spans="1:15" ht="43.2" x14ac:dyDescent="0.3">
      <c r="A9550" s="1" t="s">
        <v>28241</v>
      </c>
      <c r="B9550" s="1" t="str">
        <f>"Matthew Edwards"</f>
        <v>Matthew Edwards</v>
      </c>
      <c r="C9550" s="1" t="s">
        <v>28242</v>
      </c>
      <c r="F9550" s="1" t="s">
        <v>27</v>
      </c>
      <c r="H9550" s="1" t="s">
        <v>28243</v>
      </c>
      <c r="I9550" s="1" t="s">
        <v>5</v>
      </c>
      <c r="J9550" s="1" t="s">
        <v>67</v>
      </c>
      <c r="K9550" s="1" t="s">
        <v>14</v>
      </c>
      <c r="M9550" s="2">
        <v>42081</v>
      </c>
      <c r="N9550" s="1" t="s">
        <v>8</v>
      </c>
      <c r="O9550" s="1" t="s">
        <v>68</v>
      </c>
    </row>
    <row r="9551" spans="1:15" ht="43.2" x14ac:dyDescent="0.3">
      <c r="A9551" s="1" t="s">
        <v>28244</v>
      </c>
      <c r="B9551" s="1" t="str">
        <f>"Arfon  Williams"</f>
        <v>Arfon  Williams</v>
      </c>
      <c r="C9551" s="1" t="s">
        <v>28245</v>
      </c>
      <c r="F9551" s="1" t="s">
        <v>28246</v>
      </c>
      <c r="H9551" s="1" t="s">
        <v>28247</v>
      </c>
      <c r="I9551" s="1" t="s">
        <v>5</v>
      </c>
      <c r="J9551" s="1" t="s">
        <v>67</v>
      </c>
      <c r="K9551" s="1" t="s">
        <v>14</v>
      </c>
      <c r="M9551" s="2">
        <v>42081</v>
      </c>
      <c r="N9551" s="1" t="s">
        <v>8</v>
      </c>
      <c r="O9551" s="1" t="s">
        <v>68</v>
      </c>
    </row>
    <row r="9552" spans="1:15" ht="28.8" x14ac:dyDescent="0.3">
      <c r="A9552" s="1" t="s">
        <v>32389</v>
      </c>
      <c r="B9552" s="1" t="str">
        <f>"Tom Evans Tom Evans Building Contractors"</f>
        <v>Tom Evans Tom Evans Building Contractors</v>
      </c>
      <c r="C9552" s="1" t="s">
        <v>32390</v>
      </c>
      <c r="F9552" s="1" t="s">
        <v>3655</v>
      </c>
      <c r="H9552" s="1" t="s">
        <v>32391</v>
      </c>
      <c r="I9552" s="1" t="s">
        <v>5</v>
      </c>
      <c r="J9552" s="1" t="s">
        <v>6</v>
      </c>
      <c r="K9552" s="1" t="s">
        <v>24</v>
      </c>
      <c r="M9552" s="2">
        <v>42081</v>
      </c>
      <c r="N9552" s="1" t="s">
        <v>8</v>
      </c>
      <c r="O9552" s="2">
        <v>44273</v>
      </c>
    </row>
    <row r="9553" spans="1:15" ht="28.8" x14ac:dyDescent="0.3">
      <c r="A9553" s="1" t="s">
        <v>3116</v>
      </c>
      <c r="B9553" s="1" t="str">
        <f>"Hollingsworth Bros  (Uk) Ltd."</f>
        <v>Hollingsworth Bros  (Uk) Ltd.</v>
      </c>
      <c r="C9553" s="1" t="s">
        <v>3117</v>
      </c>
      <c r="D9553" s="1" t="s">
        <v>746</v>
      </c>
      <c r="F9553" s="1" t="s">
        <v>324</v>
      </c>
      <c r="H9553" s="1" t="s">
        <v>3118</v>
      </c>
      <c r="I9553" s="1" t="s">
        <v>19</v>
      </c>
      <c r="J9553" s="1" t="s">
        <v>6</v>
      </c>
      <c r="K9553" s="1" t="s">
        <v>24</v>
      </c>
      <c r="L9553" s="1">
        <v>4170372</v>
      </c>
      <c r="M9553" s="2">
        <v>42080</v>
      </c>
      <c r="N9553" s="1" t="s">
        <v>8</v>
      </c>
      <c r="O9553" s="2">
        <v>44272</v>
      </c>
    </row>
    <row r="9554" spans="1:15" ht="43.2" x14ac:dyDescent="0.3">
      <c r="A9554" s="1" t="s">
        <v>15104</v>
      </c>
      <c r="B9554" s="1" t="str">
        <f>"WREXHAM COMMERCIAL SERVICES LIMITED"</f>
        <v>WREXHAM COMMERCIAL SERVICES LIMITED</v>
      </c>
      <c r="C9554" s="1" t="s">
        <v>15105</v>
      </c>
      <c r="F9554" s="1" t="s">
        <v>15106</v>
      </c>
      <c r="H9554" s="1" t="s">
        <v>15107</v>
      </c>
      <c r="I9554" s="1" t="s">
        <v>19</v>
      </c>
      <c r="J9554" s="1" t="s">
        <v>6</v>
      </c>
      <c r="K9554" s="1" t="s">
        <v>24</v>
      </c>
      <c r="L9554" s="1">
        <v>9243583</v>
      </c>
      <c r="M9554" s="2">
        <v>42080</v>
      </c>
      <c r="N9554" s="1" t="s">
        <v>8</v>
      </c>
      <c r="O9554" s="2">
        <v>44271</v>
      </c>
    </row>
    <row r="9555" spans="1:15" ht="43.2" x14ac:dyDescent="0.3">
      <c r="A9555" s="1" t="s">
        <v>26592</v>
      </c>
      <c r="B9555" s="1" t="str">
        <f>"steven  davies s.d.davies gardening services"</f>
        <v>steven  davies s.d.davies gardening services</v>
      </c>
      <c r="C9555" s="1" t="s">
        <v>26593</v>
      </c>
      <c r="F9555" s="1" t="s">
        <v>65</v>
      </c>
      <c r="H9555" s="1" t="s">
        <v>26594</v>
      </c>
      <c r="I9555" s="1" t="s">
        <v>5</v>
      </c>
      <c r="J9555" s="1" t="s">
        <v>6</v>
      </c>
      <c r="K9555" s="1" t="s">
        <v>34</v>
      </c>
      <c r="M9555" s="2">
        <v>42080</v>
      </c>
      <c r="N9555" s="1" t="s">
        <v>8</v>
      </c>
      <c r="O9555" s="2">
        <v>44183</v>
      </c>
    </row>
    <row r="9556" spans="1:15" ht="43.2" x14ac:dyDescent="0.3">
      <c r="A9556" s="1" t="s">
        <v>27456</v>
      </c>
      <c r="B9556" s="1" t="str">
        <f>"Wendy Finucane"</f>
        <v>Wendy Finucane</v>
      </c>
      <c r="C9556" s="1" t="s">
        <v>27457</v>
      </c>
      <c r="F9556" s="1" t="s">
        <v>9179</v>
      </c>
      <c r="H9556" s="1" t="s">
        <v>27458</v>
      </c>
      <c r="I9556" s="1" t="s">
        <v>5</v>
      </c>
      <c r="J9556" s="1" t="s">
        <v>67</v>
      </c>
      <c r="K9556" s="1" t="s">
        <v>14</v>
      </c>
      <c r="M9556" s="2">
        <v>42080</v>
      </c>
      <c r="N9556" s="1" t="s">
        <v>8</v>
      </c>
      <c r="O9556" s="1" t="s">
        <v>68</v>
      </c>
    </row>
    <row r="9557" spans="1:15" x14ac:dyDescent="0.3">
      <c r="A9557" s="1" t="s">
        <v>2055</v>
      </c>
      <c r="B9557" s="1" t="str">
        <f>"Liam Jones L J Haulage"</f>
        <v>Liam Jones L J Haulage</v>
      </c>
      <c r="C9557" s="1" t="s">
        <v>2056</v>
      </c>
      <c r="D9557" s="1" t="s">
        <v>139</v>
      </c>
      <c r="F9557" s="1" t="s">
        <v>140</v>
      </c>
      <c r="H9557" s="1" t="s">
        <v>2057</v>
      </c>
      <c r="I9557" s="1" t="s">
        <v>5</v>
      </c>
      <c r="J9557" s="1" t="s">
        <v>6</v>
      </c>
      <c r="K9557" s="1" t="s">
        <v>24</v>
      </c>
      <c r="M9557" s="2">
        <v>42079</v>
      </c>
      <c r="N9557" s="1" t="s">
        <v>8</v>
      </c>
      <c r="O9557" s="2">
        <v>44275</v>
      </c>
    </row>
    <row r="9558" spans="1:15" ht="43.2" x14ac:dyDescent="0.3">
      <c r="A9558" s="1" t="s">
        <v>13282</v>
      </c>
      <c r="B9558" s="1" t="str">
        <f>"qps ltd"</f>
        <v>qps ltd</v>
      </c>
      <c r="C9558" s="1" t="s">
        <v>13283</v>
      </c>
      <c r="D9558" s="1" t="s">
        <v>2014</v>
      </c>
      <c r="F9558" s="1" t="s">
        <v>445</v>
      </c>
      <c r="H9558" s="1" t="s">
        <v>13284</v>
      </c>
      <c r="I9558" s="1" t="s">
        <v>19</v>
      </c>
      <c r="J9558" s="1" t="s">
        <v>67</v>
      </c>
      <c r="K9558" s="1" t="s">
        <v>14</v>
      </c>
      <c r="M9558" s="2">
        <v>42079</v>
      </c>
      <c r="N9558" s="1" t="s">
        <v>8</v>
      </c>
      <c r="O9558" s="1" t="s">
        <v>68</v>
      </c>
    </row>
    <row r="9559" spans="1:15" ht="43.2" x14ac:dyDescent="0.3">
      <c r="A9559" s="1" t="s">
        <v>13285</v>
      </c>
      <c r="B9559" s="1" t="str">
        <f>"Groundwork Wales"</f>
        <v>Groundwork Wales</v>
      </c>
      <c r="C9559" s="1" t="s">
        <v>13286</v>
      </c>
      <c r="D9559" s="1" t="s">
        <v>1676</v>
      </c>
      <c r="F9559" s="1" t="s">
        <v>1341</v>
      </c>
      <c r="H9559" s="1" t="s">
        <v>3293</v>
      </c>
      <c r="I9559" s="1" t="s">
        <v>1872</v>
      </c>
      <c r="J9559" s="1" t="s">
        <v>67</v>
      </c>
      <c r="K9559" s="1" t="s">
        <v>14</v>
      </c>
      <c r="M9559" s="2">
        <v>42079</v>
      </c>
      <c r="N9559" s="1" t="s">
        <v>8</v>
      </c>
      <c r="O9559" s="1" t="s">
        <v>68</v>
      </c>
    </row>
    <row r="9560" spans="1:15" ht="43.2" x14ac:dyDescent="0.3">
      <c r="A9560" s="1" t="s">
        <v>13287</v>
      </c>
      <c r="B9560" s="1" t="str">
        <f>"Celtic Specialist Treatments"</f>
        <v>Celtic Specialist Treatments</v>
      </c>
      <c r="C9560" s="1" t="s">
        <v>13288</v>
      </c>
      <c r="F9560" s="1" t="s">
        <v>91</v>
      </c>
      <c r="H9560" s="1" t="s">
        <v>13289</v>
      </c>
      <c r="I9560" s="1" t="s">
        <v>19</v>
      </c>
      <c r="J9560" s="1" t="s">
        <v>67</v>
      </c>
      <c r="K9560" s="1" t="s">
        <v>34</v>
      </c>
      <c r="L9560" s="1">
        <v>7031315</v>
      </c>
      <c r="M9560" s="2">
        <v>42079</v>
      </c>
      <c r="N9560" s="1" t="s">
        <v>8</v>
      </c>
      <c r="O9560" s="1" t="s">
        <v>68</v>
      </c>
    </row>
    <row r="9561" spans="1:15" ht="43.2" x14ac:dyDescent="0.3">
      <c r="A9561" s="1" t="s">
        <v>14231</v>
      </c>
      <c r="B9561" s="1" t="str">
        <f>"Piers Hart &amp; Company"</f>
        <v>Piers Hart &amp; Company</v>
      </c>
      <c r="C9561" s="1" t="s">
        <v>14232</v>
      </c>
      <c r="D9561" s="1" t="s">
        <v>14233</v>
      </c>
      <c r="F9561" s="1" t="s">
        <v>7073</v>
      </c>
      <c r="H9561" s="1" t="s">
        <v>14234</v>
      </c>
      <c r="I9561" s="1" t="s">
        <v>125</v>
      </c>
      <c r="J9561" s="1" t="s">
        <v>67</v>
      </c>
      <c r="K9561" s="1" t="s">
        <v>14</v>
      </c>
      <c r="M9561" s="2">
        <v>42079</v>
      </c>
      <c r="N9561" s="1" t="s">
        <v>8</v>
      </c>
      <c r="O9561" s="1" t="s">
        <v>68</v>
      </c>
    </row>
    <row r="9562" spans="1:15" ht="43.2" x14ac:dyDescent="0.3">
      <c r="A9562" s="1" t="s">
        <v>25831</v>
      </c>
      <c r="B9562" s="1" t="str">
        <f>"Karen McCloy"</f>
        <v>Karen McCloy</v>
      </c>
      <c r="C9562" s="1" t="s">
        <v>25832</v>
      </c>
      <c r="F9562" s="1" t="s">
        <v>65</v>
      </c>
      <c r="H9562" s="1" t="s">
        <v>25833</v>
      </c>
      <c r="I9562" s="1" t="s">
        <v>5</v>
      </c>
      <c r="J9562" s="1" t="s">
        <v>67</v>
      </c>
      <c r="K9562" s="1" t="s">
        <v>14</v>
      </c>
      <c r="M9562" s="2">
        <v>42079</v>
      </c>
      <c r="N9562" s="1" t="s">
        <v>8</v>
      </c>
      <c r="O9562" s="1" t="s">
        <v>68</v>
      </c>
    </row>
    <row r="9563" spans="1:15" ht="43.2" x14ac:dyDescent="0.3">
      <c r="A9563" s="1" t="s">
        <v>25834</v>
      </c>
      <c r="B9563" s="1" t="str">
        <f>"Deby McCloy"</f>
        <v>Deby McCloy</v>
      </c>
      <c r="C9563" s="1" t="s">
        <v>25835</v>
      </c>
      <c r="F9563" s="1" t="s">
        <v>65</v>
      </c>
      <c r="H9563" s="1" t="s">
        <v>12965</v>
      </c>
      <c r="I9563" s="1" t="s">
        <v>5</v>
      </c>
      <c r="J9563" s="1" t="s">
        <v>67</v>
      </c>
      <c r="K9563" s="1" t="s">
        <v>14</v>
      </c>
      <c r="M9563" s="2">
        <v>42079</v>
      </c>
      <c r="N9563" s="1" t="s">
        <v>8</v>
      </c>
      <c r="O9563" s="1" t="s">
        <v>68</v>
      </c>
    </row>
    <row r="9564" spans="1:15" ht="28.8" x14ac:dyDescent="0.3">
      <c r="A9564" s="1" t="s">
        <v>30895</v>
      </c>
      <c r="B9564" s="1" t="str">
        <f>"Matthew Bradley"</f>
        <v>Matthew Bradley</v>
      </c>
      <c r="C9564" s="1" t="s">
        <v>30896</v>
      </c>
      <c r="F9564" s="1" t="s">
        <v>1556</v>
      </c>
      <c r="G9564" s="1" t="s">
        <v>180</v>
      </c>
      <c r="H9564" s="1" t="s">
        <v>30897</v>
      </c>
      <c r="I9564" s="1" t="s">
        <v>5</v>
      </c>
      <c r="J9564" s="1" t="s">
        <v>6</v>
      </c>
      <c r="K9564" s="1" t="s">
        <v>34</v>
      </c>
      <c r="M9564" s="2">
        <v>42079</v>
      </c>
      <c r="N9564" s="1" t="s">
        <v>8</v>
      </c>
      <c r="O9564" s="2">
        <v>44275</v>
      </c>
    </row>
    <row r="9565" spans="1:15" ht="43.2" x14ac:dyDescent="0.3">
      <c r="A9565" s="1" t="s">
        <v>25828</v>
      </c>
      <c r="B9565" s="1" t="str">
        <f>"dale morgan"</f>
        <v>dale morgan</v>
      </c>
      <c r="C9565" s="1" t="s">
        <v>25829</v>
      </c>
      <c r="D9565" s="1" t="s">
        <v>4488</v>
      </c>
      <c r="F9565" s="1" t="s">
        <v>65</v>
      </c>
      <c r="H9565" s="1" t="s">
        <v>25830</v>
      </c>
      <c r="I9565" s="1" t="s">
        <v>5</v>
      </c>
      <c r="J9565" s="1" t="s">
        <v>67</v>
      </c>
      <c r="K9565" s="1" t="s">
        <v>14</v>
      </c>
      <c r="M9565" s="2">
        <v>42078</v>
      </c>
      <c r="N9565" s="1" t="s">
        <v>8</v>
      </c>
      <c r="O9565" s="1" t="s">
        <v>68</v>
      </c>
    </row>
    <row r="9566" spans="1:15" ht="43.2" x14ac:dyDescent="0.3">
      <c r="A9566" s="1" t="s">
        <v>12200</v>
      </c>
      <c r="B9566" s="1" t="str">
        <f>"J Roberts plumbing and Heating Ltd"</f>
        <v>J Roberts plumbing and Heating Ltd</v>
      </c>
      <c r="C9566" s="1" t="s">
        <v>12201</v>
      </c>
      <c r="D9566" s="1" t="s">
        <v>2104</v>
      </c>
      <c r="F9566" s="1" t="s">
        <v>1321</v>
      </c>
      <c r="H9566" s="1" t="s">
        <v>12202</v>
      </c>
      <c r="I9566" s="1" t="s">
        <v>19</v>
      </c>
      <c r="J9566" s="1" t="s">
        <v>67</v>
      </c>
      <c r="K9566" s="1" t="s">
        <v>14</v>
      </c>
      <c r="M9566" s="2">
        <v>42073</v>
      </c>
      <c r="N9566" s="1" t="s">
        <v>8</v>
      </c>
      <c r="O9566" s="1" t="s">
        <v>68</v>
      </c>
    </row>
    <row r="9567" spans="1:15" ht="43.2" x14ac:dyDescent="0.3">
      <c r="A9567" s="1" t="s">
        <v>24289</v>
      </c>
      <c r="B9567" s="1" t="str">
        <f>"paul blake"</f>
        <v>paul blake</v>
      </c>
      <c r="C9567" s="1" t="s">
        <v>24287</v>
      </c>
      <c r="F9567" s="1" t="s">
        <v>170</v>
      </c>
      <c r="H9567" s="1" t="s">
        <v>24288</v>
      </c>
      <c r="I9567" s="1" t="s">
        <v>5</v>
      </c>
      <c r="J9567" s="1" t="s">
        <v>67</v>
      </c>
      <c r="K9567" s="1" t="s">
        <v>14</v>
      </c>
      <c r="M9567" s="2">
        <v>42071</v>
      </c>
      <c r="N9567" s="1" t="s">
        <v>8</v>
      </c>
      <c r="O9567" s="1" t="s">
        <v>68</v>
      </c>
    </row>
    <row r="9568" spans="1:15" ht="43.2" x14ac:dyDescent="0.3">
      <c r="A9568" s="1" t="s">
        <v>11207</v>
      </c>
      <c r="B9568" s="1" t="str">
        <f>"Autocentres Limited"</f>
        <v>Autocentres Limited</v>
      </c>
      <c r="C9568" s="1" t="s">
        <v>11208</v>
      </c>
      <c r="F9568" s="1" t="s">
        <v>380</v>
      </c>
      <c r="H9568" s="1" t="s">
        <v>3708</v>
      </c>
      <c r="I9568" s="1" t="s">
        <v>19</v>
      </c>
      <c r="J9568" s="1" t="s">
        <v>67</v>
      </c>
      <c r="K9568" s="1" t="s">
        <v>14</v>
      </c>
      <c r="M9568" s="2">
        <v>42069</v>
      </c>
      <c r="N9568" s="1" t="s">
        <v>8</v>
      </c>
      <c r="O9568" s="1" t="s">
        <v>68</v>
      </c>
    </row>
    <row r="9569" spans="1:15" ht="43.2" x14ac:dyDescent="0.3">
      <c r="A9569" s="1" t="s">
        <v>11209</v>
      </c>
      <c r="B9569" s="1" t="str">
        <f>"R &amp; L. Anthony Ltd"</f>
        <v>R &amp; L. Anthony Ltd</v>
      </c>
      <c r="C9569" s="1" t="s">
        <v>11210</v>
      </c>
      <c r="D9569" s="1" t="s">
        <v>11211</v>
      </c>
      <c r="F9569" s="1" t="s">
        <v>179</v>
      </c>
      <c r="H9569" s="1" t="s">
        <v>11212</v>
      </c>
      <c r="I9569" s="1" t="s">
        <v>19</v>
      </c>
      <c r="J9569" s="1" t="s">
        <v>67</v>
      </c>
      <c r="K9569" s="1" t="s">
        <v>14</v>
      </c>
      <c r="M9569" s="2">
        <v>42069</v>
      </c>
      <c r="N9569" s="1" t="s">
        <v>8</v>
      </c>
      <c r="O9569" s="1" t="s">
        <v>68</v>
      </c>
    </row>
    <row r="9570" spans="1:15" ht="43.2" x14ac:dyDescent="0.3">
      <c r="A9570" s="1" t="s">
        <v>24286</v>
      </c>
      <c r="B9570" s="1" t="str">
        <f>"paul blake"</f>
        <v>paul blake</v>
      </c>
      <c r="C9570" s="1" t="s">
        <v>24287</v>
      </c>
      <c r="F9570" s="1" t="s">
        <v>170</v>
      </c>
      <c r="H9570" s="1" t="s">
        <v>24288</v>
      </c>
      <c r="I9570" s="1" t="s">
        <v>5</v>
      </c>
      <c r="J9570" s="1" t="s">
        <v>67</v>
      </c>
      <c r="K9570" s="1" t="s">
        <v>14</v>
      </c>
      <c r="M9570" s="2">
        <v>42069</v>
      </c>
      <c r="N9570" s="1" t="s">
        <v>8</v>
      </c>
      <c r="O9570" s="1" t="s">
        <v>68</v>
      </c>
    </row>
    <row r="9571" spans="1:15" ht="43.2" x14ac:dyDescent="0.3">
      <c r="A9571" s="1" t="s">
        <v>10190</v>
      </c>
      <c r="B9571" s="1" t="str">
        <f>"Shaw trust"</f>
        <v>Shaw trust</v>
      </c>
      <c r="C9571" s="1" t="s">
        <v>10191</v>
      </c>
      <c r="F9571" s="1" t="s">
        <v>380</v>
      </c>
      <c r="H9571" s="1" t="s">
        <v>10192</v>
      </c>
      <c r="I9571" s="1" t="s">
        <v>1872</v>
      </c>
      <c r="J9571" s="1" t="s">
        <v>67</v>
      </c>
      <c r="K9571" s="1" t="s">
        <v>14</v>
      </c>
      <c r="M9571" s="2">
        <v>42068</v>
      </c>
      <c r="N9571" s="1" t="s">
        <v>8</v>
      </c>
      <c r="O9571" s="1" t="s">
        <v>68</v>
      </c>
    </row>
    <row r="9572" spans="1:15" ht="43.2" x14ac:dyDescent="0.3">
      <c r="A9572" s="1" t="s">
        <v>10193</v>
      </c>
      <c r="B9572" s="1" t="str">
        <f>"Edgware Primary School"</f>
        <v>Edgware Primary School</v>
      </c>
      <c r="C9572" s="1" t="s">
        <v>10194</v>
      </c>
      <c r="F9572" s="1" t="s">
        <v>10195</v>
      </c>
      <c r="H9572" s="1" t="s">
        <v>10196</v>
      </c>
      <c r="I9572" s="1" t="s">
        <v>188</v>
      </c>
      <c r="J9572" s="1" t="s">
        <v>67</v>
      </c>
      <c r="K9572" s="1" t="s">
        <v>14</v>
      </c>
      <c r="M9572" s="2">
        <v>42068</v>
      </c>
      <c r="N9572" s="1" t="s">
        <v>8</v>
      </c>
      <c r="O9572" s="1" t="s">
        <v>68</v>
      </c>
    </row>
    <row r="9573" spans="1:15" ht="43.2" x14ac:dyDescent="0.3">
      <c r="A9573" s="1" t="s">
        <v>10197</v>
      </c>
      <c r="B9573" s="1" t="str">
        <f>"Edgware Primary School"</f>
        <v>Edgware Primary School</v>
      </c>
      <c r="C9573" s="1" t="s">
        <v>10194</v>
      </c>
      <c r="F9573" s="1" t="s">
        <v>10195</v>
      </c>
      <c r="H9573" s="1" t="s">
        <v>10196</v>
      </c>
      <c r="I9573" s="1" t="s">
        <v>188</v>
      </c>
      <c r="J9573" s="1" t="s">
        <v>67</v>
      </c>
      <c r="K9573" s="1" t="s">
        <v>14</v>
      </c>
      <c r="M9573" s="2">
        <v>42068</v>
      </c>
      <c r="N9573" s="1" t="s">
        <v>8</v>
      </c>
      <c r="O9573" s="1" t="s">
        <v>68</v>
      </c>
    </row>
    <row r="9574" spans="1:15" ht="43.2" x14ac:dyDescent="0.3">
      <c r="A9574" s="1" t="s">
        <v>11202</v>
      </c>
      <c r="B9574" s="1" t="str">
        <f>"Buitelaar International Trading"</f>
        <v>Buitelaar International Trading</v>
      </c>
      <c r="C9574" s="1" t="s">
        <v>11203</v>
      </c>
      <c r="D9574" s="1" t="s">
        <v>11204</v>
      </c>
      <c r="E9574" s="1" t="s">
        <v>11205</v>
      </c>
      <c r="G9574" s="1" t="s">
        <v>11206</v>
      </c>
      <c r="I9574" s="1" t="s">
        <v>19</v>
      </c>
      <c r="J9574" s="1" t="s">
        <v>67</v>
      </c>
      <c r="K9574" s="1" t="s">
        <v>14</v>
      </c>
      <c r="M9574" s="2">
        <v>42068</v>
      </c>
      <c r="N9574" s="1" t="s">
        <v>8</v>
      </c>
      <c r="O9574" s="1" t="s">
        <v>68</v>
      </c>
    </row>
    <row r="9575" spans="1:15" ht="43.2" x14ac:dyDescent="0.3">
      <c r="A9575" s="1" t="s">
        <v>23409</v>
      </c>
      <c r="B9575" s="1" t="str">
        <f>"Mark Lewis "</f>
        <v xml:space="preserve">Mark Lewis </v>
      </c>
      <c r="C9575" s="1" t="s">
        <v>23410</v>
      </c>
      <c r="D9575" s="1" t="s">
        <v>424</v>
      </c>
      <c r="F9575" s="1" t="s">
        <v>64</v>
      </c>
      <c r="H9575" s="1" t="s">
        <v>23411</v>
      </c>
      <c r="I9575" s="1" t="s">
        <v>5</v>
      </c>
      <c r="J9575" s="1" t="s">
        <v>67</v>
      </c>
      <c r="K9575" s="1" t="s">
        <v>14</v>
      </c>
      <c r="M9575" s="2">
        <v>42068</v>
      </c>
      <c r="N9575" s="1" t="s">
        <v>8</v>
      </c>
      <c r="O9575" s="1" t="s">
        <v>68</v>
      </c>
    </row>
    <row r="9576" spans="1:15" ht="43.2" x14ac:dyDescent="0.3">
      <c r="A9576" s="1" t="s">
        <v>23412</v>
      </c>
      <c r="B9576" s="1" t="str">
        <f>"Stephen  Owens"</f>
        <v>Stephen  Owens</v>
      </c>
      <c r="C9576" s="1" t="s">
        <v>23413</v>
      </c>
      <c r="D9576" s="1" t="s">
        <v>294</v>
      </c>
      <c r="F9576" s="1" t="s">
        <v>1093</v>
      </c>
      <c r="H9576" s="1" t="s">
        <v>4495</v>
      </c>
      <c r="I9576" s="1" t="s">
        <v>5</v>
      </c>
      <c r="J9576" s="1" t="s">
        <v>67</v>
      </c>
      <c r="K9576" s="1" t="s">
        <v>14</v>
      </c>
      <c r="M9576" s="2">
        <v>42068</v>
      </c>
      <c r="N9576" s="1" t="s">
        <v>8</v>
      </c>
      <c r="O9576" s="1" t="s">
        <v>68</v>
      </c>
    </row>
    <row r="9577" spans="1:15" ht="43.2" x14ac:dyDescent="0.3">
      <c r="A9577" s="1" t="s">
        <v>24284</v>
      </c>
      <c r="B9577" s="1" t="str">
        <f>"Jason Mcloughlin"</f>
        <v>Jason Mcloughlin</v>
      </c>
      <c r="C9577" s="1" t="s">
        <v>24285</v>
      </c>
      <c r="D9577" s="1" t="s">
        <v>179</v>
      </c>
      <c r="F9577" s="1" t="s">
        <v>1486</v>
      </c>
      <c r="H9577" s="1" t="s">
        <v>181</v>
      </c>
      <c r="I9577" s="1" t="s">
        <v>5</v>
      </c>
      <c r="J9577" s="1" t="s">
        <v>67</v>
      </c>
      <c r="K9577" s="1" t="s">
        <v>14</v>
      </c>
      <c r="M9577" s="2">
        <v>42068</v>
      </c>
      <c r="N9577" s="1" t="s">
        <v>8</v>
      </c>
      <c r="O9577" s="1" t="s">
        <v>68</v>
      </c>
    </row>
    <row r="9578" spans="1:15" ht="43.2" x14ac:dyDescent="0.3">
      <c r="A9578" s="1" t="s">
        <v>10187</v>
      </c>
      <c r="B9578" s="1" t="str">
        <f>"jurijsfonta"</f>
        <v>jurijsfonta</v>
      </c>
      <c r="C9578" s="1" t="s">
        <v>10188</v>
      </c>
      <c r="F9578" s="1" t="s">
        <v>1525</v>
      </c>
      <c r="H9578" s="1" t="s">
        <v>10189</v>
      </c>
      <c r="I9578" s="1" t="s">
        <v>188</v>
      </c>
      <c r="J9578" s="1" t="s">
        <v>67</v>
      </c>
      <c r="K9578" s="1" t="s">
        <v>14</v>
      </c>
      <c r="M9578" s="2">
        <v>42067</v>
      </c>
      <c r="N9578" s="1" t="s">
        <v>8</v>
      </c>
      <c r="O9578" s="1" t="s">
        <v>68</v>
      </c>
    </row>
    <row r="9579" spans="1:15" ht="43.2" x14ac:dyDescent="0.3">
      <c r="A9579" s="1" t="s">
        <v>10183</v>
      </c>
      <c r="B9579" s="1" t="str">
        <f>"J &amp; B Fitton Ltd"</f>
        <v>J &amp; B Fitton Ltd</v>
      </c>
      <c r="C9579" s="1" t="s">
        <v>10184</v>
      </c>
      <c r="F9579" s="1" t="s">
        <v>10185</v>
      </c>
      <c r="H9579" s="1" t="s">
        <v>10186</v>
      </c>
      <c r="I9579" s="1" t="s">
        <v>19</v>
      </c>
      <c r="J9579" s="1" t="s">
        <v>67</v>
      </c>
      <c r="K9579" s="1" t="s">
        <v>14</v>
      </c>
      <c r="M9579" s="2">
        <v>42066</v>
      </c>
      <c r="N9579" s="1" t="s">
        <v>8</v>
      </c>
      <c r="O9579" s="1" t="s">
        <v>68</v>
      </c>
    </row>
    <row r="9580" spans="1:15" ht="43.2" x14ac:dyDescent="0.3">
      <c r="A9580" s="1" t="s">
        <v>23397</v>
      </c>
      <c r="B9580" s="1" t="str">
        <f>"Clive Thomas"</f>
        <v>Clive Thomas</v>
      </c>
      <c r="C9580" s="1" t="s">
        <v>23398</v>
      </c>
      <c r="F9580" s="1" t="s">
        <v>21044</v>
      </c>
      <c r="H9580" s="1" t="s">
        <v>23399</v>
      </c>
      <c r="I9580" s="1" t="s">
        <v>5</v>
      </c>
      <c r="J9580" s="1" t="s">
        <v>67</v>
      </c>
      <c r="K9580" s="1" t="s">
        <v>14</v>
      </c>
      <c r="M9580" s="2">
        <v>42066</v>
      </c>
      <c r="N9580" s="1" t="s">
        <v>8</v>
      </c>
      <c r="O9580" s="1" t="s">
        <v>68</v>
      </c>
    </row>
    <row r="9581" spans="1:15" ht="43.2" x14ac:dyDescent="0.3">
      <c r="A9581" s="1" t="s">
        <v>23400</v>
      </c>
      <c r="B9581" s="1" t="str">
        <f>"Clive Thomas"</f>
        <v>Clive Thomas</v>
      </c>
      <c r="C9581" s="1" t="s">
        <v>23398</v>
      </c>
      <c r="F9581" s="1" t="s">
        <v>21044</v>
      </c>
      <c r="H9581" s="1" t="s">
        <v>23399</v>
      </c>
      <c r="I9581" s="1" t="s">
        <v>5</v>
      </c>
      <c r="J9581" s="1" t="s">
        <v>67</v>
      </c>
      <c r="K9581" s="1" t="s">
        <v>14</v>
      </c>
      <c r="M9581" s="2">
        <v>42066</v>
      </c>
      <c r="N9581" s="1" t="s">
        <v>8</v>
      </c>
      <c r="O9581" s="1" t="s">
        <v>68</v>
      </c>
    </row>
    <row r="9582" spans="1:15" ht="43.2" x14ac:dyDescent="0.3">
      <c r="A9582" s="1" t="s">
        <v>23401</v>
      </c>
      <c r="B9582" s="1" t="str">
        <f>"Peter Williams"</f>
        <v>Peter Williams</v>
      </c>
      <c r="C9582" s="1" t="s">
        <v>23402</v>
      </c>
      <c r="F9582" s="1" t="s">
        <v>123</v>
      </c>
      <c r="H9582" s="1" t="s">
        <v>23403</v>
      </c>
      <c r="I9582" s="1" t="s">
        <v>5</v>
      </c>
      <c r="J9582" s="1" t="s">
        <v>67</v>
      </c>
      <c r="K9582" s="1" t="s">
        <v>14</v>
      </c>
      <c r="M9582" s="2">
        <v>42066</v>
      </c>
      <c r="N9582" s="1" t="s">
        <v>8</v>
      </c>
      <c r="O9582" s="1" t="s">
        <v>68</v>
      </c>
    </row>
    <row r="9583" spans="1:15" ht="43.2" x14ac:dyDescent="0.3">
      <c r="A9583" s="1" t="s">
        <v>23404</v>
      </c>
      <c r="B9583" s="1" t="str">
        <f>"Paul  Simmons"</f>
        <v>Paul  Simmons</v>
      </c>
      <c r="C9583" s="1" t="s">
        <v>23405</v>
      </c>
      <c r="D9583" s="1" t="s">
        <v>23406</v>
      </c>
      <c r="F9583" s="1" t="s">
        <v>23407</v>
      </c>
      <c r="H9583" s="1" t="s">
        <v>23408</v>
      </c>
      <c r="I9583" s="1" t="s">
        <v>5</v>
      </c>
      <c r="J9583" s="1" t="s">
        <v>67</v>
      </c>
      <c r="K9583" s="1" t="s">
        <v>14</v>
      </c>
      <c r="M9583" s="2">
        <v>42066</v>
      </c>
      <c r="N9583" s="1" t="s">
        <v>8</v>
      </c>
      <c r="O9583" s="1" t="s">
        <v>68</v>
      </c>
    </row>
    <row r="9584" spans="1:15" ht="43.2" x14ac:dyDescent="0.3">
      <c r="A9584" s="1" t="s">
        <v>9064</v>
      </c>
      <c r="B9584" s="1" t="str">
        <f>"N.j installations "</f>
        <v xml:space="preserve">N.j installations </v>
      </c>
      <c r="C9584" s="1" t="s">
        <v>9065</v>
      </c>
      <c r="F9584" s="1" t="s">
        <v>9066</v>
      </c>
      <c r="H9584" s="1" t="s">
        <v>9067</v>
      </c>
      <c r="I9584" s="1" t="s">
        <v>19</v>
      </c>
      <c r="J9584" s="1" t="s">
        <v>67</v>
      </c>
      <c r="K9584" s="1" t="s">
        <v>14</v>
      </c>
      <c r="M9584" s="2">
        <v>42065</v>
      </c>
      <c r="N9584" s="1" t="s">
        <v>8</v>
      </c>
      <c r="O9584" s="1" t="s">
        <v>68</v>
      </c>
    </row>
    <row r="9585" spans="1:15" ht="43.2" x14ac:dyDescent="0.3">
      <c r="A9585" s="1" t="s">
        <v>9068</v>
      </c>
      <c r="B9585" s="1" t="str">
        <f>"N.j installations "</f>
        <v xml:space="preserve">N.j installations </v>
      </c>
      <c r="C9585" s="1" t="s">
        <v>9065</v>
      </c>
      <c r="F9585" s="1" t="s">
        <v>9066</v>
      </c>
      <c r="H9585" s="1" t="s">
        <v>9067</v>
      </c>
      <c r="I9585" s="1" t="s">
        <v>19</v>
      </c>
      <c r="J9585" s="1" t="s">
        <v>67</v>
      </c>
      <c r="K9585" s="1" t="s">
        <v>14</v>
      </c>
      <c r="M9585" s="2">
        <v>42065</v>
      </c>
      <c r="N9585" s="1" t="s">
        <v>8</v>
      </c>
      <c r="O9585" s="1" t="s">
        <v>68</v>
      </c>
    </row>
    <row r="9586" spans="1:15" ht="43.2" x14ac:dyDescent="0.3">
      <c r="A9586" s="1" t="s">
        <v>10173</v>
      </c>
      <c r="B9586" s="1" t="str">
        <f>"Phillips Services Wales Ltd"</f>
        <v>Phillips Services Wales Ltd</v>
      </c>
      <c r="C9586" s="1" t="s">
        <v>10174</v>
      </c>
      <c r="F9586" s="1" t="s">
        <v>64</v>
      </c>
      <c r="H9586" s="1" t="s">
        <v>10175</v>
      </c>
      <c r="I9586" s="1" t="s">
        <v>19</v>
      </c>
      <c r="J9586" s="1" t="s">
        <v>67</v>
      </c>
      <c r="K9586" s="1" t="s">
        <v>14</v>
      </c>
      <c r="M9586" s="2">
        <v>42065</v>
      </c>
      <c r="N9586" s="1" t="s">
        <v>8</v>
      </c>
      <c r="O9586" s="1" t="s">
        <v>68</v>
      </c>
    </row>
    <row r="9587" spans="1:15" ht="43.2" x14ac:dyDescent="0.3">
      <c r="A9587" s="1" t="s">
        <v>10176</v>
      </c>
      <c r="B9587" s="1" t="str">
        <f>"Selectiv"</f>
        <v>Selectiv</v>
      </c>
      <c r="C9587" s="1" t="s">
        <v>10177</v>
      </c>
      <c r="D9587" s="1" t="s">
        <v>10178</v>
      </c>
      <c r="F9587" s="1" t="s">
        <v>10178</v>
      </c>
      <c r="H9587" s="1" t="s">
        <v>10179</v>
      </c>
      <c r="I9587" s="1" t="s">
        <v>19</v>
      </c>
      <c r="J9587" s="1" t="s">
        <v>67</v>
      </c>
      <c r="K9587" s="1" t="s">
        <v>14</v>
      </c>
      <c r="M9587" s="2">
        <v>42065</v>
      </c>
      <c r="N9587" s="1" t="s">
        <v>8</v>
      </c>
      <c r="O9587" s="1" t="s">
        <v>68</v>
      </c>
    </row>
    <row r="9588" spans="1:15" ht="43.2" x14ac:dyDescent="0.3">
      <c r="A9588" s="1" t="s">
        <v>10180</v>
      </c>
      <c r="B9588" s="1" t="str">
        <f>"Groundwork Wales"</f>
        <v>Groundwork Wales</v>
      </c>
      <c r="C9588" s="1" t="s">
        <v>10181</v>
      </c>
      <c r="F9588" s="1" t="s">
        <v>1676</v>
      </c>
      <c r="H9588" s="1" t="s">
        <v>10182</v>
      </c>
      <c r="I9588" s="1" t="s">
        <v>1872</v>
      </c>
      <c r="J9588" s="1" t="s">
        <v>67</v>
      </c>
      <c r="K9588" s="1" t="s">
        <v>14</v>
      </c>
      <c r="M9588" s="2">
        <v>42065</v>
      </c>
      <c r="N9588" s="1" t="s">
        <v>8</v>
      </c>
      <c r="O9588" s="1" t="s">
        <v>68</v>
      </c>
    </row>
    <row r="9589" spans="1:15" ht="43.2" x14ac:dyDescent="0.3">
      <c r="A9589" s="1" t="s">
        <v>23394</v>
      </c>
      <c r="B9589" s="1" t="str">
        <f>"Rosalie Scotford"</f>
        <v>Rosalie Scotford</v>
      </c>
      <c r="C9589" s="1" t="s">
        <v>23395</v>
      </c>
      <c r="D9589" s="1" t="s">
        <v>1986</v>
      </c>
      <c r="F9589" s="1" t="s">
        <v>162</v>
      </c>
      <c r="H9589" s="1" t="s">
        <v>23396</v>
      </c>
      <c r="I9589" s="1" t="s">
        <v>5</v>
      </c>
      <c r="J9589" s="1" t="s">
        <v>67</v>
      </c>
      <c r="K9589" s="1" t="s">
        <v>14</v>
      </c>
      <c r="M9589" s="2">
        <v>42065</v>
      </c>
      <c r="N9589" s="1" t="s">
        <v>8</v>
      </c>
      <c r="O9589" s="1" t="s">
        <v>68</v>
      </c>
    </row>
    <row r="9590" spans="1:15" ht="43.2" x14ac:dyDescent="0.3">
      <c r="A9590" s="1" t="s">
        <v>9061</v>
      </c>
      <c r="B9590" s="1" t="str">
        <f>"Skyline Tree Services Ltd"</f>
        <v>Skyline Tree Services Ltd</v>
      </c>
      <c r="C9590" s="1" t="s">
        <v>9062</v>
      </c>
      <c r="F9590" s="1" t="s">
        <v>710</v>
      </c>
      <c r="H9590" s="1" t="s">
        <v>9063</v>
      </c>
      <c r="I9590" s="1" t="s">
        <v>19</v>
      </c>
      <c r="J9590" s="1" t="s">
        <v>67</v>
      </c>
      <c r="K9590" s="1" t="s">
        <v>14</v>
      </c>
      <c r="M9590" s="2">
        <v>42063</v>
      </c>
      <c r="N9590" s="1" t="s">
        <v>8</v>
      </c>
      <c r="O9590" s="1" t="s">
        <v>68</v>
      </c>
    </row>
    <row r="9591" spans="1:15" ht="43.2" x14ac:dyDescent="0.3">
      <c r="A9591" s="1" t="s">
        <v>22675</v>
      </c>
      <c r="B9591" s="1" t="str">
        <f>"Glyn Hughes"</f>
        <v>Glyn Hughes</v>
      </c>
      <c r="C9591" s="1" t="s">
        <v>22676</v>
      </c>
      <c r="F9591" s="1" t="s">
        <v>710</v>
      </c>
      <c r="H9591" s="1" t="s">
        <v>22677</v>
      </c>
      <c r="I9591" s="1" t="s">
        <v>5</v>
      </c>
      <c r="J9591" s="1" t="s">
        <v>67</v>
      </c>
      <c r="K9591" s="1" t="s">
        <v>14</v>
      </c>
      <c r="M9591" s="2">
        <v>42063</v>
      </c>
      <c r="N9591" s="1" t="s">
        <v>8</v>
      </c>
      <c r="O9591" s="1" t="s">
        <v>68</v>
      </c>
    </row>
    <row r="9592" spans="1:15" ht="43.2" x14ac:dyDescent="0.3">
      <c r="A9592" s="1" t="s">
        <v>9057</v>
      </c>
      <c r="B9592" s="1" t="str">
        <f>"M&amp;C Civils Bridgend Ltd"</f>
        <v>M&amp;C Civils Bridgend Ltd</v>
      </c>
      <c r="C9592" s="1" t="s">
        <v>9058</v>
      </c>
      <c r="D9592" s="1" t="s">
        <v>9059</v>
      </c>
      <c r="F9592" s="1" t="s">
        <v>179</v>
      </c>
      <c r="H9592" s="1" t="s">
        <v>9060</v>
      </c>
      <c r="I9592" s="1" t="s">
        <v>19</v>
      </c>
      <c r="J9592" s="1" t="s">
        <v>67</v>
      </c>
      <c r="K9592" s="1" t="s">
        <v>14</v>
      </c>
      <c r="M9592" s="2">
        <v>42061</v>
      </c>
      <c r="N9592" s="1" t="s">
        <v>8</v>
      </c>
      <c r="O9592" s="1" t="s">
        <v>68</v>
      </c>
    </row>
    <row r="9593" spans="1:15" ht="43.2" x14ac:dyDescent="0.3">
      <c r="A9593" s="1" t="s">
        <v>9047</v>
      </c>
      <c r="B9593" s="1" t="str">
        <f>"Front Row Environmental Services Ltd"</f>
        <v>Front Row Environmental Services Ltd</v>
      </c>
      <c r="C9593" s="1" t="s">
        <v>9048</v>
      </c>
      <c r="F9593" s="1" t="s">
        <v>9049</v>
      </c>
      <c r="H9593" s="1" t="s">
        <v>9050</v>
      </c>
      <c r="I9593" s="1" t="s">
        <v>19</v>
      </c>
      <c r="J9593" s="1" t="s">
        <v>67</v>
      </c>
      <c r="K9593" s="1" t="s">
        <v>14</v>
      </c>
      <c r="M9593" s="2">
        <v>42060</v>
      </c>
      <c r="N9593" s="1" t="s">
        <v>8</v>
      </c>
      <c r="O9593" s="1" t="s">
        <v>68</v>
      </c>
    </row>
    <row r="9594" spans="1:15" ht="43.2" x14ac:dyDescent="0.3">
      <c r="A9594" s="1" t="s">
        <v>9051</v>
      </c>
      <c r="B9594" s="1" t="str">
        <f>"Front Row Environmental Services Ltd"</f>
        <v>Front Row Environmental Services Ltd</v>
      </c>
      <c r="C9594" s="1" t="s">
        <v>9048</v>
      </c>
      <c r="F9594" s="1" t="s">
        <v>9049</v>
      </c>
      <c r="H9594" s="1" t="s">
        <v>9050</v>
      </c>
      <c r="I9594" s="1" t="s">
        <v>19</v>
      </c>
      <c r="J9594" s="1" t="s">
        <v>67</v>
      </c>
      <c r="K9594" s="1" t="s">
        <v>14</v>
      </c>
      <c r="M9594" s="2">
        <v>42060</v>
      </c>
      <c r="N9594" s="1" t="s">
        <v>8</v>
      </c>
      <c r="O9594" s="1" t="s">
        <v>68</v>
      </c>
    </row>
    <row r="9595" spans="1:15" ht="43.2" x14ac:dyDescent="0.3">
      <c r="A9595" s="1" t="s">
        <v>9052</v>
      </c>
      <c r="B9595" s="1" t="str">
        <f>"M&amp;J Europe Limited"</f>
        <v>M&amp;J Europe Limited</v>
      </c>
      <c r="C9595" s="1" t="s">
        <v>9053</v>
      </c>
      <c r="F9595" s="1" t="s">
        <v>102</v>
      </c>
      <c r="H9595" s="1" t="s">
        <v>3042</v>
      </c>
      <c r="I9595" s="1" t="s">
        <v>19</v>
      </c>
      <c r="J9595" s="1" t="s">
        <v>67</v>
      </c>
      <c r="K9595" s="1" t="s">
        <v>14</v>
      </c>
      <c r="M9595" s="2">
        <v>42060</v>
      </c>
      <c r="N9595" s="1" t="s">
        <v>8</v>
      </c>
      <c r="O9595" s="1" t="s">
        <v>68</v>
      </c>
    </row>
    <row r="9596" spans="1:15" ht="43.2" x14ac:dyDescent="0.3">
      <c r="A9596" s="1" t="s">
        <v>9054</v>
      </c>
      <c r="B9596" s="1" t="str">
        <f>"City and County of Swansea"</f>
        <v>City and County of Swansea</v>
      </c>
      <c r="C9596" s="1" t="s">
        <v>9055</v>
      </c>
      <c r="F9596" s="1" t="s">
        <v>64</v>
      </c>
      <c r="H9596" s="1" t="s">
        <v>9056</v>
      </c>
      <c r="I9596" s="1" t="s">
        <v>188</v>
      </c>
      <c r="J9596" s="1" t="s">
        <v>67</v>
      </c>
      <c r="K9596" s="1" t="s">
        <v>14</v>
      </c>
      <c r="M9596" s="2">
        <v>42060</v>
      </c>
      <c r="N9596" s="1" t="s">
        <v>8</v>
      </c>
      <c r="O9596" s="1" t="s">
        <v>68</v>
      </c>
    </row>
    <row r="9597" spans="1:15" ht="43.2" x14ac:dyDescent="0.3">
      <c r="A9597" s="1" t="s">
        <v>22661</v>
      </c>
      <c r="B9597" s="1" t="str">
        <f>"mathew seaman"</f>
        <v>mathew seaman</v>
      </c>
      <c r="C9597" s="1" t="s">
        <v>22662</v>
      </c>
      <c r="F9597" s="1" t="s">
        <v>22663</v>
      </c>
      <c r="H9597" s="1" t="s">
        <v>22664</v>
      </c>
      <c r="I9597" s="1" t="s">
        <v>5</v>
      </c>
      <c r="J9597" s="1" t="s">
        <v>67</v>
      </c>
      <c r="K9597" s="1" t="s">
        <v>14</v>
      </c>
      <c r="M9597" s="2">
        <v>42060</v>
      </c>
      <c r="N9597" s="1" t="s">
        <v>8</v>
      </c>
      <c r="O9597" s="1" t="s">
        <v>68</v>
      </c>
    </row>
    <row r="9598" spans="1:15" ht="43.2" x14ac:dyDescent="0.3">
      <c r="A9598" s="1" t="s">
        <v>22665</v>
      </c>
      <c r="B9598" s="1" t="str">
        <f>"Philip Cooper"</f>
        <v>Philip Cooper</v>
      </c>
      <c r="C9598" s="1" t="s">
        <v>22666</v>
      </c>
      <c r="F9598" s="1" t="s">
        <v>513</v>
      </c>
      <c r="H9598" s="1" t="s">
        <v>22667</v>
      </c>
      <c r="I9598" s="1" t="s">
        <v>5</v>
      </c>
      <c r="J9598" s="1" t="s">
        <v>67</v>
      </c>
      <c r="K9598" s="1" t="s">
        <v>14</v>
      </c>
      <c r="M9598" s="2">
        <v>42060</v>
      </c>
      <c r="N9598" s="1" t="s">
        <v>8</v>
      </c>
      <c r="O9598" s="1" t="s">
        <v>68</v>
      </c>
    </row>
    <row r="9599" spans="1:15" ht="43.2" x14ac:dyDescent="0.3">
      <c r="A9599" s="1" t="s">
        <v>22668</v>
      </c>
      <c r="B9599" s="1" t="str">
        <f>"Phill Sylvester"</f>
        <v>Phill Sylvester</v>
      </c>
      <c r="C9599" s="1" t="s">
        <v>22669</v>
      </c>
      <c r="D9599" s="1" t="s">
        <v>1093</v>
      </c>
      <c r="F9599" s="1" t="s">
        <v>1093</v>
      </c>
      <c r="H9599" s="1" t="s">
        <v>22670</v>
      </c>
      <c r="I9599" s="1" t="s">
        <v>5</v>
      </c>
      <c r="J9599" s="1" t="s">
        <v>67</v>
      </c>
      <c r="K9599" s="1" t="s">
        <v>14</v>
      </c>
      <c r="M9599" s="2">
        <v>42060</v>
      </c>
      <c r="N9599" s="1" t="s">
        <v>8</v>
      </c>
      <c r="O9599" s="1" t="s">
        <v>68</v>
      </c>
    </row>
    <row r="9600" spans="1:15" ht="43.2" x14ac:dyDescent="0.3">
      <c r="A9600" s="1" t="s">
        <v>22671</v>
      </c>
      <c r="B9600" s="1" t="str">
        <f>"Matthew Sage"</f>
        <v>Matthew Sage</v>
      </c>
      <c r="C9600" s="1" t="s">
        <v>22672</v>
      </c>
      <c r="F9600" s="1" t="s">
        <v>22673</v>
      </c>
      <c r="H9600" s="1" t="s">
        <v>22674</v>
      </c>
      <c r="I9600" s="1" t="s">
        <v>5</v>
      </c>
      <c r="J9600" s="1" t="s">
        <v>67</v>
      </c>
      <c r="K9600" s="1" t="s">
        <v>14</v>
      </c>
      <c r="M9600" s="2">
        <v>42060</v>
      </c>
      <c r="N9600" s="1" t="s">
        <v>8</v>
      </c>
      <c r="O9600" s="1" t="s">
        <v>68</v>
      </c>
    </row>
    <row r="9601" spans="1:15" ht="43.2" x14ac:dyDescent="0.3">
      <c r="A9601" s="1" t="s">
        <v>9044</v>
      </c>
      <c r="B9601" s="1" t="str">
        <f>"AL Alphonso Management Services Limited"</f>
        <v>AL Alphonso Management Services Limited</v>
      </c>
      <c r="C9601" s="1" t="s">
        <v>9045</v>
      </c>
      <c r="F9601" s="1" t="s">
        <v>170</v>
      </c>
      <c r="H9601" s="1" t="s">
        <v>9046</v>
      </c>
      <c r="I9601" s="1" t="s">
        <v>19</v>
      </c>
      <c r="J9601" s="1" t="s">
        <v>67</v>
      </c>
      <c r="K9601" s="1" t="s">
        <v>14</v>
      </c>
      <c r="M9601" s="2">
        <v>42059</v>
      </c>
      <c r="N9601" s="1" t="s">
        <v>8</v>
      </c>
      <c r="O9601" s="1" t="s">
        <v>68</v>
      </c>
    </row>
    <row r="9602" spans="1:15" ht="43.2" x14ac:dyDescent="0.3">
      <c r="A9602" s="1" t="s">
        <v>22658</v>
      </c>
      <c r="B9602" s="1" t="str">
        <f>"Stephen Lee"</f>
        <v>Stephen Lee</v>
      </c>
      <c r="C9602" s="1" t="s">
        <v>22659</v>
      </c>
      <c r="F9602" s="1" t="s">
        <v>4082</v>
      </c>
      <c r="H9602" s="1" t="s">
        <v>22660</v>
      </c>
      <c r="I9602" s="1" t="s">
        <v>5</v>
      </c>
      <c r="J9602" s="1" t="s">
        <v>67</v>
      </c>
      <c r="K9602" s="1" t="s">
        <v>14</v>
      </c>
      <c r="M9602" s="2">
        <v>42059</v>
      </c>
      <c r="N9602" s="1" t="s">
        <v>8</v>
      </c>
      <c r="O9602" s="1" t="s">
        <v>68</v>
      </c>
    </row>
    <row r="9603" spans="1:15" ht="43.2" x14ac:dyDescent="0.3">
      <c r="A9603" s="1" t="s">
        <v>7862</v>
      </c>
      <c r="B9603" s="1" t="str">
        <f>"George Eliot Hospital NHS Trust "</f>
        <v xml:space="preserve">George Eliot Hospital NHS Trust </v>
      </c>
      <c r="C9603" s="1" t="s">
        <v>7863</v>
      </c>
      <c r="F9603" s="1" t="s">
        <v>7864</v>
      </c>
      <c r="H9603" s="1" t="s">
        <v>7865</v>
      </c>
      <c r="I9603" s="1" t="s">
        <v>188</v>
      </c>
      <c r="J9603" s="1" t="s">
        <v>67</v>
      </c>
      <c r="K9603" s="1" t="s">
        <v>14</v>
      </c>
      <c r="M9603" s="2">
        <v>42058</v>
      </c>
      <c r="N9603" s="1" t="s">
        <v>8</v>
      </c>
      <c r="O9603" s="1" t="s">
        <v>68</v>
      </c>
    </row>
    <row r="9604" spans="1:15" ht="43.2" x14ac:dyDescent="0.3">
      <c r="A9604" s="1" t="s">
        <v>7866</v>
      </c>
      <c r="B9604" s="1" t="str">
        <f>"Filco Supermarkets Ltd"</f>
        <v>Filco Supermarkets Ltd</v>
      </c>
      <c r="C9604" s="1" t="s">
        <v>7867</v>
      </c>
      <c r="F9604" s="1" t="s">
        <v>4867</v>
      </c>
      <c r="H9604" s="1" t="s">
        <v>7868</v>
      </c>
      <c r="I9604" s="1" t="s">
        <v>19</v>
      </c>
      <c r="J9604" s="1" t="s">
        <v>67</v>
      </c>
      <c r="K9604" s="1" t="s">
        <v>14</v>
      </c>
      <c r="M9604" s="2">
        <v>42058</v>
      </c>
      <c r="N9604" s="1" t="s">
        <v>8</v>
      </c>
      <c r="O9604" s="1" t="s">
        <v>68</v>
      </c>
    </row>
    <row r="9605" spans="1:15" ht="43.2" x14ac:dyDescent="0.3">
      <c r="A9605" s="1" t="s">
        <v>21851</v>
      </c>
      <c r="B9605" s="1" t="str">
        <f>"David  Thomas  DTS Tree Services"</f>
        <v>David  Thomas  DTS Tree Services</v>
      </c>
      <c r="C9605" s="1" t="s">
        <v>21852</v>
      </c>
      <c r="D9605" s="1" t="s">
        <v>1385</v>
      </c>
      <c r="F9605" s="1" t="s">
        <v>1983</v>
      </c>
      <c r="H9605" s="1" t="s">
        <v>21853</v>
      </c>
      <c r="I9605" s="1" t="s">
        <v>5</v>
      </c>
      <c r="J9605" s="1" t="s">
        <v>67</v>
      </c>
      <c r="K9605" s="1" t="s">
        <v>14</v>
      </c>
      <c r="M9605" s="2">
        <v>42058</v>
      </c>
      <c r="N9605" s="1" t="s">
        <v>8</v>
      </c>
      <c r="O9605" s="1" t="s">
        <v>68</v>
      </c>
    </row>
    <row r="9606" spans="1:15" ht="43.2" x14ac:dyDescent="0.3">
      <c r="A9606" s="1" t="s">
        <v>21845</v>
      </c>
      <c r="B9606" s="1" t="str">
        <f>"Terry Butler"</f>
        <v>Terry Butler</v>
      </c>
      <c r="C9606" s="1" t="s">
        <v>21846</v>
      </c>
      <c r="D9606" s="1" t="s">
        <v>5841</v>
      </c>
      <c r="F9606" s="1" t="s">
        <v>5841</v>
      </c>
      <c r="H9606" s="1" t="s">
        <v>21847</v>
      </c>
      <c r="I9606" s="1" t="s">
        <v>5</v>
      </c>
      <c r="J9606" s="1" t="s">
        <v>67</v>
      </c>
      <c r="K9606" s="1" t="s">
        <v>14</v>
      </c>
      <c r="M9606" s="2">
        <v>42057</v>
      </c>
      <c r="N9606" s="1" t="s">
        <v>8</v>
      </c>
      <c r="O9606" s="1" t="s">
        <v>68</v>
      </c>
    </row>
    <row r="9607" spans="1:15" ht="43.2" x14ac:dyDescent="0.3">
      <c r="A9607" s="1" t="s">
        <v>21848</v>
      </c>
      <c r="B9607" s="1" t="str">
        <f>"ashley barton"</f>
        <v>ashley barton</v>
      </c>
      <c r="C9607" s="1" t="s">
        <v>21849</v>
      </c>
      <c r="F9607" s="1" t="s">
        <v>5149</v>
      </c>
      <c r="H9607" s="1" t="s">
        <v>21850</v>
      </c>
      <c r="I9607" s="1" t="s">
        <v>5</v>
      </c>
      <c r="J9607" s="1" t="s">
        <v>67</v>
      </c>
      <c r="K9607" s="1" t="s">
        <v>14</v>
      </c>
      <c r="M9607" s="2">
        <v>42057</v>
      </c>
      <c r="N9607" s="1" t="s">
        <v>8</v>
      </c>
      <c r="O9607" s="1" t="s">
        <v>68</v>
      </c>
    </row>
    <row r="9608" spans="1:15" ht="43.2" x14ac:dyDescent="0.3">
      <c r="A9608" s="1" t="s">
        <v>21842</v>
      </c>
      <c r="B9608" s="1" t="str">
        <f>"anthony newton"</f>
        <v>anthony newton</v>
      </c>
      <c r="C9608" s="1" t="s">
        <v>21843</v>
      </c>
      <c r="F9608" s="1" t="s">
        <v>5149</v>
      </c>
      <c r="H9608" s="1" t="s">
        <v>21844</v>
      </c>
      <c r="I9608" s="1" t="s">
        <v>5</v>
      </c>
      <c r="J9608" s="1" t="s">
        <v>67</v>
      </c>
      <c r="K9608" s="1" t="s">
        <v>14</v>
      </c>
      <c r="M9608" s="2">
        <v>42056</v>
      </c>
      <c r="N9608" s="1" t="s">
        <v>8</v>
      </c>
      <c r="O9608" s="1" t="s">
        <v>68</v>
      </c>
    </row>
    <row r="9609" spans="1:15" ht="43.2" x14ac:dyDescent="0.3">
      <c r="A9609" s="1" t="s">
        <v>7851</v>
      </c>
      <c r="B9609" s="1" t="str">
        <f>"Blaen y cwm farm"</f>
        <v>Blaen y cwm farm</v>
      </c>
      <c r="C9609" s="1" t="s">
        <v>7852</v>
      </c>
      <c r="D9609" s="1" t="s">
        <v>7853</v>
      </c>
      <c r="F9609" s="1" t="s">
        <v>7853</v>
      </c>
      <c r="H9609" s="1" t="s">
        <v>7854</v>
      </c>
      <c r="I9609" s="1" t="s">
        <v>125</v>
      </c>
      <c r="J9609" s="1" t="s">
        <v>67</v>
      </c>
      <c r="K9609" s="1" t="s">
        <v>14</v>
      </c>
      <c r="M9609" s="2">
        <v>42055</v>
      </c>
      <c r="N9609" s="1" t="s">
        <v>8</v>
      </c>
      <c r="O9609" s="1" t="s">
        <v>68</v>
      </c>
    </row>
    <row r="9610" spans="1:15" ht="43.2" x14ac:dyDescent="0.3">
      <c r="A9610" s="1" t="s">
        <v>7855</v>
      </c>
      <c r="B9610" s="1" t="str">
        <f>"Tregoyd Mountain Riders"</f>
        <v>Tregoyd Mountain Riders</v>
      </c>
      <c r="C9610" s="1" t="s">
        <v>7856</v>
      </c>
      <c r="D9610" s="1" t="s">
        <v>1206</v>
      </c>
      <c r="F9610" s="1" t="s">
        <v>1206</v>
      </c>
      <c r="H9610" s="1" t="s">
        <v>7857</v>
      </c>
      <c r="I9610" s="1" t="s">
        <v>125</v>
      </c>
      <c r="J9610" s="1" t="s">
        <v>67</v>
      </c>
      <c r="K9610" s="1" t="s">
        <v>14</v>
      </c>
      <c r="M9610" s="2">
        <v>42055</v>
      </c>
      <c r="N9610" s="1" t="s">
        <v>8</v>
      </c>
      <c r="O9610" s="1" t="s">
        <v>68</v>
      </c>
    </row>
    <row r="9611" spans="1:15" ht="43.2" x14ac:dyDescent="0.3">
      <c r="A9611" s="1" t="s">
        <v>7858</v>
      </c>
      <c r="B9611" s="1" t="str">
        <f>"Kinmel Hotel"</f>
        <v>Kinmel Hotel</v>
      </c>
      <c r="C9611" s="1" t="s">
        <v>7859</v>
      </c>
      <c r="F9611" s="1" t="s">
        <v>3242</v>
      </c>
      <c r="H9611" s="1" t="s">
        <v>7860</v>
      </c>
      <c r="I9611" s="1" t="s">
        <v>125</v>
      </c>
      <c r="J9611" s="1" t="s">
        <v>67</v>
      </c>
      <c r="K9611" s="1" t="s">
        <v>14</v>
      </c>
      <c r="M9611" s="2">
        <v>42055</v>
      </c>
      <c r="N9611" s="1" t="s">
        <v>8</v>
      </c>
      <c r="O9611" s="1" t="s">
        <v>68</v>
      </c>
    </row>
    <row r="9612" spans="1:15" ht="43.2" x14ac:dyDescent="0.3">
      <c r="A9612" s="1" t="s">
        <v>7861</v>
      </c>
      <c r="B9612" s="1" t="str">
        <f>"Potters Waste Management"</f>
        <v>Potters Waste Management</v>
      </c>
      <c r="C9612" s="1" t="s">
        <v>415</v>
      </c>
      <c r="F9612" s="1" t="s">
        <v>2459</v>
      </c>
      <c r="H9612" s="1" t="s">
        <v>417</v>
      </c>
      <c r="I9612" s="1" t="s">
        <v>19</v>
      </c>
      <c r="J9612" s="1" t="s">
        <v>67</v>
      </c>
      <c r="K9612" s="1" t="s">
        <v>14</v>
      </c>
      <c r="M9612" s="2">
        <v>42055</v>
      </c>
      <c r="N9612" s="1" t="s">
        <v>8</v>
      </c>
      <c r="O9612" s="1" t="s">
        <v>68</v>
      </c>
    </row>
    <row r="9613" spans="1:15" ht="43.2" x14ac:dyDescent="0.3">
      <c r="A9613" s="1" t="s">
        <v>21839</v>
      </c>
      <c r="B9613" s="1" t="str">
        <f>"Phil Clayton"</f>
        <v>Phil Clayton</v>
      </c>
      <c r="C9613" s="1" t="s">
        <v>21840</v>
      </c>
      <c r="D9613" s="1" t="s">
        <v>2438</v>
      </c>
      <c r="F9613" s="1" t="s">
        <v>156</v>
      </c>
      <c r="H9613" s="1" t="s">
        <v>21841</v>
      </c>
      <c r="I9613" s="1" t="s">
        <v>5</v>
      </c>
      <c r="J9613" s="1" t="s">
        <v>67</v>
      </c>
      <c r="K9613" s="1" t="s">
        <v>14</v>
      </c>
      <c r="M9613" s="2">
        <v>42055</v>
      </c>
      <c r="N9613" s="1" t="s">
        <v>8</v>
      </c>
      <c r="O9613" s="1" t="s">
        <v>68</v>
      </c>
    </row>
    <row r="9614" spans="1:15" ht="43.2" x14ac:dyDescent="0.3">
      <c r="A9614" s="1" t="s">
        <v>7846</v>
      </c>
      <c r="B9614" s="1" t="str">
        <f>"Centregreat Rail Limited"</f>
        <v>Centregreat Rail Limited</v>
      </c>
      <c r="C9614" s="1" t="s">
        <v>7847</v>
      </c>
      <c r="D9614" s="1" t="s">
        <v>5514</v>
      </c>
      <c r="F9614" s="1" t="s">
        <v>380</v>
      </c>
      <c r="G9614" s="1" t="s">
        <v>381</v>
      </c>
      <c r="H9614" s="1" t="s">
        <v>1846</v>
      </c>
      <c r="I9614" s="1" t="s">
        <v>19</v>
      </c>
      <c r="J9614" s="1" t="s">
        <v>67</v>
      </c>
      <c r="K9614" s="1" t="s">
        <v>14</v>
      </c>
      <c r="M9614" s="2">
        <v>42054</v>
      </c>
      <c r="N9614" s="1" t="s">
        <v>8</v>
      </c>
      <c r="O9614" s="1" t="s">
        <v>68</v>
      </c>
    </row>
    <row r="9615" spans="1:15" ht="43.2" x14ac:dyDescent="0.3">
      <c r="A9615" s="1" t="s">
        <v>7848</v>
      </c>
      <c r="B9615" s="1" t="str">
        <f>"Rainbows End "</f>
        <v xml:space="preserve">Rainbows End </v>
      </c>
      <c r="C9615" s="1" t="s">
        <v>7849</v>
      </c>
      <c r="D9615" s="1" t="s">
        <v>3465</v>
      </c>
      <c r="F9615" s="1" t="s">
        <v>162</v>
      </c>
      <c r="H9615" s="1" t="s">
        <v>4492</v>
      </c>
      <c r="I9615" s="1" t="s">
        <v>125</v>
      </c>
      <c r="J9615" s="1" t="s">
        <v>67</v>
      </c>
      <c r="K9615" s="1" t="s">
        <v>14</v>
      </c>
      <c r="M9615" s="2">
        <v>42054</v>
      </c>
      <c r="N9615" s="1" t="s">
        <v>8</v>
      </c>
      <c r="O9615" s="1" t="s">
        <v>68</v>
      </c>
    </row>
    <row r="9616" spans="1:15" ht="43.2" x14ac:dyDescent="0.3">
      <c r="A9616" s="1" t="s">
        <v>7850</v>
      </c>
      <c r="B9616" s="1" t="str">
        <f>"Rainbows End "</f>
        <v xml:space="preserve">Rainbows End </v>
      </c>
      <c r="C9616" s="1" t="s">
        <v>7849</v>
      </c>
      <c r="D9616" s="1" t="s">
        <v>3465</v>
      </c>
      <c r="F9616" s="1" t="s">
        <v>162</v>
      </c>
      <c r="H9616" s="1" t="s">
        <v>4492</v>
      </c>
      <c r="I9616" s="1" t="s">
        <v>125</v>
      </c>
      <c r="J9616" s="1" t="s">
        <v>67</v>
      </c>
      <c r="K9616" s="1" t="s">
        <v>14</v>
      </c>
      <c r="M9616" s="2">
        <v>42054</v>
      </c>
      <c r="N9616" s="1" t="s">
        <v>8</v>
      </c>
      <c r="O9616" s="1" t="s">
        <v>68</v>
      </c>
    </row>
    <row r="9617" spans="1:15" ht="43.2" x14ac:dyDescent="0.3">
      <c r="A9617" s="1" t="s">
        <v>6820</v>
      </c>
      <c r="B9617" s="1" t="str">
        <f>"Countrypad LLP"</f>
        <v>Countrypad LLP</v>
      </c>
      <c r="C9617" s="1" t="s">
        <v>6821</v>
      </c>
      <c r="F9617" s="1" t="s">
        <v>1206</v>
      </c>
      <c r="H9617" s="1" t="s">
        <v>6822</v>
      </c>
      <c r="I9617" s="1" t="s">
        <v>125</v>
      </c>
      <c r="J9617" s="1" t="s">
        <v>67</v>
      </c>
      <c r="K9617" s="1" t="s">
        <v>14</v>
      </c>
      <c r="M9617" s="2">
        <v>42053</v>
      </c>
      <c r="N9617" s="1" t="s">
        <v>8</v>
      </c>
      <c r="O9617" s="1" t="s">
        <v>68</v>
      </c>
    </row>
    <row r="9618" spans="1:15" ht="43.2" x14ac:dyDescent="0.3">
      <c r="A9618" s="1" t="s">
        <v>6823</v>
      </c>
      <c r="B9618" s="1" t="str">
        <f>"Classy Curtains Ltd"</f>
        <v>Classy Curtains Ltd</v>
      </c>
      <c r="C9618" s="1" t="s">
        <v>6824</v>
      </c>
      <c r="F9618" s="1" t="s">
        <v>6825</v>
      </c>
      <c r="H9618" s="1" t="s">
        <v>6826</v>
      </c>
      <c r="I9618" s="1" t="s">
        <v>19</v>
      </c>
      <c r="J9618" s="1" t="s">
        <v>67</v>
      </c>
      <c r="K9618" s="1" t="s">
        <v>14</v>
      </c>
      <c r="M9618" s="2">
        <v>42053</v>
      </c>
      <c r="N9618" s="1" t="s">
        <v>8</v>
      </c>
      <c r="O9618" s="1" t="s">
        <v>68</v>
      </c>
    </row>
    <row r="9619" spans="1:15" ht="43.2" x14ac:dyDescent="0.3">
      <c r="A9619" s="1" t="s">
        <v>6827</v>
      </c>
      <c r="B9619" s="1" t="str">
        <f>"Classy Curtains Ltd"</f>
        <v>Classy Curtains Ltd</v>
      </c>
      <c r="C9619" s="1" t="s">
        <v>6824</v>
      </c>
      <c r="F9619" s="1" t="s">
        <v>6825</v>
      </c>
      <c r="H9619" s="1" t="s">
        <v>6826</v>
      </c>
      <c r="I9619" s="1" t="s">
        <v>19</v>
      </c>
      <c r="J9619" s="1" t="s">
        <v>67</v>
      </c>
      <c r="K9619" s="1" t="s">
        <v>14</v>
      </c>
      <c r="M9619" s="2">
        <v>42053</v>
      </c>
      <c r="N9619" s="1" t="s">
        <v>8</v>
      </c>
      <c r="O9619" s="1" t="s">
        <v>68</v>
      </c>
    </row>
    <row r="9620" spans="1:15" ht="43.2" x14ac:dyDescent="0.3">
      <c r="A9620" s="1" t="s">
        <v>6828</v>
      </c>
      <c r="B9620" s="1" t="str">
        <f>"AHE Refrigeration &amp; Electrical Limited"</f>
        <v>AHE Refrigeration &amp; Electrical Limited</v>
      </c>
      <c r="C9620" s="1" t="s">
        <v>6829</v>
      </c>
      <c r="D9620" s="1" t="s">
        <v>6830</v>
      </c>
      <c r="F9620" s="1" t="s">
        <v>6830</v>
      </c>
      <c r="H9620" s="1" t="s">
        <v>6831</v>
      </c>
      <c r="I9620" s="1" t="s">
        <v>19</v>
      </c>
      <c r="J9620" s="1" t="s">
        <v>67</v>
      </c>
      <c r="K9620" s="1" t="s">
        <v>14</v>
      </c>
      <c r="M9620" s="2">
        <v>42053</v>
      </c>
      <c r="N9620" s="1" t="s">
        <v>8</v>
      </c>
      <c r="O9620" s="1" t="s">
        <v>68</v>
      </c>
    </row>
    <row r="9621" spans="1:15" ht="43.2" x14ac:dyDescent="0.3">
      <c r="A9621" s="1" t="s">
        <v>7840</v>
      </c>
      <c r="B9621" s="1" t="str">
        <f>"Classy Curtains Ltd"</f>
        <v>Classy Curtains Ltd</v>
      </c>
      <c r="C9621" s="1" t="s">
        <v>7841</v>
      </c>
      <c r="F9621" s="1" t="s">
        <v>6825</v>
      </c>
      <c r="H9621" s="1" t="s">
        <v>6826</v>
      </c>
      <c r="I9621" s="1" t="s">
        <v>19</v>
      </c>
      <c r="J9621" s="1" t="s">
        <v>67</v>
      </c>
      <c r="K9621" s="1" t="s">
        <v>14</v>
      </c>
      <c r="M9621" s="2">
        <v>42053</v>
      </c>
      <c r="N9621" s="1" t="s">
        <v>8</v>
      </c>
      <c r="O9621" s="1" t="s">
        <v>68</v>
      </c>
    </row>
    <row r="9622" spans="1:15" ht="43.2" x14ac:dyDescent="0.3">
      <c r="A9622" s="1" t="s">
        <v>7842</v>
      </c>
      <c r="B9622" s="1" t="str">
        <f>"Laura F Thomas Ltd"</f>
        <v>Laura F Thomas Ltd</v>
      </c>
      <c r="C9622" s="1" t="s">
        <v>7843</v>
      </c>
      <c r="D9622" s="1" t="s">
        <v>7844</v>
      </c>
      <c r="F9622" s="1" t="s">
        <v>7844</v>
      </c>
      <c r="H9622" s="1" t="s">
        <v>7845</v>
      </c>
      <c r="I9622" s="1" t="s">
        <v>19</v>
      </c>
      <c r="J9622" s="1" t="s">
        <v>67</v>
      </c>
      <c r="K9622" s="1" t="s">
        <v>14</v>
      </c>
      <c r="M9622" s="2">
        <v>42053</v>
      </c>
      <c r="N9622" s="1" t="s">
        <v>8</v>
      </c>
      <c r="O9622" s="1" t="s">
        <v>68</v>
      </c>
    </row>
    <row r="9623" spans="1:15" ht="43.2" x14ac:dyDescent="0.3">
      <c r="A9623" s="1" t="s">
        <v>21096</v>
      </c>
      <c r="B9623" s="1" t="str">
        <f>"kirsty Humphries"</f>
        <v>kirsty Humphries</v>
      </c>
      <c r="C9623" s="1" t="s">
        <v>21097</v>
      </c>
      <c r="D9623" s="1" t="s">
        <v>289</v>
      </c>
      <c r="F9623" s="1" t="s">
        <v>839</v>
      </c>
      <c r="H9623" s="1" t="s">
        <v>21098</v>
      </c>
      <c r="I9623" s="1" t="s">
        <v>5</v>
      </c>
      <c r="J9623" s="1" t="s">
        <v>67</v>
      </c>
      <c r="K9623" s="1" t="s">
        <v>14</v>
      </c>
      <c r="M9623" s="2">
        <v>42053</v>
      </c>
      <c r="N9623" s="1" t="s">
        <v>8</v>
      </c>
      <c r="O9623" s="1" t="s">
        <v>68</v>
      </c>
    </row>
    <row r="9624" spans="1:15" ht="43.2" x14ac:dyDescent="0.3">
      <c r="A9624" s="1" t="s">
        <v>6808</v>
      </c>
      <c r="B9624" s="1" t="str">
        <f>"Glenside Commercials Ltd"</f>
        <v>Glenside Commercials Ltd</v>
      </c>
      <c r="C9624" s="1" t="s">
        <v>6809</v>
      </c>
      <c r="D9624" s="1" t="s">
        <v>5091</v>
      </c>
      <c r="F9624" s="1" t="s">
        <v>1093</v>
      </c>
      <c r="H9624" s="1" t="s">
        <v>5092</v>
      </c>
      <c r="I9624" s="1" t="s">
        <v>125</v>
      </c>
      <c r="J9624" s="1" t="s">
        <v>67</v>
      </c>
      <c r="K9624" s="1" t="s">
        <v>14</v>
      </c>
      <c r="M9624" s="2">
        <v>42052</v>
      </c>
      <c r="N9624" s="1" t="s">
        <v>8</v>
      </c>
      <c r="O9624" s="1" t="s">
        <v>68</v>
      </c>
    </row>
    <row r="9625" spans="1:15" ht="43.2" x14ac:dyDescent="0.3">
      <c r="A9625" s="1" t="s">
        <v>6810</v>
      </c>
      <c r="B9625" s="1" t="str">
        <f>"Olsen Plant and Services Limited"</f>
        <v>Olsen Plant and Services Limited</v>
      </c>
      <c r="C9625" s="1" t="s">
        <v>6811</v>
      </c>
      <c r="F9625" s="1" t="s">
        <v>2152</v>
      </c>
      <c r="H9625" s="1" t="s">
        <v>6812</v>
      </c>
      <c r="I9625" s="1" t="s">
        <v>19</v>
      </c>
      <c r="J9625" s="1" t="s">
        <v>67</v>
      </c>
      <c r="K9625" s="1" t="s">
        <v>14</v>
      </c>
      <c r="M9625" s="2">
        <v>42052</v>
      </c>
      <c r="N9625" s="1" t="s">
        <v>8</v>
      </c>
      <c r="O9625" s="1" t="s">
        <v>68</v>
      </c>
    </row>
    <row r="9626" spans="1:15" ht="43.2" x14ac:dyDescent="0.3">
      <c r="A9626" s="1" t="s">
        <v>6813</v>
      </c>
      <c r="B9626" s="1" t="str">
        <f>"RB Fixing limited "</f>
        <v xml:space="preserve">RB Fixing limited </v>
      </c>
      <c r="C9626" s="1" t="s">
        <v>6814</v>
      </c>
      <c r="F9626" s="1" t="s">
        <v>930</v>
      </c>
      <c r="H9626" s="1" t="s">
        <v>6815</v>
      </c>
      <c r="I9626" s="1" t="s">
        <v>19</v>
      </c>
      <c r="J9626" s="1" t="s">
        <v>67</v>
      </c>
      <c r="K9626" s="1" t="s">
        <v>14</v>
      </c>
      <c r="M9626" s="2">
        <v>42052</v>
      </c>
      <c r="N9626" s="1" t="s">
        <v>8</v>
      </c>
      <c r="O9626" s="1" t="s">
        <v>68</v>
      </c>
    </row>
    <row r="9627" spans="1:15" ht="43.2" x14ac:dyDescent="0.3">
      <c r="A9627" s="1" t="s">
        <v>6816</v>
      </c>
      <c r="B9627" s="1" t="str">
        <f>"Rowlands Marine Electronics Ltd"</f>
        <v>Rowlands Marine Electronics Ltd</v>
      </c>
      <c r="C9627" s="1" t="s">
        <v>6817</v>
      </c>
      <c r="D9627" s="1" t="s">
        <v>6818</v>
      </c>
      <c r="F9627" s="1" t="s">
        <v>790</v>
      </c>
      <c r="H9627" s="1" t="s">
        <v>6819</v>
      </c>
      <c r="I9627" s="1" t="s">
        <v>19</v>
      </c>
      <c r="J9627" s="1" t="s">
        <v>67</v>
      </c>
      <c r="K9627" s="1" t="s">
        <v>14</v>
      </c>
      <c r="M9627" s="2">
        <v>42052</v>
      </c>
      <c r="N9627" s="1" t="s">
        <v>8</v>
      </c>
      <c r="O9627" s="1" t="s">
        <v>68</v>
      </c>
    </row>
    <row r="9628" spans="1:15" ht="43.2" x14ac:dyDescent="0.3">
      <c r="A9628" s="1" t="s">
        <v>21084</v>
      </c>
      <c r="B9628" s="1" t="str">
        <f>"Francesca Garman"</f>
        <v>Francesca Garman</v>
      </c>
      <c r="C9628" s="1" t="s">
        <v>21085</v>
      </c>
      <c r="D9628" s="1" t="s">
        <v>21086</v>
      </c>
      <c r="F9628" s="1" t="s">
        <v>798</v>
      </c>
      <c r="H9628" s="1" t="s">
        <v>21087</v>
      </c>
      <c r="I9628" s="1" t="s">
        <v>5</v>
      </c>
      <c r="J9628" s="1" t="s">
        <v>67</v>
      </c>
      <c r="K9628" s="1" t="s">
        <v>14</v>
      </c>
      <c r="M9628" s="2">
        <v>42052</v>
      </c>
      <c r="N9628" s="1" t="s">
        <v>8</v>
      </c>
      <c r="O9628" s="1" t="s">
        <v>68</v>
      </c>
    </row>
    <row r="9629" spans="1:15" ht="43.2" x14ac:dyDescent="0.3">
      <c r="A9629" s="1" t="s">
        <v>21088</v>
      </c>
      <c r="B9629" s="1" t="str">
        <f>"Jaqueline Williams"</f>
        <v>Jaqueline Williams</v>
      </c>
      <c r="C9629" s="1" t="s">
        <v>21089</v>
      </c>
      <c r="D9629" s="1" t="s">
        <v>21090</v>
      </c>
      <c r="F9629" s="1" t="s">
        <v>380</v>
      </c>
      <c r="H9629" s="1" t="s">
        <v>21091</v>
      </c>
      <c r="I9629" s="1" t="s">
        <v>5</v>
      </c>
      <c r="J9629" s="1" t="s">
        <v>67</v>
      </c>
      <c r="K9629" s="1" t="s">
        <v>14</v>
      </c>
      <c r="M9629" s="2">
        <v>42052</v>
      </c>
      <c r="N9629" s="1" t="s">
        <v>8</v>
      </c>
      <c r="O9629" s="1" t="s">
        <v>68</v>
      </c>
    </row>
    <row r="9630" spans="1:15" ht="43.2" x14ac:dyDescent="0.3">
      <c r="A9630" s="1" t="s">
        <v>21092</v>
      </c>
      <c r="B9630" s="1" t="str">
        <f>"ALAN HOMEWOOD"</f>
        <v>ALAN HOMEWOOD</v>
      </c>
      <c r="C9630" s="1" t="s">
        <v>21093</v>
      </c>
      <c r="F9630" s="1" t="s">
        <v>21094</v>
      </c>
      <c r="H9630" s="1" t="s">
        <v>21095</v>
      </c>
      <c r="I9630" s="1" t="s">
        <v>5</v>
      </c>
      <c r="J9630" s="1" t="s">
        <v>67</v>
      </c>
      <c r="K9630" s="1" t="s">
        <v>14</v>
      </c>
      <c r="M9630" s="2">
        <v>42052</v>
      </c>
      <c r="N9630" s="1" t="s">
        <v>8</v>
      </c>
      <c r="O9630" s="1" t="s">
        <v>68</v>
      </c>
    </row>
    <row r="9631" spans="1:15" ht="43.2" x14ac:dyDescent="0.3">
      <c r="A9631" s="1" t="s">
        <v>5603</v>
      </c>
      <c r="B9631" s="1" t="str">
        <f>"Girlguiding Cymru"</f>
        <v>Girlguiding Cymru</v>
      </c>
      <c r="C9631" s="1" t="s">
        <v>5604</v>
      </c>
      <c r="F9631" s="1" t="s">
        <v>4127</v>
      </c>
      <c r="H9631" s="1" t="s">
        <v>5605</v>
      </c>
      <c r="I9631" s="1" t="s">
        <v>1872</v>
      </c>
      <c r="J9631" s="1" t="s">
        <v>67</v>
      </c>
      <c r="K9631" s="1" t="s">
        <v>14</v>
      </c>
      <c r="M9631" s="2">
        <v>42051</v>
      </c>
      <c r="N9631" s="1" t="s">
        <v>8</v>
      </c>
      <c r="O9631" s="1" t="s">
        <v>68</v>
      </c>
    </row>
    <row r="9632" spans="1:15" ht="43.2" x14ac:dyDescent="0.3">
      <c r="A9632" s="1" t="s">
        <v>5606</v>
      </c>
      <c r="B9632" s="1" t="str">
        <f>"ACRoberts"</f>
        <v>ACRoberts</v>
      </c>
      <c r="C9632" s="1" t="s">
        <v>5607</v>
      </c>
      <c r="D9632" s="1" t="s">
        <v>5608</v>
      </c>
      <c r="F9632" s="1" t="s">
        <v>1321</v>
      </c>
      <c r="H9632" s="1" t="s">
        <v>5609</v>
      </c>
      <c r="I9632" s="1" t="s">
        <v>188</v>
      </c>
      <c r="J9632" s="1" t="s">
        <v>67</v>
      </c>
      <c r="K9632" s="1" t="s">
        <v>14</v>
      </c>
      <c r="M9632" s="2">
        <v>42051</v>
      </c>
      <c r="N9632" s="1" t="s">
        <v>8</v>
      </c>
      <c r="O9632" s="1" t="s">
        <v>68</v>
      </c>
    </row>
    <row r="9633" spans="1:15" ht="43.2" x14ac:dyDescent="0.3">
      <c r="A9633" s="1" t="s">
        <v>5610</v>
      </c>
      <c r="B9633" s="1" t="str">
        <f>"ACRoberts"</f>
        <v>ACRoberts</v>
      </c>
      <c r="C9633" s="1" t="s">
        <v>5607</v>
      </c>
      <c r="D9633" s="1" t="s">
        <v>5608</v>
      </c>
      <c r="F9633" s="1" t="s">
        <v>1321</v>
      </c>
      <c r="H9633" s="1" t="s">
        <v>5609</v>
      </c>
      <c r="I9633" s="1" t="s">
        <v>188</v>
      </c>
      <c r="J9633" s="1" t="s">
        <v>67</v>
      </c>
      <c r="K9633" s="1" t="s">
        <v>14</v>
      </c>
      <c r="M9633" s="2">
        <v>42051</v>
      </c>
      <c r="N9633" s="1" t="s">
        <v>8</v>
      </c>
      <c r="O9633" s="1" t="s">
        <v>68</v>
      </c>
    </row>
    <row r="9634" spans="1:15" ht="43.2" x14ac:dyDescent="0.3">
      <c r="A9634" s="1" t="s">
        <v>6805</v>
      </c>
      <c r="B9634" s="1" t="str">
        <f>"Fiddes and Son"</f>
        <v>Fiddes and Son</v>
      </c>
      <c r="C9634" s="1" t="s">
        <v>6806</v>
      </c>
      <c r="F9634" s="1" t="s">
        <v>123</v>
      </c>
      <c r="H9634" s="1" t="s">
        <v>6807</v>
      </c>
      <c r="I9634" s="1" t="s">
        <v>19</v>
      </c>
      <c r="J9634" s="1" t="s">
        <v>67</v>
      </c>
      <c r="K9634" s="1" t="s">
        <v>14</v>
      </c>
      <c r="M9634" s="2">
        <v>42051</v>
      </c>
      <c r="N9634" s="1" t="s">
        <v>8</v>
      </c>
      <c r="O9634" s="1" t="s">
        <v>68</v>
      </c>
    </row>
    <row r="9635" spans="1:15" ht="43.2" x14ac:dyDescent="0.3">
      <c r="A9635" s="1" t="s">
        <v>21076</v>
      </c>
      <c r="B9635" s="1" t="str">
        <f>"James Asquith"</f>
        <v>James Asquith</v>
      </c>
      <c r="C9635" s="1" t="s">
        <v>21077</v>
      </c>
      <c r="D9635" s="1" t="s">
        <v>21078</v>
      </c>
      <c r="F9635" s="1" t="s">
        <v>64</v>
      </c>
      <c r="H9635" s="1" t="s">
        <v>21079</v>
      </c>
      <c r="I9635" s="1" t="s">
        <v>5</v>
      </c>
      <c r="J9635" s="1" t="s">
        <v>67</v>
      </c>
      <c r="K9635" s="1" t="s">
        <v>14</v>
      </c>
      <c r="M9635" s="2">
        <v>42051</v>
      </c>
      <c r="N9635" s="1" t="s">
        <v>8</v>
      </c>
      <c r="O9635" s="1" t="s">
        <v>68</v>
      </c>
    </row>
    <row r="9636" spans="1:15" ht="43.2" x14ac:dyDescent="0.3">
      <c r="A9636" s="1" t="s">
        <v>21080</v>
      </c>
      <c r="B9636" s="1" t="str">
        <f>"paul smith"</f>
        <v>paul smith</v>
      </c>
      <c r="C9636" s="1" t="s">
        <v>21081</v>
      </c>
      <c r="F9636" s="1" t="s">
        <v>13247</v>
      </c>
      <c r="H9636" s="1" t="s">
        <v>21082</v>
      </c>
      <c r="I9636" s="1" t="s">
        <v>5</v>
      </c>
      <c r="J9636" s="1" t="s">
        <v>67</v>
      </c>
      <c r="K9636" s="1" t="s">
        <v>14</v>
      </c>
      <c r="M9636" s="2">
        <v>42051</v>
      </c>
      <c r="N9636" s="1" t="s">
        <v>8</v>
      </c>
      <c r="O9636" s="1" t="s">
        <v>68</v>
      </c>
    </row>
    <row r="9637" spans="1:15" ht="43.2" x14ac:dyDescent="0.3">
      <c r="A9637" s="1" t="s">
        <v>21083</v>
      </c>
      <c r="B9637" s="1" t="str">
        <f>"paul smith"</f>
        <v>paul smith</v>
      </c>
      <c r="C9637" s="1" t="s">
        <v>21081</v>
      </c>
      <c r="F9637" s="1" t="s">
        <v>13247</v>
      </c>
      <c r="H9637" s="1" t="s">
        <v>21082</v>
      </c>
      <c r="I9637" s="1" t="s">
        <v>5</v>
      </c>
      <c r="J9637" s="1" t="s">
        <v>67</v>
      </c>
      <c r="K9637" s="1" t="s">
        <v>14</v>
      </c>
      <c r="M9637" s="2">
        <v>42051</v>
      </c>
      <c r="N9637" s="1" t="s">
        <v>8</v>
      </c>
      <c r="O9637" s="1" t="s">
        <v>68</v>
      </c>
    </row>
    <row r="9638" spans="1:15" ht="43.2" x14ac:dyDescent="0.3">
      <c r="A9638" s="1" t="s">
        <v>5592</v>
      </c>
      <c r="B9638" s="1" t="str">
        <f>"oakwell paving limited"</f>
        <v>oakwell paving limited</v>
      </c>
      <c r="C9638" s="1" t="s">
        <v>5593</v>
      </c>
      <c r="D9638" s="1" t="s">
        <v>5594</v>
      </c>
      <c r="F9638" s="1" t="s">
        <v>5595</v>
      </c>
      <c r="H9638" s="1" t="s">
        <v>5596</v>
      </c>
      <c r="I9638" s="1" t="s">
        <v>19</v>
      </c>
      <c r="J9638" s="1" t="s">
        <v>67</v>
      </c>
      <c r="K9638" s="1" t="s">
        <v>14</v>
      </c>
      <c r="M9638" s="2">
        <v>42050</v>
      </c>
      <c r="N9638" s="1" t="s">
        <v>8</v>
      </c>
      <c r="O9638" s="1" t="s">
        <v>68</v>
      </c>
    </row>
    <row r="9639" spans="1:15" ht="43.2" x14ac:dyDescent="0.3">
      <c r="A9639" s="1" t="s">
        <v>5597</v>
      </c>
      <c r="B9639" s="1" t="str">
        <f>"Lam's catering"</f>
        <v>Lam's catering</v>
      </c>
      <c r="C9639" s="1" t="s">
        <v>5598</v>
      </c>
      <c r="D9639" s="1" t="s">
        <v>5599</v>
      </c>
      <c r="F9639" s="1" t="s">
        <v>5600</v>
      </c>
      <c r="H9639" s="1" t="s">
        <v>5601</v>
      </c>
      <c r="I9639" s="1" t="s">
        <v>125</v>
      </c>
      <c r="J9639" s="1" t="s">
        <v>67</v>
      </c>
      <c r="K9639" s="1" t="s">
        <v>14</v>
      </c>
      <c r="M9639" s="2">
        <v>42050</v>
      </c>
      <c r="N9639" s="1" t="s">
        <v>8</v>
      </c>
      <c r="O9639" s="1" t="s">
        <v>68</v>
      </c>
    </row>
    <row r="9640" spans="1:15" ht="43.2" x14ac:dyDescent="0.3">
      <c r="A9640" s="1" t="s">
        <v>5602</v>
      </c>
      <c r="B9640" s="1" t="str">
        <f>"Lam's catering"</f>
        <v>Lam's catering</v>
      </c>
      <c r="C9640" s="1" t="s">
        <v>5598</v>
      </c>
      <c r="D9640" s="1" t="s">
        <v>5599</v>
      </c>
      <c r="F9640" s="1" t="s">
        <v>5600</v>
      </c>
      <c r="H9640" s="1" t="s">
        <v>5601</v>
      </c>
      <c r="I9640" s="1" t="s">
        <v>125</v>
      </c>
      <c r="J9640" s="1" t="s">
        <v>67</v>
      </c>
      <c r="K9640" s="1" t="s">
        <v>14</v>
      </c>
      <c r="M9640" s="2">
        <v>42050</v>
      </c>
      <c r="N9640" s="1" t="s">
        <v>8</v>
      </c>
      <c r="O9640" s="1" t="s">
        <v>68</v>
      </c>
    </row>
    <row r="9641" spans="1:15" ht="43.2" x14ac:dyDescent="0.3">
      <c r="A9641" s="1" t="s">
        <v>5589</v>
      </c>
      <c r="B9641" s="1" t="str">
        <f>"Charlotte Roskill Catering Limited"</f>
        <v>Charlotte Roskill Catering Limited</v>
      </c>
      <c r="C9641" s="1" t="s">
        <v>5590</v>
      </c>
      <c r="F9641" s="1" t="s">
        <v>1206</v>
      </c>
      <c r="H9641" s="1" t="s">
        <v>3199</v>
      </c>
      <c r="I9641" s="1" t="s">
        <v>19</v>
      </c>
      <c r="J9641" s="1" t="s">
        <v>67</v>
      </c>
      <c r="K9641" s="1" t="s">
        <v>14</v>
      </c>
      <c r="M9641" s="2">
        <v>42048</v>
      </c>
      <c r="N9641" s="1" t="s">
        <v>8</v>
      </c>
      <c r="O9641" s="1" t="s">
        <v>68</v>
      </c>
    </row>
    <row r="9642" spans="1:15" ht="43.2" x14ac:dyDescent="0.3">
      <c r="A9642" s="1" t="s">
        <v>5591</v>
      </c>
      <c r="B9642" s="1" t="str">
        <f>"West Wales Pest Control Ltd"</f>
        <v>West Wales Pest Control Ltd</v>
      </c>
      <c r="C9642" s="1" t="s">
        <v>5453</v>
      </c>
      <c r="D9642" s="1" t="s">
        <v>5454</v>
      </c>
      <c r="F9642" s="1" t="s">
        <v>1776</v>
      </c>
      <c r="H9642" s="1" t="s">
        <v>5455</v>
      </c>
      <c r="I9642" s="1" t="s">
        <v>19</v>
      </c>
      <c r="J9642" s="1" t="s">
        <v>67</v>
      </c>
      <c r="K9642" s="1" t="s">
        <v>14</v>
      </c>
      <c r="M9642" s="2">
        <v>42048</v>
      </c>
      <c r="N9642" s="1" t="s">
        <v>8</v>
      </c>
      <c r="O9642" s="1" t="s">
        <v>68</v>
      </c>
    </row>
    <row r="9643" spans="1:15" ht="43.2" x14ac:dyDescent="0.3">
      <c r="A9643" s="1" t="s">
        <v>20269</v>
      </c>
      <c r="B9643" s="1" t="str">
        <f>"doru pascu"</f>
        <v>doru pascu</v>
      </c>
      <c r="C9643" s="1" t="s">
        <v>20270</v>
      </c>
      <c r="F9643" s="1" t="s">
        <v>1525</v>
      </c>
      <c r="H9643" s="1" t="s">
        <v>20271</v>
      </c>
      <c r="I9643" s="1" t="s">
        <v>5</v>
      </c>
      <c r="J9643" s="1" t="s">
        <v>67</v>
      </c>
      <c r="K9643" s="1" t="s">
        <v>14</v>
      </c>
      <c r="M9643" s="2">
        <v>42047</v>
      </c>
      <c r="N9643" s="1" t="s">
        <v>8</v>
      </c>
      <c r="O9643" s="1" t="s">
        <v>68</v>
      </c>
    </row>
    <row r="9644" spans="1:15" ht="43.2" x14ac:dyDescent="0.3">
      <c r="A9644" s="1" t="s">
        <v>5581</v>
      </c>
      <c r="B9644" s="1" t="str">
        <f>"Chwarae Teg"</f>
        <v>Chwarae Teg</v>
      </c>
      <c r="C9644" s="1" t="s">
        <v>5582</v>
      </c>
      <c r="D9644" s="1" t="s">
        <v>5583</v>
      </c>
      <c r="F9644" s="1" t="s">
        <v>123</v>
      </c>
      <c r="H9644" s="1" t="s">
        <v>5584</v>
      </c>
      <c r="I9644" s="1" t="s">
        <v>1872</v>
      </c>
      <c r="J9644" s="1" t="s">
        <v>67</v>
      </c>
      <c r="K9644" s="1" t="s">
        <v>14</v>
      </c>
      <c r="M9644" s="2">
        <v>42046</v>
      </c>
      <c r="N9644" s="1" t="s">
        <v>8</v>
      </c>
      <c r="O9644" s="1" t="s">
        <v>68</v>
      </c>
    </row>
    <row r="9645" spans="1:15" ht="43.2" x14ac:dyDescent="0.3">
      <c r="A9645" s="1" t="s">
        <v>5585</v>
      </c>
      <c r="B9645" s="1" t="str">
        <f>"Dollar Bedding Ltd"</f>
        <v>Dollar Bedding Ltd</v>
      </c>
      <c r="C9645" s="1" t="s">
        <v>5586</v>
      </c>
      <c r="F9645" s="1" t="s">
        <v>5587</v>
      </c>
      <c r="H9645" s="1" t="s">
        <v>5588</v>
      </c>
      <c r="I9645" s="1" t="s">
        <v>19</v>
      </c>
      <c r="J9645" s="1" t="s">
        <v>67</v>
      </c>
      <c r="K9645" s="1" t="s">
        <v>14</v>
      </c>
      <c r="M9645" s="2">
        <v>42046</v>
      </c>
      <c r="N9645" s="1" t="s">
        <v>8</v>
      </c>
      <c r="O9645" s="1" t="s">
        <v>68</v>
      </c>
    </row>
    <row r="9646" spans="1:15" ht="43.2" x14ac:dyDescent="0.3">
      <c r="A9646" s="1" t="s">
        <v>19503</v>
      </c>
      <c r="B9646" s="1" t="str">
        <f>"Alun Evans"</f>
        <v>Alun Evans</v>
      </c>
      <c r="C9646" s="1" t="s">
        <v>19504</v>
      </c>
      <c r="F9646" s="1" t="s">
        <v>790</v>
      </c>
      <c r="H9646" s="1" t="s">
        <v>19505</v>
      </c>
      <c r="I9646" s="1" t="s">
        <v>5</v>
      </c>
      <c r="J9646" s="1" t="s">
        <v>67</v>
      </c>
      <c r="K9646" s="1" t="s">
        <v>14</v>
      </c>
      <c r="M9646" s="2">
        <v>42046</v>
      </c>
      <c r="N9646" s="1" t="s">
        <v>8</v>
      </c>
      <c r="O9646" s="1" t="s">
        <v>68</v>
      </c>
    </row>
    <row r="9647" spans="1:15" ht="43.2" x14ac:dyDescent="0.3">
      <c r="A9647" s="1" t="s">
        <v>19506</v>
      </c>
      <c r="B9647" s="1" t="str">
        <f>"ALUN EVANS"</f>
        <v>ALUN EVANS</v>
      </c>
      <c r="C9647" s="1" t="s">
        <v>19504</v>
      </c>
      <c r="F9647" s="1" t="s">
        <v>790</v>
      </c>
      <c r="H9647" s="1" t="s">
        <v>19505</v>
      </c>
      <c r="I9647" s="1" t="s">
        <v>5</v>
      </c>
      <c r="J9647" s="1" t="s">
        <v>67</v>
      </c>
      <c r="K9647" s="1" t="s">
        <v>14</v>
      </c>
      <c r="M9647" s="2">
        <v>42046</v>
      </c>
      <c r="N9647" s="1" t="s">
        <v>8</v>
      </c>
      <c r="O9647" s="1" t="s">
        <v>68</v>
      </c>
    </row>
    <row r="9648" spans="1:15" ht="43.2" x14ac:dyDescent="0.3">
      <c r="A9648" s="1" t="s">
        <v>19507</v>
      </c>
      <c r="B9648" s="1" t="str">
        <f>"John Williams"</f>
        <v>John Williams</v>
      </c>
      <c r="C9648" s="1" t="s">
        <v>19508</v>
      </c>
      <c r="D9648" s="1" t="s">
        <v>2950</v>
      </c>
      <c r="F9648" s="1" t="s">
        <v>156</v>
      </c>
      <c r="H9648" s="1" t="s">
        <v>19509</v>
      </c>
      <c r="I9648" s="1" t="s">
        <v>5</v>
      </c>
      <c r="J9648" s="1" t="s">
        <v>67</v>
      </c>
      <c r="K9648" s="1" t="s">
        <v>14</v>
      </c>
      <c r="M9648" s="2">
        <v>42046</v>
      </c>
      <c r="N9648" s="1" t="s">
        <v>8</v>
      </c>
      <c r="O9648" s="1" t="s">
        <v>68</v>
      </c>
    </row>
    <row r="9649" spans="1:15" ht="43.2" x14ac:dyDescent="0.3">
      <c r="A9649" s="1" t="s">
        <v>20253</v>
      </c>
      <c r="B9649" s="1" t="str">
        <f>"Jennifer Rice "</f>
        <v xml:space="preserve">Jennifer Rice </v>
      </c>
      <c r="C9649" s="1" t="s">
        <v>20254</v>
      </c>
      <c r="D9649" s="1" t="s">
        <v>1986</v>
      </c>
      <c r="F9649" s="1" t="s">
        <v>1986</v>
      </c>
      <c r="H9649" s="1" t="s">
        <v>20255</v>
      </c>
      <c r="I9649" s="1" t="s">
        <v>5</v>
      </c>
      <c r="J9649" s="1" t="s">
        <v>67</v>
      </c>
      <c r="K9649" s="1" t="s">
        <v>14</v>
      </c>
      <c r="M9649" s="2">
        <v>42046</v>
      </c>
      <c r="N9649" s="1" t="s">
        <v>8</v>
      </c>
      <c r="O9649" s="1" t="s">
        <v>68</v>
      </c>
    </row>
    <row r="9650" spans="1:15" ht="43.2" x14ac:dyDescent="0.3">
      <c r="A9650" s="1" t="s">
        <v>20256</v>
      </c>
      <c r="B9650" s="1" t="str">
        <f>"Michael Ewins"</f>
        <v>Michael Ewins</v>
      </c>
      <c r="C9650" s="1" t="s">
        <v>20257</v>
      </c>
      <c r="F9650" s="1" t="s">
        <v>1986</v>
      </c>
      <c r="H9650" s="1" t="s">
        <v>20258</v>
      </c>
      <c r="I9650" s="1" t="s">
        <v>5</v>
      </c>
      <c r="J9650" s="1" t="s">
        <v>67</v>
      </c>
      <c r="K9650" s="1" t="s">
        <v>14</v>
      </c>
      <c r="M9650" s="2">
        <v>42046</v>
      </c>
      <c r="N9650" s="1" t="s">
        <v>8</v>
      </c>
      <c r="O9650" s="1" t="s">
        <v>68</v>
      </c>
    </row>
    <row r="9651" spans="1:15" ht="43.2" x14ac:dyDescent="0.3">
      <c r="A9651" s="1" t="s">
        <v>20259</v>
      </c>
      <c r="B9651" s="1" t="str">
        <f>"Mark Lunn"</f>
        <v>Mark Lunn</v>
      </c>
      <c r="C9651" s="1" t="s">
        <v>20260</v>
      </c>
      <c r="F9651" s="1" t="s">
        <v>20261</v>
      </c>
      <c r="H9651" s="1" t="s">
        <v>20262</v>
      </c>
      <c r="I9651" s="1" t="s">
        <v>5</v>
      </c>
      <c r="J9651" s="1" t="s">
        <v>67</v>
      </c>
      <c r="K9651" s="1" t="s">
        <v>14</v>
      </c>
      <c r="M9651" s="2">
        <v>42046</v>
      </c>
      <c r="N9651" s="1" t="s">
        <v>8</v>
      </c>
      <c r="O9651" s="1" t="s">
        <v>68</v>
      </c>
    </row>
    <row r="9652" spans="1:15" ht="43.2" x14ac:dyDescent="0.3">
      <c r="A9652" s="1" t="s">
        <v>20263</v>
      </c>
      <c r="B9652" s="1" t="str">
        <f>"Daniel Cummings"</f>
        <v>Daniel Cummings</v>
      </c>
      <c r="C9652" s="1" t="s">
        <v>20264</v>
      </c>
      <c r="D9652" s="1" t="s">
        <v>20265</v>
      </c>
      <c r="F9652" s="1" t="s">
        <v>20266</v>
      </c>
      <c r="H9652" s="1" t="s">
        <v>20267</v>
      </c>
      <c r="I9652" s="1" t="s">
        <v>5</v>
      </c>
      <c r="J9652" s="1" t="s">
        <v>67</v>
      </c>
      <c r="K9652" s="1" t="s">
        <v>14</v>
      </c>
      <c r="M9652" s="2">
        <v>42046</v>
      </c>
      <c r="N9652" s="1" t="s">
        <v>8</v>
      </c>
      <c r="O9652" s="1" t="s">
        <v>68</v>
      </c>
    </row>
    <row r="9653" spans="1:15" ht="43.2" x14ac:dyDescent="0.3">
      <c r="A9653" s="1" t="s">
        <v>20268</v>
      </c>
      <c r="B9653" s="1" t="str">
        <f>"Daniel Cummings"</f>
        <v>Daniel Cummings</v>
      </c>
      <c r="C9653" s="1" t="s">
        <v>20264</v>
      </c>
      <c r="D9653" s="1" t="s">
        <v>20265</v>
      </c>
      <c r="F9653" s="1" t="s">
        <v>20266</v>
      </c>
      <c r="H9653" s="1" t="s">
        <v>20267</v>
      </c>
      <c r="I9653" s="1" t="s">
        <v>5</v>
      </c>
      <c r="J9653" s="1" t="s">
        <v>67</v>
      </c>
      <c r="K9653" s="1" t="s">
        <v>14</v>
      </c>
      <c r="M9653" s="2">
        <v>42046</v>
      </c>
      <c r="N9653" s="1" t="s">
        <v>8</v>
      </c>
      <c r="O9653" s="1" t="s">
        <v>68</v>
      </c>
    </row>
    <row r="9654" spans="1:15" ht="43.2" x14ac:dyDescent="0.3">
      <c r="A9654" s="1" t="s">
        <v>19499</v>
      </c>
      <c r="B9654" s="1" t="str">
        <f>"David Roe"</f>
        <v>David Roe</v>
      </c>
      <c r="C9654" s="1" t="s">
        <v>19500</v>
      </c>
      <c r="D9654" s="1" t="s">
        <v>19501</v>
      </c>
      <c r="F9654" s="1" t="s">
        <v>19501</v>
      </c>
      <c r="H9654" s="1" t="s">
        <v>19502</v>
      </c>
      <c r="I9654" s="1" t="s">
        <v>5</v>
      </c>
      <c r="J9654" s="1" t="s">
        <v>67</v>
      </c>
      <c r="K9654" s="1" t="s">
        <v>14</v>
      </c>
      <c r="M9654" s="2">
        <v>42045</v>
      </c>
      <c r="N9654" s="1" t="s">
        <v>8</v>
      </c>
      <c r="O9654" s="1" t="s">
        <v>68</v>
      </c>
    </row>
    <row r="9655" spans="1:15" ht="43.2" x14ac:dyDescent="0.3">
      <c r="A9655" s="1" t="s">
        <v>4469</v>
      </c>
      <c r="B9655" s="1" t="str">
        <f>"wpg ltd"</f>
        <v>wpg ltd</v>
      </c>
      <c r="C9655" s="1" t="s">
        <v>4470</v>
      </c>
      <c r="F9655" s="1" t="s">
        <v>4471</v>
      </c>
      <c r="H9655" s="1" t="s">
        <v>4472</v>
      </c>
      <c r="I9655" s="1" t="s">
        <v>19</v>
      </c>
      <c r="J9655" s="1" t="s">
        <v>67</v>
      </c>
      <c r="K9655" s="1" t="s">
        <v>14</v>
      </c>
      <c r="M9655" s="2">
        <v>42044</v>
      </c>
      <c r="N9655" s="1" t="s">
        <v>8</v>
      </c>
      <c r="O9655" s="1" t="s">
        <v>68</v>
      </c>
    </row>
    <row r="9656" spans="1:15" ht="43.2" x14ac:dyDescent="0.3">
      <c r="A9656" s="1" t="s">
        <v>4473</v>
      </c>
      <c r="B9656" s="1" t="str">
        <f>"wpg ltd"</f>
        <v>wpg ltd</v>
      </c>
      <c r="C9656" s="1" t="s">
        <v>4470</v>
      </c>
      <c r="F9656" s="1" t="s">
        <v>4471</v>
      </c>
      <c r="H9656" s="1" t="s">
        <v>4472</v>
      </c>
      <c r="I9656" s="1" t="s">
        <v>19</v>
      </c>
      <c r="J9656" s="1" t="s">
        <v>67</v>
      </c>
      <c r="K9656" s="1" t="s">
        <v>14</v>
      </c>
      <c r="M9656" s="2">
        <v>42044</v>
      </c>
      <c r="N9656" s="1" t="s">
        <v>8</v>
      </c>
      <c r="O9656" s="1" t="s">
        <v>68</v>
      </c>
    </row>
    <row r="9657" spans="1:15" ht="43.2" x14ac:dyDescent="0.3">
      <c r="A9657" s="1" t="s">
        <v>4474</v>
      </c>
      <c r="B9657" s="1" t="str">
        <f>"Rees and Daughters Ltd"</f>
        <v>Rees and Daughters Ltd</v>
      </c>
      <c r="C9657" s="1" t="s">
        <v>4475</v>
      </c>
      <c r="F9657" s="1" t="s">
        <v>42</v>
      </c>
      <c r="H9657" s="1" t="s">
        <v>4476</v>
      </c>
      <c r="I9657" s="1" t="s">
        <v>19</v>
      </c>
      <c r="J9657" s="1" t="s">
        <v>67</v>
      </c>
      <c r="K9657" s="1" t="s">
        <v>14</v>
      </c>
      <c r="M9657" s="2">
        <v>42044</v>
      </c>
      <c r="N9657" s="1" t="s">
        <v>8</v>
      </c>
      <c r="O9657" s="1" t="s">
        <v>68</v>
      </c>
    </row>
    <row r="9658" spans="1:15" ht="43.2" x14ac:dyDescent="0.3">
      <c r="A9658" s="1" t="s">
        <v>4477</v>
      </c>
      <c r="B9658" s="1" t="str">
        <f>"Nightingale refurbishments ltd"</f>
        <v>Nightingale refurbishments ltd</v>
      </c>
      <c r="C9658" s="1" t="s">
        <v>4478</v>
      </c>
      <c r="F9658" s="1" t="s">
        <v>42</v>
      </c>
      <c r="H9658" s="1" t="s">
        <v>4479</v>
      </c>
      <c r="I9658" s="1" t="s">
        <v>19</v>
      </c>
      <c r="J9658" s="1" t="s">
        <v>67</v>
      </c>
      <c r="K9658" s="1" t="s">
        <v>14</v>
      </c>
      <c r="M9658" s="2">
        <v>42044</v>
      </c>
      <c r="N9658" s="1" t="s">
        <v>8</v>
      </c>
      <c r="O9658" s="1" t="s">
        <v>68</v>
      </c>
    </row>
    <row r="9659" spans="1:15" ht="43.2" x14ac:dyDescent="0.3">
      <c r="A9659" s="1" t="s">
        <v>18638</v>
      </c>
      <c r="B9659" s="1" t="str">
        <f>"nicholas janes"</f>
        <v>nicholas janes</v>
      </c>
      <c r="C9659" s="1" t="s">
        <v>18639</v>
      </c>
      <c r="F9659" s="1" t="s">
        <v>18640</v>
      </c>
      <c r="H9659" s="1" t="s">
        <v>18641</v>
      </c>
      <c r="I9659" s="1" t="s">
        <v>5</v>
      </c>
      <c r="J9659" s="1" t="s">
        <v>67</v>
      </c>
      <c r="K9659" s="1" t="s">
        <v>14</v>
      </c>
      <c r="M9659" s="2">
        <v>42043</v>
      </c>
      <c r="N9659" s="1" t="s">
        <v>8</v>
      </c>
      <c r="O9659" s="1" t="s">
        <v>68</v>
      </c>
    </row>
    <row r="9660" spans="1:15" ht="43.2" x14ac:dyDescent="0.3">
      <c r="A9660" s="1" t="s">
        <v>19490</v>
      </c>
      <c r="B9660" s="1" t="str">
        <f>"Matthew De Martino"</f>
        <v>Matthew De Martino</v>
      </c>
      <c r="C9660" s="1" t="s">
        <v>19491</v>
      </c>
      <c r="D9660" s="1" t="s">
        <v>114</v>
      </c>
      <c r="F9660" s="1" t="s">
        <v>114</v>
      </c>
      <c r="H9660" s="1" t="s">
        <v>19492</v>
      </c>
      <c r="I9660" s="1" t="s">
        <v>5</v>
      </c>
      <c r="J9660" s="1" t="s">
        <v>67</v>
      </c>
      <c r="K9660" s="1" t="s">
        <v>14</v>
      </c>
      <c r="M9660" s="2">
        <v>42043</v>
      </c>
      <c r="N9660" s="1" t="s">
        <v>8</v>
      </c>
      <c r="O9660" s="1" t="s">
        <v>68</v>
      </c>
    </row>
    <row r="9661" spans="1:15" ht="43.2" x14ac:dyDescent="0.3">
      <c r="A9661" s="1" t="s">
        <v>19493</v>
      </c>
      <c r="B9661" s="1" t="str">
        <f>"Rhys Mosley"</f>
        <v>Rhys Mosley</v>
      </c>
      <c r="C9661" s="1" t="s">
        <v>19494</v>
      </c>
      <c r="D9661" s="1" t="s">
        <v>19495</v>
      </c>
      <c r="F9661" s="1" t="s">
        <v>19496</v>
      </c>
      <c r="H9661" s="1" t="s">
        <v>19497</v>
      </c>
      <c r="I9661" s="1" t="s">
        <v>5</v>
      </c>
      <c r="J9661" s="1" t="s">
        <v>67</v>
      </c>
      <c r="K9661" s="1" t="s">
        <v>14</v>
      </c>
      <c r="M9661" s="2">
        <v>42043</v>
      </c>
      <c r="N9661" s="1" t="s">
        <v>8</v>
      </c>
      <c r="O9661" s="1" t="s">
        <v>68</v>
      </c>
    </row>
    <row r="9662" spans="1:15" ht="43.2" x14ac:dyDescent="0.3">
      <c r="A9662" s="1" t="s">
        <v>19498</v>
      </c>
      <c r="B9662" s="1" t="str">
        <f>"Rhys Mosley"</f>
        <v>Rhys Mosley</v>
      </c>
      <c r="C9662" s="1" t="s">
        <v>19494</v>
      </c>
      <c r="D9662" s="1" t="s">
        <v>19495</v>
      </c>
      <c r="F9662" s="1" t="s">
        <v>19496</v>
      </c>
      <c r="H9662" s="1" t="s">
        <v>19497</v>
      </c>
      <c r="I9662" s="1" t="s">
        <v>5</v>
      </c>
      <c r="J9662" s="1" t="s">
        <v>67</v>
      </c>
      <c r="K9662" s="1" t="s">
        <v>14</v>
      </c>
      <c r="M9662" s="2">
        <v>42043</v>
      </c>
      <c r="N9662" s="1" t="s">
        <v>8</v>
      </c>
      <c r="O9662" s="1" t="s">
        <v>68</v>
      </c>
    </row>
    <row r="9663" spans="1:15" ht="43.2" x14ac:dyDescent="0.3">
      <c r="A9663" s="1" t="s">
        <v>3363</v>
      </c>
      <c r="B9663" s="1" t="str">
        <f>"Thomas &amp; Williams Construction"</f>
        <v>Thomas &amp; Williams Construction</v>
      </c>
      <c r="C9663" s="1" t="s">
        <v>3364</v>
      </c>
      <c r="D9663" s="1" t="s">
        <v>3365</v>
      </c>
      <c r="F9663" s="1" t="s">
        <v>123</v>
      </c>
      <c r="H9663" s="1" t="s">
        <v>3366</v>
      </c>
      <c r="I9663" s="1" t="s">
        <v>125</v>
      </c>
      <c r="J9663" s="1" t="s">
        <v>67</v>
      </c>
      <c r="K9663" s="1" t="s">
        <v>14</v>
      </c>
      <c r="M9663" s="2">
        <v>42041</v>
      </c>
      <c r="N9663" s="1" t="s">
        <v>8</v>
      </c>
      <c r="O9663" s="1" t="s">
        <v>68</v>
      </c>
    </row>
    <row r="9664" spans="1:15" ht="43.2" x14ac:dyDescent="0.3">
      <c r="A9664" s="1" t="s">
        <v>18631</v>
      </c>
      <c r="B9664" s="1" t="str">
        <f>"Hilary Fowles"</f>
        <v>Hilary Fowles</v>
      </c>
      <c r="C9664" s="1" t="s">
        <v>18632</v>
      </c>
      <c r="F9664" s="1" t="s">
        <v>1986</v>
      </c>
      <c r="H9664" s="1" t="s">
        <v>18633</v>
      </c>
      <c r="I9664" s="1" t="s">
        <v>5</v>
      </c>
      <c r="J9664" s="1" t="s">
        <v>67</v>
      </c>
      <c r="K9664" s="1" t="s">
        <v>14</v>
      </c>
      <c r="M9664" s="2">
        <v>42041</v>
      </c>
      <c r="N9664" s="1" t="s">
        <v>8</v>
      </c>
      <c r="O9664" s="1" t="s">
        <v>68</v>
      </c>
    </row>
    <row r="9665" spans="1:15" ht="43.2" x14ac:dyDescent="0.3">
      <c r="A9665" s="1" t="s">
        <v>18634</v>
      </c>
      <c r="B9665" s="1" t="str">
        <f>"Ryan griffiths"</f>
        <v>Ryan griffiths</v>
      </c>
      <c r="C9665" s="1" t="s">
        <v>18635</v>
      </c>
      <c r="F9665" s="1" t="s">
        <v>18636</v>
      </c>
      <c r="H9665" s="1" t="s">
        <v>18637</v>
      </c>
      <c r="I9665" s="1" t="s">
        <v>5</v>
      </c>
      <c r="J9665" s="1" t="s">
        <v>67</v>
      </c>
      <c r="K9665" s="1" t="s">
        <v>14</v>
      </c>
      <c r="M9665" s="2">
        <v>42041</v>
      </c>
      <c r="N9665" s="1" t="s">
        <v>8</v>
      </c>
      <c r="O9665" s="1" t="s">
        <v>68</v>
      </c>
    </row>
    <row r="9666" spans="1:15" ht="43.2" x14ac:dyDescent="0.3">
      <c r="A9666" s="1" t="s">
        <v>3342</v>
      </c>
      <c r="B9666" s="1" t="str">
        <f>"Gtree services ltd"</f>
        <v>Gtree services ltd</v>
      </c>
      <c r="C9666" s="1" t="s">
        <v>3343</v>
      </c>
      <c r="D9666" s="1" t="s">
        <v>3344</v>
      </c>
      <c r="F9666" s="1" t="s">
        <v>3345</v>
      </c>
      <c r="H9666" s="1" t="s">
        <v>3346</v>
      </c>
      <c r="I9666" s="1" t="s">
        <v>19</v>
      </c>
      <c r="J9666" s="1" t="s">
        <v>67</v>
      </c>
      <c r="K9666" s="1" t="s">
        <v>14</v>
      </c>
      <c r="M9666" s="2">
        <v>42040</v>
      </c>
      <c r="N9666" s="1" t="s">
        <v>8</v>
      </c>
      <c r="O9666" s="1" t="s">
        <v>68</v>
      </c>
    </row>
    <row r="9667" spans="1:15" ht="43.2" x14ac:dyDescent="0.3">
      <c r="A9667" s="1" t="s">
        <v>3347</v>
      </c>
      <c r="B9667" s="1" t="str">
        <f>"ServiceMaster Clwyd"</f>
        <v>ServiceMaster Clwyd</v>
      </c>
      <c r="C9667" s="1" t="s">
        <v>3348</v>
      </c>
      <c r="D9667" s="1" t="s">
        <v>3349</v>
      </c>
      <c r="F9667" s="1" t="s">
        <v>3350</v>
      </c>
      <c r="H9667" s="1" t="s">
        <v>3351</v>
      </c>
      <c r="I9667" s="1" t="s">
        <v>19</v>
      </c>
      <c r="J9667" s="1" t="s">
        <v>67</v>
      </c>
      <c r="K9667" s="1" t="s">
        <v>14</v>
      </c>
      <c r="M9667" s="2">
        <v>42040</v>
      </c>
      <c r="N9667" s="1" t="s">
        <v>8</v>
      </c>
      <c r="O9667" s="1" t="s">
        <v>68</v>
      </c>
    </row>
    <row r="9668" spans="1:15" ht="43.2" x14ac:dyDescent="0.3">
      <c r="A9668" s="1" t="s">
        <v>3352</v>
      </c>
      <c r="B9668" s="1" t="str">
        <f>"Vision Design &amp; Print"</f>
        <v>Vision Design &amp; Print</v>
      </c>
      <c r="C9668" s="1" t="s">
        <v>3353</v>
      </c>
      <c r="F9668" s="1" t="s">
        <v>380</v>
      </c>
      <c r="H9668" s="1" t="s">
        <v>3354</v>
      </c>
      <c r="I9668" s="1" t="s">
        <v>125</v>
      </c>
      <c r="J9668" s="1" t="s">
        <v>67</v>
      </c>
      <c r="K9668" s="1" t="s">
        <v>14</v>
      </c>
      <c r="M9668" s="2">
        <v>42040</v>
      </c>
      <c r="N9668" s="1" t="s">
        <v>8</v>
      </c>
      <c r="O9668" s="1" t="s">
        <v>68</v>
      </c>
    </row>
    <row r="9669" spans="1:15" ht="43.2" x14ac:dyDescent="0.3">
      <c r="A9669" s="1" t="s">
        <v>3355</v>
      </c>
      <c r="B9669" s="1" t="str">
        <f>"3DS Heating Limited"</f>
        <v>3DS Heating Limited</v>
      </c>
      <c r="C9669" s="1" t="s">
        <v>3356</v>
      </c>
      <c r="D9669" s="1" t="s">
        <v>3357</v>
      </c>
      <c r="F9669" s="1" t="s">
        <v>3358</v>
      </c>
      <c r="H9669" s="1" t="s">
        <v>3359</v>
      </c>
      <c r="I9669" s="1" t="s">
        <v>19</v>
      </c>
      <c r="J9669" s="1" t="s">
        <v>67</v>
      </c>
      <c r="K9669" s="1" t="s">
        <v>14</v>
      </c>
      <c r="M9669" s="2">
        <v>42040</v>
      </c>
      <c r="N9669" s="1" t="s">
        <v>8</v>
      </c>
      <c r="O9669" s="1" t="s">
        <v>68</v>
      </c>
    </row>
    <row r="9670" spans="1:15" ht="43.2" x14ac:dyDescent="0.3">
      <c r="A9670" s="1" t="s">
        <v>3360</v>
      </c>
      <c r="B9670" s="1" t="str">
        <f>"Aquareach Ltd"</f>
        <v>Aquareach Ltd</v>
      </c>
      <c r="C9670" s="1" t="s">
        <v>3361</v>
      </c>
      <c r="F9670" s="1" t="s">
        <v>3052</v>
      </c>
      <c r="H9670" s="1" t="s">
        <v>3362</v>
      </c>
      <c r="I9670" s="1" t="s">
        <v>19</v>
      </c>
      <c r="J9670" s="1" t="s">
        <v>67</v>
      </c>
      <c r="K9670" s="1" t="s">
        <v>14</v>
      </c>
      <c r="M9670" s="2">
        <v>42040</v>
      </c>
      <c r="N9670" s="1" t="s">
        <v>8</v>
      </c>
      <c r="O9670" s="1" t="s">
        <v>68</v>
      </c>
    </row>
    <row r="9671" spans="1:15" ht="43.2" x14ac:dyDescent="0.3">
      <c r="A9671" s="1" t="s">
        <v>18623</v>
      </c>
      <c r="B9671" s="1" t="str">
        <f>"Robin Eaves"</f>
        <v>Robin Eaves</v>
      </c>
      <c r="C9671" s="1" t="s">
        <v>18624</v>
      </c>
      <c r="F9671" s="1" t="s">
        <v>1058</v>
      </c>
      <c r="H9671" s="1" t="s">
        <v>18625</v>
      </c>
      <c r="I9671" s="1" t="s">
        <v>5</v>
      </c>
      <c r="J9671" s="1" t="s">
        <v>67</v>
      </c>
      <c r="K9671" s="1" t="s">
        <v>14</v>
      </c>
      <c r="M9671" s="2">
        <v>42040</v>
      </c>
      <c r="N9671" s="1" t="s">
        <v>8</v>
      </c>
      <c r="O9671" s="1" t="s">
        <v>68</v>
      </c>
    </row>
    <row r="9672" spans="1:15" ht="43.2" x14ac:dyDescent="0.3">
      <c r="A9672" s="1" t="s">
        <v>18626</v>
      </c>
      <c r="B9672" s="1" t="str">
        <f>"Craig Davies"</f>
        <v>Craig Davies</v>
      </c>
      <c r="C9672" s="1" t="s">
        <v>18627</v>
      </c>
      <c r="D9672" s="1" t="s">
        <v>18628</v>
      </c>
      <c r="F9672" s="1" t="s">
        <v>64</v>
      </c>
      <c r="H9672" s="1" t="s">
        <v>18629</v>
      </c>
      <c r="I9672" s="1" t="s">
        <v>5</v>
      </c>
      <c r="J9672" s="1" t="s">
        <v>67</v>
      </c>
      <c r="K9672" s="1" t="s">
        <v>14</v>
      </c>
      <c r="M9672" s="2">
        <v>42040</v>
      </c>
      <c r="N9672" s="1" t="s">
        <v>8</v>
      </c>
      <c r="O9672" s="1" t="s">
        <v>68</v>
      </c>
    </row>
    <row r="9673" spans="1:15" ht="43.2" x14ac:dyDescent="0.3">
      <c r="A9673" s="1" t="s">
        <v>18630</v>
      </c>
      <c r="B9673" s="1" t="str">
        <f>"Craig Davies"</f>
        <v>Craig Davies</v>
      </c>
      <c r="C9673" s="1" t="s">
        <v>18627</v>
      </c>
      <c r="D9673" s="1" t="s">
        <v>18628</v>
      </c>
      <c r="F9673" s="1" t="s">
        <v>64</v>
      </c>
      <c r="H9673" s="1" t="s">
        <v>18629</v>
      </c>
      <c r="I9673" s="1" t="s">
        <v>5</v>
      </c>
      <c r="J9673" s="1" t="s">
        <v>67</v>
      </c>
      <c r="K9673" s="1" t="s">
        <v>14</v>
      </c>
      <c r="M9673" s="2">
        <v>42040</v>
      </c>
      <c r="N9673" s="1" t="s">
        <v>8</v>
      </c>
      <c r="O9673" s="1" t="s">
        <v>68</v>
      </c>
    </row>
    <row r="9674" spans="1:15" ht="43.2" x14ac:dyDescent="0.3">
      <c r="A9674" s="1" t="s">
        <v>3339</v>
      </c>
      <c r="B9674" s="1" t="str">
        <f>"Concord International Cymru Ltd"</f>
        <v>Concord International Cymru Ltd</v>
      </c>
      <c r="C9674" s="1" t="s">
        <v>3340</v>
      </c>
      <c r="D9674" s="1" t="s">
        <v>1174</v>
      </c>
      <c r="F9674" s="1" t="s">
        <v>1058</v>
      </c>
      <c r="H9674" s="1" t="s">
        <v>3341</v>
      </c>
      <c r="I9674" s="1" t="s">
        <v>19</v>
      </c>
      <c r="J9674" s="1" t="s">
        <v>67</v>
      </c>
      <c r="K9674" s="1" t="s">
        <v>14</v>
      </c>
      <c r="M9674" s="2">
        <v>42039</v>
      </c>
      <c r="N9674" s="1" t="s">
        <v>8</v>
      </c>
      <c r="O9674" s="1" t="s">
        <v>68</v>
      </c>
    </row>
    <row r="9675" spans="1:15" ht="43.2" x14ac:dyDescent="0.3">
      <c r="A9675" s="1" t="s">
        <v>3334</v>
      </c>
      <c r="B9675" s="1" t="str">
        <f>"Mostlymaps"</f>
        <v>Mostlymaps</v>
      </c>
      <c r="C9675" s="1" t="s">
        <v>3335</v>
      </c>
      <c r="D9675" s="1" t="s">
        <v>3336</v>
      </c>
      <c r="F9675" s="1" t="s">
        <v>3337</v>
      </c>
      <c r="H9675" s="1" t="s">
        <v>3338</v>
      </c>
      <c r="I9675" s="1" t="s">
        <v>125</v>
      </c>
      <c r="J9675" s="1" t="s">
        <v>67</v>
      </c>
      <c r="K9675" s="1" t="s">
        <v>14</v>
      </c>
      <c r="M9675" s="2">
        <v>42038</v>
      </c>
      <c r="N9675" s="1" t="s">
        <v>8</v>
      </c>
      <c r="O9675" s="1" t="s">
        <v>68</v>
      </c>
    </row>
    <row r="9676" spans="1:15" ht="43.2" x14ac:dyDescent="0.3">
      <c r="A9676" s="1" t="s">
        <v>18620</v>
      </c>
      <c r="B9676" s="1" t="str">
        <f>"MICHAEL CAPSTICK"</f>
        <v>MICHAEL CAPSTICK</v>
      </c>
      <c r="C9676" s="1" t="s">
        <v>18621</v>
      </c>
      <c r="D9676" s="1" t="s">
        <v>6347</v>
      </c>
      <c r="F9676" s="1" t="s">
        <v>2859</v>
      </c>
      <c r="H9676" s="1" t="s">
        <v>18622</v>
      </c>
      <c r="I9676" s="1" t="s">
        <v>5</v>
      </c>
      <c r="J9676" s="1" t="s">
        <v>67</v>
      </c>
      <c r="K9676" s="1" t="s">
        <v>14</v>
      </c>
      <c r="M9676" s="2">
        <v>42038</v>
      </c>
      <c r="N9676" s="1" t="s">
        <v>8</v>
      </c>
      <c r="O9676" s="1" t="s">
        <v>68</v>
      </c>
    </row>
    <row r="9677" spans="1:15" ht="43.2" x14ac:dyDescent="0.3">
      <c r="A9677" s="1" t="s">
        <v>29758</v>
      </c>
      <c r="B9677" s="1" t="str">
        <f>"Martyn Court"</f>
        <v>Martyn Court</v>
      </c>
      <c r="C9677" s="1" t="s">
        <v>29759</v>
      </c>
      <c r="D9677" s="1" t="s">
        <v>29418</v>
      </c>
      <c r="F9677" s="1" t="s">
        <v>64</v>
      </c>
      <c r="H9677" s="1" t="s">
        <v>29760</v>
      </c>
      <c r="I9677" s="1" t="s">
        <v>5</v>
      </c>
      <c r="J9677" s="1" t="s">
        <v>67</v>
      </c>
      <c r="K9677" s="1" t="s">
        <v>14</v>
      </c>
      <c r="M9677" s="2">
        <v>42037</v>
      </c>
      <c r="N9677" s="1" t="s">
        <v>8</v>
      </c>
      <c r="O9677" s="1" t="s">
        <v>68</v>
      </c>
    </row>
    <row r="9678" spans="1:15" ht="43.2" x14ac:dyDescent="0.3">
      <c r="A9678" s="1" t="s">
        <v>29755</v>
      </c>
      <c r="B9678" s="1" t="str">
        <f>"Owain Humphreys"</f>
        <v>Owain Humphreys</v>
      </c>
      <c r="C9678" s="1" t="s">
        <v>29756</v>
      </c>
      <c r="D9678" s="1" t="s">
        <v>12233</v>
      </c>
      <c r="F9678" s="1" t="s">
        <v>64</v>
      </c>
      <c r="H9678" s="1" t="s">
        <v>29757</v>
      </c>
      <c r="I9678" s="1" t="s">
        <v>5</v>
      </c>
      <c r="J9678" s="1" t="s">
        <v>67</v>
      </c>
      <c r="K9678" s="1" t="s">
        <v>14</v>
      </c>
      <c r="M9678" s="2">
        <v>42035</v>
      </c>
      <c r="N9678" s="1" t="s">
        <v>8</v>
      </c>
      <c r="O9678" s="1" t="s">
        <v>68</v>
      </c>
    </row>
    <row r="9679" spans="1:15" ht="43.2" x14ac:dyDescent="0.3">
      <c r="A9679" s="1" t="s">
        <v>18088</v>
      </c>
      <c r="B9679" s="1" t="str">
        <f>"CSS Electrical Ltd"</f>
        <v>CSS Electrical Ltd</v>
      </c>
      <c r="C9679" s="1" t="s">
        <v>18089</v>
      </c>
      <c r="D9679" s="1" t="s">
        <v>18090</v>
      </c>
      <c r="F9679" s="1" t="s">
        <v>767</v>
      </c>
      <c r="H9679" s="1" t="s">
        <v>8585</v>
      </c>
      <c r="I9679" s="1" t="s">
        <v>19</v>
      </c>
      <c r="J9679" s="1" t="s">
        <v>67</v>
      </c>
      <c r="K9679" s="1" t="s">
        <v>14</v>
      </c>
      <c r="M9679" s="2">
        <v>42034</v>
      </c>
      <c r="N9679" s="1" t="s">
        <v>8</v>
      </c>
      <c r="O9679" s="1" t="s">
        <v>68</v>
      </c>
    </row>
    <row r="9680" spans="1:15" ht="43.2" x14ac:dyDescent="0.3">
      <c r="A9680" s="1" t="s">
        <v>29751</v>
      </c>
      <c r="B9680" s="1" t="str">
        <f>"Michael Salmon"</f>
        <v>Michael Salmon</v>
      </c>
      <c r="C9680" s="1" t="s">
        <v>29752</v>
      </c>
      <c r="D9680" s="1" t="s">
        <v>29753</v>
      </c>
      <c r="F9680" s="1" t="s">
        <v>6353</v>
      </c>
      <c r="H9680" s="1" t="s">
        <v>29754</v>
      </c>
      <c r="I9680" s="1" t="s">
        <v>5</v>
      </c>
      <c r="J9680" s="1" t="s">
        <v>67</v>
      </c>
      <c r="K9680" s="1" t="s">
        <v>14</v>
      </c>
      <c r="M9680" s="2">
        <v>42034</v>
      </c>
      <c r="N9680" s="1" t="s">
        <v>8</v>
      </c>
      <c r="O9680" s="1" t="s">
        <v>68</v>
      </c>
    </row>
    <row r="9681" spans="1:15" ht="43.2" x14ac:dyDescent="0.3">
      <c r="A9681" s="1" t="s">
        <v>17050</v>
      </c>
      <c r="B9681" s="1" t="str">
        <f>"Highvogue 2010 Ltd"</f>
        <v>Highvogue 2010 Ltd</v>
      </c>
      <c r="C9681" s="1" t="s">
        <v>17051</v>
      </c>
      <c r="D9681" s="1" t="s">
        <v>5827</v>
      </c>
      <c r="F9681" s="1" t="s">
        <v>720</v>
      </c>
      <c r="H9681" s="1" t="s">
        <v>10353</v>
      </c>
      <c r="I9681" s="1" t="s">
        <v>19</v>
      </c>
      <c r="J9681" s="1" t="s">
        <v>67</v>
      </c>
      <c r="K9681" s="1" t="s">
        <v>14</v>
      </c>
      <c r="M9681" s="2">
        <v>42033</v>
      </c>
      <c r="N9681" s="1" t="s">
        <v>8</v>
      </c>
      <c r="O9681" s="1" t="s">
        <v>68</v>
      </c>
    </row>
    <row r="9682" spans="1:15" ht="43.2" x14ac:dyDescent="0.3">
      <c r="A9682" s="1" t="s">
        <v>17052</v>
      </c>
      <c r="B9682" s="1" t="str">
        <f>"Comvergent Holdings"</f>
        <v>Comvergent Holdings</v>
      </c>
      <c r="C9682" s="1" t="s">
        <v>17053</v>
      </c>
      <c r="F9682" s="1" t="s">
        <v>585</v>
      </c>
      <c r="H9682" s="1" t="s">
        <v>12778</v>
      </c>
      <c r="I9682" s="1" t="s">
        <v>19</v>
      </c>
      <c r="J9682" s="1" t="s">
        <v>67</v>
      </c>
      <c r="K9682" s="1" t="s">
        <v>14</v>
      </c>
      <c r="M9682" s="2">
        <v>42033</v>
      </c>
      <c r="N9682" s="1" t="s">
        <v>8</v>
      </c>
      <c r="O9682" s="1" t="s">
        <v>68</v>
      </c>
    </row>
    <row r="9683" spans="1:15" ht="43.2" x14ac:dyDescent="0.3">
      <c r="A9683" s="1" t="s">
        <v>17054</v>
      </c>
      <c r="B9683" s="1" t="str">
        <f>"Morfa Bay Adventure"</f>
        <v>Morfa Bay Adventure</v>
      </c>
      <c r="C9683" s="1" t="s">
        <v>17055</v>
      </c>
      <c r="F9683" s="1" t="s">
        <v>3161</v>
      </c>
      <c r="H9683" s="1" t="s">
        <v>17056</v>
      </c>
      <c r="I9683" s="1" t="s">
        <v>19</v>
      </c>
      <c r="J9683" s="1" t="s">
        <v>67</v>
      </c>
      <c r="K9683" s="1" t="s">
        <v>14</v>
      </c>
      <c r="M9683" s="2">
        <v>42033</v>
      </c>
      <c r="N9683" s="1" t="s">
        <v>8</v>
      </c>
      <c r="O9683" s="1" t="s">
        <v>68</v>
      </c>
    </row>
    <row r="9684" spans="1:15" ht="43.2" x14ac:dyDescent="0.3">
      <c r="A9684" s="1" t="s">
        <v>17057</v>
      </c>
      <c r="B9684" s="1" t="str">
        <f>"J N Williams Ground Maintenance Ltd"</f>
        <v>J N Williams Ground Maintenance Ltd</v>
      </c>
      <c r="C9684" s="1" t="s">
        <v>3149</v>
      </c>
      <c r="D9684" s="1" t="s">
        <v>2847</v>
      </c>
      <c r="F9684" s="1" t="s">
        <v>56</v>
      </c>
      <c r="H9684" s="1" t="s">
        <v>3151</v>
      </c>
      <c r="I9684" s="1" t="s">
        <v>19</v>
      </c>
      <c r="J9684" s="1" t="s">
        <v>67</v>
      </c>
      <c r="K9684" s="1" t="s">
        <v>14</v>
      </c>
      <c r="M9684" s="2">
        <v>42033</v>
      </c>
      <c r="N9684" s="1" t="s">
        <v>8</v>
      </c>
      <c r="O9684" s="1" t="s">
        <v>68</v>
      </c>
    </row>
    <row r="9685" spans="1:15" ht="43.2" x14ac:dyDescent="0.3">
      <c r="A9685" s="1" t="s">
        <v>17046</v>
      </c>
      <c r="B9685" s="1" t="str">
        <f>"J Pidgeon  &amp; Son Ltd"</f>
        <v>J Pidgeon  &amp; Son Ltd</v>
      </c>
      <c r="C9685" s="1" t="s">
        <v>17047</v>
      </c>
      <c r="D9685" s="1" t="s">
        <v>17048</v>
      </c>
      <c r="F9685" s="1" t="s">
        <v>1137</v>
      </c>
      <c r="H9685" s="1" t="s">
        <v>17049</v>
      </c>
      <c r="I9685" s="1" t="s">
        <v>19</v>
      </c>
      <c r="J9685" s="1" t="s">
        <v>67</v>
      </c>
      <c r="K9685" s="1" t="s">
        <v>14</v>
      </c>
      <c r="M9685" s="2">
        <v>42032</v>
      </c>
      <c r="N9685" s="1" t="s">
        <v>8</v>
      </c>
      <c r="O9685" s="1" t="s">
        <v>68</v>
      </c>
    </row>
    <row r="9686" spans="1:15" ht="43.2" x14ac:dyDescent="0.3">
      <c r="A9686" s="1" t="s">
        <v>28994</v>
      </c>
      <c r="B9686" s="1" t="str">
        <f>"Gavin Lock"</f>
        <v>Gavin Lock</v>
      </c>
      <c r="C9686" s="1" t="s">
        <v>28995</v>
      </c>
      <c r="D9686" s="1" t="s">
        <v>2656</v>
      </c>
      <c r="F9686" s="1" t="s">
        <v>123</v>
      </c>
      <c r="H9686" s="1" t="s">
        <v>28996</v>
      </c>
      <c r="I9686" s="1" t="s">
        <v>5</v>
      </c>
      <c r="J9686" s="1" t="s">
        <v>67</v>
      </c>
      <c r="K9686" s="1" t="s">
        <v>14</v>
      </c>
      <c r="M9686" s="2">
        <v>42032</v>
      </c>
      <c r="N9686" s="1" t="s">
        <v>8</v>
      </c>
      <c r="O9686" s="1" t="s">
        <v>68</v>
      </c>
    </row>
    <row r="9687" spans="1:15" ht="43.2" x14ac:dyDescent="0.3">
      <c r="A9687" s="1" t="s">
        <v>28997</v>
      </c>
      <c r="B9687" s="1" t="str">
        <f>"Stuart Lock"</f>
        <v>Stuart Lock</v>
      </c>
      <c r="C9687" s="1" t="s">
        <v>28998</v>
      </c>
      <c r="D9687" s="1" t="s">
        <v>2656</v>
      </c>
      <c r="F9687" s="1" t="s">
        <v>123</v>
      </c>
      <c r="H9687" s="1" t="s">
        <v>28996</v>
      </c>
      <c r="I9687" s="1" t="s">
        <v>5</v>
      </c>
      <c r="J9687" s="1" t="s">
        <v>67</v>
      </c>
      <c r="K9687" s="1" t="s">
        <v>14</v>
      </c>
      <c r="M9687" s="2">
        <v>42032</v>
      </c>
      <c r="N9687" s="1" t="s">
        <v>8</v>
      </c>
      <c r="O9687" s="1" t="s">
        <v>68</v>
      </c>
    </row>
    <row r="9688" spans="1:15" ht="43.2" x14ac:dyDescent="0.3">
      <c r="A9688" s="1" t="s">
        <v>17043</v>
      </c>
      <c r="B9688" s="1" t="str">
        <f>"M&amp;K Jenkins"</f>
        <v>M&amp;K Jenkins</v>
      </c>
      <c r="C9688" s="1" t="s">
        <v>17044</v>
      </c>
      <c r="D9688" s="1" t="s">
        <v>2200</v>
      </c>
      <c r="F9688" s="1" t="s">
        <v>666</v>
      </c>
      <c r="H9688" s="1" t="s">
        <v>17045</v>
      </c>
      <c r="I9688" s="1" t="s">
        <v>125</v>
      </c>
      <c r="J9688" s="1" t="s">
        <v>67</v>
      </c>
      <c r="K9688" s="1" t="s">
        <v>14</v>
      </c>
      <c r="M9688" s="2">
        <v>42031</v>
      </c>
      <c r="N9688" s="1" t="s">
        <v>8</v>
      </c>
      <c r="O9688" s="1" t="s">
        <v>68</v>
      </c>
    </row>
    <row r="9689" spans="1:15" ht="43.2" x14ac:dyDescent="0.3">
      <c r="A9689" s="1" t="s">
        <v>28991</v>
      </c>
      <c r="B9689" s="1" t="str">
        <f>"Hannah Price"</f>
        <v>Hannah Price</v>
      </c>
      <c r="C9689" s="1" t="s">
        <v>28992</v>
      </c>
      <c r="F9689" s="1" t="s">
        <v>1986</v>
      </c>
      <c r="H9689" s="1" t="s">
        <v>28993</v>
      </c>
      <c r="I9689" s="1" t="s">
        <v>5</v>
      </c>
      <c r="J9689" s="1" t="s">
        <v>67</v>
      </c>
      <c r="K9689" s="1" t="s">
        <v>14</v>
      </c>
      <c r="M9689" s="2">
        <v>42030</v>
      </c>
      <c r="N9689" s="1" t="s">
        <v>8</v>
      </c>
      <c r="O9689" s="1" t="s">
        <v>68</v>
      </c>
    </row>
    <row r="9690" spans="1:15" ht="43.2" x14ac:dyDescent="0.3">
      <c r="A9690" s="1" t="s">
        <v>28988</v>
      </c>
      <c r="B9690" s="1" t="str">
        <f>"Mark Gill"</f>
        <v>Mark Gill</v>
      </c>
      <c r="C9690" s="1" t="s">
        <v>28989</v>
      </c>
      <c r="F9690" s="1" t="s">
        <v>2459</v>
      </c>
      <c r="H9690" s="1" t="s">
        <v>28990</v>
      </c>
      <c r="I9690" s="1" t="s">
        <v>5</v>
      </c>
      <c r="J9690" s="1" t="s">
        <v>67</v>
      </c>
      <c r="K9690" s="1" t="s">
        <v>14</v>
      </c>
      <c r="M9690" s="2">
        <v>42029</v>
      </c>
      <c r="N9690" s="1" t="s">
        <v>8</v>
      </c>
      <c r="O9690" s="1" t="s">
        <v>68</v>
      </c>
    </row>
    <row r="9691" spans="1:15" ht="43.2" x14ac:dyDescent="0.3">
      <c r="A9691" s="1" t="s">
        <v>28985</v>
      </c>
      <c r="B9691" s="1" t="str">
        <f>"DAVID HARTLEY"</f>
        <v>DAVID HARTLEY</v>
      </c>
      <c r="C9691" s="1" t="s">
        <v>28986</v>
      </c>
      <c r="D9691" s="1" t="s">
        <v>28977</v>
      </c>
      <c r="F9691" s="1" t="s">
        <v>28977</v>
      </c>
      <c r="H9691" s="1" t="s">
        <v>28987</v>
      </c>
      <c r="I9691" s="1" t="s">
        <v>5</v>
      </c>
      <c r="J9691" s="1" t="s">
        <v>67</v>
      </c>
      <c r="K9691" s="1" t="s">
        <v>14</v>
      </c>
      <c r="M9691" s="2">
        <v>42028</v>
      </c>
      <c r="N9691" s="1" t="s">
        <v>8</v>
      </c>
      <c r="O9691" s="1" t="s">
        <v>68</v>
      </c>
    </row>
    <row r="9692" spans="1:15" ht="43.2" x14ac:dyDescent="0.3">
      <c r="A9692" s="1" t="s">
        <v>16085</v>
      </c>
      <c r="B9692" s="1" t="str">
        <f>"A Beynon agri "</f>
        <v xml:space="preserve">A Beynon agri </v>
      </c>
      <c r="C9692" s="1" t="s">
        <v>16086</v>
      </c>
      <c r="D9692" s="1" t="s">
        <v>16087</v>
      </c>
      <c r="F9692" s="1" t="s">
        <v>64</v>
      </c>
      <c r="H9692" s="1" t="s">
        <v>16088</v>
      </c>
      <c r="I9692" s="1" t="s">
        <v>19</v>
      </c>
      <c r="J9692" s="1" t="s">
        <v>67</v>
      </c>
      <c r="K9692" s="1" t="s">
        <v>14</v>
      </c>
      <c r="M9692" s="2">
        <v>42025</v>
      </c>
      <c r="N9692" s="1" t="s">
        <v>8</v>
      </c>
      <c r="O9692" s="1" t="s">
        <v>68</v>
      </c>
    </row>
    <row r="9693" spans="1:15" ht="43.2" x14ac:dyDescent="0.3">
      <c r="A9693" s="1" t="s">
        <v>17038</v>
      </c>
      <c r="B9693" s="1" t="str">
        <f>"Abergavenny Fine Foods"</f>
        <v>Abergavenny Fine Foods</v>
      </c>
      <c r="C9693" s="1" t="s">
        <v>17039</v>
      </c>
      <c r="D9693" s="1" t="s">
        <v>5491</v>
      </c>
      <c r="F9693" s="1" t="s">
        <v>5491</v>
      </c>
      <c r="H9693" s="1" t="s">
        <v>2995</v>
      </c>
      <c r="I9693" s="1" t="s">
        <v>19</v>
      </c>
      <c r="J9693" s="1" t="s">
        <v>67</v>
      </c>
      <c r="K9693" s="1" t="s">
        <v>14</v>
      </c>
      <c r="M9693" s="2">
        <v>42025</v>
      </c>
      <c r="N9693" s="1" t="s">
        <v>8</v>
      </c>
      <c r="O9693" s="1" t="s">
        <v>68</v>
      </c>
    </row>
    <row r="9694" spans="1:15" ht="43.2" x14ac:dyDescent="0.3">
      <c r="A9694" s="1" t="s">
        <v>17040</v>
      </c>
      <c r="B9694" s="1" t="str">
        <f>"Aa carpet fitting ltd"</f>
        <v>Aa carpet fitting ltd</v>
      </c>
      <c r="C9694" s="1" t="s">
        <v>17041</v>
      </c>
      <c r="F9694" s="1" t="s">
        <v>64</v>
      </c>
      <c r="H9694" s="1" t="s">
        <v>17042</v>
      </c>
      <c r="I9694" s="1" t="s">
        <v>19</v>
      </c>
      <c r="J9694" s="1" t="s">
        <v>67</v>
      </c>
      <c r="K9694" s="1" t="s">
        <v>14</v>
      </c>
      <c r="M9694" s="2">
        <v>42025</v>
      </c>
      <c r="N9694" s="1" t="s">
        <v>8</v>
      </c>
      <c r="O9694" s="1" t="s">
        <v>68</v>
      </c>
    </row>
    <row r="9695" spans="1:15" ht="43.2" x14ac:dyDescent="0.3">
      <c r="A9695" s="1" t="s">
        <v>28982</v>
      </c>
      <c r="B9695" s="1" t="str">
        <f>"shaun clark"</f>
        <v>shaun clark</v>
      </c>
      <c r="C9695" s="1" t="s">
        <v>28983</v>
      </c>
      <c r="D9695" s="1" t="s">
        <v>1991</v>
      </c>
      <c r="F9695" s="1" t="s">
        <v>1991</v>
      </c>
      <c r="H9695" s="1" t="s">
        <v>28984</v>
      </c>
      <c r="I9695" s="1" t="s">
        <v>5</v>
      </c>
      <c r="J9695" s="1" t="s">
        <v>67</v>
      </c>
      <c r="K9695" s="1" t="s">
        <v>14</v>
      </c>
      <c r="M9695" s="2">
        <v>42025</v>
      </c>
      <c r="N9695" s="1" t="s">
        <v>8</v>
      </c>
      <c r="O9695" s="1" t="s">
        <v>68</v>
      </c>
    </row>
    <row r="9696" spans="1:15" ht="43.2" x14ac:dyDescent="0.3">
      <c r="A9696" s="1" t="s">
        <v>16083</v>
      </c>
      <c r="B9696" s="1" t="str">
        <f>"HAYAKAWA"</f>
        <v>HAYAKAWA</v>
      </c>
      <c r="C9696" s="1" t="s">
        <v>16084</v>
      </c>
      <c r="F9696" s="1" t="s">
        <v>4944</v>
      </c>
      <c r="H9696" s="1" t="s">
        <v>16015</v>
      </c>
      <c r="I9696" s="1" t="s">
        <v>19</v>
      </c>
      <c r="J9696" s="1" t="s">
        <v>67</v>
      </c>
      <c r="K9696" s="1" t="s">
        <v>14</v>
      </c>
      <c r="M9696" s="2">
        <v>42024</v>
      </c>
      <c r="N9696" s="1" t="s">
        <v>8</v>
      </c>
      <c r="O9696" s="1" t="s">
        <v>68</v>
      </c>
    </row>
    <row r="9697" spans="1:15" ht="43.2" x14ac:dyDescent="0.3">
      <c r="A9697" s="1" t="s">
        <v>28231</v>
      </c>
      <c r="B9697" s="1" t="str">
        <f>"John George"</f>
        <v>John George</v>
      </c>
      <c r="C9697" s="1" t="s">
        <v>28232</v>
      </c>
      <c r="D9697" s="1" t="s">
        <v>28233</v>
      </c>
      <c r="F9697" s="1" t="s">
        <v>108</v>
      </c>
      <c r="H9697" s="1" t="s">
        <v>5120</v>
      </c>
      <c r="I9697" s="1" t="s">
        <v>5</v>
      </c>
      <c r="J9697" s="1" t="s">
        <v>67</v>
      </c>
      <c r="K9697" s="1" t="s">
        <v>14</v>
      </c>
      <c r="M9697" s="2">
        <v>42024</v>
      </c>
      <c r="N9697" s="1" t="s">
        <v>8</v>
      </c>
      <c r="O9697" s="1" t="s">
        <v>68</v>
      </c>
    </row>
    <row r="9698" spans="1:15" ht="43.2" x14ac:dyDescent="0.3">
      <c r="A9698" s="1" t="s">
        <v>16072</v>
      </c>
      <c r="B9698" s="1" t="str">
        <f>"G Taylor &amp; Son"</f>
        <v>G Taylor &amp; Son</v>
      </c>
      <c r="C9698" s="1" t="s">
        <v>16073</v>
      </c>
      <c r="F9698" s="1" t="s">
        <v>1108</v>
      </c>
      <c r="H9698" s="1" t="s">
        <v>8796</v>
      </c>
      <c r="I9698" s="1" t="s">
        <v>125</v>
      </c>
      <c r="J9698" s="1" t="s">
        <v>67</v>
      </c>
      <c r="K9698" s="1" t="s">
        <v>14</v>
      </c>
      <c r="M9698" s="2">
        <v>42023</v>
      </c>
      <c r="N9698" s="1" t="s">
        <v>8</v>
      </c>
      <c r="O9698" s="1" t="s">
        <v>68</v>
      </c>
    </row>
    <row r="9699" spans="1:15" ht="43.2" x14ac:dyDescent="0.3">
      <c r="A9699" s="1" t="s">
        <v>16074</v>
      </c>
      <c r="B9699" s="1" t="str">
        <f>"HiQ Chester"</f>
        <v>HiQ Chester</v>
      </c>
      <c r="C9699" s="1" t="s">
        <v>16075</v>
      </c>
      <c r="D9699" s="1" t="s">
        <v>16076</v>
      </c>
      <c r="F9699" s="1" t="s">
        <v>585</v>
      </c>
      <c r="H9699" s="1" t="s">
        <v>16077</v>
      </c>
      <c r="I9699" s="1" t="s">
        <v>19</v>
      </c>
      <c r="J9699" s="1" t="s">
        <v>67</v>
      </c>
      <c r="K9699" s="1" t="s">
        <v>14</v>
      </c>
      <c r="M9699" s="2">
        <v>42023</v>
      </c>
      <c r="N9699" s="1" t="s">
        <v>8</v>
      </c>
      <c r="O9699" s="1" t="s">
        <v>68</v>
      </c>
    </row>
    <row r="9700" spans="1:15" ht="43.2" x14ac:dyDescent="0.3">
      <c r="A9700" s="1" t="s">
        <v>16078</v>
      </c>
      <c r="B9700" s="1" t="str">
        <f>"Euroclad Ltd"</f>
        <v>Euroclad Ltd</v>
      </c>
      <c r="C9700" s="1" t="s">
        <v>16079</v>
      </c>
      <c r="D9700" s="1" t="s">
        <v>405</v>
      </c>
      <c r="F9700" s="1" t="s">
        <v>123</v>
      </c>
      <c r="H9700" s="1" t="s">
        <v>9133</v>
      </c>
      <c r="I9700" s="1" t="s">
        <v>19</v>
      </c>
      <c r="J9700" s="1" t="s">
        <v>67</v>
      </c>
      <c r="K9700" s="1" t="s">
        <v>14</v>
      </c>
      <c r="M9700" s="2">
        <v>42023</v>
      </c>
      <c r="N9700" s="1" t="s">
        <v>8</v>
      </c>
      <c r="O9700" s="1" t="s">
        <v>68</v>
      </c>
    </row>
    <row r="9701" spans="1:15" ht="43.2" x14ac:dyDescent="0.3">
      <c r="A9701" s="1" t="s">
        <v>16080</v>
      </c>
      <c r="B9701" s="1" t="str">
        <f>"Bodacc Ltd"</f>
        <v>Bodacc Ltd</v>
      </c>
      <c r="C9701" s="1" t="s">
        <v>16081</v>
      </c>
      <c r="F9701" s="1" t="s">
        <v>4033</v>
      </c>
      <c r="H9701" s="1" t="s">
        <v>16082</v>
      </c>
      <c r="I9701" s="1" t="s">
        <v>19</v>
      </c>
      <c r="J9701" s="1" t="s">
        <v>67</v>
      </c>
      <c r="K9701" s="1" t="s">
        <v>14</v>
      </c>
      <c r="M9701" s="2">
        <v>42023</v>
      </c>
      <c r="N9701" s="1" t="s">
        <v>8</v>
      </c>
      <c r="O9701" s="1" t="s">
        <v>68</v>
      </c>
    </row>
    <row r="9702" spans="1:15" ht="43.2" x14ac:dyDescent="0.3">
      <c r="A9702" s="1" t="s">
        <v>28228</v>
      </c>
      <c r="B9702" s="1" t="str">
        <f>"Robert Walker"</f>
        <v>Robert Walker</v>
      </c>
      <c r="C9702" s="1" t="s">
        <v>28229</v>
      </c>
      <c r="F9702" s="1" t="s">
        <v>706</v>
      </c>
      <c r="H9702" s="1" t="s">
        <v>28230</v>
      </c>
      <c r="I9702" s="1" t="s">
        <v>5</v>
      </c>
      <c r="J9702" s="1" t="s">
        <v>67</v>
      </c>
      <c r="K9702" s="1" t="s">
        <v>14</v>
      </c>
      <c r="M9702" s="2">
        <v>42023</v>
      </c>
      <c r="N9702" s="1" t="s">
        <v>8</v>
      </c>
      <c r="O9702" s="1" t="s">
        <v>68</v>
      </c>
    </row>
    <row r="9703" spans="1:15" ht="43.2" x14ac:dyDescent="0.3">
      <c r="A9703" s="1" t="s">
        <v>28225</v>
      </c>
      <c r="B9703" s="1" t="str">
        <f>"robert baljak"</f>
        <v>robert baljak</v>
      </c>
      <c r="C9703" s="1" t="s">
        <v>28226</v>
      </c>
      <c r="D9703" s="1" t="s">
        <v>1525</v>
      </c>
      <c r="F9703" s="1" t="s">
        <v>1525</v>
      </c>
      <c r="H9703" s="1" t="s">
        <v>27389</v>
      </c>
      <c r="I9703" s="1" t="s">
        <v>5</v>
      </c>
      <c r="J9703" s="1" t="s">
        <v>67</v>
      </c>
      <c r="K9703" s="1" t="s">
        <v>14</v>
      </c>
      <c r="M9703" s="2">
        <v>42022</v>
      </c>
      <c r="N9703" s="1" t="s">
        <v>8</v>
      </c>
      <c r="O9703" s="1" t="s">
        <v>68</v>
      </c>
    </row>
    <row r="9704" spans="1:15" ht="43.2" x14ac:dyDescent="0.3">
      <c r="A9704" s="1" t="s">
        <v>28227</v>
      </c>
      <c r="B9704" s="1" t="str">
        <f>"robert baljak"</f>
        <v>robert baljak</v>
      </c>
      <c r="C9704" s="1" t="s">
        <v>28226</v>
      </c>
      <c r="D9704" s="1" t="s">
        <v>1525</v>
      </c>
      <c r="F9704" s="1" t="s">
        <v>1525</v>
      </c>
      <c r="H9704" s="1" t="s">
        <v>27389</v>
      </c>
      <c r="I9704" s="1" t="s">
        <v>5</v>
      </c>
      <c r="J9704" s="1" t="s">
        <v>67</v>
      </c>
      <c r="K9704" s="1" t="s">
        <v>14</v>
      </c>
      <c r="M9704" s="2">
        <v>42022</v>
      </c>
      <c r="N9704" s="1" t="s">
        <v>8</v>
      </c>
      <c r="O9704" s="1" t="s">
        <v>68</v>
      </c>
    </row>
    <row r="9705" spans="1:15" ht="43.2" x14ac:dyDescent="0.3">
      <c r="A9705" s="1" t="s">
        <v>28222</v>
      </c>
      <c r="B9705" s="1" t="str">
        <f>"Alan  Bebb"</f>
        <v>Alan  Bebb</v>
      </c>
      <c r="C9705" s="1" t="s">
        <v>28223</v>
      </c>
      <c r="F9705" s="1" t="s">
        <v>2459</v>
      </c>
      <c r="H9705" s="1" t="s">
        <v>28224</v>
      </c>
      <c r="I9705" s="1" t="s">
        <v>5</v>
      </c>
      <c r="J9705" s="1" t="s">
        <v>67</v>
      </c>
      <c r="K9705" s="1" t="s">
        <v>14</v>
      </c>
      <c r="M9705" s="2">
        <v>42021</v>
      </c>
      <c r="N9705" s="1" t="s">
        <v>8</v>
      </c>
      <c r="O9705" s="1" t="s">
        <v>68</v>
      </c>
    </row>
    <row r="9706" spans="1:15" ht="43.2" x14ac:dyDescent="0.3">
      <c r="A9706" s="1" t="s">
        <v>16068</v>
      </c>
      <c r="B9706" s="1" t="str">
        <f>"Jacksons Electrical Services Ltd"</f>
        <v>Jacksons Electrical Services Ltd</v>
      </c>
      <c r="C9706" s="1" t="s">
        <v>16069</v>
      </c>
      <c r="D9706" s="1" t="s">
        <v>16070</v>
      </c>
      <c r="F9706" s="1" t="s">
        <v>665</v>
      </c>
      <c r="H9706" s="1" t="s">
        <v>16071</v>
      </c>
      <c r="I9706" s="1" t="s">
        <v>19</v>
      </c>
      <c r="J9706" s="1" t="s">
        <v>67</v>
      </c>
      <c r="K9706" s="1" t="s">
        <v>14</v>
      </c>
      <c r="M9706" s="2">
        <v>42020</v>
      </c>
      <c r="N9706" s="1" t="s">
        <v>8</v>
      </c>
      <c r="O9706" s="1" t="s">
        <v>68</v>
      </c>
    </row>
    <row r="9707" spans="1:15" ht="43.2" x14ac:dyDescent="0.3">
      <c r="A9707" s="1" t="s">
        <v>27446</v>
      </c>
      <c r="B9707" s="1" t="str">
        <f>"G Sanghera"</f>
        <v>G Sanghera</v>
      </c>
      <c r="C9707" s="1" t="s">
        <v>27447</v>
      </c>
      <c r="D9707" s="1" t="s">
        <v>27448</v>
      </c>
      <c r="F9707" s="1" t="s">
        <v>1351</v>
      </c>
      <c r="H9707" s="1" t="s">
        <v>27449</v>
      </c>
      <c r="I9707" s="1" t="s">
        <v>5</v>
      </c>
      <c r="J9707" s="1" t="s">
        <v>67</v>
      </c>
      <c r="K9707" s="1" t="s">
        <v>14</v>
      </c>
      <c r="M9707" s="2">
        <v>42020</v>
      </c>
      <c r="N9707" s="1" t="s">
        <v>8</v>
      </c>
      <c r="O9707" s="1" t="s">
        <v>68</v>
      </c>
    </row>
    <row r="9708" spans="1:15" ht="43.2" x14ac:dyDescent="0.3">
      <c r="A9708" s="1" t="s">
        <v>27450</v>
      </c>
      <c r="B9708" s="1" t="str">
        <f>"Philip Coombs"</f>
        <v>Philip Coombs</v>
      </c>
      <c r="C9708" s="1" t="s">
        <v>27451</v>
      </c>
      <c r="D9708" s="1" t="s">
        <v>27452</v>
      </c>
      <c r="F9708" s="1" t="s">
        <v>64</v>
      </c>
      <c r="H9708" s="1" t="s">
        <v>23798</v>
      </c>
      <c r="I9708" s="1" t="s">
        <v>5</v>
      </c>
      <c r="J9708" s="1" t="s">
        <v>67</v>
      </c>
      <c r="K9708" s="1" t="s">
        <v>14</v>
      </c>
      <c r="M9708" s="2">
        <v>42020</v>
      </c>
      <c r="N9708" s="1" t="s">
        <v>8</v>
      </c>
      <c r="O9708" s="1" t="s">
        <v>68</v>
      </c>
    </row>
    <row r="9709" spans="1:15" ht="43.2" x14ac:dyDescent="0.3">
      <c r="A9709" s="1" t="s">
        <v>27453</v>
      </c>
      <c r="B9709" s="1" t="str">
        <f>"Susan Pope"</f>
        <v>Susan Pope</v>
      </c>
      <c r="C9709" s="1" t="s">
        <v>27454</v>
      </c>
      <c r="D9709" s="1" t="s">
        <v>7844</v>
      </c>
      <c r="F9709" s="1" t="s">
        <v>162</v>
      </c>
      <c r="H9709" s="1" t="s">
        <v>27455</v>
      </c>
      <c r="I9709" s="1" t="s">
        <v>5</v>
      </c>
      <c r="J9709" s="1" t="s">
        <v>67</v>
      </c>
      <c r="K9709" s="1" t="s">
        <v>14</v>
      </c>
      <c r="M9709" s="2">
        <v>42020</v>
      </c>
      <c r="N9709" s="1" t="s">
        <v>8</v>
      </c>
      <c r="O9709" s="1" t="s">
        <v>68</v>
      </c>
    </row>
    <row r="9710" spans="1:15" ht="43.2" x14ac:dyDescent="0.3">
      <c r="A9710" s="1" t="s">
        <v>28210</v>
      </c>
      <c r="B9710" s="1" t="str">
        <f>"Paul cronick"</f>
        <v>Paul cronick</v>
      </c>
      <c r="C9710" s="1" t="s">
        <v>28211</v>
      </c>
      <c r="D9710" s="1" t="s">
        <v>28212</v>
      </c>
      <c r="F9710" s="1" t="s">
        <v>5963</v>
      </c>
      <c r="H9710" s="1" t="s">
        <v>28213</v>
      </c>
      <c r="I9710" s="1" t="s">
        <v>5</v>
      </c>
      <c r="J9710" s="1" t="s">
        <v>67</v>
      </c>
      <c r="K9710" s="1" t="s">
        <v>14</v>
      </c>
      <c r="M9710" s="2">
        <v>42020</v>
      </c>
      <c r="N9710" s="1" t="s">
        <v>8</v>
      </c>
      <c r="O9710" s="1" t="s">
        <v>68</v>
      </c>
    </row>
    <row r="9711" spans="1:15" ht="43.2" x14ac:dyDescent="0.3">
      <c r="A9711" s="1" t="s">
        <v>28214</v>
      </c>
      <c r="B9711" s="1" t="str">
        <f>"PHILIP OWENS"</f>
        <v>PHILIP OWENS</v>
      </c>
      <c r="C9711" s="1" t="s">
        <v>28215</v>
      </c>
      <c r="D9711" s="1" t="s">
        <v>28216</v>
      </c>
      <c r="F9711" s="1" t="s">
        <v>1776</v>
      </c>
      <c r="H9711" s="1" t="s">
        <v>28217</v>
      </c>
      <c r="I9711" s="1" t="s">
        <v>5</v>
      </c>
      <c r="J9711" s="1" t="s">
        <v>67</v>
      </c>
      <c r="K9711" s="1" t="s">
        <v>14</v>
      </c>
      <c r="M9711" s="2">
        <v>42020</v>
      </c>
      <c r="N9711" s="1" t="s">
        <v>8</v>
      </c>
      <c r="O9711" s="1" t="s">
        <v>68</v>
      </c>
    </row>
    <row r="9712" spans="1:15" ht="43.2" x14ac:dyDescent="0.3">
      <c r="A9712" s="1" t="s">
        <v>28218</v>
      </c>
      <c r="B9712" s="1" t="str">
        <f>"John Freeman"</f>
        <v>John Freeman</v>
      </c>
      <c r="C9712" s="1" t="s">
        <v>28219</v>
      </c>
      <c r="F9712" s="1" t="s">
        <v>28220</v>
      </c>
      <c r="H9712" s="1" t="s">
        <v>28221</v>
      </c>
      <c r="I9712" s="1" t="s">
        <v>5</v>
      </c>
      <c r="J9712" s="1" t="s">
        <v>67</v>
      </c>
      <c r="K9712" s="1" t="s">
        <v>14</v>
      </c>
      <c r="M9712" s="2">
        <v>42020</v>
      </c>
      <c r="N9712" s="1" t="s">
        <v>8</v>
      </c>
      <c r="O9712" s="1" t="s">
        <v>68</v>
      </c>
    </row>
    <row r="9713" spans="1:15" ht="43.2" x14ac:dyDescent="0.3">
      <c r="A9713" s="1" t="s">
        <v>27440</v>
      </c>
      <c r="B9713" s="1" t="str">
        <f>"Jagdish Patel"</f>
        <v>Jagdish Patel</v>
      </c>
      <c r="C9713" s="1" t="s">
        <v>27441</v>
      </c>
      <c r="D9713" s="1" t="s">
        <v>27442</v>
      </c>
      <c r="F9713" s="1" t="s">
        <v>5963</v>
      </c>
      <c r="H9713" s="1" t="s">
        <v>27443</v>
      </c>
      <c r="I9713" s="1" t="s">
        <v>5</v>
      </c>
      <c r="J9713" s="1" t="s">
        <v>67</v>
      </c>
      <c r="K9713" s="1" t="s">
        <v>14</v>
      </c>
      <c r="M9713" s="2">
        <v>42019</v>
      </c>
      <c r="N9713" s="1" t="s">
        <v>8</v>
      </c>
      <c r="O9713" s="1" t="s">
        <v>68</v>
      </c>
    </row>
    <row r="9714" spans="1:15" ht="43.2" x14ac:dyDescent="0.3">
      <c r="A9714" s="1" t="s">
        <v>27444</v>
      </c>
      <c r="B9714" s="1" t="str">
        <f>"Elaine pritchard"</f>
        <v>Elaine pritchard</v>
      </c>
      <c r="C9714" s="1" t="s">
        <v>27445</v>
      </c>
      <c r="F9714" s="1" t="s">
        <v>3242</v>
      </c>
      <c r="H9714" s="1" t="s">
        <v>8884</v>
      </c>
      <c r="I9714" s="1" t="s">
        <v>5</v>
      </c>
      <c r="J9714" s="1" t="s">
        <v>67</v>
      </c>
      <c r="K9714" s="1" t="s">
        <v>14</v>
      </c>
      <c r="M9714" s="2">
        <v>42019</v>
      </c>
      <c r="N9714" s="1" t="s">
        <v>8</v>
      </c>
      <c r="O9714" s="1" t="s">
        <v>68</v>
      </c>
    </row>
    <row r="9715" spans="1:15" ht="43.2" x14ac:dyDescent="0.3">
      <c r="A9715" s="1" t="s">
        <v>15096</v>
      </c>
      <c r="B9715" s="1" t="str">
        <f>"Menter Iaith Sir Caerffili"</f>
        <v>Menter Iaith Sir Caerffili</v>
      </c>
      <c r="C9715" s="1" t="s">
        <v>15097</v>
      </c>
      <c r="D9715" s="1" t="s">
        <v>15098</v>
      </c>
      <c r="F9715" s="1" t="s">
        <v>15099</v>
      </c>
      <c r="H9715" s="1" t="s">
        <v>15100</v>
      </c>
      <c r="I9715" s="1" t="s">
        <v>1872</v>
      </c>
      <c r="J9715" s="1" t="s">
        <v>67</v>
      </c>
      <c r="K9715" s="1" t="s">
        <v>14</v>
      </c>
      <c r="M9715" s="2">
        <v>42018</v>
      </c>
      <c r="N9715" s="1" t="s">
        <v>8</v>
      </c>
      <c r="O9715" s="1" t="s">
        <v>68</v>
      </c>
    </row>
    <row r="9716" spans="1:15" ht="43.2" x14ac:dyDescent="0.3">
      <c r="A9716" s="1" t="s">
        <v>15101</v>
      </c>
      <c r="B9716" s="1" t="str">
        <f>"hope house trading ltd"</f>
        <v>hope house trading ltd</v>
      </c>
      <c r="C9716" s="1" t="s">
        <v>15102</v>
      </c>
      <c r="F9716" s="1" t="s">
        <v>532</v>
      </c>
      <c r="H9716" s="1" t="s">
        <v>15103</v>
      </c>
      <c r="I9716" s="1" t="s">
        <v>1872</v>
      </c>
      <c r="J9716" s="1" t="s">
        <v>67</v>
      </c>
      <c r="K9716" s="1" t="s">
        <v>14</v>
      </c>
      <c r="M9716" s="2">
        <v>42018</v>
      </c>
      <c r="N9716" s="1" t="s">
        <v>8</v>
      </c>
      <c r="O9716" s="1" t="s">
        <v>68</v>
      </c>
    </row>
    <row r="9717" spans="1:15" ht="43.2" x14ac:dyDescent="0.3">
      <c r="A9717" s="1" t="s">
        <v>15091</v>
      </c>
      <c r="B9717" s="1" t="str">
        <f>"Bartrums &amp; Co Ltd"</f>
        <v>Bartrums &amp; Co Ltd</v>
      </c>
      <c r="C9717" s="1" t="s">
        <v>15092</v>
      </c>
      <c r="D9717" s="1" t="s">
        <v>3336</v>
      </c>
      <c r="F9717" s="1" t="s">
        <v>3337</v>
      </c>
      <c r="H9717" s="1" t="s">
        <v>6163</v>
      </c>
      <c r="I9717" s="1" t="s">
        <v>19</v>
      </c>
      <c r="J9717" s="1" t="s">
        <v>67</v>
      </c>
      <c r="K9717" s="1" t="s">
        <v>14</v>
      </c>
      <c r="M9717" s="2">
        <v>42017</v>
      </c>
      <c r="N9717" s="1" t="s">
        <v>8</v>
      </c>
      <c r="O9717" s="1" t="s">
        <v>68</v>
      </c>
    </row>
    <row r="9718" spans="1:15" ht="43.2" x14ac:dyDescent="0.3">
      <c r="A9718" s="1" t="s">
        <v>15093</v>
      </c>
      <c r="B9718" s="1" t="str">
        <f>"Shil Pharmacy Ltd"</f>
        <v>Shil Pharmacy Ltd</v>
      </c>
      <c r="C9718" s="1" t="s">
        <v>15094</v>
      </c>
      <c r="D9718" s="1" t="s">
        <v>3154</v>
      </c>
      <c r="F9718" s="1" t="s">
        <v>380</v>
      </c>
      <c r="H9718" s="1" t="s">
        <v>15095</v>
      </c>
      <c r="I9718" s="1" t="s">
        <v>19</v>
      </c>
      <c r="J9718" s="1" t="s">
        <v>67</v>
      </c>
      <c r="K9718" s="1" t="s">
        <v>14</v>
      </c>
      <c r="M9718" s="2">
        <v>42017</v>
      </c>
      <c r="N9718" s="1" t="s">
        <v>8</v>
      </c>
      <c r="O9718" s="1" t="s">
        <v>68</v>
      </c>
    </row>
    <row r="9719" spans="1:15" ht="43.2" x14ac:dyDescent="0.3">
      <c r="A9719" s="1" t="s">
        <v>27437</v>
      </c>
      <c r="B9719" s="1" t="str">
        <f>"Ron Care"</f>
        <v>Ron Care</v>
      </c>
      <c r="C9719" s="1" t="s">
        <v>27438</v>
      </c>
      <c r="D9719" s="1" t="s">
        <v>640</v>
      </c>
      <c r="F9719" s="1" t="s">
        <v>641</v>
      </c>
      <c r="H9719" s="1" t="s">
        <v>27439</v>
      </c>
      <c r="I9719" s="1" t="s">
        <v>5</v>
      </c>
      <c r="J9719" s="1" t="s">
        <v>67</v>
      </c>
      <c r="K9719" s="1" t="s">
        <v>14</v>
      </c>
      <c r="M9719" s="2">
        <v>42017</v>
      </c>
      <c r="N9719" s="1" t="s">
        <v>8</v>
      </c>
      <c r="O9719" s="1" t="s">
        <v>68</v>
      </c>
    </row>
    <row r="9720" spans="1:15" ht="43.2" x14ac:dyDescent="0.3">
      <c r="A9720" s="1" t="s">
        <v>15082</v>
      </c>
      <c r="B9720" s="1" t="str">
        <f>"peacock restaurant"</f>
        <v>peacock restaurant</v>
      </c>
      <c r="C9720" s="1" t="s">
        <v>15083</v>
      </c>
      <c r="F9720" s="1" t="s">
        <v>475</v>
      </c>
      <c r="H9720" s="1" t="s">
        <v>15084</v>
      </c>
      <c r="I9720" s="1" t="s">
        <v>19</v>
      </c>
      <c r="J9720" s="1" t="s">
        <v>67</v>
      </c>
      <c r="K9720" s="1" t="s">
        <v>14</v>
      </c>
      <c r="M9720" s="2">
        <v>42016</v>
      </c>
      <c r="N9720" s="1" t="s">
        <v>8</v>
      </c>
      <c r="O9720" s="1" t="s">
        <v>68</v>
      </c>
    </row>
    <row r="9721" spans="1:15" ht="43.2" x14ac:dyDescent="0.3">
      <c r="A9721" s="1" t="s">
        <v>15085</v>
      </c>
      <c r="B9721" s="1" t="str">
        <f>"Nerak-Wiese Limited"</f>
        <v>Nerak-Wiese Limited</v>
      </c>
      <c r="C9721" s="1" t="s">
        <v>15086</v>
      </c>
      <c r="F9721" s="1" t="s">
        <v>1206</v>
      </c>
      <c r="H9721" s="1" t="s">
        <v>3199</v>
      </c>
      <c r="I9721" s="1" t="s">
        <v>19</v>
      </c>
      <c r="J9721" s="1" t="s">
        <v>67</v>
      </c>
      <c r="K9721" s="1" t="s">
        <v>14</v>
      </c>
      <c r="M9721" s="2">
        <v>42016</v>
      </c>
      <c r="N9721" s="1" t="s">
        <v>8</v>
      </c>
      <c r="O9721" s="1" t="s">
        <v>68</v>
      </c>
    </row>
    <row r="9722" spans="1:15" ht="43.2" x14ac:dyDescent="0.3">
      <c r="A9722" s="1" t="s">
        <v>15087</v>
      </c>
      <c r="B9722" s="1" t="str">
        <f>"SIOP Y GORNEL  LL36 9AH"</f>
        <v>SIOP Y GORNEL  LL36 9AH</v>
      </c>
      <c r="C9722" s="1" t="s">
        <v>15088</v>
      </c>
      <c r="F9722" s="1" t="s">
        <v>15089</v>
      </c>
      <c r="H9722" s="1" t="s">
        <v>15090</v>
      </c>
      <c r="I9722" s="1" t="s">
        <v>125</v>
      </c>
      <c r="J9722" s="1" t="s">
        <v>67</v>
      </c>
      <c r="K9722" s="1" t="s">
        <v>14</v>
      </c>
      <c r="M9722" s="2">
        <v>42016</v>
      </c>
      <c r="N9722" s="1" t="s">
        <v>8</v>
      </c>
      <c r="O9722" s="1" t="s">
        <v>68</v>
      </c>
    </row>
    <row r="9723" spans="1:15" ht="43.2" x14ac:dyDescent="0.3">
      <c r="A9723" s="1" t="s">
        <v>27433</v>
      </c>
      <c r="B9723" s="1" t="str">
        <f>"kevin wright"</f>
        <v>kevin wright</v>
      </c>
      <c r="C9723" s="1" t="s">
        <v>27434</v>
      </c>
      <c r="F9723" s="1" t="s">
        <v>27435</v>
      </c>
      <c r="H9723" s="1" t="s">
        <v>27436</v>
      </c>
      <c r="I9723" s="1" t="s">
        <v>5</v>
      </c>
      <c r="J9723" s="1" t="s">
        <v>67</v>
      </c>
      <c r="K9723" s="1" t="s">
        <v>14</v>
      </c>
      <c r="M9723" s="2">
        <v>42016</v>
      </c>
      <c r="N9723" s="1" t="s">
        <v>8</v>
      </c>
      <c r="O9723" s="1" t="s">
        <v>68</v>
      </c>
    </row>
    <row r="9724" spans="1:15" ht="43.2" x14ac:dyDescent="0.3">
      <c r="A9724" s="1" t="s">
        <v>27430</v>
      </c>
      <c r="B9724" s="1" t="str">
        <f>"santhosh mathew"</f>
        <v>santhosh mathew</v>
      </c>
      <c r="C9724" s="1" t="s">
        <v>27431</v>
      </c>
      <c r="D9724" s="1" t="s">
        <v>1525</v>
      </c>
      <c r="F9724" s="1" t="s">
        <v>1525</v>
      </c>
      <c r="H9724" s="1" t="s">
        <v>27432</v>
      </c>
      <c r="I9724" s="1" t="s">
        <v>5</v>
      </c>
      <c r="J9724" s="1" t="s">
        <v>67</v>
      </c>
      <c r="K9724" s="1" t="s">
        <v>14</v>
      </c>
      <c r="M9724" s="2">
        <v>42015</v>
      </c>
      <c r="N9724" s="1" t="s">
        <v>8</v>
      </c>
      <c r="O9724" s="1" t="s">
        <v>68</v>
      </c>
    </row>
    <row r="9725" spans="1:15" ht="43.2" x14ac:dyDescent="0.3">
      <c r="A9725" s="1" t="s">
        <v>14225</v>
      </c>
      <c r="B9725" s="1" t="str">
        <f>"Trax JH Ltd"</f>
        <v>Trax JH Ltd</v>
      </c>
      <c r="C9725" s="1" t="s">
        <v>14226</v>
      </c>
      <c r="F9725" s="1" t="s">
        <v>3465</v>
      </c>
      <c r="H9725" s="1" t="s">
        <v>7386</v>
      </c>
      <c r="I9725" s="1" t="s">
        <v>19</v>
      </c>
      <c r="J9725" s="1" t="s">
        <v>67</v>
      </c>
      <c r="K9725" s="1" t="s">
        <v>14</v>
      </c>
      <c r="M9725" s="2">
        <v>42013</v>
      </c>
      <c r="N9725" s="1" t="s">
        <v>8</v>
      </c>
      <c r="O9725" s="1" t="s">
        <v>68</v>
      </c>
    </row>
    <row r="9726" spans="1:15" ht="43.2" x14ac:dyDescent="0.3">
      <c r="A9726" s="1" t="s">
        <v>14227</v>
      </c>
      <c r="B9726" s="1" t="str">
        <f>"Judd Brothers"</f>
        <v>Judd Brothers</v>
      </c>
      <c r="C9726" s="1" t="s">
        <v>3461</v>
      </c>
      <c r="F9726" s="1" t="s">
        <v>230</v>
      </c>
      <c r="H9726" s="1" t="s">
        <v>3462</v>
      </c>
      <c r="I9726" s="1" t="s">
        <v>125</v>
      </c>
      <c r="J9726" s="1" t="s">
        <v>67</v>
      </c>
      <c r="K9726" s="1" t="s">
        <v>14</v>
      </c>
      <c r="M9726" s="2">
        <v>42013</v>
      </c>
      <c r="N9726" s="1" t="s">
        <v>8</v>
      </c>
      <c r="O9726" s="1" t="s">
        <v>68</v>
      </c>
    </row>
    <row r="9727" spans="1:15" ht="43.2" x14ac:dyDescent="0.3">
      <c r="A9727" s="1" t="s">
        <v>14228</v>
      </c>
      <c r="B9727" s="1" t="str">
        <f>"Abergavenny MOT Centre Ltd."</f>
        <v>Abergavenny MOT Centre Ltd.</v>
      </c>
      <c r="C9727" s="1" t="s">
        <v>14229</v>
      </c>
      <c r="D9727" s="1" t="s">
        <v>14230</v>
      </c>
      <c r="F9727" s="1" t="s">
        <v>230</v>
      </c>
      <c r="H9727" s="1" t="s">
        <v>12866</v>
      </c>
      <c r="I9727" s="1" t="s">
        <v>125</v>
      </c>
      <c r="J9727" s="1" t="s">
        <v>67</v>
      </c>
      <c r="K9727" s="1" t="s">
        <v>14</v>
      </c>
      <c r="M9727" s="2">
        <v>42013</v>
      </c>
      <c r="N9727" s="1" t="s">
        <v>8</v>
      </c>
      <c r="O9727" s="1" t="s">
        <v>68</v>
      </c>
    </row>
    <row r="9728" spans="1:15" ht="43.2" x14ac:dyDescent="0.3">
      <c r="A9728" s="1" t="s">
        <v>26589</v>
      </c>
      <c r="B9728" s="1" t="str">
        <f>"David Craig"</f>
        <v>David Craig</v>
      </c>
      <c r="C9728" s="1" t="s">
        <v>26590</v>
      </c>
      <c r="D9728" s="1" t="s">
        <v>6777</v>
      </c>
      <c r="F9728" s="1" t="s">
        <v>123</v>
      </c>
      <c r="H9728" s="1" t="s">
        <v>26591</v>
      </c>
      <c r="I9728" s="1" t="s">
        <v>5</v>
      </c>
      <c r="J9728" s="1" t="s">
        <v>67</v>
      </c>
      <c r="K9728" s="1" t="s">
        <v>14</v>
      </c>
      <c r="M9728" s="2">
        <v>42013</v>
      </c>
      <c r="N9728" s="1" t="s">
        <v>8</v>
      </c>
      <c r="O9728" s="1" t="s">
        <v>68</v>
      </c>
    </row>
    <row r="9729" spans="1:15" ht="43.2" x14ac:dyDescent="0.3">
      <c r="A9729" s="1" t="s">
        <v>14217</v>
      </c>
      <c r="B9729" s="1" t="str">
        <f>"Hafren Veterinary Group"</f>
        <v>Hafren Veterinary Group</v>
      </c>
      <c r="C9729" s="1" t="s">
        <v>14218</v>
      </c>
      <c r="F9729" s="1" t="s">
        <v>14219</v>
      </c>
      <c r="H9729" s="1" t="s">
        <v>14220</v>
      </c>
      <c r="I9729" s="1" t="s">
        <v>125</v>
      </c>
      <c r="J9729" s="1" t="s">
        <v>67</v>
      </c>
      <c r="K9729" s="1" t="s">
        <v>14</v>
      </c>
      <c r="M9729" s="2">
        <v>42012</v>
      </c>
      <c r="N9729" s="1" t="s">
        <v>8</v>
      </c>
      <c r="O9729" s="1" t="s">
        <v>68</v>
      </c>
    </row>
    <row r="9730" spans="1:15" ht="43.2" x14ac:dyDescent="0.3">
      <c r="A9730" s="1" t="s">
        <v>14221</v>
      </c>
      <c r="B9730" s="1" t="str">
        <f>"LA BELLE PIZZA"</f>
        <v>LA BELLE PIZZA</v>
      </c>
      <c r="C9730" s="1" t="s">
        <v>14222</v>
      </c>
      <c r="F9730" s="1" t="s">
        <v>14223</v>
      </c>
      <c r="H9730" s="1" t="s">
        <v>14224</v>
      </c>
      <c r="I9730" s="1" t="s">
        <v>125</v>
      </c>
      <c r="J9730" s="1" t="s">
        <v>67</v>
      </c>
      <c r="K9730" s="1" t="s">
        <v>14</v>
      </c>
      <c r="M9730" s="2">
        <v>42012</v>
      </c>
      <c r="N9730" s="1" t="s">
        <v>8</v>
      </c>
      <c r="O9730" s="1" t="s">
        <v>68</v>
      </c>
    </row>
    <row r="9731" spans="1:15" ht="43.2" x14ac:dyDescent="0.3">
      <c r="A9731" s="1" t="s">
        <v>26586</v>
      </c>
      <c r="B9731" s="1" t="str">
        <f>"Paul Bowen"</f>
        <v>Paul Bowen</v>
      </c>
      <c r="C9731" s="1" t="s">
        <v>26587</v>
      </c>
      <c r="F9731" s="1" t="s">
        <v>401</v>
      </c>
      <c r="H9731" s="1" t="s">
        <v>26588</v>
      </c>
      <c r="I9731" s="1" t="s">
        <v>5</v>
      </c>
      <c r="J9731" s="1" t="s">
        <v>67</v>
      </c>
      <c r="K9731" s="1" t="s">
        <v>14</v>
      </c>
      <c r="M9731" s="2">
        <v>42012</v>
      </c>
      <c r="N9731" s="1" t="s">
        <v>8</v>
      </c>
      <c r="O9731" s="1" t="s">
        <v>68</v>
      </c>
    </row>
    <row r="9732" spans="1:15" ht="43.2" x14ac:dyDescent="0.3">
      <c r="A9732" s="1" t="s">
        <v>26583</v>
      </c>
      <c r="B9732" s="1" t="str">
        <f>"Remo Fecci"</f>
        <v>Remo Fecci</v>
      </c>
      <c r="C9732" s="1" t="s">
        <v>26584</v>
      </c>
      <c r="F9732" s="1" t="s">
        <v>1093</v>
      </c>
      <c r="H9732" s="1" t="s">
        <v>26585</v>
      </c>
      <c r="I9732" s="1" t="s">
        <v>5</v>
      </c>
      <c r="J9732" s="1" t="s">
        <v>67</v>
      </c>
      <c r="K9732" s="1" t="s">
        <v>14</v>
      </c>
      <c r="M9732" s="2">
        <v>42011</v>
      </c>
      <c r="N9732" s="1" t="s">
        <v>8</v>
      </c>
      <c r="O9732" s="1" t="s">
        <v>68</v>
      </c>
    </row>
    <row r="9733" spans="1:15" ht="43.2" x14ac:dyDescent="0.3">
      <c r="A9733" s="1" t="s">
        <v>26577</v>
      </c>
      <c r="B9733" s="1" t="str">
        <f>"Rob Morris"</f>
        <v>Rob Morris</v>
      </c>
      <c r="C9733" s="1" t="s">
        <v>26578</v>
      </c>
      <c r="D9733" s="1" t="s">
        <v>1278</v>
      </c>
      <c r="F9733" s="1" t="s">
        <v>1776</v>
      </c>
      <c r="H9733" s="1" t="s">
        <v>26579</v>
      </c>
      <c r="I9733" s="1" t="s">
        <v>5</v>
      </c>
      <c r="J9733" s="1" t="s">
        <v>67</v>
      </c>
      <c r="K9733" s="1" t="s">
        <v>14</v>
      </c>
      <c r="M9733" s="2">
        <v>42010</v>
      </c>
      <c r="N9733" s="1" t="s">
        <v>8</v>
      </c>
      <c r="O9733" s="1" t="s">
        <v>68</v>
      </c>
    </row>
    <row r="9734" spans="1:15" ht="43.2" x14ac:dyDescent="0.3">
      <c r="A9734" s="1" t="s">
        <v>26580</v>
      </c>
      <c r="B9734" s="1" t="str">
        <f>"Stephen  O'Loughlin"</f>
        <v>Stephen  O'Loughlin</v>
      </c>
      <c r="C9734" s="1" t="s">
        <v>26581</v>
      </c>
      <c r="F9734" s="1" t="s">
        <v>26582</v>
      </c>
      <c r="H9734" s="1" t="s">
        <v>5614</v>
      </c>
      <c r="I9734" s="1" t="s">
        <v>5</v>
      </c>
      <c r="J9734" s="1" t="s">
        <v>67</v>
      </c>
      <c r="K9734" s="1" t="s">
        <v>14</v>
      </c>
      <c r="M9734" s="2">
        <v>42010</v>
      </c>
      <c r="N9734" s="1" t="s">
        <v>8</v>
      </c>
      <c r="O9734" s="1" t="s">
        <v>68</v>
      </c>
    </row>
    <row r="9735" spans="1:15" ht="43.2" x14ac:dyDescent="0.3">
      <c r="A9735" s="1" t="s">
        <v>13279</v>
      </c>
      <c r="B9735" s="1" t="str">
        <f>"Grants Newsagents Limited"</f>
        <v>Grants Newsagents Limited</v>
      </c>
      <c r="C9735" s="1" t="s">
        <v>13280</v>
      </c>
      <c r="F9735" s="1" t="s">
        <v>2459</v>
      </c>
      <c r="H9735" s="1" t="s">
        <v>13281</v>
      </c>
      <c r="I9735" s="1" t="s">
        <v>19</v>
      </c>
      <c r="J9735" s="1" t="s">
        <v>67</v>
      </c>
      <c r="K9735" s="1" t="s">
        <v>14</v>
      </c>
      <c r="M9735" s="2">
        <v>42009</v>
      </c>
      <c r="N9735" s="1" t="s">
        <v>8</v>
      </c>
      <c r="O9735" s="1" t="s">
        <v>68</v>
      </c>
    </row>
    <row r="9736" spans="1:15" ht="43.2" x14ac:dyDescent="0.3">
      <c r="A9736" s="1" t="s">
        <v>14212</v>
      </c>
      <c r="B9736" s="1" t="str">
        <f>"Audrey Johns Ltd"</f>
        <v>Audrey Johns Ltd</v>
      </c>
      <c r="C9736" s="1" t="s">
        <v>14213</v>
      </c>
      <c r="F9736" s="1" t="s">
        <v>3181</v>
      </c>
      <c r="H9736" s="1" t="s">
        <v>14214</v>
      </c>
      <c r="I9736" s="1" t="s">
        <v>19</v>
      </c>
      <c r="J9736" s="1" t="s">
        <v>67</v>
      </c>
      <c r="K9736" s="1" t="s">
        <v>14</v>
      </c>
      <c r="M9736" s="2">
        <v>42009</v>
      </c>
      <c r="N9736" s="1" t="s">
        <v>8</v>
      </c>
      <c r="O9736" s="1" t="s">
        <v>68</v>
      </c>
    </row>
    <row r="9737" spans="1:15" ht="43.2" x14ac:dyDescent="0.3">
      <c r="A9737" s="1" t="s">
        <v>14215</v>
      </c>
      <c r="B9737" s="1" t="str">
        <f>"Alchemy Expo Limited"</f>
        <v>Alchemy Expo Limited</v>
      </c>
      <c r="C9737" s="1" t="s">
        <v>14216</v>
      </c>
      <c r="F9737" s="1" t="s">
        <v>123</v>
      </c>
      <c r="H9737" s="1" t="s">
        <v>7002</v>
      </c>
      <c r="I9737" s="1" t="s">
        <v>19</v>
      </c>
      <c r="J9737" s="1" t="s">
        <v>67</v>
      </c>
      <c r="K9737" s="1" t="s">
        <v>14</v>
      </c>
      <c r="M9737" s="2">
        <v>42009</v>
      </c>
      <c r="N9737" s="1" t="s">
        <v>8</v>
      </c>
      <c r="O9737" s="1" t="s">
        <v>68</v>
      </c>
    </row>
    <row r="9738" spans="1:15" ht="43.2" x14ac:dyDescent="0.3">
      <c r="A9738" s="1" t="s">
        <v>26572</v>
      </c>
      <c r="B9738" s="1" t="str">
        <f>"Gwyn Morris"</f>
        <v>Gwyn Morris</v>
      </c>
      <c r="C9738" s="1" t="s">
        <v>26573</v>
      </c>
      <c r="F9738" s="1" t="s">
        <v>922</v>
      </c>
      <c r="H9738" s="1" t="s">
        <v>5614</v>
      </c>
      <c r="I9738" s="1" t="s">
        <v>5</v>
      </c>
      <c r="J9738" s="1" t="s">
        <v>67</v>
      </c>
      <c r="K9738" s="1" t="s">
        <v>14</v>
      </c>
      <c r="M9738" s="2">
        <v>42009</v>
      </c>
      <c r="N9738" s="1" t="s">
        <v>8</v>
      </c>
      <c r="O9738" s="1" t="s">
        <v>68</v>
      </c>
    </row>
    <row r="9739" spans="1:15" ht="43.2" x14ac:dyDescent="0.3">
      <c r="A9739" s="1" t="s">
        <v>26574</v>
      </c>
      <c r="B9739" s="1" t="str">
        <f>"Simon Forshaw"</f>
        <v>Simon Forshaw</v>
      </c>
      <c r="C9739" s="1" t="s">
        <v>26575</v>
      </c>
      <c r="F9739" s="1" t="s">
        <v>710</v>
      </c>
      <c r="H9739" s="1" t="s">
        <v>26576</v>
      </c>
      <c r="I9739" s="1" t="s">
        <v>5</v>
      </c>
      <c r="J9739" s="1" t="s">
        <v>67</v>
      </c>
      <c r="K9739" s="1" t="s">
        <v>14</v>
      </c>
      <c r="M9739" s="2">
        <v>42009</v>
      </c>
      <c r="N9739" s="1" t="s">
        <v>8</v>
      </c>
      <c r="O9739" s="1" t="s">
        <v>68</v>
      </c>
    </row>
    <row r="9740" spans="1:15" ht="43.2" x14ac:dyDescent="0.3">
      <c r="A9740" s="1" t="s">
        <v>25825</v>
      </c>
      <c r="B9740" s="1" t="str">
        <f>"DAVID JENKINS"</f>
        <v>DAVID JENKINS</v>
      </c>
      <c r="C9740" s="1" t="s">
        <v>25826</v>
      </c>
      <c r="F9740" s="1" t="s">
        <v>123</v>
      </c>
      <c r="H9740" s="1" t="s">
        <v>25827</v>
      </c>
      <c r="I9740" s="1" t="s">
        <v>5</v>
      </c>
      <c r="J9740" s="1" t="s">
        <v>67</v>
      </c>
      <c r="K9740" s="1" t="s">
        <v>14</v>
      </c>
      <c r="M9740" s="2">
        <v>42008</v>
      </c>
      <c r="N9740" s="1" t="s">
        <v>8</v>
      </c>
      <c r="O9740" s="1" t="s">
        <v>68</v>
      </c>
    </row>
    <row r="9741" spans="1:15" ht="43.2" x14ac:dyDescent="0.3">
      <c r="A9741" s="1" t="s">
        <v>25822</v>
      </c>
      <c r="B9741" s="1" t="str">
        <f>"GLYN CARTWRIGHT"</f>
        <v>GLYN CARTWRIGHT</v>
      </c>
      <c r="C9741" s="1" t="s">
        <v>25823</v>
      </c>
      <c r="F9741" s="1" t="s">
        <v>22343</v>
      </c>
      <c r="H9741" s="1" t="s">
        <v>25824</v>
      </c>
      <c r="I9741" s="1" t="s">
        <v>5</v>
      </c>
      <c r="J9741" s="1" t="s">
        <v>67</v>
      </c>
      <c r="K9741" s="1" t="s">
        <v>14</v>
      </c>
      <c r="M9741" s="2">
        <v>42006</v>
      </c>
      <c r="N9741" s="1" t="s">
        <v>8</v>
      </c>
      <c r="O9741" s="1" t="s">
        <v>68</v>
      </c>
    </row>
    <row r="9742" spans="1:15" ht="43.2" x14ac:dyDescent="0.3">
      <c r="A9742" s="1" t="s">
        <v>13277</v>
      </c>
      <c r="B9742" s="1" t="str">
        <f>"All Round Energy Solutions Limited"</f>
        <v>All Round Energy Solutions Limited</v>
      </c>
      <c r="C9742" s="1" t="s">
        <v>13278</v>
      </c>
      <c r="F9742" s="1" t="s">
        <v>556</v>
      </c>
      <c r="H9742" s="1" t="s">
        <v>10993</v>
      </c>
      <c r="I9742" s="1" t="s">
        <v>19</v>
      </c>
      <c r="J9742" s="1" t="s">
        <v>67</v>
      </c>
      <c r="K9742" s="1" t="s">
        <v>14</v>
      </c>
      <c r="M9742" s="2">
        <v>42003</v>
      </c>
      <c r="N9742" s="1" t="s">
        <v>8</v>
      </c>
      <c r="O9742" s="1" t="s">
        <v>68</v>
      </c>
    </row>
    <row r="9743" spans="1:15" ht="43.2" x14ac:dyDescent="0.3">
      <c r="A9743" s="1" t="s">
        <v>13274</v>
      </c>
      <c r="B9743" s="1" t="str">
        <f>"marios cafe limited"</f>
        <v>marios cafe limited</v>
      </c>
      <c r="C9743" s="1" t="s">
        <v>13275</v>
      </c>
      <c r="F9743" s="1" t="s">
        <v>1058</v>
      </c>
      <c r="H9743" s="1" t="s">
        <v>13276</v>
      </c>
      <c r="I9743" s="1" t="s">
        <v>19</v>
      </c>
      <c r="J9743" s="1" t="s">
        <v>67</v>
      </c>
      <c r="K9743" s="1" t="s">
        <v>14</v>
      </c>
      <c r="M9743" s="2">
        <v>42001</v>
      </c>
      <c r="N9743" s="1" t="s">
        <v>8</v>
      </c>
      <c r="O9743" s="1" t="s">
        <v>68</v>
      </c>
    </row>
    <row r="9744" spans="1:15" ht="43.2" x14ac:dyDescent="0.3">
      <c r="A9744" s="1" t="s">
        <v>13270</v>
      </c>
      <c r="B9744" s="1" t="str">
        <f>"DMT &amp; AM DAVIES"</f>
        <v>DMT &amp; AM DAVIES</v>
      </c>
      <c r="C9744" s="1" t="s">
        <v>13271</v>
      </c>
      <c r="F9744" s="1" t="s">
        <v>6682</v>
      </c>
      <c r="H9744" s="1" t="s">
        <v>13272</v>
      </c>
      <c r="I9744" s="1" t="s">
        <v>125</v>
      </c>
      <c r="J9744" s="1" t="s">
        <v>67</v>
      </c>
      <c r="K9744" s="1" t="s">
        <v>14</v>
      </c>
      <c r="M9744" s="2">
        <v>42000</v>
      </c>
      <c r="N9744" s="1" t="s">
        <v>8</v>
      </c>
      <c r="O9744" s="1" t="s">
        <v>68</v>
      </c>
    </row>
    <row r="9745" spans="1:15" ht="43.2" x14ac:dyDescent="0.3">
      <c r="A9745" s="1" t="s">
        <v>13273</v>
      </c>
      <c r="B9745" s="1" t="str">
        <f>"DMT &amp; AM DAVIES"</f>
        <v>DMT &amp; AM DAVIES</v>
      </c>
      <c r="C9745" s="1" t="s">
        <v>13271</v>
      </c>
      <c r="F9745" s="1" t="s">
        <v>6682</v>
      </c>
      <c r="H9745" s="1" t="s">
        <v>13272</v>
      </c>
      <c r="I9745" s="1" t="s">
        <v>125</v>
      </c>
      <c r="J9745" s="1" t="s">
        <v>67</v>
      </c>
      <c r="K9745" s="1" t="s">
        <v>14</v>
      </c>
      <c r="M9745" s="2">
        <v>42000</v>
      </c>
      <c r="N9745" s="1" t="s">
        <v>8</v>
      </c>
      <c r="O9745" s="1" t="s">
        <v>68</v>
      </c>
    </row>
    <row r="9746" spans="1:15" ht="43.2" x14ac:dyDescent="0.3">
      <c r="A9746" s="1" t="s">
        <v>13267</v>
      </c>
      <c r="B9746" s="1" t="str">
        <f>"G M Blinds Ltd"</f>
        <v>G M Blinds Ltd</v>
      </c>
      <c r="C9746" s="1" t="s">
        <v>13268</v>
      </c>
      <c r="D9746" s="1" t="s">
        <v>2656</v>
      </c>
      <c r="F9746" s="1" t="s">
        <v>123</v>
      </c>
      <c r="H9746" s="1" t="s">
        <v>13269</v>
      </c>
      <c r="I9746" s="1" t="s">
        <v>19</v>
      </c>
      <c r="J9746" s="1" t="s">
        <v>67</v>
      </c>
      <c r="K9746" s="1" t="s">
        <v>14</v>
      </c>
      <c r="M9746" s="2">
        <v>41996</v>
      </c>
      <c r="N9746" s="1" t="s">
        <v>8</v>
      </c>
      <c r="O9746" s="1" t="s">
        <v>68</v>
      </c>
    </row>
    <row r="9747" spans="1:15" ht="43.2" x14ac:dyDescent="0.3">
      <c r="A9747" s="1" t="s">
        <v>25819</v>
      </c>
      <c r="B9747" s="1" t="str">
        <f>"Richard Jones"</f>
        <v>Richard Jones</v>
      </c>
      <c r="C9747" s="1" t="s">
        <v>25820</v>
      </c>
      <c r="D9747" s="1" t="s">
        <v>7543</v>
      </c>
      <c r="F9747" s="1" t="s">
        <v>7543</v>
      </c>
      <c r="H9747" s="1" t="s">
        <v>25821</v>
      </c>
      <c r="I9747" s="1" t="s">
        <v>5</v>
      </c>
      <c r="J9747" s="1" t="s">
        <v>67</v>
      </c>
      <c r="K9747" s="1" t="s">
        <v>14</v>
      </c>
      <c r="M9747" s="2">
        <v>41996</v>
      </c>
      <c r="N9747" s="1" t="s">
        <v>8</v>
      </c>
      <c r="O9747" s="1" t="s">
        <v>68</v>
      </c>
    </row>
    <row r="9748" spans="1:15" ht="43.2" x14ac:dyDescent="0.3">
      <c r="A9748" s="1" t="s">
        <v>13261</v>
      </c>
      <c r="B9748" s="1" t="str">
        <f>"Gower Gas &amp; Oil Heating Services Ltd"</f>
        <v>Gower Gas &amp; Oil Heating Services Ltd</v>
      </c>
      <c r="C9748" s="1" t="s">
        <v>13262</v>
      </c>
      <c r="D9748" s="1" t="s">
        <v>12233</v>
      </c>
      <c r="F9748" s="1" t="s">
        <v>64</v>
      </c>
      <c r="H9748" s="1" t="s">
        <v>13263</v>
      </c>
      <c r="I9748" s="1" t="s">
        <v>19</v>
      </c>
      <c r="J9748" s="1" t="s">
        <v>67</v>
      </c>
      <c r="K9748" s="1" t="s">
        <v>14</v>
      </c>
      <c r="M9748" s="2">
        <v>41995</v>
      </c>
      <c r="N9748" s="1" t="s">
        <v>8</v>
      </c>
      <c r="O9748" s="1" t="s">
        <v>68</v>
      </c>
    </row>
    <row r="9749" spans="1:15" ht="43.2" x14ac:dyDescent="0.3">
      <c r="A9749" s="1" t="s">
        <v>13264</v>
      </c>
      <c r="B9749" s="1" t="str">
        <f>"Newport Care &amp; Repair Derwen Cymru"</f>
        <v>Newport Care &amp; Repair Derwen Cymru</v>
      </c>
      <c r="C9749" s="1" t="s">
        <v>13265</v>
      </c>
      <c r="F9749" s="1" t="s">
        <v>156</v>
      </c>
      <c r="H9749" s="1" t="s">
        <v>13266</v>
      </c>
      <c r="I9749" s="1" t="s">
        <v>1872</v>
      </c>
      <c r="J9749" s="1" t="s">
        <v>67</v>
      </c>
      <c r="K9749" s="1" t="s">
        <v>14</v>
      </c>
      <c r="M9749" s="2">
        <v>41995</v>
      </c>
      <c r="N9749" s="1" t="s">
        <v>8</v>
      </c>
      <c r="O9749" s="1" t="s">
        <v>68</v>
      </c>
    </row>
    <row r="9750" spans="1:15" ht="43.2" x14ac:dyDescent="0.3">
      <c r="A9750" s="1" t="s">
        <v>25816</v>
      </c>
      <c r="B9750" s="1" t="str">
        <f>"Nigel Hughes"</f>
        <v>Nigel Hughes</v>
      </c>
      <c r="C9750" s="1" t="s">
        <v>25817</v>
      </c>
      <c r="F9750" s="1" t="s">
        <v>532</v>
      </c>
      <c r="H9750" s="1" t="s">
        <v>25818</v>
      </c>
      <c r="I9750" s="1" t="s">
        <v>5</v>
      </c>
      <c r="J9750" s="1" t="s">
        <v>67</v>
      </c>
      <c r="K9750" s="1" t="s">
        <v>14</v>
      </c>
      <c r="M9750" s="2">
        <v>41994</v>
      </c>
      <c r="N9750" s="1" t="s">
        <v>8</v>
      </c>
      <c r="O9750" s="1" t="s">
        <v>68</v>
      </c>
    </row>
    <row r="9751" spans="1:15" ht="43.2" x14ac:dyDescent="0.3">
      <c r="A9751" s="1" t="s">
        <v>25135</v>
      </c>
      <c r="B9751" s="1" t="str">
        <f>"Alan Jones"</f>
        <v>Alan Jones</v>
      </c>
      <c r="C9751" s="1" t="s">
        <v>25136</v>
      </c>
      <c r="F9751" s="1" t="s">
        <v>359</v>
      </c>
      <c r="H9751" s="1" t="s">
        <v>25137</v>
      </c>
      <c r="I9751" s="1" t="s">
        <v>5</v>
      </c>
      <c r="J9751" s="1" t="s">
        <v>67</v>
      </c>
      <c r="K9751" s="1" t="s">
        <v>14</v>
      </c>
      <c r="M9751" s="2">
        <v>41993</v>
      </c>
      <c r="N9751" s="1" t="s">
        <v>8</v>
      </c>
      <c r="O9751" s="1" t="s">
        <v>68</v>
      </c>
    </row>
    <row r="9752" spans="1:15" ht="43.2" x14ac:dyDescent="0.3">
      <c r="A9752" s="1" t="s">
        <v>25132</v>
      </c>
      <c r="B9752" s="1" t="str">
        <f>"Simon Jones"</f>
        <v>Simon Jones</v>
      </c>
      <c r="C9752" s="1" t="s">
        <v>25133</v>
      </c>
      <c r="F9752" s="1" t="s">
        <v>243</v>
      </c>
      <c r="H9752" s="1" t="s">
        <v>25134</v>
      </c>
      <c r="I9752" s="1" t="s">
        <v>5</v>
      </c>
      <c r="J9752" s="1" t="s">
        <v>67</v>
      </c>
      <c r="K9752" s="1" t="s">
        <v>14</v>
      </c>
      <c r="M9752" s="2">
        <v>41992</v>
      </c>
      <c r="N9752" s="1" t="s">
        <v>8</v>
      </c>
      <c r="O9752" s="1" t="s">
        <v>68</v>
      </c>
    </row>
    <row r="9753" spans="1:15" ht="43.2" x14ac:dyDescent="0.3">
      <c r="A9753" s="1" t="s">
        <v>12194</v>
      </c>
      <c r="B9753" s="1" t="str">
        <f>"Glan Rhyd Surgery"</f>
        <v>Glan Rhyd Surgery</v>
      </c>
      <c r="C9753" s="1" t="s">
        <v>12195</v>
      </c>
      <c r="D9753" s="1" t="s">
        <v>640</v>
      </c>
      <c r="F9753" s="1" t="s">
        <v>641</v>
      </c>
      <c r="H9753" s="1" t="s">
        <v>12196</v>
      </c>
      <c r="I9753" s="1" t="s">
        <v>125</v>
      </c>
      <c r="J9753" s="1" t="s">
        <v>67</v>
      </c>
      <c r="K9753" s="1" t="s">
        <v>14</v>
      </c>
      <c r="M9753" s="2">
        <v>41991</v>
      </c>
      <c r="N9753" s="1" t="s">
        <v>8</v>
      </c>
      <c r="O9753" s="1" t="s">
        <v>68</v>
      </c>
    </row>
    <row r="9754" spans="1:15" ht="43.2" x14ac:dyDescent="0.3">
      <c r="A9754" s="1" t="s">
        <v>12197</v>
      </c>
      <c r="B9754" s="1" t="str">
        <f>"Legsun Ltd"</f>
        <v>Legsun Ltd</v>
      </c>
      <c r="C9754" s="1" t="s">
        <v>12198</v>
      </c>
      <c r="F9754" s="1" t="s">
        <v>380</v>
      </c>
      <c r="H9754" s="1" t="s">
        <v>12199</v>
      </c>
      <c r="I9754" s="1" t="s">
        <v>19</v>
      </c>
      <c r="J9754" s="1" t="s">
        <v>67</v>
      </c>
      <c r="K9754" s="1" t="s">
        <v>14</v>
      </c>
      <c r="M9754" s="2">
        <v>41991</v>
      </c>
      <c r="N9754" s="1" t="s">
        <v>8</v>
      </c>
      <c r="O9754" s="1" t="s">
        <v>68</v>
      </c>
    </row>
    <row r="9755" spans="1:15" ht="43.2" x14ac:dyDescent="0.3">
      <c r="A9755" s="1" t="s">
        <v>25122</v>
      </c>
      <c r="B9755" s="1" t="str">
        <f>"Andrew Tomlinson"</f>
        <v>Andrew Tomlinson</v>
      </c>
      <c r="C9755" s="1" t="s">
        <v>25123</v>
      </c>
      <c r="F9755" s="1" t="s">
        <v>25124</v>
      </c>
      <c r="H9755" s="1" t="s">
        <v>25125</v>
      </c>
      <c r="I9755" s="1" t="s">
        <v>5</v>
      </c>
      <c r="J9755" s="1" t="s">
        <v>67</v>
      </c>
      <c r="K9755" s="1" t="s">
        <v>14</v>
      </c>
      <c r="M9755" s="2">
        <v>41991</v>
      </c>
      <c r="N9755" s="1" t="s">
        <v>8</v>
      </c>
      <c r="O9755" s="1" t="s">
        <v>68</v>
      </c>
    </row>
    <row r="9756" spans="1:15" ht="43.2" x14ac:dyDescent="0.3">
      <c r="A9756" s="1" t="s">
        <v>25126</v>
      </c>
      <c r="B9756" s="1" t="str">
        <f>"Sarah Cullen-Jones"</f>
        <v>Sarah Cullen-Jones</v>
      </c>
      <c r="C9756" s="1" t="s">
        <v>25127</v>
      </c>
      <c r="F9756" s="1" t="s">
        <v>2459</v>
      </c>
      <c r="H9756" s="1" t="s">
        <v>25128</v>
      </c>
      <c r="I9756" s="1" t="s">
        <v>5</v>
      </c>
      <c r="J9756" s="1" t="s">
        <v>67</v>
      </c>
      <c r="K9756" s="1" t="s">
        <v>14</v>
      </c>
      <c r="M9756" s="2">
        <v>41991</v>
      </c>
      <c r="N9756" s="1" t="s">
        <v>8</v>
      </c>
      <c r="O9756" s="1" t="s">
        <v>68</v>
      </c>
    </row>
    <row r="9757" spans="1:15" ht="43.2" x14ac:dyDescent="0.3">
      <c r="A9757" s="1" t="s">
        <v>25129</v>
      </c>
      <c r="B9757" s="1" t="str">
        <f>"Matthew Evans"</f>
        <v>Matthew Evans</v>
      </c>
      <c r="C9757" s="1" t="s">
        <v>25130</v>
      </c>
      <c r="D9757" s="1" t="s">
        <v>578</v>
      </c>
      <c r="F9757" s="1" t="s">
        <v>64</v>
      </c>
      <c r="H9757" s="1" t="s">
        <v>25131</v>
      </c>
      <c r="I9757" s="1" t="s">
        <v>5</v>
      </c>
      <c r="J9757" s="1" t="s">
        <v>67</v>
      </c>
      <c r="K9757" s="1" t="s">
        <v>14</v>
      </c>
      <c r="M9757" s="2">
        <v>41991</v>
      </c>
      <c r="N9757" s="1" t="s">
        <v>8</v>
      </c>
      <c r="O9757" s="1" t="s">
        <v>68</v>
      </c>
    </row>
    <row r="9758" spans="1:15" ht="43.2" x14ac:dyDescent="0.3">
      <c r="A9758" s="1" t="s">
        <v>25119</v>
      </c>
      <c r="B9758" s="1" t="str">
        <f>"Marc Thomas"</f>
        <v>Marc Thomas</v>
      </c>
      <c r="C9758" s="1" t="s">
        <v>25120</v>
      </c>
      <c r="F9758" s="1" t="s">
        <v>1991</v>
      </c>
      <c r="H9758" s="1" t="s">
        <v>25121</v>
      </c>
      <c r="I9758" s="1" t="s">
        <v>5</v>
      </c>
      <c r="J9758" s="1" t="s">
        <v>67</v>
      </c>
      <c r="K9758" s="1" t="s">
        <v>14</v>
      </c>
      <c r="M9758" s="2">
        <v>41989</v>
      </c>
      <c r="N9758" s="1" t="s">
        <v>8</v>
      </c>
      <c r="O9758" s="1" t="s">
        <v>68</v>
      </c>
    </row>
    <row r="9759" spans="1:15" ht="43.2" x14ac:dyDescent="0.3">
      <c r="A9759" s="1" t="s">
        <v>12191</v>
      </c>
      <c r="B9759" s="1" t="str">
        <f>"Davies Motor company Ltd"</f>
        <v>Davies Motor company Ltd</v>
      </c>
      <c r="C9759" s="1" t="s">
        <v>12192</v>
      </c>
      <c r="D9759" s="1" t="s">
        <v>6514</v>
      </c>
      <c r="F9759" s="1" t="s">
        <v>123</v>
      </c>
      <c r="H9759" s="1" t="s">
        <v>12193</v>
      </c>
      <c r="I9759" s="1" t="s">
        <v>19</v>
      </c>
      <c r="J9759" s="1" t="s">
        <v>67</v>
      </c>
      <c r="K9759" s="1" t="s">
        <v>14</v>
      </c>
      <c r="M9759" s="2">
        <v>41988</v>
      </c>
      <c r="N9759" s="1" t="s">
        <v>8</v>
      </c>
      <c r="O9759" s="1" t="s">
        <v>68</v>
      </c>
    </row>
    <row r="9760" spans="1:15" ht="43.2" x14ac:dyDescent="0.3">
      <c r="A9760" s="1" t="s">
        <v>12189</v>
      </c>
      <c r="B9760" s="1" t="str">
        <f>"Top Gun Clay Shoot Ltd"</f>
        <v>Top Gun Clay Shoot Ltd</v>
      </c>
      <c r="C9760" s="1" t="s">
        <v>12190</v>
      </c>
      <c r="D9760" s="1" t="s">
        <v>333</v>
      </c>
      <c r="F9760" s="1" t="s">
        <v>32</v>
      </c>
      <c r="H9760" s="1" t="s">
        <v>5314</v>
      </c>
      <c r="I9760" s="1" t="s">
        <v>19</v>
      </c>
      <c r="J9760" s="1" t="s">
        <v>67</v>
      </c>
      <c r="K9760" s="1" t="s">
        <v>14</v>
      </c>
      <c r="M9760" s="2">
        <v>41987</v>
      </c>
      <c r="N9760" s="1" t="s">
        <v>8</v>
      </c>
      <c r="O9760" s="1" t="s">
        <v>68</v>
      </c>
    </row>
    <row r="9761" spans="1:15" ht="43.2" x14ac:dyDescent="0.3">
      <c r="A9761" s="1" t="s">
        <v>25111</v>
      </c>
      <c r="B9761" s="1" t="str">
        <f>"Simon Martin"</f>
        <v>Simon Martin</v>
      </c>
      <c r="C9761" s="1" t="s">
        <v>25112</v>
      </c>
      <c r="D9761" s="1" t="s">
        <v>42</v>
      </c>
      <c r="F9761" s="1" t="s">
        <v>56</v>
      </c>
      <c r="H9761" s="1" t="s">
        <v>25113</v>
      </c>
      <c r="I9761" s="1" t="s">
        <v>5</v>
      </c>
      <c r="J9761" s="1" t="s">
        <v>67</v>
      </c>
      <c r="K9761" s="1" t="s">
        <v>14</v>
      </c>
      <c r="M9761" s="2">
        <v>41987</v>
      </c>
      <c r="N9761" s="1" t="s">
        <v>8</v>
      </c>
      <c r="O9761" s="1" t="s">
        <v>68</v>
      </c>
    </row>
    <row r="9762" spans="1:15" ht="43.2" x14ac:dyDescent="0.3">
      <c r="A9762" s="1" t="s">
        <v>25114</v>
      </c>
      <c r="B9762" s="1" t="str">
        <f>"sian price"</f>
        <v>sian price</v>
      </c>
      <c r="C9762" s="1" t="s">
        <v>25115</v>
      </c>
      <c r="D9762" s="1" t="s">
        <v>25116</v>
      </c>
      <c r="F9762" s="1" t="s">
        <v>25117</v>
      </c>
      <c r="H9762" s="1" t="s">
        <v>25118</v>
      </c>
      <c r="I9762" s="1" t="s">
        <v>5</v>
      </c>
      <c r="J9762" s="1" t="s">
        <v>67</v>
      </c>
      <c r="K9762" s="1" t="s">
        <v>14</v>
      </c>
      <c r="M9762" s="2">
        <v>41987</v>
      </c>
      <c r="N9762" s="1" t="s">
        <v>8</v>
      </c>
      <c r="O9762" s="1" t="s">
        <v>68</v>
      </c>
    </row>
    <row r="9763" spans="1:15" ht="43.2" x14ac:dyDescent="0.3">
      <c r="A9763" s="1" t="s">
        <v>11196</v>
      </c>
      <c r="B9763" s="1" t="str">
        <f>"GAR Hotels"</f>
        <v>GAR Hotels</v>
      </c>
      <c r="C9763" s="1" t="s">
        <v>11197</v>
      </c>
      <c r="F9763" s="1" t="s">
        <v>2434</v>
      </c>
      <c r="H9763" s="1" t="s">
        <v>11198</v>
      </c>
      <c r="I9763" s="1" t="s">
        <v>19</v>
      </c>
      <c r="J9763" s="1" t="s">
        <v>67</v>
      </c>
      <c r="K9763" s="1" t="s">
        <v>14</v>
      </c>
      <c r="M9763" s="2">
        <v>41985</v>
      </c>
      <c r="N9763" s="1" t="s">
        <v>8</v>
      </c>
      <c r="O9763" s="1" t="s">
        <v>68</v>
      </c>
    </row>
    <row r="9764" spans="1:15" ht="43.2" x14ac:dyDescent="0.3">
      <c r="A9764" s="1" t="s">
        <v>11199</v>
      </c>
      <c r="B9764" s="1" t="str">
        <f>"Denbigh Timber Products Ltd"</f>
        <v>Denbigh Timber Products Ltd</v>
      </c>
      <c r="C9764" s="1" t="s">
        <v>11200</v>
      </c>
      <c r="D9764" s="1" t="s">
        <v>11201</v>
      </c>
      <c r="F9764" s="1" t="s">
        <v>922</v>
      </c>
      <c r="H9764" s="1" t="s">
        <v>5614</v>
      </c>
      <c r="I9764" s="1" t="s">
        <v>19</v>
      </c>
      <c r="J9764" s="1" t="s">
        <v>67</v>
      </c>
      <c r="K9764" s="1" t="s">
        <v>14</v>
      </c>
      <c r="M9764" s="2">
        <v>41985</v>
      </c>
      <c r="N9764" s="1" t="s">
        <v>8</v>
      </c>
      <c r="O9764" s="1" t="s">
        <v>68</v>
      </c>
    </row>
    <row r="9765" spans="1:15" ht="43.2" x14ac:dyDescent="0.3">
      <c r="A9765" s="1" t="s">
        <v>25108</v>
      </c>
      <c r="B9765" s="1" t="str">
        <f>"Peter Hughes"</f>
        <v>Peter Hughes</v>
      </c>
      <c r="C9765" s="1" t="s">
        <v>25109</v>
      </c>
      <c r="F9765" s="1" t="s">
        <v>359</v>
      </c>
      <c r="H9765" s="1" t="s">
        <v>25110</v>
      </c>
      <c r="I9765" s="1" t="s">
        <v>5</v>
      </c>
      <c r="J9765" s="1" t="s">
        <v>67</v>
      </c>
      <c r="K9765" s="1" t="s">
        <v>14</v>
      </c>
      <c r="M9765" s="2">
        <v>41985</v>
      </c>
      <c r="N9765" s="1" t="s">
        <v>8</v>
      </c>
      <c r="O9765" s="1" t="s">
        <v>68</v>
      </c>
    </row>
    <row r="9766" spans="1:15" ht="43.2" x14ac:dyDescent="0.3">
      <c r="A9766" s="1" t="s">
        <v>11191</v>
      </c>
      <c r="B9766" s="1" t="str">
        <f>"ENFYS FOUNDATION LTD"</f>
        <v>ENFYS FOUNDATION LTD</v>
      </c>
      <c r="C9766" s="1" t="s">
        <v>11192</v>
      </c>
      <c r="D9766" s="1" t="s">
        <v>11193</v>
      </c>
      <c r="F9766" s="1" t="s">
        <v>11194</v>
      </c>
      <c r="H9766" s="1" t="s">
        <v>11195</v>
      </c>
      <c r="I9766" s="1" t="s">
        <v>1872</v>
      </c>
      <c r="J9766" s="1" t="s">
        <v>67</v>
      </c>
      <c r="K9766" s="1" t="s">
        <v>14</v>
      </c>
      <c r="M9766" s="2">
        <v>41983</v>
      </c>
      <c r="N9766" s="1" t="s">
        <v>8</v>
      </c>
      <c r="O9766" s="1" t="s">
        <v>68</v>
      </c>
    </row>
    <row r="9767" spans="1:15" ht="43.2" x14ac:dyDescent="0.3">
      <c r="A9767" s="1" t="s">
        <v>24280</v>
      </c>
      <c r="B9767" s="1" t="str">
        <f>"julian collins"</f>
        <v>julian collins</v>
      </c>
      <c r="C9767" s="1" t="s">
        <v>24281</v>
      </c>
      <c r="D9767" s="1" t="s">
        <v>24282</v>
      </c>
      <c r="F9767" s="1" t="s">
        <v>11137</v>
      </c>
      <c r="H9767" s="1" t="s">
        <v>24283</v>
      </c>
      <c r="I9767" s="1" t="s">
        <v>5</v>
      </c>
      <c r="J9767" s="1" t="s">
        <v>67</v>
      </c>
      <c r="K9767" s="1" t="s">
        <v>14</v>
      </c>
      <c r="M9767" s="2">
        <v>41982</v>
      </c>
      <c r="N9767" s="1" t="s">
        <v>8</v>
      </c>
      <c r="O9767" s="1" t="s">
        <v>68</v>
      </c>
    </row>
    <row r="9768" spans="1:15" ht="43.2" x14ac:dyDescent="0.3">
      <c r="A9768" s="1" t="s">
        <v>24266</v>
      </c>
      <c r="B9768" s="1" t="str">
        <f>"David Richards"</f>
        <v>David Richards</v>
      </c>
      <c r="C9768" s="1" t="s">
        <v>24267</v>
      </c>
      <c r="D9768" s="1" t="s">
        <v>24268</v>
      </c>
      <c r="F9768" s="1" t="s">
        <v>64</v>
      </c>
      <c r="H9768" s="1" t="s">
        <v>24269</v>
      </c>
      <c r="I9768" s="1" t="s">
        <v>5</v>
      </c>
      <c r="J9768" s="1" t="s">
        <v>67</v>
      </c>
      <c r="K9768" s="1" t="s">
        <v>14</v>
      </c>
      <c r="M9768" s="2">
        <v>41981</v>
      </c>
      <c r="N9768" s="1" t="s">
        <v>8</v>
      </c>
      <c r="O9768" s="1" t="s">
        <v>68</v>
      </c>
    </row>
    <row r="9769" spans="1:15" ht="43.2" x14ac:dyDescent="0.3">
      <c r="A9769" s="1" t="s">
        <v>24270</v>
      </c>
      <c r="B9769" s="1" t="str">
        <f>"Kelvin Evans"</f>
        <v>Kelvin Evans</v>
      </c>
      <c r="C9769" s="1" t="s">
        <v>24271</v>
      </c>
      <c r="D9769" s="1" t="s">
        <v>665</v>
      </c>
      <c r="F9769" s="1" t="s">
        <v>24272</v>
      </c>
      <c r="H9769" s="1" t="s">
        <v>7952</v>
      </c>
      <c r="I9769" s="1" t="s">
        <v>5</v>
      </c>
      <c r="J9769" s="1" t="s">
        <v>67</v>
      </c>
      <c r="K9769" s="1" t="s">
        <v>14</v>
      </c>
      <c r="M9769" s="2">
        <v>41981</v>
      </c>
      <c r="N9769" s="1" t="s">
        <v>8</v>
      </c>
      <c r="O9769" s="1" t="s">
        <v>68</v>
      </c>
    </row>
    <row r="9770" spans="1:15" ht="43.2" x14ac:dyDescent="0.3">
      <c r="A9770" s="1" t="s">
        <v>24273</v>
      </c>
      <c r="B9770" s="1" t="str">
        <f>"Craig Hughes"</f>
        <v>Craig Hughes</v>
      </c>
      <c r="C9770" s="1" t="s">
        <v>24274</v>
      </c>
      <c r="D9770" s="1" t="s">
        <v>358</v>
      </c>
      <c r="F9770" s="1" t="s">
        <v>359</v>
      </c>
      <c r="H9770" s="1" t="s">
        <v>24275</v>
      </c>
      <c r="I9770" s="1" t="s">
        <v>5</v>
      </c>
      <c r="J9770" s="1" t="s">
        <v>67</v>
      </c>
      <c r="K9770" s="1" t="s">
        <v>14</v>
      </c>
      <c r="M9770" s="2">
        <v>41981</v>
      </c>
      <c r="N9770" s="1" t="s">
        <v>8</v>
      </c>
      <c r="O9770" s="1" t="s">
        <v>68</v>
      </c>
    </row>
    <row r="9771" spans="1:15" ht="43.2" x14ac:dyDescent="0.3">
      <c r="A9771" s="1" t="s">
        <v>24276</v>
      </c>
      <c r="B9771" s="1" t="str">
        <f>"Paul Carter"</f>
        <v>Paul Carter</v>
      </c>
      <c r="C9771" s="1" t="s">
        <v>24277</v>
      </c>
      <c r="D9771" s="1" t="s">
        <v>24278</v>
      </c>
      <c r="F9771" s="1" t="s">
        <v>1093</v>
      </c>
      <c r="H9771" s="1" t="s">
        <v>24279</v>
      </c>
      <c r="I9771" s="1" t="s">
        <v>5</v>
      </c>
      <c r="J9771" s="1" t="s">
        <v>67</v>
      </c>
      <c r="K9771" s="1" t="s">
        <v>14</v>
      </c>
      <c r="M9771" s="2">
        <v>41981</v>
      </c>
      <c r="N9771" s="1" t="s">
        <v>8</v>
      </c>
      <c r="O9771" s="1" t="s">
        <v>68</v>
      </c>
    </row>
    <row r="9772" spans="1:15" ht="43.2" x14ac:dyDescent="0.3">
      <c r="A9772" s="1" t="s">
        <v>24263</v>
      </c>
      <c r="B9772" s="1" t="str">
        <f>"Jeremy Roberts-James"</f>
        <v>Jeremy Roberts-James</v>
      </c>
      <c r="C9772" s="1" t="s">
        <v>24264</v>
      </c>
      <c r="F9772" s="1" t="s">
        <v>1206</v>
      </c>
      <c r="H9772" s="1" t="s">
        <v>24265</v>
      </c>
      <c r="I9772" s="1" t="s">
        <v>5</v>
      </c>
      <c r="J9772" s="1" t="s">
        <v>67</v>
      </c>
      <c r="K9772" s="1" t="s">
        <v>14</v>
      </c>
      <c r="M9772" s="2">
        <v>41980</v>
      </c>
      <c r="N9772" s="1" t="s">
        <v>8</v>
      </c>
      <c r="O9772" s="1" t="s">
        <v>68</v>
      </c>
    </row>
    <row r="9773" spans="1:15" ht="43.2" x14ac:dyDescent="0.3">
      <c r="A9773" s="1" t="s">
        <v>11185</v>
      </c>
      <c r="B9773" s="1" t="str">
        <f>"Llandaff &amp; pentyrch surgery"</f>
        <v>Llandaff &amp; pentyrch surgery</v>
      </c>
      <c r="C9773" s="1" t="s">
        <v>11186</v>
      </c>
      <c r="F9773" s="1" t="s">
        <v>5963</v>
      </c>
      <c r="H9773" s="1" t="s">
        <v>11187</v>
      </c>
      <c r="I9773" s="1" t="s">
        <v>125</v>
      </c>
      <c r="J9773" s="1" t="s">
        <v>67</v>
      </c>
      <c r="K9773" s="1" t="s">
        <v>14</v>
      </c>
      <c r="M9773" s="2">
        <v>41978</v>
      </c>
      <c r="N9773" s="1" t="s">
        <v>8</v>
      </c>
      <c r="O9773" s="1" t="s">
        <v>68</v>
      </c>
    </row>
    <row r="9774" spans="1:15" ht="43.2" x14ac:dyDescent="0.3">
      <c r="A9774" s="1" t="s">
        <v>11188</v>
      </c>
      <c r="B9774" s="1" t="str">
        <f>"Stokes Decorators Limited"</f>
        <v>Stokes Decorators Limited</v>
      </c>
      <c r="C9774" s="1" t="s">
        <v>11189</v>
      </c>
      <c r="F9774" s="1" t="s">
        <v>123</v>
      </c>
      <c r="H9774" s="1" t="s">
        <v>11190</v>
      </c>
      <c r="I9774" s="1" t="s">
        <v>19</v>
      </c>
      <c r="J9774" s="1" t="s">
        <v>67</v>
      </c>
      <c r="K9774" s="1" t="s">
        <v>14</v>
      </c>
      <c r="M9774" s="2">
        <v>41978</v>
      </c>
      <c r="N9774" s="1" t="s">
        <v>8</v>
      </c>
      <c r="O9774" s="1" t="s">
        <v>68</v>
      </c>
    </row>
    <row r="9775" spans="1:15" ht="43.2" x14ac:dyDescent="0.3">
      <c r="A9775" s="1" t="s">
        <v>10170</v>
      </c>
      <c r="B9775" s="1" t="str">
        <f>"Edmund Jones Charity"</f>
        <v>Edmund Jones Charity</v>
      </c>
      <c r="C9775" s="1" t="s">
        <v>10171</v>
      </c>
      <c r="F9775" s="1" t="s">
        <v>1206</v>
      </c>
      <c r="H9775" s="1" t="s">
        <v>10172</v>
      </c>
      <c r="I9775" s="1" t="s">
        <v>1872</v>
      </c>
      <c r="J9775" s="1" t="s">
        <v>67</v>
      </c>
      <c r="K9775" s="1" t="s">
        <v>14</v>
      </c>
      <c r="M9775" s="2">
        <v>41977</v>
      </c>
      <c r="N9775" s="1" t="s">
        <v>8</v>
      </c>
      <c r="O9775" s="1" t="s">
        <v>68</v>
      </c>
    </row>
    <row r="9776" spans="1:15" ht="43.2" x14ac:dyDescent="0.3">
      <c r="A9776" s="1" t="s">
        <v>24259</v>
      </c>
      <c r="B9776" s="1" t="str">
        <f>"Adam Kell"</f>
        <v>Adam Kell</v>
      </c>
      <c r="C9776" s="1" t="s">
        <v>24260</v>
      </c>
      <c r="D9776" s="1" t="s">
        <v>24261</v>
      </c>
      <c r="F9776" s="1" t="s">
        <v>532</v>
      </c>
      <c r="H9776" s="1" t="s">
        <v>24262</v>
      </c>
      <c r="I9776" s="1" t="s">
        <v>5</v>
      </c>
      <c r="J9776" s="1" t="s">
        <v>67</v>
      </c>
      <c r="K9776" s="1" t="s">
        <v>14</v>
      </c>
      <c r="M9776" s="2">
        <v>41977</v>
      </c>
      <c r="N9776" s="1" t="s">
        <v>8</v>
      </c>
      <c r="O9776" s="1" t="s">
        <v>68</v>
      </c>
    </row>
    <row r="9777" spans="1:15" ht="43.2" x14ac:dyDescent="0.3">
      <c r="A9777" s="1" t="s">
        <v>10154</v>
      </c>
      <c r="B9777" s="1" t="str">
        <f>"Neath Port Talbot County Borough Council"</f>
        <v>Neath Port Talbot County Borough Council</v>
      </c>
      <c r="C9777" s="1" t="s">
        <v>10155</v>
      </c>
      <c r="D9777" s="1" t="s">
        <v>7353</v>
      </c>
      <c r="F9777" s="1" t="s">
        <v>32</v>
      </c>
      <c r="H9777" s="1" t="s">
        <v>10156</v>
      </c>
      <c r="I9777" s="1" t="s">
        <v>188</v>
      </c>
      <c r="J9777" s="1" t="s">
        <v>67</v>
      </c>
      <c r="K9777" s="1" t="s">
        <v>14</v>
      </c>
      <c r="M9777" s="2">
        <v>41976</v>
      </c>
      <c r="N9777" s="1" t="s">
        <v>8</v>
      </c>
      <c r="O9777" s="1" t="s">
        <v>68</v>
      </c>
    </row>
    <row r="9778" spans="1:15" ht="43.2" x14ac:dyDescent="0.3">
      <c r="A9778" s="1" t="s">
        <v>10157</v>
      </c>
      <c r="B9778" s="1" t="str">
        <f>"Vale of Glamorgan Council"</f>
        <v>Vale of Glamorgan Council</v>
      </c>
      <c r="C9778" s="1" t="s">
        <v>10158</v>
      </c>
      <c r="F9778" s="1" t="s">
        <v>10159</v>
      </c>
      <c r="H9778" s="1" t="s">
        <v>1445</v>
      </c>
      <c r="I9778" s="1" t="s">
        <v>188</v>
      </c>
      <c r="J9778" s="1" t="s">
        <v>67</v>
      </c>
      <c r="K9778" s="1" t="s">
        <v>14</v>
      </c>
      <c r="M9778" s="2">
        <v>41976</v>
      </c>
      <c r="N9778" s="1" t="s">
        <v>8</v>
      </c>
      <c r="O9778" s="1" t="s">
        <v>68</v>
      </c>
    </row>
    <row r="9779" spans="1:15" ht="43.2" x14ac:dyDescent="0.3">
      <c r="A9779" s="1" t="s">
        <v>10160</v>
      </c>
      <c r="B9779" s="1" t="str">
        <f>"bailey hills store"</f>
        <v>bailey hills store</v>
      </c>
      <c r="C9779" s="1" t="s">
        <v>10161</v>
      </c>
      <c r="F9779" s="1" t="s">
        <v>10162</v>
      </c>
      <c r="H9779" s="1" t="s">
        <v>10163</v>
      </c>
      <c r="I9779" s="1" t="s">
        <v>125</v>
      </c>
      <c r="J9779" s="1" t="s">
        <v>67</v>
      </c>
      <c r="K9779" s="1" t="s">
        <v>14</v>
      </c>
      <c r="M9779" s="2">
        <v>41976</v>
      </c>
      <c r="N9779" s="1" t="s">
        <v>8</v>
      </c>
      <c r="O9779" s="1" t="s">
        <v>68</v>
      </c>
    </row>
    <row r="9780" spans="1:15" ht="43.2" x14ac:dyDescent="0.3">
      <c r="A9780" s="1" t="s">
        <v>10164</v>
      </c>
      <c r="B9780" s="1" t="str">
        <f>"MODULAR CEILINGS Ltd"</f>
        <v>MODULAR CEILINGS Ltd</v>
      </c>
      <c r="C9780" s="1" t="s">
        <v>10165</v>
      </c>
      <c r="F9780" s="1" t="s">
        <v>358</v>
      </c>
      <c r="H9780" s="1" t="s">
        <v>10166</v>
      </c>
      <c r="I9780" s="1" t="s">
        <v>19</v>
      </c>
      <c r="J9780" s="1" t="s">
        <v>67</v>
      </c>
      <c r="K9780" s="1" t="s">
        <v>14</v>
      </c>
      <c r="M9780" s="2">
        <v>41976</v>
      </c>
      <c r="N9780" s="1" t="s">
        <v>8</v>
      </c>
      <c r="O9780" s="1" t="s">
        <v>68</v>
      </c>
    </row>
    <row r="9781" spans="1:15" ht="43.2" x14ac:dyDescent="0.3">
      <c r="A9781" s="1" t="s">
        <v>10167</v>
      </c>
      <c r="B9781" s="1" t="str">
        <f>"Siop Val Cyf"</f>
        <v>Siop Val Cyf</v>
      </c>
      <c r="C9781" s="1" t="s">
        <v>10168</v>
      </c>
      <c r="D9781" s="1" t="s">
        <v>6825</v>
      </c>
      <c r="F9781" s="1" t="s">
        <v>64</v>
      </c>
      <c r="H9781" s="1" t="s">
        <v>10169</v>
      </c>
      <c r="I9781" s="1" t="s">
        <v>19</v>
      </c>
      <c r="J9781" s="1" t="s">
        <v>67</v>
      </c>
      <c r="K9781" s="1" t="s">
        <v>14</v>
      </c>
      <c r="M9781" s="2">
        <v>41976</v>
      </c>
      <c r="N9781" s="1" t="s">
        <v>8</v>
      </c>
      <c r="O9781" s="1" t="s">
        <v>68</v>
      </c>
    </row>
    <row r="9782" spans="1:15" ht="43.2" x14ac:dyDescent="0.3">
      <c r="A9782" s="1" t="s">
        <v>23391</v>
      </c>
      <c r="B9782" s="1" t="str">
        <f>"Kevin Davies"</f>
        <v>Kevin Davies</v>
      </c>
      <c r="C9782" s="1" t="s">
        <v>23392</v>
      </c>
      <c r="D9782" s="1" t="s">
        <v>123</v>
      </c>
      <c r="F9782" s="1" t="s">
        <v>123</v>
      </c>
      <c r="H9782" s="1" t="s">
        <v>23393</v>
      </c>
      <c r="I9782" s="1" t="s">
        <v>5</v>
      </c>
      <c r="J9782" s="1" t="s">
        <v>67</v>
      </c>
      <c r="K9782" s="1" t="s">
        <v>14</v>
      </c>
      <c r="M9782" s="2">
        <v>41976</v>
      </c>
      <c r="N9782" s="1" t="s">
        <v>8</v>
      </c>
      <c r="O9782" s="1" t="s">
        <v>68</v>
      </c>
    </row>
    <row r="9783" spans="1:15" ht="43.2" x14ac:dyDescent="0.3">
      <c r="A9783" s="1" t="s">
        <v>23383</v>
      </c>
      <c r="B9783" s="1" t="str">
        <f>"John Dimelow"</f>
        <v>John Dimelow</v>
      </c>
      <c r="C9783" s="1" t="s">
        <v>23384</v>
      </c>
      <c r="D9783" s="1" t="s">
        <v>560</v>
      </c>
      <c r="F9783" s="1" t="s">
        <v>7961</v>
      </c>
      <c r="H9783" s="1" t="s">
        <v>23385</v>
      </c>
      <c r="I9783" s="1" t="s">
        <v>5</v>
      </c>
      <c r="J9783" s="1" t="s">
        <v>67</v>
      </c>
      <c r="K9783" s="1" t="s">
        <v>14</v>
      </c>
      <c r="M9783" s="2">
        <v>41975</v>
      </c>
      <c r="N9783" s="1" t="s">
        <v>8</v>
      </c>
      <c r="O9783" s="1" t="s">
        <v>68</v>
      </c>
    </row>
    <row r="9784" spans="1:15" ht="43.2" x14ac:dyDescent="0.3">
      <c r="A9784" s="1" t="s">
        <v>23386</v>
      </c>
      <c r="B9784" s="1" t="str">
        <f>"Rhian Sleep"</f>
        <v>Rhian Sleep</v>
      </c>
      <c r="C9784" s="1" t="s">
        <v>23387</v>
      </c>
      <c r="D9784" s="1" t="s">
        <v>23388</v>
      </c>
      <c r="F9784" s="1" t="s">
        <v>32</v>
      </c>
      <c r="H9784" s="1" t="s">
        <v>23389</v>
      </c>
      <c r="I9784" s="1" t="s">
        <v>5</v>
      </c>
      <c r="J9784" s="1" t="s">
        <v>67</v>
      </c>
      <c r="K9784" s="1" t="s">
        <v>14</v>
      </c>
      <c r="M9784" s="2">
        <v>41975</v>
      </c>
      <c r="N9784" s="1" t="s">
        <v>8</v>
      </c>
      <c r="O9784" s="1" t="s">
        <v>68</v>
      </c>
    </row>
    <row r="9785" spans="1:15" ht="43.2" x14ac:dyDescent="0.3">
      <c r="A9785" s="1" t="s">
        <v>23390</v>
      </c>
      <c r="B9785" s="1" t="str">
        <f>"Rhian Sleep"</f>
        <v>Rhian Sleep</v>
      </c>
      <c r="C9785" s="1" t="s">
        <v>23387</v>
      </c>
      <c r="D9785" s="1" t="s">
        <v>23388</v>
      </c>
      <c r="F9785" s="1" t="s">
        <v>32</v>
      </c>
      <c r="H9785" s="1" t="s">
        <v>23389</v>
      </c>
      <c r="I9785" s="1" t="s">
        <v>5</v>
      </c>
      <c r="J9785" s="1" t="s">
        <v>67</v>
      </c>
      <c r="K9785" s="1" t="s">
        <v>14</v>
      </c>
      <c r="M9785" s="2">
        <v>41975</v>
      </c>
      <c r="N9785" s="1" t="s">
        <v>8</v>
      </c>
      <c r="O9785" s="1" t="s">
        <v>68</v>
      </c>
    </row>
    <row r="9786" spans="1:15" ht="43.2" x14ac:dyDescent="0.3">
      <c r="A9786" s="1" t="s">
        <v>10151</v>
      </c>
      <c r="B9786" s="1" t="str">
        <f>"Blaenau Gwent Council"</f>
        <v>Blaenau Gwent Council</v>
      </c>
      <c r="C9786" s="1" t="s">
        <v>10152</v>
      </c>
      <c r="F9786" s="1" t="s">
        <v>642</v>
      </c>
      <c r="H9786" s="1" t="s">
        <v>10153</v>
      </c>
      <c r="I9786" s="1" t="s">
        <v>188</v>
      </c>
      <c r="J9786" s="1" t="s">
        <v>67</v>
      </c>
      <c r="K9786" s="1" t="s">
        <v>14</v>
      </c>
      <c r="M9786" s="2">
        <v>41974</v>
      </c>
      <c r="N9786" s="1" t="s">
        <v>8</v>
      </c>
      <c r="O9786" s="1" t="s">
        <v>68</v>
      </c>
    </row>
    <row r="9787" spans="1:15" ht="43.2" x14ac:dyDescent="0.3">
      <c r="A9787" s="1" t="s">
        <v>23376</v>
      </c>
      <c r="B9787" s="1" t="str">
        <f>"Gareth Roberts"</f>
        <v>Gareth Roberts</v>
      </c>
      <c r="C9787" s="1" t="s">
        <v>23377</v>
      </c>
      <c r="D9787" s="1" t="s">
        <v>23378</v>
      </c>
      <c r="F9787" s="1" t="s">
        <v>3465</v>
      </c>
      <c r="H9787" s="1" t="s">
        <v>23379</v>
      </c>
      <c r="I9787" s="1" t="s">
        <v>5</v>
      </c>
      <c r="J9787" s="1" t="s">
        <v>67</v>
      </c>
      <c r="K9787" s="1" t="s">
        <v>14</v>
      </c>
      <c r="M9787" s="2">
        <v>41974</v>
      </c>
      <c r="N9787" s="1" t="s">
        <v>8</v>
      </c>
      <c r="O9787" s="1" t="s">
        <v>68</v>
      </c>
    </row>
    <row r="9788" spans="1:15" ht="43.2" x14ac:dyDescent="0.3">
      <c r="A9788" s="1" t="s">
        <v>23380</v>
      </c>
      <c r="B9788" s="1" t="str">
        <f>"Alison Head"</f>
        <v>Alison Head</v>
      </c>
      <c r="C9788" s="1" t="s">
        <v>23381</v>
      </c>
      <c r="D9788" s="1" t="s">
        <v>1461</v>
      </c>
      <c r="F9788" s="1" t="s">
        <v>513</v>
      </c>
      <c r="H9788" s="1" t="s">
        <v>23382</v>
      </c>
      <c r="I9788" s="1" t="s">
        <v>5</v>
      </c>
      <c r="J9788" s="1" t="s">
        <v>67</v>
      </c>
      <c r="K9788" s="1" t="s">
        <v>14</v>
      </c>
      <c r="M9788" s="2">
        <v>41974</v>
      </c>
      <c r="N9788" s="1" t="s">
        <v>8</v>
      </c>
      <c r="O9788" s="1" t="s">
        <v>68</v>
      </c>
    </row>
    <row r="9789" spans="1:15" ht="43.2" x14ac:dyDescent="0.3">
      <c r="A9789" s="1" t="s">
        <v>9037</v>
      </c>
      <c r="B9789" s="1" t="str">
        <f>"Goldens Leicester Ltd"</f>
        <v>Goldens Leicester Ltd</v>
      </c>
      <c r="C9789" s="1" t="s">
        <v>9038</v>
      </c>
      <c r="F9789" s="1" t="s">
        <v>9039</v>
      </c>
      <c r="H9789" s="1" t="s">
        <v>9040</v>
      </c>
      <c r="I9789" s="1" t="s">
        <v>19</v>
      </c>
      <c r="J9789" s="1" t="s">
        <v>67</v>
      </c>
      <c r="K9789" s="1" t="s">
        <v>14</v>
      </c>
      <c r="M9789" s="2">
        <v>41973</v>
      </c>
      <c r="N9789" s="1" t="s">
        <v>8</v>
      </c>
      <c r="O9789" s="1" t="s">
        <v>68</v>
      </c>
    </row>
    <row r="9790" spans="1:15" ht="43.2" x14ac:dyDescent="0.3">
      <c r="A9790" s="1" t="s">
        <v>9041</v>
      </c>
      <c r="B9790" s="1" t="str">
        <f>"Goldens Birmingham Ltd"</f>
        <v>Goldens Birmingham Ltd</v>
      </c>
      <c r="C9790" s="1" t="s">
        <v>9042</v>
      </c>
      <c r="F9790" s="1" t="s">
        <v>5350</v>
      </c>
      <c r="H9790" s="1" t="s">
        <v>9043</v>
      </c>
      <c r="I9790" s="1" t="s">
        <v>19</v>
      </c>
      <c r="J9790" s="1" t="s">
        <v>67</v>
      </c>
      <c r="K9790" s="1" t="s">
        <v>14</v>
      </c>
      <c r="M9790" s="2">
        <v>41973</v>
      </c>
      <c r="N9790" s="1" t="s">
        <v>8</v>
      </c>
      <c r="O9790" s="1" t="s">
        <v>68</v>
      </c>
    </row>
    <row r="9791" spans="1:15" ht="43.2" x14ac:dyDescent="0.3">
      <c r="A9791" s="1" t="s">
        <v>10143</v>
      </c>
      <c r="B9791" s="1" t="str">
        <f>"Goldens London Ltd"</f>
        <v>Goldens London Ltd</v>
      </c>
      <c r="C9791" s="1" t="s">
        <v>10144</v>
      </c>
      <c r="D9791" s="1" t="s">
        <v>10145</v>
      </c>
      <c r="F9791" s="1" t="s">
        <v>170</v>
      </c>
      <c r="H9791" s="1" t="s">
        <v>10146</v>
      </c>
      <c r="I9791" s="1" t="s">
        <v>19</v>
      </c>
      <c r="J9791" s="1" t="s">
        <v>67</v>
      </c>
      <c r="K9791" s="1" t="s">
        <v>14</v>
      </c>
      <c r="M9791" s="2">
        <v>41973</v>
      </c>
      <c r="N9791" s="1" t="s">
        <v>8</v>
      </c>
      <c r="O9791" s="1" t="s">
        <v>68</v>
      </c>
    </row>
    <row r="9792" spans="1:15" ht="43.2" x14ac:dyDescent="0.3">
      <c r="A9792" s="1" t="s">
        <v>10147</v>
      </c>
      <c r="B9792" s="1" t="str">
        <f>"Goldens Derby Ltd"</f>
        <v>Goldens Derby Ltd</v>
      </c>
      <c r="C9792" s="1" t="s">
        <v>10148</v>
      </c>
      <c r="D9792" s="1" t="s">
        <v>10149</v>
      </c>
      <c r="F9792" s="1" t="s">
        <v>6304</v>
      </c>
      <c r="H9792" s="1" t="s">
        <v>10150</v>
      </c>
      <c r="I9792" s="1" t="s">
        <v>19</v>
      </c>
      <c r="J9792" s="1" t="s">
        <v>67</v>
      </c>
      <c r="K9792" s="1" t="s">
        <v>14</v>
      </c>
      <c r="M9792" s="2">
        <v>41973</v>
      </c>
      <c r="N9792" s="1" t="s">
        <v>8</v>
      </c>
      <c r="O9792" s="1" t="s">
        <v>68</v>
      </c>
    </row>
    <row r="9793" spans="1:15" ht="43.2" x14ac:dyDescent="0.3">
      <c r="A9793" s="1" t="s">
        <v>22654</v>
      </c>
      <c r="B9793" s="1" t="str">
        <f>"andrew wayne simpson"</f>
        <v>andrew wayne simpson</v>
      </c>
      <c r="C9793" s="1" t="s">
        <v>22655</v>
      </c>
      <c r="D9793" s="1" t="s">
        <v>22656</v>
      </c>
      <c r="F9793" s="1" t="s">
        <v>5149</v>
      </c>
      <c r="H9793" s="1" t="s">
        <v>22657</v>
      </c>
      <c r="I9793" s="1" t="s">
        <v>5</v>
      </c>
      <c r="J9793" s="1" t="s">
        <v>67</v>
      </c>
      <c r="K9793" s="1" t="s">
        <v>14</v>
      </c>
      <c r="M9793" s="2">
        <v>41972</v>
      </c>
      <c r="N9793" s="1" t="s">
        <v>8</v>
      </c>
      <c r="O9793" s="1" t="s">
        <v>68</v>
      </c>
    </row>
    <row r="9794" spans="1:15" ht="43.2" x14ac:dyDescent="0.3">
      <c r="A9794" s="1" t="s">
        <v>9018</v>
      </c>
      <c r="B9794" s="1" t="str">
        <f>"Newport Land Reclamation ltd"</f>
        <v>Newport Land Reclamation ltd</v>
      </c>
      <c r="C9794" s="1" t="s">
        <v>9019</v>
      </c>
      <c r="D9794" s="1" t="s">
        <v>9020</v>
      </c>
      <c r="F9794" s="1" t="s">
        <v>5963</v>
      </c>
      <c r="H9794" s="1" t="s">
        <v>9021</v>
      </c>
      <c r="I9794" s="1" t="s">
        <v>19</v>
      </c>
      <c r="J9794" s="1" t="s">
        <v>67</v>
      </c>
      <c r="K9794" s="1" t="s">
        <v>14</v>
      </c>
      <c r="M9794" s="2">
        <v>41971</v>
      </c>
      <c r="N9794" s="1" t="s">
        <v>8</v>
      </c>
      <c r="O9794" s="1" t="s">
        <v>68</v>
      </c>
    </row>
    <row r="9795" spans="1:15" ht="43.2" x14ac:dyDescent="0.3">
      <c r="A9795" s="1" t="s">
        <v>9022</v>
      </c>
      <c r="B9795" s="1" t="str">
        <f>"Stores 4 Floors Ltd"</f>
        <v>Stores 4 Floors Ltd</v>
      </c>
      <c r="C9795" s="1" t="s">
        <v>9023</v>
      </c>
      <c r="D9795" s="1" t="s">
        <v>934</v>
      </c>
      <c r="F9795" s="1" t="s">
        <v>767</v>
      </c>
      <c r="H9795" s="1" t="s">
        <v>9024</v>
      </c>
      <c r="I9795" s="1" t="s">
        <v>19</v>
      </c>
      <c r="J9795" s="1" t="s">
        <v>67</v>
      </c>
      <c r="K9795" s="1" t="s">
        <v>14</v>
      </c>
      <c r="M9795" s="2">
        <v>41971</v>
      </c>
      <c r="N9795" s="1" t="s">
        <v>8</v>
      </c>
      <c r="O9795" s="1" t="s">
        <v>68</v>
      </c>
    </row>
    <row r="9796" spans="1:15" ht="43.2" x14ac:dyDescent="0.3">
      <c r="A9796" s="1" t="s">
        <v>9025</v>
      </c>
      <c r="B9796" s="1" t="str">
        <f>"Lightning Technology Projects Ltd"</f>
        <v>Lightning Technology Projects Ltd</v>
      </c>
      <c r="C9796" s="1" t="s">
        <v>9026</v>
      </c>
      <c r="D9796" s="1" t="s">
        <v>9027</v>
      </c>
      <c r="F9796" s="1" t="s">
        <v>42</v>
      </c>
      <c r="H9796" s="1" t="s">
        <v>9028</v>
      </c>
      <c r="I9796" s="1" t="s">
        <v>19</v>
      </c>
      <c r="J9796" s="1" t="s">
        <v>67</v>
      </c>
      <c r="K9796" s="1" t="s">
        <v>14</v>
      </c>
      <c r="M9796" s="2">
        <v>41971</v>
      </c>
      <c r="N9796" s="1" t="s">
        <v>8</v>
      </c>
      <c r="O9796" s="1" t="s">
        <v>68</v>
      </c>
    </row>
    <row r="9797" spans="1:15" ht="43.2" x14ac:dyDescent="0.3">
      <c r="A9797" s="1" t="s">
        <v>9029</v>
      </c>
      <c r="B9797" s="1" t="str">
        <f>"AVA Security &amp; Communications Ltd"</f>
        <v>AVA Security &amp; Communications Ltd</v>
      </c>
      <c r="C9797" s="1" t="s">
        <v>9030</v>
      </c>
      <c r="F9797" s="1" t="s">
        <v>380</v>
      </c>
      <c r="H9797" s="1" t="s">
        <v>3354</v>
      </c>
      <c r="I9797" s="1" t="s">
        <v>19</v>
      </c>
      <c r="J9797" s="1" t="s">
        <v>67</v>
      </c>
      <c r="K9797" s="1" t="s">
        <v>14</v>
      </c>
      <c r="M9797" s="2">
        <v>41971</v>
      </c>
      <c r="N9797" s="1" t="s">
        <v>8</v>
      </c>
      <c r="O9797" s="1" t="s">
        <v>68</v>
      </c>
    </row>
    <row r="9798" spans="1:15" ht="43.2" x14ac:dyDescent="0.3">
      <c r="A9798" s="1" t="s">
        <v>9031</v>
      </c>
      <c r="B9798" s="1" t="str">
        <f>"Dolphin lifts S. Wales Ltd"</f>
        <v>Dolphin lifts S. Wales Ltd</v>
      </c>
      <c r="C9798" s="1" t="s">
        <v>9032</v>
      </c>
      <c r="F9798" s="1" t="s">
        <v>156</v>
      </c>
      <c r="H9798" s="1" t="s">
        <v>1473</v>
      </c>
      <c r="I9798" s="1" t="s">
        <v>19</v>
      </c>
      <c r="J9798" s="1" t="s">
        <v>67</v>
      </c>
      <c r="K9798" s="1" t="s">
        <v>14</v>
      </c>
      <c r="M9798" s="2">
        <v>41971</v>
      </c>
      <c r="N9798" s="1" t="s">
        <v>8</v>
      </c>
      <c r="O9798" s="1" t="s">
        <v>68</v>
      </c>
    </row>
    <row r="9799" spans="1:15" ht="43.2" x14ac:dyDescent="0.3">
      <c r="A9799" s="1" t="s">
        <v>9033</v>
      </c>
      <c r="B9799" s="1" t="str">
        <f>"Goldens Nottingham Ltd"</f>
        <v>Goldens Nottingham Ltd</v>
      </c>
      <c r="C9799" s="1" t="s">
        <v>9034</v>
      </c>
      <c r="D9799" s="1" t="s">
        <v>9035</v>
      </c>
      <c r="F9799" s="1" t="s">
        <v>3472</v>
      </c>
      <c r="H9799" s="1" t="s">
        <v>9036</v>
      </c>
      <c r="I9799" s="1" t="s">
        <v>19</v>
      </c>
      <c r="J9799" s="1" t="s">
        <v>67</v>
      </c>
      <c r="K9799" s="1" t="s">
        <v>14</v>
      </c>
      <c r="M9799" s="2">
        <v>41971</v>
      </c>
      <c r="N9799" s="1" t="s">
        <v>8</v>
      </c>
      <c r="O9799" s="1" t="s">
        <v>68</v>
      </c>
    </row>
    <row r="9800" spans="1:15" ht="43.2" x14ac:dyDescent="0.3">
      <c r="A9800" s="1" t="s">
        <v>22650</v>
      </c>
      <c r="B9800" s="1" t="str">
        <f>"shane davies"</f>
        <v>shane davies</v>
      </c>
      <c r="C9800" s="1" t="s">
        <v>22651</v>
      </c>
      <c r="D9800" s="1" t="s">
        <v>22652</v>
      </c>
      <c r="F9800" s="1" t="s">
        <v>22652</v>
      </c>
      <c r="H9800" s="1" t="s">
        <v>22653</v>
      </c>
      <c r="I9800" s="1" t="s">
        <v>5</v>
      </c>
      <c r="J9800" s="1" t="s">
        <v>67</v>
      </c>
      <c r="K9800" s="1" t="s">
        <v>14</v>
      </c>
      <c r="M9800" s="2">
        <v>41971</v>
      </c>
      <c r="N9800" s="1" t="s">
        <v>8</v>
      </c>
      <c r="O9800" s="1" t="s">
        <v>68</v>
      </c>
    </row>
    <row r="9801" spans="1:15" ht="43.2" x14ac:dyDescent="0.3">
      <c r="A9801" s="1" t="s">
        <v>9014</v>
      </c>
      <c r="B9801" s="1" t="str">
        <f>"Blue Rock Boarding Kennels"</f>
        <v>Blue Rock Boarding Kennels</v>
      </c>
      <c r="C9801" s="1" t="s">
        <v>9015</v>
      </c>
      <c r="D9801" s="1" t="s">
        <v>9016</v>
      </c>
      <c r="F9801" s="1" t="s">
        <v>64</v>
      </c>
      <c r="H9801" s="1" t="s">
        <v>9017</v>
      </c>
      <c r="I9801" s="1" t="s">
        <v>125</v>
      </c>
      <c r="J9801" s="1" t="s">
        <v>67</v>
      </c>
      <c r="K9801" s="1" t="s">
        <v>14</v>
      </c>
      <c r="M9801" s="2">
        <v>41970</v>
      </c>
      <c r="N9801" s="1" t="s">
        <v>8</v>
      </c>
      <c r="O9801" s="1" t="s">
        <v>68</v>
      </c>
    </row>
    <row r="9802" spans="1:15" ht="43.2" x14ac:dyDescent="0.3">
      <c r="A9802" s="1" t="s">
        <v>22647</v>
      </c>
      <c r="B9802" s="1" t="str">
        <f>"Gilly Johnstone"</f>
        <v>Gilly Johnstone</v>
      </c>
      <c r="C9802" s="1" t="s">
        <v>22648</v>
      </c>
      <c r="F9802" s="1" t="s">
        <v>2859</v>
      </c>
      <c r="H9802" s="1" t="s">
        <v>22649</v>
      </c>
      <c r="I9802" s="1" t="s">
        <v>5</v>
      </c>
      <c r="J9802" s="1" t="s">
        <v>67</v>
      </c>
      <c r="K9802" s="1" t="s">
        <v>14</v>
      </c>
      <c r="M9802" s="2">
        <v>41970</v>
      </c>
      <c r="N9802" s="1" t="s">
        <v>8</v>
      </c>
      <c r="O9802" s="1" t="s">
        <v>68</v>
      </c>
    </row>
    <row r="9803" spans="1:15" ht="43.2" x14ac:dyDescent="0.3">
      <c r="A9803" s="1" t="s">
        <v>9008</v>
      </c>
      <c r="B9803" s="1" t="str">
        <f>"TORQ Ltd"</f>
        <v>TORQ Ltd</v>
      </c>
      <c r="C9803" s="1" t="s">
        <v>9009</v>
      </c>
      <c r="F9803" s="1" t="s">
        <v>162</v>
      </c>
      <c r="H9803" s="1" t="s">
        <v>9010</v>
      </c>
      <c r="I9803" s="1" t="s">
        <v>19</v>
      </c>
      <c r="J9803" s="1" t="s">
        <v>67</v>
      </c>
      <c r="K9803" s="1" t="s">
        <v>14</v>
      </c>
      <c r="M9803" s="2">
        <v>41969</v>
      </c>
      <c r="N9803" s="1" t="s">
        <v>8</v>
      </c>
      <c r="O9803" s="1" t="s">
        <v>68</v>
      </c>
    </row>
    <row r="9804" spans="1:15" ht="43.2" x14ac:dyDescent="0.3">
      <c r="A9804" s="1" t="s">
        <v>9011</v>
      </c>
      <c r="B9804" s="1" t="str">
        <f>"ESCOS"</f>
        <v>ESCOS</v>
      </c>
      <c r="C9804" s="1" t="s">
        <v>9012</v>
      </c>
      <c r="F9804" s="1" t="s">
        <v>6347</v>
      </c>
      <c r="H9804" s="1" t="s">
        <v>9013</v>
      </c>
      <c r="I9804" s="1" t="s">
        <v>125</v>
      </c>
      <c r="J9804" s="1" t="s">
        <v>67</v>
      </c>
      <c r="K9804" s="1" t="s">
        <v>14</v>
      </c>
      <c r="M9804" s="2">
        <v>41969</v>
      </c>
      <c r="N9804" s="1" t="s">
        <v>8</v>
      </c>
      <c r="O9804" s="1" t="s">
        <v>68</v>
      </c>
    </row>
    <row r="9805" spans="1:15" ht="43.2" x14ac:dyDescent="0.3">
      <c r="A9805" s="1" t="s">
        <v>22643</v>
      </c>
      <c r="B9805" s="1" t="str">
        <f>"steve buchanan"</f>
        <v>steve buchanan</v>
      </c>
      <c r="C9805" s="1" t="s">
        <v>22644</v>
      </c>
      <c r="F9805" s="1" t="s">
        <v>22645</v>
      </c>
      <c r="H9805" s="1" t="s">
        <v>22646</v>
      </c>
      <c r="I9805" s="1" t="s">
        <v>5</v>
      </c>
      <c r="J9805" s="1" t="s">
        <v>67</v>
      </c>
      <c r="K9805" s="1" t="s">
        <v>14</v>
      </c>
      <c r="M9805" s="2">
        <v>41969</v>
      </c>
      <c r="N9805" s="1" t="s">
        <v>8</v>
      </c>
      <c r="O9805" s="1" t="s">
        <v>68</v>
      </c>
    </row>
    <row r="9806" spans="1:15" ht="43.2" x14ac:dyDescent="0.3">
      <c r="A9806" s="1" t="s">
        <v>7836</v>
      </c>
      <c r="B9806" s="1" t="str">
        <f>"PHILLIPS OPTICIANS LTD"</f>
        <v>PHILLIPS OPTICIANS LTD</v>
      </c>
      <c r="C9806" s="1" t="s">
        <v>7837</v>
      </c>
      <c r="F9806" s="1" t="s">
        <v>7838</v>
      </c>
      <c r="H9806" s="1" t="s">
        <v>7839</v>
      </c>
      <c r="I9806" s="1" t="s">
        <v>19</v>
      </c>
      <c r="J9806" s="1" t="s">
        <v>67</v>
      </c>
      <c r="K9806" s="1" t="s">
        <v>14</v>
      </c>
      <c r="M9806" s="2">
        <v>41968</v>
      </c>
      <c r="N9806" s="1" t="s">
        <v>8</v>
      </c>
      <c r="O9806" s="1" t="s">
        <v>68</v>
      </c>
    </row>
    <row r="9807" spans="1:15" ht="43.2" x14ac:dyDescent="0.3">
      <c r="A9807" s="1" t="s">
        <v>7831</v>
      </c>
      <c r="B9807" s="1" t="str">
        <f>"Wrexham County Borough Council"</f>
        <v>Wrexham County Borough Council</v>
      </c>
      <c r="C9807" s="1" t="s">
        <v>7832</v>
      </c>
      <c r="D9807" s="1" t="s">
        <v>7509</v>
      </c>
      <c r="F9807" s="1" t="s">
        <v>532</v>
      </c>
      <c r="H9807" s="1" t="s">
        <v>5012</v>
      </c>
      <c r="I9807" s="1" t="s">
        <v>188</v>
      </c>
      <c r="J9807" s="1" t="s">
        <v>67</v>
      </c>
      <c r="K9807" s="1" t="s">
        <v>14</v>
      </c>
      <c r="M9807" s="2">
        <v>41967</v>
      </c>
      <c r="N9807" s="1" t="s">
        <v>8</v>
      </c>
      <c r="O9807" s="1" t="s">
        <v>68</v>
      </c>
    </row>
    <row r="9808" spans="1:15" ht="43.2" x14ac:dyDescent="0.3">
      <c r="A9808" s="1" t="s">
        <v>7833</v>
      </c>
      <c r="B9808" s="1" t="str">
        <f>"Greenmeadow Surgery"</f>
        <v>Greenmeadow Surgery</v>
      </c>
      <c r="C9808" s="1" t="s">
        <v>7834</v>
      </c>
      <c r="F9808" s="1" t="s">
        <v>380</v>
      </c>
      <c r="H9808" s="1" t="s">
        <v>7835</v>
      </c>
      <c r="I9808" s="1" t="s">
        <v>125</v>
      </c>
      <c r="J9808" s="1" t="s">
        <v>67</v>
      </c>
      <c r="K9808" s="1" t="s">
        <v>14</v>
      </c>
      <c r="M9808" s="2">
        <v>41967</v>
      </c>
      <c r="N9808" s="1" t="s">
        <v>8</v>
      </c>
      <c r="O9808" s="1" t="s">
        <v>68</v>
      </c>
    </row>
    <row r="9809" spans="1:15" ht="43.2" x14ac:dyDescent="0.3">
      <c r="A9809" s="1" t="s">
        <v>21832</v>
      </c>
      <c r="B9809" s="1" t="str">
        <f>"Dylan Evans"</f>
        <v>Dylan Evans</v>
      </c>
      <c r="C9809" s="1" t="s">
        <v>9948</v>
      </c>
      <c r="D9809" s="1" t="s">
        <v>9949</v>
      </c>
      <c r="F9809" s="1" t="s">
        <v>6084</v>
      </c>
      <c r="H9809" s="1" t="s">
        <v>9950</v>
      </c>
      <c r="I9809" s="1" t="s">
        <v>5</v>
      </c>
      <c r="J9809" s="1" t="s">
        <v>67</v>
      </c>
      <c r="K9809" s="1" t="s">
        <v>14</v>
      </c>
      <c r="M9809" s="2">
        <v>41967</v>
      </c>
      <c r="N9809" s="1" t="s">
        <v>8</v>
      </c>
      <c r="O9809" s="1" t="s">
        <v>68</v>
      </c>
    </row>
    <row r="9810" spans="1:15" ht="43.2" x14ac:dyDescent="0.3">
      <c r="A9810" s="1" t="s">
        <v>21833</v>
      </c>
      <c r="B9810" s="1" t="str">
        <f>"Amias Taylor"</f>
        <v>Amias Taylor</v>
      </c>
      <c r="C9810" s="1" t="s">
        <v>21834</v>
      </c>
      <c r="F9810" s="1" t="s">
        <v>1336</v>
      </c>
      <c r="H9810" s="1" t="s">
        <v>20553</v>
      </c>
      <c r="I9810" s="1" t="s">
        <v>5</v>
      </c>
      <c r="J9810" s="1" t="s">
        <v>67</v>
      </c>
      <c r="K9810" s="1" t="s">
        <v>14</v>
      </c>
      <c r="M9810" s="2">
        <v>41967</v>
      </c>
      <c r="N9810" s="1" t="s">
        <v>8</v>
      </c>
      <c r="O9810" s="1" t="s">
        <v>68</v>
      </c>
    </row>
    <row r="9811" spans="1:15" ht="43.2" x14ac:dyDescent="0.3">
      <c r="A9811" s="1" t="s">
        <v>21835</v>
      </c>
      <c r="B9811" s="1" t="str">
        <f>"John Cooper"</f>
        <v>John Cooper</v>
      </c>
      <c r="C9811" s="1" t="s">
        <v>21836</v>
      </c>
      <c r="D9811" s="1" t="s">
        <v>21837</v>
      </c>
      <c r="F9811" s="1" t="s">
        <v>5149</v>
      </c>
      <c r="H9811" s="1" t="s">
        <v>21838</v>
      </c>
      <c r="I9811" s="1" t="s">
        <v>5</v>
      </c>
      <c r="J9811" s="1" t="s">
        <v>67</v>
      </c>
      <c r="K9811" s="1" t="s">
        <v>14</v>
      </c>
      <c r="M9811" s="2">
        <v>41967</v>
      </c>
      <c r="N9811" s="1" t="s">
        <v>8</v>
      </c>
      <c r="O9811" s="1" t="s">
        <v>68</v>
      </c>
    </row>
    <row r="9812" spans="1:15" ht="43.2" x14ac:dyDescent="0.3">
      <c r="A9812" s="1" t="s">
        <v>21822</v>
      </c>
      <c r="B9812" s="1" t="str">
        <f>"Gareth Richards"</f>
        <v>Gareth Richards</v>
      </c>
      <c r="C9812" s="1" t="s">
        <v>21823</v>
      </c>
      <c r="D9812" s="1" t="s">
        <v>37</v>
      </c>
      <c r="F9812" s="1" t="s">
        <v>1983</v>
      </c>
      <c r="H9812" s="1" t="s">
        <v>21824</v>
      </c>
      <c r="I9812" s="1" t="s">
        <v>5</v>
      </c>
      <c r="J9812" s="1" t="s">
        <v>67</v>
      </c>
      <c r="K9812" s="1" t="s">
        <v>14</v>
      </c>
      <c r="M9812" s="2">
        <v>41966</v>
      </c>
      <c r="N9812" s="1" t="s">
        <v>8</v>
      </c>
      <c r="O9812" s="1" t="s">
        <v>68</v>
      </c>
    </row>
    <row r="9813" spans="1:15" ht="43.2" x14ac:dyDescent="0.3">
      <c r="A9813" s="1" t="s">
        <v>21825</v>
      </c>
      <c r="B9813" s="1" t="str">
        <f>"norman bevan"</f>
        <v>norman bevan</v>
      </c>
      <c r="C9813" s="1" t="s">
        <v>21826</v>
      </c>
      <c r="D9813" s="1" t="s">
        <v>21827</v>
      </c>
      <c r="F9813" s="1" t="s">
        <v>4596</v>
      </c>
      <c r="H9813" s="1" t="s">
        <v>21828</v>
      </c>
      <c r="I9813" s="1" t="s">
        <v>5</v>
      </c>
      <c r="J9813" s="1" t="s">
        <v>67</v>
      </c>
      <c r="K9813" s="1" t="s">
        <v>14</v>
      </c>
      <c r="M9813" s="2">
        <v>41966</v>
      </c>
      <c r="N9813" s="1" t="s">
        <v>8</v>
      </c>
      <c r="O9813" s="1" t="s">
        <v>68</v>
      </c>
    </row>
    <row r="9814" spans="1:15" ht="43.2" x14ac:dyDescent="0.3">
      <c r="A9814" s="1" t="s">
        <v>21829</v>
      </c>
      <c r="B9814" s="1" t="str">
        <f>"nicholas harle"</f>
        <v>nicholas harle</v>
      </c>
      <c r="C9814" s="1" t="s">
        <v>21830</v>
      </c>
      <c r="F9814" s="1" t="s">
        <v>16005</v>
      </c>
      <c r="H9814" s="1" t="s">
        <v>21831</v>
      </c>
      <c r="I9814" s="1" t="s">
        <v>5</v>
      </c>
      <c r="J9814" s="1" t="s">
        <v>67</v>
      </c>
      <c r="K9814" s="1" t="s">
        <v>14</v>
      </c>
      <c r="M9814" s="2">
        <v>41966</v>
      </c>
      <c r="N9814" s="1" t="s">
        <v>8</v>
      </c>
      <c r="O9814" s="1" t="s">
        <v>68</v>
      </c>
    </row>
    <row r="9815" spans="1:15" ht="43.2" x14ac:dyDescent="0.3">
      <c r="A9815" s="1" t="s">
        <v>7828</v>
      </c>
      <c r="B9815" s="1" t="str">
        <f>"CES South Wales LTD"</f>
        <v>CES South Wales LTD</v>
      </c>
      <c r="C9815" s="1" t="s">
        <v>7829</v>
      </c>
      <c r="F9815" s="1" t="s">
        <v>6846</v>
      </c>
      <c r="H9815" s="1" t="s">
        <v>7830</v>
      </c>
      <c r="I9815" s="1" t="s">
        <v>19</v>
      </c>
      <c r="J9815" s="1" t="s">
        <v>67</v>
      </c>
      <c r="K9815" s="1" t="s">
        <v>14</v>
      </c>
      <c r="M9815" s="2">
        <v>41965</v>
      </c>
      <c r="N9815" s="1" t="s">
        <v>8</v>
      </c>
      <c r="O9815" s="1" t="s">
        <v>68</v>
      </c>
    </row>
    <row r="9816" spans="1:15" ht="43.2" x14ac:dyDescent="0.3">
      <c r="A9816" s="1" t="s">
        <v>21815</v>
      </c>
      <c r="B9816" s="1" t="str">
        <f>"Daniel Roberts"</f>
        <v>Daniel Roberts</v>
      </c>
      <c r="C9816" s="1" t="s">
        <v>21816</v>
      </c>
      <c r="F9816" s="1" t="s">
        <v>1986</v>
      </c>
      <c r="H9816" s="1" t="s">
        <v>21817</v>
      </c>
      <c r="I9816" s="1" t="s">
        <v>5</v>
      </c>
      <c r="J9816" s="1" t="s">
        <v>67</v>
      </c>
      <c r="K9816" s="1" t="s">
        <v>14</v>
      </c>
      <c r="M9816" s="2">
        <v>41965</v>
      </c>
      <c r="N9816" s="1" t="s">
        <v>8</v>
      </c>
      <c r="O9816" s="1" t="s">
        <v>68</v>
      </c>
    </row>
    <row r="9817" spans="1:15" ht="43.2" x14ac:dyDescent="0.3">
      <c r="A9817" s="1" t="s">
        <v>21818</v>
      </c>
      <c r="B9817" s="1" t="str">
        <f>"Paul Clarke"</f>
        <v>Paul Clarke</v>
      </c>
      <c r="C9817" s="1" t="s">
        <v>21819</v>
      </c>
      <c r="F9817" s="1" t="s">
        <v>6854</v>
      </c>
      <c r="H9817" s="1" t="s">
        <v>21820</v>
      </c>
      <c r="I9817" s="1" t="s">
        <v>5</v>
      </c>
      <c r="J9817" s="1" t="s">
        <v>67</v>
      </c>
      <c r="K9817" s="1" t="s">
        <v>14</v>
      </c>
      <c r="M9817" s="2">
        <v>41965</v>
      </c>
      <c r="N9817" s="1" t="s">
        <v>8</v>
      </c>
      <c r="O9817" s="1" t="s">
        <v>68</v>
      </c>
    </row>
    <row r="9818" spans="1:15" ht="43.2" x14ac:dyDescent="0.3">
      <c r="A9818" s="1" t="s">
        <v>21821</v>
      </c>
      <c r="B9818" s="1" t="str">
        <f>"Paul Clarke"</f>
        <v>Paul Clarke</v>
      </c>
      <c r="C9818" s="1" t="s">
        <v>21819</v>
      </c>
      <c r="F9818" s="1" t="s">
        <v>6854</v>
      </c>
      <c r="H9818" s="1" t="s">
        <v>21820</v>
      </c>
      <c r="I9818" s="1" t="s">
        <v>5</v>
      </c>
      <c r="J9818" s="1" t="s">
        <v>67</v>
      </c>
      <c r="K9818" s="1" t="s">
        <v>14</v>
      </c>
      <c r="M9818" s="2">
        <v>41965</v>
      </c>
      <c r="N9818" s="1" t="s">
        <v>8</v>
      </c>
      <c r="O9818" s="1" t="s">
        <v>68</v>
      </c>
    </row>
    <row r="9819" spans="1:15" ht="43.2" x14ac:dyDescent="0.3">
      <c r="A9819" s="1" t="s">
        <v>6794</v>
      </c>
      <c r="B9819" s="1" t="str">
        <f>"GWE Trucks Ltd"</f>
        <v>GWE Trucks Ltd</v>
      </c>
      <c r="C9819" s="1" t="s">
        <v>6795</v>
      </c>
      <c r="F9819" s="1" t="s">
        <v>162</v>
      </c>
      <c r="H9819" s="1" t="s">
        <v>6796</v>
      </c>
      <c r="I9819" s="1" t="s">
        <v>19</v>
      </c>
      <c r="J9819" s="1" t="s">
        <v>67</v>
      </c>
      <c r="K9819" s="1" t="s">
        <v>14</v>
      </c>
      <c r="M9819" s="2">
        <v>41964</v>
      </c>
      <c r="N9819" s="1" t="s">
        <v>8</v>
      </c>
      <c r="O9819" s="1" t="s">
        <v>68</v>
      </c>
    </row>
    <row r="9820" spans="1:15" ht="43.2" x14ac:dyDescent="0.3">
      <c r="A9820" s="1" t="s">
        <v>6797</v>
      </c>
      <c r="B9820" s="1" t="str">
        <f>"Denbighshire County Council"</f>
        <v>Denbighshire County Council</v>
      </c>
      <c r="C9820" s="1" t="s">
        <v>6798</v>
      </c>
      <c r="F9820" s="1" t="s">
        <v>6799</v>
      </c>
      <c r="H9820" s="1" t="s">
        <v>6800</v>
      </c>
      <c r="I9820" s="1" t="s">
        <v>188</v>
      </c>
      <c r="J9820" s="1" t="s">
        <v>67</v>
      </c>
      <c r="K9820" s="1" t="s">
        <v>14</v>
      </c>
      <c r="M9820" s="2">
        <v>41964</v>
      </c>
      <c r="N9820" s="1" t="s">
        <v>8</v>
      </c>
      <c r="O9820" s="1" t="s">
        <v>68</v>
      </c>
    </row>
    <row r="9821" spans="1:15" ht="43.2" x14ac:dyDescent="0.3">
      <c r="A9821" s="1" t="s">
        <v>6801</v>
      </c>
      <c r="B9821" s="1" t="str">
        <f>"FAC Landscapes Ltd"</f>
        <v>FAC Landscapes Ltd</v>
      </c>
      <c r="C9821" s="1" t="s">
        <v>6802</v>
      </c>
      <c r="F9821" s="1" t="s">
        <v>6803</v>
      </c>
      <c r="H9821" s="1" t="s">
        <v>6804</v>
      </c>
      <c r="I9821" s="1" t="s">
        <v>19</v>
      </c>
      <c r="J9821" s="1" t="s">
        <v>67</v>
      </c>
      <c r="K9821" s="1" t="s">
        <v>14</v>
      </c>
      <c r="M9821" s="2">
        <v>41964</v>
      </c>
      <c r="N9821" s="1" t="s">
        <v>8</v>
      </c>
      <c r="O9821" s="1" t="s">
        <v>68</v>
      </c>
    </row>
    <row r="9822" spans="1:15" ht="43.2" x14ac:dyDescent="0.3">
      <c r="A9822" s="1" t="s">
        <v>7824</v>
      </c>
      <c r="B9822" s="1" t="str">
        <f>"Man with a van removal service"</f>
        <v>Man with a van removal service</v>
      </c>
      <c r="C9822" s="1" t="s">
        <v>7825</v>
      </c>
      <c r="D9822" s="1" t="s">
        <v>1719</v>
      </c>
      <c r="F9822" s="1" t="s">
        <v>7826</v>
      </c>
      <c r="H9822" s="1" t="s">
        <v>7827</v>
      </c>
      <c r="I9822" s="1" t="s">
        <v>188</v>
      </c>
      <c r="J9822" s="1" t="s">
        <v>67</v>
      </c>
      <c r="K9822" s="1" t="s">
        <v>14</v>
      </c>
      <c r="M9822" s="2">
        <v>41964</v>
      </c>
      <c r="N9822" s="1" t="s">
        <v>8</v>
      </c>
      <c r="O9822" s="1" t="s">
        <v>68</v>
      </c>
    </row>
    <row r="9823" spans="1:15" ht="43.2" x14ac:dyDescent="0.3">
      <c r="A9823" s="1" t="s">
        <v>21811</v>
      </c>
      <c r="B9823" s="1" t="str">
        <f>"ERIC HUGHES"</f>
        <v>ERIC HUGHES</v>
      </c>
      <c r="C9823" s="1" t="s">
        <v>21812</v>
      </c>
      <c r="F9823" s="1" t="s">
        <v>21813</v>
      </c>
      <c r="H9823" s="1" t="s">
        <v>21814</v>
      </c>
      <c r="I9823" s="1" t="s">
        <v>5</v>
      </c>
      <c r="J9823" s="1" t="s">
        <v>67</v>
      </c>
      <c r="K9823" s="1" t="s">
        <v>14</v>
      </c>
      <c r="M9823" s="2">
        <v>41964</v>
      </c>
      <c r="N9823" s="1" t="s">
        <v>8</v>
      </c>
      <c r="O9823" s="1" t="s">
        <v>68</v>
      </c>
    </row>
    <row r="9824" spans="1:15" ht="43.2" x14ac:dyDescent="0.3">
      <c r="A9824" s="1" t="s">
        <v>6791</v>
      </c>
      <c r="B9824" s="1" t="str">
        <f>"Hughes Caterers"</f>
        <v>Hughes Caterers</v>
      </c>
      <c r="C9824" s="1" t="s">
        <v>6792</v>
      </c>
      <c r="D9824" s="1" t="s">
        <v>1230</v>
      </c>
      <c r="F9824" s="1" t="s">
        <v>1230</v>
      </c>
      <c r="H9824" s="1" t="s">
        <v>6793</v>
      </c>
      <c r="I9824" s="1" t="s">
        <v>19</v>
      </c>
      <c r="J9824" s="1" t="s">
        <v>67</v>
      </c>
      <c r="K9824" s="1" t="s">
        <v>14</v>
      </c>
      <c r="M9824" s="2">
        <v>41963</v>
      </c>
      <c r="N9824" s="1" t="s">
        <v>8</v>
      </c>
      <c r="O9824" s="1" t="s">
        <v>68</v>
      </c>
    </row>
    <row r="9825" spans="1:15" ht="43.2" x14ac:dyDescent="0.3">
      <c r="A9825" s="1" t="s">
        <v>21073</v>
      </c>
      <c r="B9825" s="1" t="str">
        <f>"David Williams"</f>
        <v>David Williams</v>
      </c>
      <c r="C9825" s="1" t="s">
        <v>21074</v>
      </c>
      <c r="F9825" s="1" t="s">
        <v>32</v>
      </c>
      <c r="H9825" s="1" t="s">
        <v>21075</v>
      </c>
      <c r="I9825" s="1" t="s">
        <v>5</v>
      </c>
      <c r="J9825" s="1" t="s">
        <v>67</v>
      </c>
      <c r="K9825" s="1" t="s">
        <v>14</v>
      </c>
      <c r="M9825" s="2">
        <v>41963</v>
      </c>
      <c r="N9825" s="1" t="s">
        <v>8</v>
      </c>
      <c r="O9825" s="1" t="s">
        <v>68</v>
      </c>
    </row>
    <row r="9826" spans="1:15" ht="43.2" x14ac:dyDescent="0.3">
      <c r="A9826" s="1" t="s">
        <v>6788</v>
      </c>
      <c r="B9826" s="1" t="str">
        <f>"Van &amp; Truck Conversions Ltd"</f>
        <v>Van &amp; Truck Conversions Ltd</v>
      </c>
      <c r="C9826" s="1" t="s">
        <v>6789</v>
      </c>
      <c r="F9826" s="1" t="s">
        <v>380</v>
      </c>
      <c r="H9826" s="1" t="s">
        <v>6790</v>
      </c>
      <c r="I9826" s="1" t="s">
        <v>19</v>
      </c>
      <c r="J9826" s="1" t="s">
        <v>67</v>
      </c>
      <c r="K9826" s="1" t="s">
        <v>14</v>
      </c>
      <c r="M9826" s="2">
        <v>41961</v>
      </c>
      <c r="N9826" s="1" t="s">
        <v>8</v>
      </c>
      <c r="O9826" s="1" t="s">
        <v>68</v>
      </c>
    </row>
    <row r="9827" spans="1:15" ht="43.2" x14ac:dyDescent="0.3">
      <c r="A9827" s="1" t="s">
        <v>21069</v>
      </c>
      <c r="B9827" s="1" t="str">
        <f>"kirk breeze"</f>
        <v>kirk breeze</v>
      </c>
      <c r="C9827" s="1" t="s">
        <v>21070</v>
      </c>
      <c r="F9827" s="1" t="s">
        <v>21071</v>
      </c>
      <c r="H9827" s="1" t="s">
        <v>21072</v>
      </c>
      <c r="I9827" s="1" t="s">
        <v>5</v>
      </c>
      <c r="J9827" s="1" t="s">
        <v>67</v>
      </c>
      <c r="K9827" s="1" t="s">
        <v>14</v>
      </c>
      <c r="M9827" s="2">
        <v>41961</v>
      </c>
      <c r="N9827" s="1" t="s">
        <v>8</v>
      </c>
      <c r="O9827" s="1" t="s">
        <v>68</v>
      </c>
    </row>
    <row r="9828" spans="1:15" ht="43.2" x14ac:dyDescent="0.3">
      <c r="A9828" s="1" t="s">
        <v>6782</v>
      </c>
      <c r="B9828" s="1" t="str">
        <f>"Just Imagine Contract Interiors Limited"</f>
        <v>Just Imagine Contract Interiors Limited</v>
      </c>
      <c r="C9828" s="1" t="s">
        <v>6783</v>
      </c>
      <c r="F9828" s="1" t="s">
        <v>2434</v>
      </c>
      <c r="H9828" s="1" t="s">
        <v>6784</v>
      </c>
      <c r="I9828" s="1" t="s">
        <v>19</v>
      </c>
      <c r="J9828" s="1" t="s">
        <v>67</v>
      </c>
      <c r="K9828" s="1" t="s">
        <v>14</v>
      </c>
      <c r="M9828" s="2">
        <v>41960</v>
      </c>
      <c r="N9828" s="1" t="s">
        <v>8</v>
      </c>
      <c r="O9828" s="1" t="s">
        <v>68</v>
      </c>
    </row>
    <row r="9829" spans="1:15" ht="43.2" x14ac:dyDescent="0.3">
      <c r="A9829" s="1" t="s">
        <v>6785</v>
      </c>
      <c r="B9829" s="1" t="str">
        <f>"MORETHANMOW&amp;GOLTD"</f>
        <v>MORETHANMOW&amp;GOLTD</v>
      </c>
      <c r="C9829" s="1" t="s">
        <v>6786</v>
      </c>
      <c r="D9829" s="1" t="s">
        <v>532</v>
      </c>
      <c r="F9829" s="1" t="s">
        <v>532</v>
      </c>
      <c r="H9829" s="1" t="s">
        <v>6787</v>
      </c>
      <c r="I9829" s="1" t="s">
        <v>19</v>
      </c>
      <c r="J9829" s="1" t="s">
        <v>67</v>
      </c>
      <c r="K9829" s="1" t="s">
        <v>14</v>
      </c>
      <c r="M9829" s="2">
        <v>41960</v>
      </c>
      <c r="N9829" s="1" t="s">
        <v>8</v>
      </c>
      <c r="O9829" s="1" t="s">
        <v>68</v>
      </c>
    </row>
    <row r="9830" spans="1:15" ht="43.2" x14ac:dyDescent="0.3">
      <c r="A9830" s="1" t="s">
        <v>21066</v>
      </c>
      <c r="B9830" s="1" t="str">
        <f>"Stuart Thom"</f>
        <v>Stuart Thom</v>
      </c>
      <c r="C9830" s="1" t="s">
        <v>21067</v>
      </c>
      <c r="D9830" s="1" t="s">
        <v>179</v>
      </c>
      <c r="F9830" s="1" t="s">
        <v>179</v>
      </c>
      <c r="H9830" s="1" t="s">
        <v>21068</v>
      </c>
      <c r="I9830" s="1" t="s">
        <v>5</v>
      </c>
      <c r="J9830" s="1" t="s">
        <v>67</v>
      </c>
      <c r="K9830" s="1" t="s">
        <v>14</v>
      </c>
      <c r="M9830" s="2">
        <v>41960</v>
      </c>
      <c r="N9830" s="1" t="s">
        <v>8</v>
      </c>
      <c r="O9830" s="1" t="s">
        <v>68</v>
      </c>
    </row>
    <row r="9831" spans="1:15" ht="43.2" x14ac:dyDescent="0.3">
      <c r="A9831" s="1" t="s">
        <v>5578</v>
      </c>
      <c r="B9831" s="1" t="str">
        <f>"New inn pub talgarth lts"</f>
        <v>New inn pub talgarth lts</v>
      </c>
      <c r="C9831" s="1" t="s">
        <v>5579</v>
      </c>
      <c r="F9831" s="1" t="s">
        <v>5074</v>
      </c>
      <c r="H9831" s="1" t="s">
        <v>5580</v>
      </c>
      <c r="I9831" s="1" t="s">
        <v>19</v>
      </c>
      <c r="J9831" s="1" t="s">
        <v>67</v>
      </c>
      <c r="K9831" s="1" t="s">
        <v>14</v>
      </c>
      <c r="M9831" s="2">
        <v>41956</v>
      </c>
      <c r="N9831" s="1" t="s">
        <v>8</v>
      </c>
      <c r="O9831" s="1" t="s">
        <v>68</v>
      </c>
    </row>
    <row r="9832" spans="1:15" ht="43.2" x14ac:dyDescent="0.3">
      <c r="A9832" s="1" t="s">
        <v>6767</v>
      </c>
      <c r="B9832" s="1" t="str">
        <f>"CMB ELECTRICAL"</f>
        <v>CMB ELECTRICAL</v>
      </c>
      <c r="C9832" s="1" t="s">
        <v>6768</v>
      </c>
      <c r="F9832" s="1" t="s">
        <v>1137</v>
      </c>
      <c r="H9832" s="1" t="s">
        <v>3553</v>
      </c>
      <c r="I9832" s="1" t="s">
        <v>19</v>
      </c>
      <c r="J9832" s="1" t="s">
        <v>67</v>
      </c>
      <c r="K9832" s="1" t="s">
        <v>14</v>
      </c>
      <c r="M9832" s="2">
        <v>41956</v>
      </c>
      <c r="N9832" s="1" t="s">
        <v>8</v>
      </c>
      <c r="O9832" s="1" t="s">
        <v>68</v>
      </c>
    </row>
    <row r="9833" spans="1:15" ht="43.2" x14ac:dyDescent="0.3">
      <c r="A9833" s="1" t="s">
        <v>6769</v>
      </c>
      <c r="B9833" s="1" t="str">
        <f>"Caerphilly County Borough Council"</f>
        <v>Caerphilly County Borough Council</v>
      </c>
      <c r="C9833" s="1" t="s">
        <v>6770</v>
      </c>
      <c r="D9833" s="1" t="s">
        <v>6771</v>
      </c>
      <c r="F9833" s="1" t="s">
        <v>364</v>
      </c>
      <c r="H9833" s="1" t="s">
        <v>5900</v>
      </c>
      <c r="I9833" s="1" t="s">
        <v>188</v>
      </c>
      <c r="J9833" s="1" t="s">
        <v>67</v>
      </c>
      <c r="K9833" s="1" t="s">
        <v>14</v>
      </c>
      <c r="M9833" s="2">
        <v>41956</v>
      </c>
      <c r="N9833" s="1" t="s">
        <v>8</v>
      </c>
      <c r="O9833" s="1" t="s">
        <v>68</v>
      </c>
    </row>
    <row r="9834" spans="1:15" ht="43.2" x14ac:dyDescent="0.3">
      <c r="A9834" s="1" t="s">
        <v>6772</v>
      </c>
      <c r="B9834" s="1" t="str">
        <f>"gallery cardiff"</f>
        <v>gallery cardiff</v>
      </c>
      <c r="C9834" s="1" t="s">
        <v>6773</v>
      </c>
      <c r="F9834" s="1" t="s">
        <v>5963</v>
      </c>
      <c r="H9834" s="1" t="s">
        <v>6774</v>
      </c>
      <c r="I9834" s="1" t="s">
        <v>19</v>
      </c>
      <c r="J9834" s="1" t="s">
        <v>67</v>
      </c>
      <c r="K9834" s="1" t="s">
        <v>14</v>
      </c>
      <c r="M9834" s="2">
        <v>41956</v>
      </c>
      <c r="N9834" s="1" t="s">
        <v>8</v>
      </c>
      <c r="O9834" s="1" t="s">
        <v>68</v>
      </c>
    </row>
    <row r="9835" spans="1:15" ht="43.2" x14ac:dyDescent="0.3">
      <c r="A9835" s="1" t="s">
        <v>6775</v>
      </c>
      <c r="B9835" s="1" t="str">
        <f>"Reddy Pai Metals LTD"</f>
        <v>Reddy Pai Metals LTD</v>
      </c>
      <c r="C9835" s="1" t="s">
        <v>6776</v>
      </c>
      <c r="D9835" s="1" t="s">
        <v>6777</v>
      </c>
      <c r="F9835" s="1" t="s">
        <v>5963</v>
      </c>
      <c r="H9835" s="1" t="s">
        <v>6778</v>
      </c>
      <c r="I9835" s="1" t="s">
        <v>19</v>
      </c>
      <c r="J9835" s="1" t="s">
        <v>67</v>
      </c>
      <c r="K9835" s="1" t="s">
        <v>14</v>
      </c>
      <c r="M9835" s="2">
        <v>41956</v>
      </c>
      <c r="N9835" s="1" t="s">
        <v>8</v>
      </c>
      <c r="O9835" s="1" t="s">
        <v>68</v>
      </c>
    </row>
    <row r="9836" spans="1:15" ht="43.2" x14ac:dyDescent="0.3">
      <c r="A9836" s="1" t="s">
        <v>6779</v>
      </c>
      <c r="B9836" s="1" t="str">
        <f>"Crickhowell Resource &amp; Information Centre"</f>
        <v>Crickhowell Resource &amp; Information Centre</v>
      </c>
      <c r="C9836" s="1" t="s">
        <v>6780</v>
      </c>
      <c r="F9836" s="1" t="s">
        <v>2580</v>
      </c>
      <c r="H9836" s="1" t="s">
        <v>6781</v>
      </c>
      <c r="I9836" s="1" t="s">
        <v>1872</v>
      </c>
      <c r="J9836" s="1" t="s">
        <v>67</v>
      </c>
      <c r="K9836" s="1" t="s">
        <v>14</v>
      </c>
      <c r="M9836" s="2">
        <v>41956</v>
      </c>
      <c r="N9836" s="1" t="s">
        <v>8</v>
      </c>
      <c r="O9836" s="1" t="s">
        <v>68</v>
      </c>
    </row>
    <row r="9837" spans="1:15" ht="43.2" x14ac:dyDescent="0.3">
      <c r="A9837" s="1" t="s">
        <v>5575</v>
      </c>
      <c r="B9837" s="1" t="str">
        <f>"Morgan Jones Estates &amp; Lettings Ltd"</f>
        <v>Morgan Jones Estates &amp; Lettings Ltd</v>
      </c>
      <c r="C9837" s="1" t="s">
        <v>5576</v>
      </c>
      <c r="F9837" s="1" t="s">
        <v>64</v>
      </c>
      <c r="H9837" s="1" t="s">
        <v>5577</v>
      </c>
      <c r="I9837" s="1" t="s">
        <v>19</v>
      </c>
      <c r="J9837" s="1" t="s">
        <v>67</v>
      </c>
      <c r="K9837" s="1" t="s">
        <v>14</v>
      </c>
      <c r="M9837" s="2">
        <v>41955</v>
      </c>
      <c r="N9837" s="1" t="s">
        <v>8</v>
      </c>
      <c r="O9837" s="1" t="s">
        <v>68</v>
      </c>
    </row>
    <row r="9838" spans="1:15" ht="43.2" x14ac:dyDescent="0.3">
      <c r="A9838" s="1" t="s">
        <v>20249</v>
      </c>
      <c r="B9838" s="1" t="str">
        <f>"George Jones"</f>
        <v>George Jones</v>
      </c>
      <c r="C9838" s="1" t="s">
        <v>20250</v>
      </c>
      <c r="D9838" s="1" t="s">
        <v>20251</v>
      </c>
      <c r="F9838" s="1" t="s">
        <v>64</v>
      </c>
      <c r="H9838" s="1" t="s">
        <v>20252</v>
      </c>
      <c r="I9838" s="1" t="s">
        <v>5</v>
      </c>
      <c r="J9838" s="1" t="s">
        <v>67</v>
      </c>
      <c r="K9838" s="1" t="s">
        <v>14</v>
      </c>
      <c r="M9838" s="2">
        <v>41955</v>
      </c>
      <c r="N9838" s="1" t="s">
        <v>8</v>
      </c>
      <c r="O9838" s="1" t="s">
        <v>68</v>
      </c>
    </row>
    <row r="9839" spans="1:15" ht="43.2" x14ac:dyDescent="0.3">
      <c r="A9839" s="1" t="s">
        <v>5566</v>
      </c>
      <c r="B9839" s="1" t="str">
        <f>"Jeff Bevan Plumbing &amp; Heating LTD"</f>
        <v>Jeff Bevan Plumbing &amp; Heating LTD</v>
      </c>
      <c r="C9839" s="1" t="s">
        <v>5567</v>
      </c>
      <c r="F9839" s="1" t="s">
        <v>1776</v>
      </c>
      <c r="H9839" s="1" t="s">
        <v>5568</v>
      </c>
      <c r="I9839" s="1" t="s">
        <v>19</v>
      </c>
      <c r="J9839" s="1" t="s">
        <v>67</v>
      </c>
      <c r="K9839" s="1" t="s">
        <v>14</v>
      </c>
      <c r="M9839" s="2">
        <v>41953</v>
      </c>
      <c r="N9839" s="1" t="s">
        <v>8</v>
      </c>
      <c r="O9839" s="1" t="s">
        <v>68</v>
      </c>
    </row>
    <row r="9840" spans="1:15" ht="43.2" x14ac:dyDescent="0.3">
      <c r="A9840" s="1" t="s">
        <v>5569</v>
      </c>
      <c r="B9840" s="1" t="str">
        <f>"Castell Howell Foods Ltd"</f>
        <v>Castell Howell Foods Ltd</v>
      </c>
      <c r="C9840" s="1" t="s">
        <v>5570</v>
      </c>
      <c r="D9840" s="1" t="s">
        <v>42</v>
      </c>
      <c r="F9840" s="1" t="s">
        <v>666</v>
      </c>
      <c r="H9840" s="1" t="s">
        <v>5571</v>
      </c>
      <c r="I9840" s="1" t="s">
        <v>19</v>
      </c>
      <c r="J9840" s="1" t="s">
        <v>67</v>
      </c>
      <c r="K9840" s="1" t="s">
        <v>14</v>
      </c>
      <c r="M9840" s="2">
        <v>41953</v>
      </c>
      <c r="N9840" s="1" t="s">
        <v>8</v>
      </c>
      <c r="O9840" s="1" t="s">
        <v>68</v>
      </c>
    </row>
    <row r="9841" spans="1:15" ht="43.2" x14ac:dyDescent="0.3">
      <c r="A9841" s="1" t="s">
        <v>5572</v>
      </c>
      <c r="B9841" s="1" t="str">
        <f>"Bellevue Group Practice"</f>
        <v>Bellevue Group Practice</v>
      </c>
      <c r="C9841" s="1" t="s">
        <v>5573</v>
      </c>
      <c r="F9841" s="1" t="s">
        <v>156</v>
      </c>
      <c r="H9841" s="1" t="s">
        <v>5574</v>
      </c>
      <c r="I9841" s="1" t="s">
        <v>125</v>
      </c>
      <c r="J9841" s="1" t="s">
        <v>67</v>
      </c>
      <c r="K9841" s="1" t="s">
        <v>14</v>
      </c>
      <c r="M9841" s="2">
        <v>41953</v>
      </c>
      <c r="N9841" s="1" t="s">
        <v>8</v>
      </c>
      <c r="O9841" s="1" t="s">
        <v>68</v>
      </c>
    </row>
    <row r="9842" spans="1:15" ht="43.2" x14ac:dyDescent="0.3">
      <c r="A9842" s="1" t="s">
        <v>20237</v>
      </c>
      <c r="B9842" s="1" t="str">
        <f>"Martin Womack"</f>
        <v>Martin Womack</v>
      </c>
      <c r="C9842" s="1" t="s">
        <v>20238</v>
      </c>
      <c r="F9842" s="1" t="s">
        <v>2685</v>
      </c>
      <c r="H9842" s="1" t="s">
        <v>16801</v>
      </c>
      <c r="I9842" s="1" t="s">
        <v>5</v>
      </c>
      <c r="J9842" s="1" t="s">
        <v>67</v>
      </c>
      <c r="K9842" s="1" t="s">
        <v>14</v>
      </c>
      <c r="M9842" s="2">
        <v>41953</v>
      </c>
      <c r="N9842" s="1" t="s">
        <v>8</v>
      </c>
      <c r="O9842" s="1" t="s">
        <v>68</v>
      </c>
    </row>
    <row r="9843" spans="1:15" ht="43.2" x14ac:dyDescent="0.3">
      <c r="A9843" s="1" t="s">
        <v>20239</v>
      </c>
      <c r="B9843" s="1" t="str">
        <f>"Jeanette Ingram"</f>
        <v>Jeanette Ingram</v>
      </c>
      <c r="C9843" s="1" t="s">
        <v>20240</v>
      </c>
      <c r="D9843" s="1" t="s">
        <v>8943</v>
      </c>
      <c r="F9843" s="1" t="s">
        <v>162</v>
      </c>
      <c r="H9843" s="1" t="s">
        <v>20241</v>
      </c>
      <c r="I9843" s="1" t="s">
        <v>5</v>
      </c>
      <c r="J9843" s="1" t="s">
        <v>67</v>
      </c>
      <c r="K9843" s="1" t="s">
        <v>14</v>
      </c>
      <c r="M9843" s="2">
        <v>41953</v>
      </c>
      <c r="N9843" s="1" t="s">
        <v>8</v>
      </c>
      <c r="O9843" s="1" t="s">
        <v>68</v>
      </c>
    </row>
    <row r="9844" spans="1:15" ht="43.2" x14ac:dyDescent="0.3">
      <c r="A9844" s="1" t="s">
        <v>20242</v>
      </c>
      <c r="B9844" s="1" t="str">
        <f>"Jan Mohammad"</f>
        <v>Jan Mohammad</v>
      </c>
      <c r="C9844" s="1" t="s">
        <v>20243</v>
      </c>
      <c r="F9844" s="1" t="s">
        <v>20244</v>
      </c>
      <c r="H9844" s="1" t="s">
        <v>20245</v>
      </c>
      <c r="I9844" s="1" t="s">
        <v>5</v>
      </c>
      <c r="J9844" s="1" t="s">
        <v>67</v>
      </c>
      <c r="K9844" s="1" t="s">
        <v>14</v>
      </c>
      <c r="M9844" s="2">
        <v>41953</v>
      </c>
      <c r="N9844" s="1" t="s">
        <v>8</v>
      </c>
      <c r="O9844" s="1" t="s">
        <v>68</v>
      </c>
    </row>
    <row r="9845" spans="1:15" ht="43.2" x14ac:dyDescent="0.3">
      <c r="A9845" s="1" t="s">
        <v>20246</v>
      </c>
      <c r="B9845" s="1" t="str">
        <f>"Mike Pemberton"</f>
        <v>Mike Pemberton</v>
      </c>
      <c r="C9845" s="1" t="s">
        <v>20247</v>
      </c>
      <c r="D9845" s="1" t="s">
        <v>359</v>
      </c>
      <c r="F9845" s="1" t="s">
        <v>359</v>
      </c>
      <c r="H9845" s="1" t="s">
        <v>20248</v>
      </c>
      <c r="I9845" s="1" t="s">
        <v>5</v>
      </c>
      <c r="J9845" s="1" t="s">
        <v>67</v>
      </c>
      <c r="K9845" s="1" t="s">
        <v>14</v>
      </c>
      <c r="M9845" s="2">
        <v>41953</v>
      </c>
      <c r="N9845" s="1" t="s">
        <v>8</v>
      </c>
      <c r="O9845" s="1" t="s">
        <v>68</v>
      </c>
    </row>
    <row r="9846" spans="1:15" ht="43.2" x14ac:dyDescent="0.3">
      <c r="A9846" s="1" t="s">
        <v>5562</v>
      </c>
      <c r="B9846" s="1" t="str">
        <f>"NTCDUCTING.COM"</f>
        <v>NTCDUCTING.COM</v>
      </c>
      <c r="C9846" s="1" t="s">
        <v>5563</v>
      </c>
      <c r="D9846" s="1" t="s">
        <v>5564</v>
      </c>
      <c r="F9846" s="1" t="s">
        <v>64</v>
      </c>
      <c r="H9846" s="1" t="s">
        <v>5565</v>
      </c>
      <c r="I9846" s="1" t="s">
        <v>19</v>
      </c>
      <c r="J9846" s="1" t="s">
        <v>67</v>
      </c>
      <c r="K9846" s="1" t="s">
        <v>14</v>
      </c>
      <c r="M9846" s="2">
        <v>41950</v>
      </c>
      <c r="N9846" s="1" t="s">
        <v>8</v>
      </c>
      <c r="O9846" s="1" t="s">
        <v>68</v>
      </c>
    </row>
    <row r="9847" spans="1:15" ht="43.2" x14ac:dyDescent="0.3">
      <c r="A9847" s="1" t="s">
        <v>4464</v>
      </c>
      <c r="B9847" s="1" t="str">
        <f>"Bright Electrical contractor n.w Ltd"</f>
        <v>Bright Electrical contractor n.w Ltd</v>
      </c>
      <c r="C9847" s="1" t="s">
        <v>4465</v>
      </c>
      <c r="D9847" s="1" t="s">
        <v>4466</v>
      </c>
      <c r="F9847" s="1" t="s">
        <v>4467</v>
      </c>
      <c r="H9847" s="1" t="s">
        <v>4468</v>
      </c>
      <c r="I9847" s="1" t="s">
        <v>19</v>
      </c>
      <c r="J9847" s="1" t="s">
        <v>67</v>
      </c>
      <c r="K9847" s="1" t="s">
        <v>14</v>
      </c>
      <c r="M9847" s="2">
        <v>41949</v>
      </c>
      <c r="N9847" s="1" t="s">
        <v>8</v>
      </c>
      <c r="O9847" s="1" t="s">
        <v>68</v>
      </c>
    </row>
    <row r="9848" spans="1:15" ht="43.2" x14ac:dyDescent="0.3">
      <c r="A9848" s="1" t="s">
        <v>4456</v>
      </c>
      <c r="B9848" s="1" t="str">
        <f>"Anderson Apparel Ltd"</f>
        <v>Anderson Apparel Ltd</v>
      </c>
      <c r="C9848" s="1" t="s">
        <v>4457</v>
      </c>
      <c r="F9848" s="1" t="s">
        <v>4458</v>
      </c>
      <c r="H9848" s="1" t="s">
        <v>4459</v>
      </c>
      <c r="I9848" s="1" t="s">
        <v>19</v>
      </c>
      <c r="J9848" s="1" t="s">
        <v>67</v>
      </c>
      <c r="K9848" s="1" t="s">
        <v>14</v>
      </c>
      <c r="M9848" s="2">
        <v>41948</v>
      </c>
      <c r="N9848" s="1" t="s">
        <v>8</v>
      </c>
      <c r="O9848" s="1" t="s">
        <v>68</v>
      </c>
    </row>
    <row r="9849" spans="1:15" ht="43.2" x14ac:dyDescent="0.3">
      <c r="A9849" s="1" t="s">
        <v>4460</v>
      </c>
      <c r="B9849" s="1" t="str">
        <f>"brecon and radnor express LTD"</f>
        <v>brecon and radnor express LTD</v>
      </c>
      <c r="C9849" s="1" t="s">
        <v>4461</v>
      </c>
      <c r="F9849" s="1" t="s">
        <v>4462</v>
      </c>
      <c r="H9849" s="1" t="s">
        <v>4463</v>
      </c>
      <c r="I9849" s="1" t="s">
        <v>19</v>
      </c>
      <c r="J9849" s="1" t="s">
        <v>67</v>
      </c>
      <c r="K9849" s="1" t="s">
        <v>14</v>
      </c>
      <c r="M9849" s="2">
        <v>41948</v>
      </c>
      <c r="N9849" s="1" t="s">
        <v>8</v>
      </c>
      <c r="O9849" s="1" t="s">
        <v>68</v>
      </c>
    </row>
    <row r="9850" spans="1:15" ht="43.2" x14ac:dyDescent="0.3">
      <c r="A9850" s="1" t="s">
        <v>4447</v>
      </c>
      <c r="B9850" s="1" t="str">
        <f>"Likeys Ltd"</f>
        <v>Likeys Ltd</v>
      </c>
      <c r="C9850" s="1" t="s">
        <v>4448</v>
      </c>
      <c r="F9850" s="1" t="s">
        <v>1206</v>
      </c>
      <c r="H9850" s="1" t="s">
        <v>4449</v>
      </c>
      <c r="I9850" s="1" t="s">
        <v>19</v>
      </c>
      <c r="J9850" s="1" t="s">
        <v>67</v>
      </c>
      <c r="K9850" s="1" t="s">
        <v>14</v>
      </c>
      <c r="M9850" s="2">
        <v>41947</v>
      </c>
      <c r="N9850" s="1" t="s">
        <v>8</v>
      </c>
      <c r="O9850" s="1" t="s">
        <v>68</v>
      </c>
    </row>
    <row r="9851" spans="1:15" ht="43.2" x14ac:dyDescent="0.3">
      <c r="A9851" s="1" t="s">
        <v>4450</v>
      </c>
      <c r="B9851" s="1" t="str">
        <f>"Coleg Sir Gar Ltd."</f>
        <v>Coleg Sir Gar Ltd.</v>
      </c>
      <c r="C9851" s="1" t="s">
        <v>4451</v>
      </c>
      <c r="F9851" s="1" t="s">
        <v>42</v>
      </c>
      <c r="H9851" s="1" t="s">
        <v>4452</v>
      </c>
      <c r="I9851" s="1" t="s">
        <v>19</v>
      </c>
      <c r="J9851" s="1" t="s">
        <v>67</v>
      </c>
      <c r="K9851" s="1" t="s">
        <v>14</v>
      </c>
      <c r="M9851" s="2">
        <v>41947</v>
      </c>
      <c r="N9851" s="1" t="s">
        <v>8</v>
      </c>
      <c r="O9851" s="1" t="s">
        <v>68</v>
      </c>
    </row>
    <row r="9852" spans="1:15" ht="43.2" x14ac:dyDescent="0.3">
      <c r="A9852" s="1" t="s">
        <v>4453</v>
      </c>
      <c r="B9852" s="1" t="str">
        <f>"In Check Domestic Services"</f>
        <v>In Check Domestic Services</v>
      </c>
      <c r="C9852" s="1" t="s">
        <v>4454</v>
      </c>
      <c r="F9852" s="1" t="s">
        <v>123</v>
      </c>
      <c r="H9852" s="1" t="s">
        <v>4455</v>
      </c>
      <c r="I9852" s="1" t="s">
        <v>125</v>
      </c>
      <c r="J9852" s="1" t="s">
        <v>67</v>
      </c>
      <c r="K9852" s="1" t="s">
        <v>14</v>
      </c>
      <c r="M9852" s="2">
        <v>41947</v>
      </c>
      <c r="N9852" s="1" t="s">
        <v>8</v>
      </c>
      <c r="O9852" s="1" t="s">
        <v>68</v>
      </c>
    </row>
    <row r="9853" spans="1:15" ht="43.2" x14ac:dyDescent="0.3">
      <c r="A9853" s="1" t="s">
        <v>19486</v>
      </c>
      <c r="B9853" s="1" t="str">
        <f>"richard tucker"</f>
        <v>richard tucker</v>
      </c>
      <c r="C9853" s="1" t="s">
        <v>19487</v>
      </c>
      <c r="D9853" s="1" t="s">
        <v>19488</v>
      </c>
      <c r="F9853" s="1" t="s">
        <v>4596</v>
      </c>
      <c r="H9853" s="1" t="s">
        <v>19489</v>
      </c>
      <c r="I9853" s="1" t="s">
        <v>5</v>
      </c>
      <c r="J9853" s="1" t="s">
        <v>67</v>
      </c>
      <c r="K9853" s="1" t="s">
        <v>14</v>
      </c>
      <c r="M9853" s="2">
        <v>41947</v>
      </c>
      <c r="N9853" s="1" t="s">
        <v>8</v>
      </c>
      <c r="O9853" s="1" t="s">
        <v>68</v>
      </c>
    </row>
    <row r="9854" spans="1:15" ht="43.2" x14ac:dyDescent="0.3">
      <c r="A9854" s="1" t="s">
        <v>4439</v>
      </c>
      <c r="B9854" s="1" t="str">
        <f>"Almesco Ltd"</f>
        <v>Almesco Ltd</v>
      </c>
      <c r="C9854" s="1" t="s">
        <v>4440</v>
      </c>
      <c r="D9854" s="1" t="s">
        <v>4441</v>
      </c>
      <c r="F9854" s="1" t="s">
        <v>179</v>
      </c>
      <c r="H9854" s="1" t="s">
        <v>4442</v>
      </c>
      <c r="I9854" s="1" t="s">
        <v>19</v>
      </c>
      <c r="J9854" s="1" t="s">
        <v>67</v>
      </c>
      <c r="K9854" s="1" t="s">
        <v>14</v>
      </c>
      <c r="M9854" s="2">
        <v>41946</v>
      </c>
      <c r="N9854" s="1" t="s">
        <v>8</v>
      </c>
      <c r="O9854" s="1" t="s">
        <v>68</v>
      </c>
    </row>
    <row r="9855" spans="1:15" ht="43.2" x14ac:dyDescent="0.3">
      <c r="A9855" s="1" t="s">
        <v>4443</v>
      </c>
      <c r="B9855" s="1" t="str">
        <f>"j&amp;p routledge &amp; son ltd"</f>
        <v>j&amp;p routledge &amp; son ltd</v>
      </c>
      <c r="C9855" s="1" t="s">
        <v>4444</v>
      </c>
      <c r="D9855" s="1" t="s">
        <v>4445</v>
      </c>
      <c r="F9855" s="1" t="s">
        <v>4445</v>
      </c>
      <c r="H9855" s="1" t="s">
        <v>4446</v>
      </c>
      <c r="I9855" s="1" t="s">
        <v>19</v>
      </c>
      <c r="J9855" s="1" t="s">
        <v>67</v>
      </c>
      <c r="K9855" s="1" t="s">
        <v>14</v>
      </c>
      <c r="M9855" s="2">
        <v>41946</v>
      </c>
      <c r="N9855" s="1" t="s">
        <v>8</v>
      </c>
      <c r="O9855" s="1" t="s">
        <v>68</v>
      </c>
    </row>
    <row r="9856" spans="1:15" ht="43.2" x14ac:dyDescent="0.3">
      <c r="A9856" s="1" t="s">
        <v>19479</v>
      </c>
      <c r="B9856" s="1" t="str">
        <f>"dominic bromley"</f>
        <v>dominic bromley</v>
      </c>
      <c r="C9856" s="1" t="s">
        <v>19480</v>
      </c>
      <c r="F9856" s="1" t="s">
        <v>1385</v>
      </c>
      <c r="H9856" s="1" t="s">
        <v>19481</v>
      </c>
      <c r="I9856" s="1" t="s">
        <v>5</v>
      </c>
      <c r="J9856" s="1" t="s">
        <v>67</v>
      </c>
      <c r="K9856" s="1" t="s">
        <v>14</v>
      </c>
      <c r="M9856" s="2">
        <v>41946</v>
      </c>
      <c r="N9856" s="1" t="s">
        <v>8</v>
      </c>
      <c r="O9856" s="1" t="s">
        <v>68</v>
      </c>
    </row>
    <row r="9857" spans="1:15" ht="43.2" x14ac:dyDescent="0.3">
      <c r="A9857" s="1" t="s">
        <v>19482</v>
      </c>
      <c r="B9857" s="1" t="str">
        <f>"elaine thomas"</f>
        <v>elaine thomas</v>
      </c>
      <c r="C9857" s="1" t="s">
        <v>19483</v>
      </c>
      <c r="D9857" s="1" t="s">
        <v>19484</v>
      </c>
      <c r="F9857" s="1" t="s">
        <v>11137</v>
      </c>
      <c r="H9857" s="1" t="s">
        <v>19485</v>
      </c>
      <c r="I9857" s="1" t="s">
        <v>5</v>
      </c>
      <c r="J9857" s="1" t="s">
        <v>67</v>
      </c>
      <c r="K9857" s="1" t="s">
        <v>14</v>
      </c>
      <c r="M9857" s="2">
        <v>41946</v>
      </c>
      <c r="N9857" s="1" t="s">
        <v>8</v>
      </c>
      <c r="O9857" s="1" t="s">
        <v>68</v>
      </c>
    </row>
    <row r="9858" spans="1:15" ht="43.2" x14ac:dyDescent="0.3">
      <c r="A9858" s="1" t="s">
        <v>19470</v>
      </c>
      <c r="B9858" s="1" t="str">
        <f>"Kevin  coffin "</f>
        <v xml:space="preserve">Kevin  coffin </v>
      </c>
      <c r="C9858" s="1" t="s">
        <v>19471</v>
      </c>
      <c r="D9858" s="1" t="s">
        <v>56</v>
      </c>
      <c r="F9858" s="1" t="s">
        <v>19472</v>
      </c>
      <c r="H9858" s="1" t="s">
        <v>19473</v>
      </c>
      <c r="I9858" s="1" t="s">
        <v>5</v>
      </c>
      <c r="J9858" s="1" t="s">
        <v>67</v>
      </c>
      <c r="K9858" s="1" t="s">
        <v>14</v>
      </c>
      <c r="M9858" s="2">
        <v>41945</v>
      </c>
      <c r="N9858" s="1" t="s">
        <v>8</v>
      </c>
      <c r="O9858" s="1" t="s">
        <v>68</v>
      </c>
    </row>
    <row r="9859" spans="1:15" ht="43.2" x14ac:dyDescent="0.3">
      <c r="A9859" s="1" t="s">
        <v>19474</v>
      </c>
      <c r="B9859" s="1" t="str">
        <f>"DAFYDD  PARRY"</f>
        <v>DAFYDD  PARRY</v>
      </c>
      <c r="C9859" s="1" t="s">
        <v>19475</v>
      </c>
      <c r="D9859" s="1" t="s">
        <v>19476</v>
      </c>
      <c r="F9859" s="1" t="s">
        <v>19477</v>
      </c>
      <c r="H9859" s="1" t="s">
        <v>19478</v>
      </c>
      <c r="I9859" s="1" t="s">
        <v>5</v>
      </c>
      <c r="J9859" s="1" t="s">
        <v>67</v>
      </c>
      <c r="K9859" s="1" t="s">
        <v>14</v>
      </c>
      <c r="M9859" s="2">
        <v>41945</v>
      </c>
      <c r="N9859" s="1" t="s">
        <v>8</v>
      </c>
      <c r="O9859" s="1" t="s">
        <v>68</v>
      </c>
    </row>
    <row r="9860" spans="1:15" ht="43.2" x14ac:dyDescent="0.3">
      <c r="A9860" s="1" t="s">
        <v>3330</v>
      </c>
      <c r="B9860" s="1" t="str">
        <f>"M&amp;D Supplies"</f>
        <v>M&amp;D Supplies</v>
      </c>
      <c r="C9860" s="1" t="s">
        <v>3331</v>
      </c>
      <c r="D9860" s="1" t="s">
        <v>3332</v>
      </c>
      <c r="F9860" s="1" t="s">
        <v>1063</v>
      </c>
      <c r="H9860" s="1" t="s">
        <v>3333</v>
      </c>
      <c r="I9860" s="1" t="s">
        <v>125</v>
      </c>
      <c r="J9860" s="1" t="s">
        <v>67</v>
      </c>
      <c r="K9860" s="1" t="s">
        <v>14</v>
      </c>
      <c r="M9860" s="2">
        <v>41944</v>
      </c>
      <c r="N9860" s="1" t="s">
        <v>8</v>
      </c>
      <c r="O9860" s="1" t="s">
        <v>68</v>
      </c>
    </row>
    <row r="9861" spans="1:15" ht="43.2" x14ac:dyDescent="0.3">
      <c r="A9861" s="1" t="s">
        <v>19463</v>
      </c>
      <c r="B9861" s="1" t="str">
        <f>"william  parry "</f>
        <v xml:space="preserve">william  parry </v>
      </c>
      <c r="C9861" s="1" t="s">
        <v>19464</v>
      </c>
      <c r="F9861" s="1" t="s">
        <v>4390</v>
      </c>
      <c r="H9861" s="1" t="s">
        <v>19465</v>
      </c>
      <c r="I9861" s="1" t="s">
        <v>5</v>
      </c>
      <c r="J9861" s="1" t="s">
        <v>67</v>
      </c>
      <c r="K9861" s="1" t="s">
        <v>14</v>
      </c>
      <c r="M9861" s="2">
        <v>41944</v>
      </c>
      <c r="N9861" s="1" t="s">
        <v>8</v>
      </c>
      <c r="O9861" s="1" t="s">
        <v>68</v>
      </c>
    </row>
    <row r="9862" spans="1:15" ht="43.2" x14ac:dyDescent="0.3">
      <c r="A9862" s="1" t="s">
        <v>19466</v>
      </c>
      <c r="B9862" s="1" t="str">
        <f>"KEVIN WASHBOURNE"</f>
        <v>KEVIN WASHBOURNE</v>
      </c>
      <c r="C9862" s="1" t="s">
        <v>19467</v>
      </c>
      <c r="F9862" s="1" t="s">
        <v>19468</v>
      </c>
      <c r="H9862" s="1" t="s">
        <v>19469</v>
      </c>
      <c r="I9862" s="1" t="s">
        <v>5</v>
      </c>
      <c r="J9862" s="1" t="s">
        <v>67</v>
      </c>
      <c r="K9862" s="1" t="s">
        <v>14</v>
      </c>
      <c r="M9862" s="2">
        <v>41944</v>
      </c>
      <c r="N9862" s="1" t="s">
        <v>8</v>
      </c>
      <c r="O9862" s="1" t="s">
        <v>68</v>
      </c>
    </row>
    <row r="9863" spans="1:15" ht="43.2" x14ac:dyDescent="0.3">
      <c r="A9863" s="1" t="s">
        <v>3327</v>
      </c>
      <c r="B9863" s="1" t="str">
        <f>"Vale of Glamorgan Council PRoW"</f>
        <v>Vale of Glamorgan Council PRoW</v>
      </c>
      <c r="C9863" s="1" t="s">
        <v>3328</v>
      </c>
      <c r="F9863" s="1" t="s">
        <v>706</v>
      </c>
      <c r="H9863" s="1" t="s">
        <v>3329</v>
      </c>
      <c r="I9863" s="1" t="s">
        <v>188</v>
      </c>
      <c r="J9863" s="1" t="s">
        <v>67</v>
      </c>
      <c r="K9863" s="1" t="s">
        <v>14</v>
      </c>
      <c r="M9863" s="2">
        <v>41943</v>
      </c>
      <c r="N9863" s="1" t="s">
        <v>8</v>
      </c>
      <c r="O9863" s="1" t="s">
        <v>68</v>
      </c>
    </row>
    <row r="9864" spans="1:15" ht="43.2" x14ac:dyDescent="0.3">
      <c r="A9864" s="1" t="s">
        <v>3321</v>
      </c>
      <c r="B9864" s="1" t="str">
        <f>"Menter Fachwen"</f>
        <v>Menter Fachwen</v>
      </c>
      <c r="C9864" s="1" t="s">
        <v>3322</v>
      </c>
      <c r="F9864" s="1" t="s">
        <v>710</v>
      </c>
      <c r="H9864" s="1" t="s">
        <v>3323</v>
      </c>
      <c r="I9864" s="1" t="s">
        <v>1872</v>
      </c>
      <c r="J9864" s="1" t="s">
        <v>67</v>
      </c>
      <c r="K9864" s="1" t="s">
        <v>14</v>
      </c>
      <c r="M9864" s="2">
        <v>41942</v>
      </c>
      <c r="N9864" s="1" t="s">
        <v>8</v>
      </c>
      <c r="O9864" s="1" t="s">
        <v>68</v>
      </c>
    </row>
    <row r="9865" spans="1:15" ht="43.2" x14ac:dyDescent="0.3">
      <c r="A9865" s="1" t="s">
        <v>3324</v>
      </c>
      <c r="B9865" s="1" t="str">
        <f>"Gorseinon Metals Ltd"</f>
        <v>Gorseinon Metals Ltd</v>
      </c>
      <c r="C9865" s="1" t="s">
        <v>3325</v>
      </c>
      <c r="D9865" s="1" t="s">
        <v>578</v>
      </c>
      <c r="F9865" s="1" t="s">
        <v>64</v>
      </c>
      <c r="H9865" s="1" t="s">
        <v>3326</v>
      </c>
      <c r="I9865" s="1" t="s">
        <v>19</v>
      </c>
      <c r="J9865" s="1" t="s">
        <v>67</v>
      </c>
      <c r="K9865" s="1" t="s">
        <v>14</v>
      </c>
      <c r="M9865" s="2">
        <v>41942</v>
      </c>
      <c r="N9865" s="1" t="s">
        <v>8</v>
      </c>
      <c r="O9865" s="1" t="s">
        <v>68</v>
      </c>
    </row>
    <row r="9866" spans="1:15" ht="43.2" x14ac:dyDescent="0.3">
      <c r="A9866" s="1" t="s">
        <v>18616</v>
      </c>
      <c r="B9866" s="1" t="str">
        <f>"Anthony Bulpin"</f>
        <v>Anthony Bulpin</v>
      </c>
      <c r="C9866" s="1" t="s">
        <v>18617</v>
      </c>
      <c r="D9866" s="1" t="s">
        <v>18618</v>
      </c>
      <c r="F9866" s="1" t="s">
        <v>123</v>
      </c>
      <c r="H9866" s="1" t="s">
        <v>18619</v>
      </c>
      <c r="I9866" s="1" t="s">
        <v>5</v>
      </c>
      <c r="J9866" s="1" t="s">
        <v>67</v>
      </c>
      <c r="K9866" s="1" t="s">
        <v>14</v>
      </c>
      <c r="M9866" s="2">
        <v>41942</v>
      </c>
      <c r="N9866" s="1" t="s">
        <v>8</v>
      </c>
      <c r="O9866" s="1" t="s">
        <v>68</v>
      </c>
    </row>
    <row r="9867" spans="1:15" ht="43.2" x14ac:dyDescent="0.3">
      <c r="A9867" s="1" t="s">
        <v>3311</v>
      </c>
      <c r="B9867" s="1" t="str">
        <f>"Turbine Transfers"</f>
        <v>Turbine Transfers</v>
      </c>
      <c r="C9867" s="1" t="s">
        <v>3312</v>
      </c>
      <c r="F9867" s="1" t="s">
        <v>1108</v>
      </c>
      <c r="H9867" s="1" t="s">
        <v>3313</v>
      </c>
      <c r="I9867" s="1" t="s">
        <v>19</v>
      </c>
      <c r="J9867" s="1" t="s">
        <v>67</v>
      </c>
      <c r="K9867" s="1" t="s">
        <v>14</v>
      </c>
      <c r="M9867" s="2">
        <v>41941</v>
      </c>
      <c r="N9867" s="1" t="s">
        <v>8</v>
      </c>
      <c r="O9867" s="1" t="s">
        <v>68</v>
      </c>
    </row>
    <row r="9868" spans="1:15" ht="43.2" x14ac:dyDescent="0.3">
      <c r="A9868" s="1" t="s">
        <v>3314</v>
      </c>
      <c r="B9868" s="1" t="str">
        <f>"Elite fencing systems ltd"</f>
        <v>Elite fencing systems ltd</v>
      </c>
      <c r="C9868" s="1" t="s">
        <v>3315</v>
      </c>
      <c r="F9868" s="1" t="s">
        <v>3316</v>
      </c>
      <c r="H9868" s="1" t="s">
        <v>3317</v>
      </c>
      <c r="I9868" s="1" t="s">
        <v>19</v>
      </c>
      <c r="J9868" s="1" t="s">
        <v>67</v>
      </c>
      <c r="K9868" s="1" t="s">
        <v>14</v>
      </c>
      <c r="M9868" s="2">
        <v>41941</v>
      </c>
      <c r="N9868" s="1" t="s">
        <v>8</v>
      </c>
      <c r="O9868" s="1" t="s">
        <v>68</v>
      </c>
    </row>
    <row r="9869" spans="1:15" ht="43.2" x14ac:dyDescent="0.3">
      <c r="A9869" s="1" t="s">
        <v>3318</v>
      </c>
      <c r="B9869" s="1" t="str">
        <f>"Sunnybank Health Centre"</f>
        <v>Sunnybank Health Centre</v>
      </c>
      <c r="C9869" s="1" t="s">
        <v>3319</v>
      </c>
      <c r="F9869" s="1" t="s">
        <v>1341</v>
      </c>
      <c r="H9869" s="1" t="s">
        <v>3320</v>
      </c>
      <c r="I9869" s="1" t="s">
        <v>125</v>
      </c>
      <c r="J9869" s="1" t="s">
        <v>67</v>
      </c>
      <c r="K9869" s="1" t="s">
        <v>14</v>
      </c>
      <c r="M9869" s="2">
        <v>41941</v>
      </c>
      <c r="N9869" s="1" t="s">
        <v>8</v>
      </c>
      <c r="O9869" s="1" t="s">
        <v>68</v>
      </c>
    </row>
    <row r="9870" spans="1:15" ht="43.2" x14ac:dyDescent="0.3">
      <c r="A9870" s="1" t="s">
        <v>18612</v>
      </c>
      <c r="B9870" s="1" t="str">
        <f>"al reagan"</f>
        <v>al reagan</v>
      </c>
      <c r="C9870" s="1" t="s">
        <v>18613</v>
      </c>
      <c r="F9870" s="1" t="s">
        <v>18614</v>
      </c>
      <c r="H9870" s="1" t="s">
        <v>18615</v>
      </c>
      <c r="I9870" s="1" t="s">
        <v>5</v>
      </c>
      <c r="J9870" s="1" t="s">
        <v>67</v>
      </c>
      <c r="K9870" s="1" t="s">
        <v>14</v>
      </c>
      <c r="M9870" s="2">
        <v>41941</v>
      </c>
      <c r="N9870" s="1" t="s">
        <v>8</v>
      </c>
      <c r="O9870" s="1" t="s">
        <v>68</v>
      </c>
    </row>
    <row r="9871" spans="1:15" ht="43.2" x14ac:dyDescent="0.3">
      <c r="A9871" s="1" t="s">
        <v>3307</v>
      </c>
      <c r="B9871" s="1" t="str">
        <f>"monmouth caravan park"</f>
        <v>monmouth caravan park</v>
      </c>
      <c r="C9871" s="1" t="s">
        <v>3308</v>
      </c>
      <c r="F9871" s="1" t="s">
        <v>3309</v>
      </c>
      <c r="H9871" s="1" t="s">
        <v>3310</v>
      </c>
      <c r="I9871" s="1" t="s">
        <v>125</v>
      </c>
      <c r="J9871" s="1" t="s">
        <v>67</v>
      </c>
      <c r="K9871" s="1" t="s">
        <v>14</v>
      </c>
      <c r="M9871" s="2">
        <v>41940</v>
      </c>
      <c r="N9871" s="1" t="s">
        <v>8</v>
      </c>
      <c r="O9871" s="1" t="s">
        <v>68</v>
      </c>
    </row>
    <row r="9872" spans="1:15" ht="43.2" x14ac:dyDescent="0.3">
      <c r="A9872" s="1" t="s">
        <v>18609</v>
      </c>
      <c r="B9872" s="1" t="str">
        <f>"Huw Phillips"</f>
        <v>Huw Phillips</v>
      </c>
      <c r="C9872" s="1" t="s">
        <v>18610</v>
      </c>
      <c r="D9872" s="1" t="s">
        <v>8812</v>
      </c>
      <c r="F9872" s="1" t="s">
        <v>64</v>
      </c>
      <c r="H9872" s="1" t="s">
        <v>18611</v>
      </c>
      <c r="I9872" s="1" t="s">
        <v>5</v>
      </c>
      <c r="J9872" s="1" t="s">
        <v>67</v>
      </c>
      <c r="K9872" s="1" t="s">
        <v>14</v>
      </c>
      <c r="M9872" s="2">
        <v>41940</v>
      </c>
      <c r="N9872" s="1" t="s">
        <v>8</v>
      </c>
      <c r="O9872" s="1" t="s">
        <v>68</v>
      </c>
    </row>
    <row r="9873" spans="1:15" ht="43.2" x14ac:dyDescent="0.3">
      <c r="A9873" s="1" t="s">
        <v>3304</v>
      </c>
      <c r="B9873" s="1" t="str">
        <f>"Monmouthshire County Council"</f>
        <v>Monmouthshire County Council</v>
      </c>
      <c r="C9873" s="1" t="s">
        <v>3305</v>
      </c>
      <c r="D9873" s="1" t="s">
        <v>2065</v>
      </c>
      <c r="F9873" s="1" t="s">
        <v>1642</v>
      </c>
      <c r="H9873" s="1" t="s">
        <v>3306</v>
      </c>
      <c r="I9873" s="1" t="s">
        <v>188</v>
      </c>
      <c r="J9873" s="1" t="s">
        <v>67</v>
      </c>
      <c r="K9873" s="1" t="s">
        <v>14</v>
      </c>
      <c r="M9873" s="2">
        <v>41939</v>
      </c>
      <c r="N9873" s="1" t="s">
        <v>8</v>
      </c>
      <c r="O9873" s="1" t="s">
        <v>68</v>
      </c>
    </row>
    <row r="9874" spans="1:15" ht="43.2" x14ac:dyDescent="0.3">
      <c r="A9874" s="1" t="s">
        <v>18073</v>
      </c>
      <c r="B9874" s="1" t="str">
        <f>"Coleg Ceredigion Limited"</f>
        <v>Coleg Ceredigion Limited</v>
      </c>
      <c r="C9874" s="1" t="s">
        <v>18074</v>
      </c>
      <c r="F9874" s="1" t="s">
        <v>1991</v>
      </c>
      <c r="H9874" s="1" t="s">
        <v>18075</v>
      </c>
      <c r="I9874" s="1" t="s">
        <v>19</v>
      </c>
      <c r="J9874" s="1" t="s">
        <v>67</v>
      </c>
      <c r="K9874" s="1" t="s">
        <v>14</v>
      </c>
      <c r="M9874" s="2">
        <v>41939</v>
      </c>
      <c r="N9874" s="1" t="s">
        <v>8</v>
      </c>
      <c r="O9874" s="1" t="s">
        <v>68</v>
      </c>
    </row>
    <row r="9875" spans="1:15" ht="43.2" x14ac:dyDescent="0.3">
      <c r="A9875" s="1" t="s">
        <v>18076</v>
      </c>
      <c r="B9875" s="1" t="str">
        <f>"Alwyn Jones Limited"</f>
        <v>Alwyn Jones Limited</v>
      </c>
      <c r="C9875" s="1" t="s">
        <v>18077</v>
      </c>
      <c r="D9875" s="1" t="s">
        <v>18078</v>
      </c>
      <c r="F9875" s="1" t="s">
        <v>359</v>
      </c>
      <c r="H9875" s="1" t="s">
        <v>18079</v>
      </c>
      <c r="I9875" s="1" t="s">
        <v>19</v>
      </c>
      <c r="J9875" s="1" t="s">
        <v>67</v>
      </c>
      <c r="K9875" s="1" t="s">
        <v>14</v>
      </c>
      <c r="M9875" s="2">
        <v>41939</v>
      </c>
      <c r="N9875" s="1" t="s">
        <v>8</v>
      </c>
      <c r="O9875" s="1" t="s">
        <v>68</v>
      </c>
    </row>
    <row r="9876" spans="1:15" ht="43.2" x14ac:dyDescent="0.3">
      <c r="A9876" s="1" t="s">
        <v>18080</v>
      </c>
      <c r="B9876" s="1" t="str">
        <f>"Kings Road Surgery"</f>
        <v>Kings Road Surgery</v>
      </c>
      <c r="C9876" s="1" t="s">
        <v>18081</v>
      </c>
      <c r="D9876" s="1" t="s">
        <v>8834</v>
      </c>
      <c r="F9876" s="1" t="s">
        <v>123</v>
      </c>
      <c r="H9876" s="1" t="s">
        <v>18082</v>
      </c>
      <c r="I9876" s="1" t="s">
        <v>125</v>
      </c>
      <c r="J9876" s="1" t="s">
        <v>67</v>
      </c>
      <c r="K9876" s="1" t="s">
        <v>14</v>
      </c>
      <c r="M9876" s="2">
        <v>41939</v>
      </c>
      <c r="N9876" s="1" t="s">
        <v>8</v>
      </c>
      <c r="O9876" s="1" t="s">
        <v>68</v>
      </c>
    </row>
    <row r="9877" spans="1:15" ht="43.2" x14ac:dyDescent="0.3">
      <c r="A9877" s="1" t="s">
        <v>18083</v>
      </c>
      <c r="B9877" s="1" t="str">
        <f>"Hope Carriers Trust Ltd"</f>
        <v>Hope Carriers Trust Ltd</v>
      </c>
      <c r="C9877" s="1" t="s">
        <v>18084</v>
      </c>
      <c r="D9877" s="1" t="s">
        <v>3337</v>
      </c>
      <c r="E9877" s="1" t="s">
        <v>18085</v>
      </c>
      <c r="G9877" s="1" t="s">
        <v>14241</v>
      </c>
      <c r="I9877" s="1" t="s">
        <v>1872</v>
      </c>
      <c r="J9877" s="1" t="s">
        <v>67</v>
      </c>
      <c r="K9877" s="1" t="s">
        <v>14</v>
      </c>
      <c r="M9877" s="2">
        <v>41939</v>
      </c>
      <c r="N9877" s="1" t="s">
        <v>8</v>
      </c>
      <c r="O9877" s="1" t="s">
        <v>68</v>
      </c>
    </row>
    <row r="9878" spans="1:15" ht="43.2" x14ac:dyDescent="0.3">
      <c r="A9878" s="1" t="s">
        <v>18086</v>
      </c>
      <c r="B9878" s="1" t="str">
        <f>"Monmouthshire County Council"</f>
        <v>Monmouthshire County Council</v>
      </c>
      <c r="C9878" s="1" t="s">
        <v>3305</v>
      </c>
      <c r="D9878" s="1" t="s">
        <v>2065</v>
      </c>
      <c r="F9878" s="1" t="s">
        <v>1642</v>
      </c>
      <c r="H9878" s="1" t="s">
        <v>18087</v>
      </c>
      <c r="I9878" s="1" t="s">
        <v>188</v>
      </c>
      <c r="J9878" s="1" t="s">
        <v>67</v>
      </c>
      <c r="K9878" s="1" t="s">
        <v>14</v>
      </c>
      <c r="M9878" s="2">
        <v>41939</v>
      </c>
      <c r="N9878" s="1" t="s">
        <v>8</v>
      </c>
      <c r="O9878" s="1" t="s">
        <v>68</v>
      </c>
    </row>
    <row r="9879" spans="1:15" ht="43.2" x14ac:dyDescent="0.3">
      <c r="A9879" s="1" t="s">
        <v>18605</v>
      </c>
      <c r="B9879" s="1" t="str">
        <f>"Philip Venvil"</f>
        <v>Philip Venvil</v>
      </c>
      <c r="C9879" s="1" t="s">
        <v>18606</v>
      </c>
      <c r="D9879" s="1" t="s">
        <v>18607</v>
      </c>
      <c r="F9879" s="1" t="s">
        <v>3337</v>
      </c>
      <c r="H9879" s="1" t="s">
        <v>18608</v>
      </c>
      <c r="I9879" s="1" t="s">
        <v>5</v>
      </c>
      <c r="J9879" s="1" t="s">
        <v>67</v>
      </c>
      <c r="K9879" s="1" t="s">
        <v>14</v>
      </c>
      <c r="M9879" s="2">
        <v>41939</v>
      </c>
      <c r="N9879" s="1" t="s">
        <v>8</v>
      </c>
      <c r="O9879" s="1" t="s">
        <v>68</v>
      </c>
    </row>
    <row r="9880" spans="1:15" ht="43.2" x14ac:dyDescent="0.3">
      <c r="A9880" s="1" t="s">
        <v>29746</v>
      </c>
      <c r="B9880" s="1" t="str">
        <f>"Jamie Smith"</f>
        <v>Jamie Smith</v>
      </c>
      <c r="C9880" s="1" t="s">
        <v>29747</v>
      </c>
      <c r="D9880" s="1" t="s">
        <v>29748</v>
      </c>
      <c r="F9880" s="1" t="s">
        <v>5963</v>
      </c>
      <c r="H9880" s="1" t="s">
        <v>29749</v>
      </c>
      <c r="I9880" s="1" t="s">
        <v>5</v>
      </c>
      <c r="J9880" s="1" t="s">
        <v>67</v>
      </c>
      <c r="K9880" s="1" t="s">
        <v>14</v>
      </c>
      <c r="M9880" s="2">
        <v>41939</v>
      </c>
      <c r="N9880" s="1" t="s">
        <v>8</v>
      </c>
      <c r="O9880" s="1" t="s">
        <v>68</v>
      </c>
    </row>
    <row r="9881" spans="1:15" ht="43.2" x14ac:dyDescent="0.3">
      <c r="A9881" s="1" t="s">
        <v>29750</v>
      </c>
      <c r="B9881" s="1" t="str">
        <f>"Dewi Jone"</f>
        <v>Dewi Jone</v>
      </c>
      <c r="C9881" s="1" t="s">
        <v>18077</v>
      </c>
      <c r="D9881" s="1" t="s">
        <v>18078</v>
      </c>
      <c r="F9881" s="1" t="s">
        <v>359</v>
      </c>
      <c r="H9881" s="1" t="s">
        <v>18079</v>
      </c>
      <c r="I9881" s="1" t="s">
        <v>5</v>
      </c>
      <c r="J9881" s="1" t="s">
        <v>67</v>
      </c>
      <c r="K9881" s="1" t="s">
        <v>14</v>
      </c>
      <c r="M9881" s="2">
        <v>41939</v>
      </c>
      <c r="N9881" s="1" t="s">
        <v>8</v>
      </c>
      <c r="O9881" s="1" t="s">
        <v>68</v>
      </c>
    </row>
    <row r="9882" spans="1:15" ht="43.2" x14ac:dyDescent="0.3">
      <c r="A9882" s="1" t="s">
        <v>18070</v>
      </c>
      <c r="B9882" s="1" t="str">
        <f>"fudgie will fix it"</f>
        <v>fudgie will fix it</v>
      </c>
      <c r="C9882" s="1" t="s">
        <v>18071</v>
      </c>
      <c r="F9882" s="1" t="s">
        <v>156</v>
      </c>
      <c r="H9882" s="1" t="s">
        <v>18072</v>
      </c>
      <c r="I9882" s="1" t="s">
        <v>188</v>
      </c>
      <c r="J9882" s="1" t="s">
        <v>67</v>
      </c>
      <c r="K9882" s="1" t="s">
        <v>14</v>
      </c>
      <c r="M9882" s="2">
        <v>41938</v>
      </c>
      <c r="N9882" s="1" t="s">
        <v>8</v>
      </c>
      <c r="O9882" s="1" t="s">
        <v>68</v>
      </c>
    </row>
    <row r="9883" spans="1:15" ht="43.2" x14ac:dyDescent="0.3">
      <c r="A9883" s="1" t="s">
        <v>18062</v>
      </c>
      <c r="B9883" s="1" t="str">
        <f>"Dr Anwar The Surgery"</f>
        <v>Dr Anwar The Surgery</v>
      </c>
      <c r="C9883" s="1" t="s">
        <v>18063</v>
      </c>
      <c r="D9883" s="1" t="s">
        <v>3437</v>
      </c>
      <c r="F9883" s="1" t="s">
        <v>123</v>
      </c>
      <c r="H9883" s="1" t="s">
        <v>18064</v>
      </c>
      <c r="I9883" s="1" t="s">
        <v>125</v>
      </c>
      <c r="J9883" s="1" t="s">
        <v>67</v>
      </c>
      <c r="K9883" s="1" t="s">
        <v>14</v>
      </c>
      <c r="M9883" s="2">
        <v>41936</v>
      </c>
      <c r="N9883" s="1" t="s">
        <v>8</v>
      </c>
      <c r="O9883" s="1" t="s">
        <v>68</v>
      </c>
    </row>
    <row r="9884" spans="1:15" ht="43.2" x14ac:dyDescent="0.3">
      <c r="A9884" s="1" t="s">
        <v>18065</v>
      </c>
      <c r="B9884" s="1" t="str">
        <f>"recon moto ltd"</f>
        <v>recon moto ltd</v>
      </c>
      <c r="C9884" s="1" t="s">
        <v>18066</v>
      </c>
      <c r="D9884" s="1" t="s">
        <v>18067</v>
      </c>
      <c r="F9884" s="1" t="s">
        <v>18068</v>
      </c>
      <c r="H9884" s="1" t="s">
        <v>18069</v>
      </c>
      <c r="I9884" s="1" t="s">
        <v>19</v>
      </c>
      <c r="J9884" s="1" t="s">
        <v>67</v>
      </c>
      <c r="K9884" s="1" t="s">
        <v>14</v>
      </c>
      <c r="M9884" s="2">
        <v>41936</v>
      </c>
      <c r="N9884" s="1" t="s">
        <v>8</v>
      </c>
      <c r="O9884" s="1" t="s">
        <v>68</v>
      </c>
    </row>
    <row r="9885" spans="1:15" ht="43.2" x14ac:dyDescent="0.3">
      <c r="A9885" s="1" t="s">
        <v>29743</v>
      </c>
      <c r="B9885" s="1" t="str">
        <f>"Jeremy Taylor"</f>
        <v>Jeremy Taylor</v>
      </c>
      <c r="C9885" s="1" t="s">
        <v>29744</v>
      </c>
      <c r="F9885" s="1" t="s">
        <v>6084</v>
      </c>
      <c r="H9885" s="1" t="s">
        <v>29745</v>
      </c>
      <c r="I9885" s="1" t="s">
        <v>5</v>
      </c>
      <c r="J9885" s="1" t="s">
        <v>67</v>
      </c>
      <c r="K9885" s="1" t="s">
        <v>14</v>
      </c>
      <c r="M9885" s="2">
        <v>41936</v>
      </c>
      <c r="N9885" s="1" t="s">
        <v>8</v>
      </c>
      <c r="O9885" s="1" t="s">
        <v>68</v>
      </c>
    </row>
    <row r="9886" spans="1:15" ht="43.2" x14ac:dyDescent="0.3">
      <c r="A9886" s="1" t="s">
        <v>29740</v>
      </c>
      <c r="B9886" s="1" t="str">
        <f>"Angela Edwards"</f>
        <v>Angela Edwards</v>
      </c>
      <c r="C9886" s="1" t="s">
        <v>29741</v>
      </c>
      <c r="F9886" s="1" t="s">
        <v>6799</v>
      </c>
      <c r="H9886" s="1" t="s">
        <v>29742</v>
      </c>
      <c r="I9886" s="1" t="s">
        <v>5</v>
      </c>
      <c r="J9886" s="1" t="s">
        <v>67</v>
      </c>
      <c r="K9886" s="1" t="s">
        <v>14</v>
      </c>
      <c r="M9886" s="2">
        <v>41935</v>
      </c>
      <c r="N9886" s="1" t="s">
        <v>8</v>
      </c>
      <c r="O9886" s="1" t="s">
        <v>68</v>
      </c>
    </row>
    <row r="9887" spans="1:15" ht="43.2" x14ac:dyDescent="0.3">
      <c r="A9887" s="1" t="s">
        <v>17032</v>
      </c>
      <c r="B9887" s="1" t="str">
        <f>"ELITE Paper Solutions"</f>
        <v>ELITE Paper Solutions</v>
      </c>
      <c r="C9887" s="1" t="s">
        <v>17033</v>
      </c>
      <c r="F9887" s="1" t="s">
        <v>3345</v>
      </c>
      <c r="H9887" s="1" t="s">
        <v>17034</v>
      </c>
      <c r="I9887" s="1" t="s">
        <v>1872</v>
      </c>
      <c r="J9887" s="1" t="s">
        <v>67</v>
      </c>
      <c r="K9887" s="1" t="s">
        <v>14</v>
      </c>
      <c r="M9887" s="2">
        <v>41934</v>
      </c>
      <c r="N9887" s="1" t="s">
        <v>8</v>
      </c>
      <c r="O9887" s="1" t="s">
        <v>68</v>
      </c>
    </row>
    <row r="9888" spans="1:15" ht="43.2" x14ac:dyDescent="0.3">
      <c r="A9888" s="1" t="s">
        <v>17035</v>
      </c>
      <c r="B9888" s="1" t="str">
        <f>"anglers corner"</f>
        <v>anglers corner</v>
      </c>
      <c r="C9888" s="1" t="s">
        <v>17036</v>
      </c>
      <c r="F9888" s="1" t="s">
        <v>7609</v>
      </c>
      <c r="H9888" s="1" t="s">
        <v>17037</v>
      </c>
      <c r="I9888" s="1" t="s">
        <v>19</v>
      </c>
      <c r="J9888" s="1" t="s">
        <v>67</v>
      </c>
      <c r="K9888" s="1" t="s">
        <v>14</v>
      </c>
      <c r="M9888" s="2">
        <v>41934</v>
      </c>
      <c r="N9888" s="1" t="s">
        <v>8</v>
      </c>
      <c r="O9888" s="1" t="s">
        <v>68</v>
      </c>
    </row>
    <row r="9889" spans="1:15" ht="43.2" x14ac:dyDescent="0.3">
      <c r="A9889" s="1" t="s">
        <v>29736</v>
      </c>
      <c r="B9889" s="1" t="str">
        <f>"Carl Ewing"</f>
        <v>Carl Ewing</v>
      </c>
      <c r="C9889" s="1" t="s">
        <v>29737</v>
      </c>
      <c r="D9889" s="1" t="s">
        <v>95</v>
      </c>
      <c r="F9889" s="1" t="s">
        <v>532</v>
      </c>
      <c r="H9889" s="1" t="s">
        <v>29738</v>
      </c>
      <c r="I9889" s="1" t="s">
        <v>5</v>
      </c>
      <c r="J9889" s="1" t="s">
        <v>67</v>
      </c>
      <c r="K9889" s="1" t="s">
        <v>14</v>
      </c>
      <c r="M9889" s="2">
        <v>41934</v>
      </c>
      <c r="N9889" s="1" t="s">
        <v>8</v>
      </c>
      <c r="O9889" s="1" t="s">
        <v>68</v>
      </c>
    </row>
    <row r="9890" spans="1:15" ht="43.2" x14ac:dyDescent="0.3">
      <c r="A9890" s="1" t="s">
        <v>29739</v>
      </c>
      <c r="B9890" s="1" t="str">
        <f>"Carl Ewing"</f>
        <v>Carl Ewing</v>
      </c>
      <c r="C9890" s="1" t="s">
        <v>29737</v>
      </c>
      <c r="D9890" s="1" t="s">
        <v>95</v>
      </c>
      <c r="F9890" s="1" t="s">
        <v>532</v>
      </c>
      <c r="H9890" s="1" t="s">
        <v>29738</v>
      </c>
      <c r="I9890" s="1" t="s">
        <v>5</v>
      </c>
      <c r="J9890" s="1" t="s">
        <v>67</v>
      </c>
      <c r="K9890" s="1" t="s">
        <v>14</v>
      </c>
      <c r="M9890" s="2">
        <v>41934</v>
      </c>
      <c r="N9890" s="1" t="s">
        <v>8</v>
      </c>
      <c r="O9890" s="1" t="s">
        <v>68</v>
      </c>
    </row>
    <row r="9891" spans="1:15" ht="43.2" x14ac:dyDescent="0.3">
      <c r="A9891" s="1" t="s">
        <v>17028</v>
      </c>
      <c r="B9891" s="1" t="str">
        <f>"Car clinic BRYNMENYN Ltd"</f>
        <v>Car clinic BRYNMENYN Ltd</v>
      </c>
      <c r="C9891" s="1" t="s">
        <v>17029</v>
      </c>
      <c r="D9891" s="1" t="s">
        <v>17030</v>
      </c>
      <c r="F9891" s="1" t="s">
        <v>179</v>
      </c>
      <c r="H9891" s="1" t="s">
        <v>17031</v>
      </c>
      <c r="I9891" s="1" t="s">
        <v>19</v>
      </c>
      <c r="J9891" s="1" t="s">
        <v>67</v>
      </c>
      <c r="K9891" s="1" t="s">
        <v>14</v>
      </c>
      <c r="M9891" s="2">
        <v>41933</v>
      </c>
      <c r="N9891" s="1" t="s">
        <v>8</v>
      </c>
      <c r="O9891" s="1" t="s">
        <v>68</v>
      </c>
    </row>
    <row r="9892" spans="1:15" ht="43.2" x14ac:dyDescent="0.3">
      <c r="A9892" s="1" t="s">
        <v>17025</v>
      </c>
      <c r="B9892" s="1" t="str">
        <f>"Geesinknorba Ltd"</f>
        <v>Geesinknorba Ltd</v>
      </c>
      <c r="C9892" s="1" t="s">
        <v>17026</v>
      </c>
      <c r="D9892" s="1" t="s">
        <v>8728</v>
      </c>
      <c r="F9892" s="1" t="s">
        <v>8728</v>
      </c>
      <c r="H9892" s="1" t="s">
        <v>5255</v>
      </c>
      <c r="I9892" s="1" t="s">
        <v>19</v>
      </c>
      <c r="J9892" s="1" t="s">
        <v>67</v>
      </c>
      <c r="K9892" s="1" t="s">
        <v>14</v>
      </c>
      <c r="M9892" s="2">
        <v>41932</v>
      </c>
      <c r="N9892" s="1" t="s">
        <v>8</v>
      </c>
      <c r="O9892" s="1" t="s">
        <v>68</v>
      </c>
    </row>
    <row r="9893" spans="1:15" ht="43.2" x14ac:dyDescent="0.3">
      <c r="A9893" s="1" t="s">
        <v>17027</v>
      </c>
      <c r="B9893" s="1" t="str">
        <f>"Geesinknorba Ltd"</f>
        <v>Geesinknorba Ltd</v>
      </c>
      <c r="C9893" s="1" t="s">
        <v>17026</v>
      </c>
      <c r="D9893" s="1" t="s">
        <v>8728</v>
      </c>
      <c r="F9893" s="1" t="s">
        <v>8728</v>
      </c>
      <c r="H9893" s="1" t="s">
        <v>5255</v>
      </c>
      <c r="I9893" s="1" t="s">
        <v>19</v>
      </c>
      <c r="J9893" s="1" t="s">
        <v>67</v>
      </c>
      <c r="K9893" s="1" t="s">
        <v>14</v>
      </c>
      <c r="M9893" s="2">
        <v>41932</v>
      </c>
      <c r="N9893" s="1" t="s">
        <v>8</v>
      </c>
      <c r="O9893" s="1" t="s">
        <v>68</v>
      </c>
    </row>
    <row r="9894" spans="1:15" ht="43.2" x14ac:dyDescent="0.3">
      <c r="A9894" s="1" t="s">
        <v>28979</v>
      </c>
      <c r="B9894" s="1" t="str">
        <f>"Richard Leighton"</f>
        <v>Richard Leighton</v>
      </c>
      <c r="C9894" s="1" t="s">
        <v>28980</v>
      </c>
      <c r="D9894" s="1" t="s">
        <v>6734</v>
      </c>
      <c r="F9894" s="1" t="s">
        <v>2459</v>
      </c>
      <c r="H9894" s="1" t="s">
        <v>28981</v>
      </c>
      <c r="I9894" s="1" t="s">
        <v>5</v>
      </c>
      <c r="J9894" s="1" t="s">
        <v>67</v>
      </c>
      <c r="K9894" s="1" t="s">
        <v>14</v>
      </c>
      <c r="M9894" s="2">
        <v>41929</v>
      </c>
      <c r="N9894" s="1" t="s">
        <v>8</v>
      </c>
      <c r="O9894" s="1" t="s">
        <v>68</v>
      </c>
    </row>
    <row r="9895" spans="1:15" ht="43.2" x14ac:dyDescent="0.3">
      <c r="A9895" s="1" t="s">
        <v>17019</v>
      </c>
      <c r="B9895" s="1" t="str">
        <f>"North Wales Tourism"</f>
        <v>North Wales Tourism</v>
      </c>
      <c r="C9895" s="1" t="s">
        <v>17020</v>
      </c>
      <c r="F9895" s="1" t="s">
        <v>358</v>
      </c>
      <c r="H9895" s="1" t="s">
        <v>17021</v>
      </c>
      <c r="I9895" s="1" t="s">
        <v>19</v>
      </c>
      <c r="J9895" s="1" t="s">
        <v>67</v>
      </c>
      <c r="K9895" s="1" t="s">
        <v>14</v>
      </c>
      <c r="M9895" s="2">
        <v>41928</v>
      </c>
      <c r="N9895" s="1" t="s">
        <v>8</v>
      </c>
      <c r="O9895" s="1" t="s">
        <v>68</v>
      </c>
    </row>
    <row r="9896" spans="1:15" ht="43.2" x14ac:dyDescent="0.3">
      <c r="A9896" s="1" t="s">
        <v>17022</v>
      </c>
      <c r="B9896" s="1" t="str">
        <f>"Steel Solutions ltd"</f>
        <v>Steel Solutions ltd</v>
      </c>
      <c r="C9896" s="1" t="s">
        <v>17023</v>
      </c>
      <c r="D9896" s="1" t="s">
        <v>294</v>
      </c>
      <c r="F9896" s="1" t="s">
        <v>364</v>
      </c>
      <c r="H9896" s="1" t="s">
        <v>17024</v>
      </c>
      <c r="I9896" s="1" t="s">
        <v>19</v>
      </c>
      <c r="J9896" s="1" t="s">
        <v>67</v>
      </c>
      <c r="K9896" s="1" t="s">
        <v>14</v>
      </c>
      <c r="M9896" s="2">
        <v>41928</v>
      </c>
      <c r="N9896" s="1" t="s">
        <v>8</v>
      </c>
      <c r="O9896" s="1" t="s">
        <v>68</v>
      </c>
    </row>
    <row r="9897" spans="1:15" ht="43.2" x14ac:dyDescent="0.3">
      <c r="A9897" s="1" t="s">
        <v>28974</v>
      </c>
      <c r="B9897" s="1" t="str">
        <f>"paul martin"</f>
        <v>paul martin</v>
      </c>
      <c r="C9897" s="1" t="s">
        <v>28975</v>
      </c>
      <c r="D9897" s="1" t="s">
        <v>28976</v>
      </c>
      <c r="F9897" s="1" t="s">
        <v>28977</v>
      </c>
      <c r="H9897" s="1" t="s">
        <v>28978</v>
      </c>
      <c r="I9897" s="1" t="s">
        <v>5</v>
      </c>
      <c r="J9897" s="1" t="s">
        <v>67</v>
      </c>
      <c r="K9897" s="1" t="s">
        <v>14</v>
      </c>
      <c r="M9897" s="2">
        <v>41928</v>
      </c>
      <c r="N9897" s="1" t="s">
        <v>8</v>
      </c>
      <c r="O9897" s="1" t="s">
        <v>68</v>
      </c>
    </row>
    <row r="9898" spans="1:15" ht="43.2" x14ac:dyDescent="0.3">
      <c r="A9898" s="1" t="s">
        <v>17015</v>
      </c>
      <c r="B9898" s="1" t="str">
        <f>"Touchline Marking Systems Ltd"</f>
        <v>Touchline Marking Systems Ltd</v>
      </c>
      <c r="C9898" s="1" t="s">
        <v>17016</v>
      </c>
      <c r="D9898" s="1" t="s">
        <v>17017</v>
      </c>
      <c r="F9898" s="1" t="s">
        <v>277</v>
      </c>
      <c r="H9898" s="1" t="s">
        <v>17018</v>
      </c>
      <c r="I9898" s="1" t="s">
        <v>19</v>
      </c>
      <c r="J9898" s="1" t="s">
        <v>67</v>
      </c>
      <c r="K9898" s="1" t="s">
        <v>14</v>
      </c>
      <c r="M9898" s="2">
        <v>41927</v>
      </c>
      <c r="N9898" s="1" t="s">
        <v>8</v>
      </c>
      <c r="O9898" s="1" t="s">
        <v>68</v>
      </c>
    </row>
    <row r="9899" spans="1:15" ht="43.2" x14ac:dyDescent="0.3">
      <c r="A9899" s="1" t="s">
        <v>17010</v>
      </c>
      <c r="B9899" s="1" t="str">
        <f>"EVANS AND JAMES"</f>
        <v>EVANS AND JAMES</v>
      </c>
      <c r="C9899" s="1" t="s">
        <v>17011</v>
      </c>
      <c r="D9899" s="1" t="s">
        <v>1206</v>
      </c>
      <c r="F9899" s="1" t="s">
        <v>1206</v>
      </c>
      <c r="H9899" s="1" t="s">
        <v>14224</v>
      </c>
      <c r="I9899" s="1" t="s">
        <v>125</v>
      </c>
      <c r="J9899" s="1" t="s">
        <v>67</v>
      </c>
      <c r="K9899" s="1" t="s">
        <v>14</v>
      </c>
      <c r="M9899" s="2">
        <v>41926</v>
      </c>
      <c r="N9899" s="1" t="s">
        <v>8</v>
      </c>
      <c r="O9899" s="1" t="s">
        <v>68</v>
      </c>
    </row>
    <row r="9900" spans="1:15" ht="43.2" x14ac:dyDescent="0.3">
      <c r="A9900" s="1" t="s">
        <v>17012</v>
      </c>
      <c r="B9900" s="1" t="str">
        <f>"Grwp Cynefin"</f>
        <v>Grwp Cynefin</v>
      </c>
      <c r="C9900" s="1" t="s">
        <v>17013</v>
      </c>
      <c r="D9900" s="1" t="s">
        <v>6076</v>
      </c>
      <c r="F9900" s="1" t="s">
        <v>710</v>
      </c>
      <c r="H9900" s="1" t="s">
        <v>17014</v>
      </c>
      <c r="I9900" s="1" t="s">
        <v>1872</v>
      </c>
      <c r="J9900" s="1" t="s">
        <v>67</v>
      </c>
      <c r="K9900" s="1" t="s">
        <v>14</v>
      </c>
      <c r="M9900" s="2">
        <v>41926</v>
      </c>
      <c r="N9900" s="1" t="s">
        <v>8</v>
      </c>
      <c r="O9900" s="1" t="s">
        <v>68</v>
      </c>
    </row>
    <row r="9901" spans="1:15" ht="43.2" x14ac:dyDescent="0.3">
      <c r="A9901" s="1" t="s">
        <v>16061</v>
      </c>
      <c r="B9901" s="1" t="str">
        <f>"FREESTYLE"</f>
        <v>FREESTYLE</v>
      </c>
      <c r="C9901" s="1" t="s">
        <v>16062</v>
      </c>
      <c r="D9901" s="1" t="s">
        <v>3237</v>
      </c>
      <c r="F9901" s="1" t="s">
        <v>11592</v>
      </c>
      <c r="H9901" s="1" t="s">
        <v>16063</v>
      </c>
      <c r="I9901" s="1" t="s">
        <v>19</v>
      </c>
      <c r="J9901" s="1" t="s">
        <v>67</v>
      </c>
      <c r="K9901" s="1" t="s">
        <v>14</v>
      </c>
      <c r="M9901" s="2">
        <v>41925</v>
      </c>
      <c r="N9901" s="1" t="s">
        <v>8</v>
      </c>
      <c r="O9901" s="1" t="s">
        <v>68</v>
      </c>
    </row>
    <row r="9902" spans="1:15" ht="43.2" x14ac:dyDescent="0.3">
      <c r="A9902" s="1" t="s">
        <v>16064</v>
      </c>
      <c r="B9902" s="1" t="str">
        <f>"Rhondda Cynon Taff County Borough Council"</f>
        <v>Rhondda Cynon Taff County Borough Council</v>
      </c>
      <c r="C9902" s="1" t="s">
        <v>16065</v>
      </c>
      <c r="D9902" s="1" t="s">
        <v>3029</v>
      </c>
      <c r="F9902" s="1" t="s">
        <v>8659</v>
      </c>
      <c r="H9902" s="1" t="s">
        <v>16066</v>
      </c>
      <c r="I9902" s="1" t="s">
        <v>188</v>
      </c>
      <c r="J9902" s="1" t="s">
        <v>67</v>
      </c>
      <c r="K9902" s="1" t="s">
        <v>14</v>
      </c>
      <c r="M9902" s="2">
        <v>41925</v>
      </c>
      <c r="N9902" s="1" t="s">
        <v>8</v>
      </c>
      <c r="O9902" s="1" t="s">
        <v>68</v>
      </c>
    </row>
    <row r="9903" spans="1:15" ht="43.2" x14ac:dyDescent="0.3">
      <c r="A9903" s="1" t="s">
        <v>16067</v>
      </c>
      <c r="B9903" s="1" t="str">
        <f>"Rhondda Cynon Taff County Borough Council"</f>
        <v>Rhondda Cynon Taff County Borough Council</v>
      </c>
      <c r="C9903" s="1" t="s">
        <v>16065</v>
      </c>
      <c r="D9903" s="1" t="s">
        <v>3029</v>
      </c>
      <c r="F9903" s="1" t="s">
        <v>8659</v>
      </c>
      <c r="H9903" s="1" t="s">
        <v>16066</v>
      </c>
      <c r="I9903" s="1" t="s">
        <v>188</v>
      </c>
      <c r="J9903" s="1" t="s">
        <v>67</v>
      </c>
      <c r="K9903" s="1" t="s">
        <v>14</v>
      </c>
      <c r="M9903" s="2">
        <v>41925</v>
      </c>
      <c r="N9903" s="1" t="s">
        <v>8</v>
      </c>
      <c r="O9903" s="1" t="s">
        <v>68</v>
      </c>
    </row>
    <row r="9904" spans="1:15" ht="43.2" x14ac:dyDescent="0.3">
      <c r="A9904" s="1" t="s">
        <v>28206</v>
      </c>
      <c r="B9904" s="1" t="str">
        <f>"Anthony  John "</f>
        <v xml:space="preserve">Anthony  John </v>
      </c>
      <c r="C9904" s="1" t="s">
        <v>28207</v>
      </c>
      <c r="D9904" s="1" t="s">
        <v>28208</v>
      </c>
      <c r="F9904" s="1" t="s">
        <v>2200</v>
      </c>
      <c r="H9904" s="1" t="s">
        <v>28209</v>
      </c>
      <c r="I9904" s="1" t="s">
        <v>5</v>
      </c>
      <c r="J9904" s="1" t="s">
        <v>67</v>
      </c>
      <c r="K9904" s="1" t="s">
        <v>14</v>
      </c>
      <c r="M9904" s="2">
        <v>41925</v>
      </c>
      <c r="N9904" s="1" t="s">
        <v>8</v>
      </c>
      <c r="O9904" s="1" t="s">
        <v>68</v>
      </c>
    </row>
    <row r="9905" spans="1:15" ht="43.2" x14ac:dyDescent="0.3">
      <c r="A9905" s="1" t="s">
        <v>16058</v>
      </c>
      <c r="B9905" s="1" t="str">
        <f>"Wales Co-operative Centre"</f>
        <v>Wales Co-operative Centre</v>
      </c>
      <c r="C9905" s="1" t="s">
        <v>16059</v>
      </c>
      <c r="F9905" s="1" t="s">
        <v>1093</v>
      </c>
      <c r="H9905" s="1" t="s">
        <v>16060</v>
      </c>
      <c r="I9905" s="1" t="s">
        <v>1872</v>
      </c>
      <c r="J9905" s="1" t="s">
        <v>67</v>
      </c>
      <c r="K9905" s="1" t="s">
        <v>14</v>
      </c>
      <c r="M9905" s="2">
        <v>41922</v>
      </c>
      <c r="N9905" s="1" t="s">
        <v>8</v>
      </c>
      <c r="O9905" s="1" t="s">
        <v>68</v>
      </c>
    </row>
    <row r="9906" spans="1:15" ht="43.2" x14ac:dyDescent="0.3">
      <c r="A9906" s="1" t="s">
        <v>16052</v>
      </c>
      <c r="B9906" s="1" t="str">
        <f>"CK Communications Ltd"</f>
        <v>CK Communications Ltd</v>
      </c>
      <c r="C9906" s="1" t="s">
        <v>16053</v>
      </c>
      <c r="D9906" s="1" t="s">
        <v>1034</v>
      </c>
      <c r="F9906" s="1" t="s">
        <v>123</v>
      </c>
      <c r="H9906" s="1" t="s">
        <v>16054</v>
      </c>
      <c r="I9906" s="1" t="s">
        <v>19</v>
      </c>
      <c r="J9906" s="1" t="s">
        <v>67</v>
      </c>
      <c r="K9906" s="1" t="s">
        <v>14</v>
      </c>
      <c r="M9906" s="2">
        <v>41921</v>
      </c>
      <c r="N9906" s="1" t="s">
        <v>8</v>
      </c>
      <c r="O9906" s="1" t="s">
        <v>68</v>
      </c>
    </row>
    <row r="9907" spans="1:15" ht="43.2" x14ac:dyDescent="0.3">
      <c r="A9907" s="1" t="s">
        <v>16055</v>
      </c>
      <c r="B9907" s="1" t="str">
        <f>"CK Communications Ltd"</f>
        <v>CK Communications Ltd</v>
      </c>
      <c r="C9907" s="1" t="s">
        <v>16053</v>
      </c>
      <c r="D9907" s="1" t="s">
        <v>1034</v>
      </c>
      <c r="F9907" s="1" t="s">
        <v>123</v>
      </c>
      <c r="H9907" s="1" t="s">
        <v>16054</v>
      </c>
      <c r="I9907" s="1" t="s">
        <v>19</v>
      </c>
      <c r="J9907" s="1" t="s">
        <v>67</v>
      </c>
      <c r="K9907" s="1" t="s">
        <v>14</v>
      </c>
      <c r="M9907" s="2">
        <v>41921</v>
      </c>
      <c r="N9907" s="1" t="s">
        <v>8</v>
      </c>
      <c r="O9907" s="1" t="s">
        <v>68</v>
      </c>
    </row>
    <row r="9908" spans="1:15" ht="43.2" x14ac:dyDescent="0.3">
      <c r="A9908" s="1" t="s">
        <v>16056</v>
      </c>
      <c r="B9908" s="1" t="str">
        <f>"Rachels Dairy"</f>
        <v>Rachels Dairy</v>
      </c>
      <c r="C9908" s="1" t="s">
        <v>16057</v>
      </c>
      <c r="F9908" s="1" t="s">
        <v>37</v>
      </c>
      <c r="H9908" s="1" t="s">
        <v>879</v>
      </c>
      <c r="I9908" s="1" t="s">
        <v>19</v>
      </c>
      <c r="J9908" s="1" t="s">
        <v>67</v>
      </c>
      <c r="K9908" s="1" t="s">
        <v>14</v>
      </c>
      <c r="M9908" s="2">
        <v>41921</v>
      </c>
      <c r="N9908" s="1" t="s">
        <v>8</v>
      </c>
      <c r="O9908" s="1" t="s">
        <v>68</v>
      </c>
    </row>
    <row r="9909" spans="1:15" ht="43.2" x14ac:dyDescent="0.3">
      <c r="A9909" s="1" t="s">
        <v>28201</v>
      </c>
      <c r="B9909" s="1" t="str">
        <f>"John Holland"</f>
        <v>John Holland</v>
      </c>
      <c r="C9909" s="1" t="s">
        <v>28202</v>
      </c>
      <c r="D9909" s="1" t="s">
        <v>28203</v>
      </c>
      <c r="F9909" s="1" t="s">
        <v>28204</v>
      </c>
      <c r="H9909" s="1" t="s">
        <v>28205</v>
      </c>
      <c r="I9909" s="1" t="s">
        <v>5</v>
      </c>
      <c r="J9909" s="1" t="s">
        <v>67</v>
      </c>
      <c r="K9909" s="1" t="s">
        <v>14</v>
      </c>
      <c r="M9909" s="2">
        <v>41921</v>
      </c>
      <c r="N9909" s="1" t="s">
        <v>8</v>
      </c>
      <c r="O9909" s="1" t="s">
        <v>68</v>
      </c>
    </row>
    <row r="9910" spans="1:15" ht="43.2" x14ac:dyDescent="0.3">
      <c r="A9910" s="1" t="s">
        <v>16049</v>
      </c>
      <c r="B9910" s="1" t="str">
        <f>"Veritasse Ltd"</f>
        <v>Veritasse Ltd</v>
      </c>
      <c r="C9910" s="1" t="s">
        <v>16050</v>
      </c>
      <c r="F9910" s="1" t="s">
        <v>3465</v>
      </c>
      <c r="H9910" s="1" t="s">
        <v>16051</v>
      </c>
      <c r="I9910" s="1" t="s">
        <v>19</v>
      </c>
      <c r="J9910" s="1" t="s">
        <v>67</v>
      </c>
      <c r="K9910" s="1" t="s">
        <v>14</v>
      </c>
      <c r="M9910" s="2">
        <v>41920</v>
      </c>
      <c r="N9910" s="1" t="s">
        <v>8</v>
      </c>
      <c r="O9910" s="1" t="s">
        <v>68</v>
      </c>
    </row>
    <row r="9911" spans="1:15" ht="43.2" x14ac:dyDescent="0.3">
      <c r="A9911" s="1" t="s">
        <v>28198</v>
      </c>
      <c r="B9911" s="1" t="str">
        <f>"Sara Middleton"</f>
        <v>Sara Middleton</v>
      </c>
      <c r="C9911" s="1" t="s">
        <v>28199</v>
      </c>
      <c r="D9911" s="1" t="s">
        <v>852</v>
      </c>
      <c r="F9911" s="1" t="s">
        <v>64</v>
      </c>
      <c r="H9911" s="1" t="s">
        <v>28200</v>
      </c>
      <c r="I9911" s="1" t="s">
        <v>5</v>
      </c>
      <c r="J9911" s="1" t="s">
        <v>67</v>
      </c>
      <c r="K9911" s="1" t="s">
        <v>14</v>
      </c>
      <c r="M9911" s="2">
        <v>41920</v>
      </c>
      <c r="N9911" s="1" t="s">
        <v>8</v>
      </c>
      <c r="O9911" s="1" t="s">
        <v>68</v>
      </c>
    </row>
    <row r="9912" spans="1:15" ht="43.2" x14ac:dyDescent="0.3">
      <c r="A9912" s="1" t="s">
        <v>16047</v>
      </c>
      <c r="B9912" s="1" t="str">
        <f>"Eco Friendly Installations Ltd"</f>
        <v>Eco Friendly Installations Ltd</v>
      </c>
      <c r="C9912" s="1" t="s">
        <v>16048</v>
      </c>
      <c r="D9912" s="1" t="s">
        <v>8963</v>
      </c>
      <c r="F9912" s="1" t="s">
        <v>8963</v>
      </c>
      <c r="H9912" s="1" t="s">
        <v>8964</v>
      </c>
      <c r="I9912" s="1" t="s">
        <v>19</v>
      </c>
      <c r="J9912" s="1" t="s">
        <v>67</v>
      </c>
      <c r="K9912" s="1" t="s">
        <v>14</v>
      </c>
      <c r="M9912" s="2">
        <v>41919</v>
      </c>
      <c r="N9912" s="1" t="s">
        <v>8</v>
      </c>
      <c r="O9912" s="1" t="s">
        <v>68</v>
      </c>
    </row>
    <row r="9913" spans="1:15" ht="43.2" x14ac:dyDescent="0.3">
      <c r="A9913" s="1" t="s">
        <v>28195</v>
      </c>
      <c r="B9913" s="1" t="str">
        <f>"Jason Poh"</f>
        <v>Jason Poh</v>
      </c>
      <c r="C9913" s="1" t="s">
        <v>28196</v>
      </c>
      <c r="D9913" s="1" t="s">
        <v>214</v>
      </c>
      <c r="F9913" s="1" t="s">
        <v>73</v>
      </c>
      <c r="H9913" s="1" t="s">
        <v>28197</v>
      </c>
      <c r="I9913" s="1" t="s">
        <v>5</v>
      </c>
      <c r="J9913" s="1" t="s">
        <v>67</v>
      </c>
      <c r="K9913" s="1" t="s">
        <v>14</v>
      </c>
      <c r="M9913" s="2">
        <v>41919</v>
      </c>
      <c r="N9913" s="1" t="s">
        <v>8</v>
      </c>
      <c r="O9913" s="1" t="s">
        <v>68</v>
      </c>
    </row>
    <row r="9914" spans="1:15" ht="43.2" x14ac:dyDescent="0.3">
      <c r="A9914" s="1" t="s">
        <v>27427</v>
      </c>
      <c r="B9914" s="1" t="str">
        <f>"Gareth Jarvis"</f>
        <v>Gareth Jarvis</v>
      </c>
      <c r="C9914" s="1" t="s">
        <v>27428</v>
      </c>
      <c r="F9914" s="1" t="s">
        <v>140</v>
      </c>
      <c r="H9914" s="1" t="s">
        <v>27429</v>
      </c>
      <c r="I9914" s="1" t="s">
        <v>5</v>
      </c>
      <c r="J9914" s="1" t="s">
        <v>67</v>
      </c>
      <c r="K9914" s="1" t="s">
        <v>14</v>
      </c>
      <c r="M9914" s="2">
        <v>41918</v>
      </c>
      <c r="N9914" s="1" t="s">
        <v>8</v>
      </c>
      <c r="O9914" s="1" t="s">
        <v>68</v>
      </c>
    </row>
    <row r="9915" spans="1:15" ht="43.2" x14ac:dyDescent="0.3">
      <c r="A9915" s="1" t="s">
        <v>28184</v>
      </c>
      <c r="B9915" s="1" t="str">
        <f>"anthony  oakley"</f>
        <v>anthony  oakley</v>
      </c>
      <c r="C9915" s="1" t="s">
        <v>28185</v>
      </c>
      <c r="D9915" s="1" t="s">
        <v>28186</v>
      </c>
      <c r="F9915" s="1" t="s">
        <v>3316</v>
      </c>
      <c r="H9915" s="1" t="s">
        <v>28187</v>
      </c>
      <c r="I9915" s="1" t="s">
        <v>5</v>
      </c>
      <c r="J9915" s="1" t="s">
        <v>67</v>
      </c>
      <c r="K9915" s="1" t="s">
        <v>14</v>
      </c>
      <c r="M9915" s="2">
        <v>41918</v>
      </c>
      <c r="N9915" s="1" t="s">
        <v>8</v>
      </c>
      <c r="O9915" s="1" t="s">
        <v>68</v>
      </c>
    </row>
    <row r="9916" spans="1:15" ht="43.2" x14ac:dyDescent="0.3">
      <c r="A9916" s="1" t="s">
        <v>28188</v>
      </c>
      <c r="B9916" s="1" t="str">
        <f>"Hywel Phillips"</f>
        <v>Hywel Phillips</v>
      </c>
      <c r="C9916" s="1" t="s">
        <v>28189</v>
      </c>
      <c r="D9916" s="1" t="s">
        <v>28190</v>
      </c>
      <c r="F9916" s="1" t="s">
        <v>1206</v>
      </c>
      <c r="H9916" s="1" t="s">
        <v>28191</v>
      </c>
      <c r="I9916" s="1" t="s">
        <v>5</v>
      </c>
      <c r="J9916" s="1" t="s">
        <v>67</v>
      </c>
      <c r="K9916" s="1" t="s">
        <v>14</v>
      </c>
      <c r="M9916" s="2">
        <v>41918</v>
      </c>
      <c r="N9916" s="1" t="s">
        <v>8</v>
      </c>
      <c r="O9916" s="1" t="s">
        <v>68</v>
      </c>
    </row>
    <row r="9917" spans="1:15" ht="43.2" x14ac:dyDescent="0.3">
      <c r="A9917" s="1" t="s">
        <v>28192</v>
      </c>
      <c r="B9917" s="1" t="str">
        <f>"andrew hughes"</f>
        <v>andrew hughes</v>
      </c>
      <c r="C9917" s="1" t="s">
        <v>28193</v>
      </c>
      <c r="F9917" s="1" t="s">
        <v>21044</v>
      </c>
      <c r="H9917" s="1" t="s">
        <v>28194</v>
      </c>
      <c r="I9917" s="1" t="s">
        <v>5</v>
      </c>
      <c r="J9917" s="1" t="s">
        <v>67</v>
      </c>
      <c r="K9917" s="1" t="s">
        <v>14</v>
      </c>
      <c r="M9917" s="2">
        <v>41918</v>
      </c>
      <c r="N9917" s="1" t="s">
        <v>8</v>
      </c>
      <c r="O9917" s="1" t="s">
        <v>68</v>
      </c>
    </row>
    <row r="9918" spans="1:15" ht="43.2" x14ac:dyDescent="0.3">
      <c r="A9918" s="1" t="s">
        <v>27425</v>
      </c>
      <c r="B9918" s="1" t="str">
        <f>"Sabrina Ballarin"</f>
        <v>Sabrina Ballarin</v>
      </c>
      <c r="C9918" s="1" t="s">
        <v>27426</v>
      </c>
      <c r="D9918" s="1" t="s">
        <v>1818</v>
      </c>
      <c r="F9918" s="1" t="s">
        <v>1818</v>
      </c>
      <c r="H9918" s="1" t="s">
        <v>12169</v>
      </c>
      <c r="I9918" s="1" t="s">
        <v>5</v>
      </c>
      <c r="J9918" s="1" t="s">
        <v>67</v>
      </c>
      <c r="K9918" s="1" t="s">
        <v>14</v>
      </c>
      <c r="M9918" s="2">
        <v>41917</v>
      </c>
      <c r="N9918" s="1" t="s">
        <v>8</v>
      </c>
      <c r="O9918" s="1" t="s">
        <v>68</v>
      </c>
    </row>
    <row r="9919" spans="1:15" ht="43.2" x14ac:dyDescent="0.3">
      <c r="A9919" s="1" t="s">
        <v>15075</v>
      </c>
      <c r="B9919" s="1" t="str">
        <f>"thestarcarveryandgrill"</f>
        <v>thestarcarveryandgrill</v>
      </c>
      <c r="C9919" s="1" t="s">
        <v>15076</v>
      </c>
      <c r="F9919" s="1" t="s">
        <v>7609</v>
      </c>
      <c r="H9919" s="1" t="s">
        <v>15077</v>
      </c>
      <c r="I9919" s="1" t="s">
        <v>19</v>
      </c>
      <c r="J9919" s="1" t="s">
        <v>67</v>
      </c>
      <c r="K9919" s="1" t="s">
        <v>14</v>
      </c>
      <c r="M9919" s="2">
        <v>41915</v>
      </c>
      <c r="N9919" s="1" t="s">
        <v>8</v>
      </c>
      <c r="O9919" s="1" t="s">
        <v>68</v>
      </c>
    </row>
    <row r="9920" spans="1:15" ht="43.2" x14ac:dyDescent="0.3">
      <c r="A9920" s="1" t="s">
        <v>15078</v>
      </c>
      <c r="B9920" s="1" t="str">
        <f>"Tip Top Cleaning"</f>
        <v>Tip Top Cleaning</v>
      </c>
      <c r="C9920" s="1" t="s">
        <v>15079</v>
      </c>
      <c r="D9920" s="1" t="s">
        <v>15080</v>
      </c>
      <c r="F9920" s="1" t="s">
        <v>1108</v>
      </c>
      <c r="H9920" s="1" t="s">
        <v>15081</v>
      </c>
      <c r="I9920" s="1" t="s">
        <v>125</v>
      </c>
      <c r="J9920" s="1" t="s">
        <v>67</v>
      </c>
      <c r="K9920" s="1" t="s">
        <v>14</v>
      </c>
      <c r="M9920" s="2">
        <v>41915</v>
      </c>
      <c r="N9920" s="1" t="s">
        <v>8</v>
      </c>
      <c r="O9920" s="1" t="s">
        <v>68</v>
      </c>
    </row>
    <row r="9921" spans="1:15" ht="43.2" x14ac:dyDescent="0.3">
      <c r="A9921" s="1" t="s">
        <v>15068</v>
      </c>
      <c r="B9921" s="1" t="str">
        <f>"Westlake Fishing and Camping"</f>
        <v>Westlake Fishing and Camping</v>
      </c>
      <c r="C9921" s="1" t="s">
        <v>15069</v>
      </c>
      <c r="D9921" s="1" t="s">
        <v>14569</v>
      </c>
      <c r="F9921" s="1" t="s">
        <v>15070</v>
      </c>
      <c r="H9921" s="1" t="s">
        <v>15071</v>
      </c>
      <c r="I9921" s="1" t="s">
        <v>125</v>
      </c>
      <c r="J9921" s="1" t="s">
        <v>67</v>
      </c>
      <c r="K9921" s="1" t="s">
        <v>14</v>
      </c>
      <c r="M9921" s="2">
        <v>41914</v>
      </c>
      <c r="N9921" s="1" t="s">
        <v>8</v>
      </c>
      <c r="O9921" s="1" t="s">
        <v>68</v>
      </c>
    </row>
    <row r="9922" spans="1:15" ht="43.2" x14ac:dyDescent="0.3">
      <c r="A9922" s="1" t="s">
        <v>15072</v>
      </c>
      <c r="B9922" s="1" t="str">
        <f>"F.P HAMER &amp; SONS"</f>
        <v>F.P HAMER &amp; SONS</v>
      </c>
      <c r="C9922" s="1" t="s">
        <v>15073</v>
      </c>
      <c r="F9922" s="1" t="s">
        <v>798</v>
      </c>
      <c r="H9922" s="1" t="s">
        <v>15074</v>
      </c>
      <c r="I9922" s="1" t="s">
        <v>125</v>
      </c>
      <c r="J9922" s="1" t="s">
        <v>67</v>
      </c>
      <c r="K9922" s="1" t="s">
        <v>14</v>
      </c>
      <c r="M9922" s="2">
        <v>41914</v>
      </c>
      <c r="N9922" s="1" t="s">
        <v>8</v>
      </c>
      <c r="O9922" s="1" t="s">
        <v>68</v>
      </c>
    </row>
    <row r="9923" spans="1:15" ht="43.2" x14ac:dyDescent="0.3">
      <c r="A9923" s="1" t="s">
        <v>27422</v>
      </c>
      <c r="B9923" s="1" t="str">
        <f>"Christopher Ebrey"</f>
        <v>Christopher Ebrey</v>
      </c>
      <c r="C9923" s="1" t="s">
        <v>27423</v>
      </c>
      <c r="F9923" s="1" t="s">
        <v>491</v>
      </c>
      <c r="H9923" s="1" t="s">
        <v>27424</v>
      </c>
      <c r="I9923" s="1" t="s">
        <v>5</v>
      </c>
      <c r="J9923" s="1" t="s">
        <v>67</v>
      </c>
      <c r="K9923" s="1" t="s">
        <v>14</v>
      </c>
      <c r="M9923" s="2">
        <v>41914</v>
      </c>
      <c r="N9923" s="1" t="s">
        <v>8</v>
      </c>
      <c r="O9923" s="1" t="s">
        <v>68</v>
      </c>
    </row>
    <row r="9924" spans="1:15" ht="43.2" x14ac:dyDescent="0.3">
      <c r="A9924" s="1" t="s">
        <v>15058</v>
      </c>
      <c r="B9924" s="1" t="str">
        <f>"torque motors ltd"</f>
        <v>torque motors ltd</v>
      </c>
      <c r="C9924" s="1" t="s">
        <v>15059</v>
      </c>
      <c r="D9924" s="1" t="s">
        <v>15060</v>
      </c>
      <c r="F9924" s="1" t="s">
        <v>15061</v>
      </c>
      <c r="H9924" s="1" t="s">
        <v>15062</v>
      </c>
      <c r="I9924" s="1" t="s">
        <v>19</v>
      </c>
      <c r="J9924" s="1" t="s">
        <v>67</v>
      </c>
      <c r="K9924" s="1" t="s">
        <v>14</v>
      </c>
      <c r="M9924" s="2">
        <v>41913</v>
      </c>
      <c r="N9924" s="1" t="s">
        <v>8</v>
      </c>
      <c r="O9924" s="1" t="s">
        <v>68</v>
      </c>
    </row>
    <row r="9925" spans="1:15" ht="43.2" x14ac:dyDescent="0.3">
      <c r="A9925" s="1" t="s">
        <v>15063</v>
      </c>
      <c r="B9925" s="1" t="str">
        <f>"torque motors ltd"</f>
        <v>torque motors ltd</v>
      </c>
      <c r="C9925" s="1" t="s">
        <v>15059</v>
      </c>
      <c r="D9925" s="1" t="s">
        <v>15060</v>
      </c>
      <c r="F9925" s="1" t="s">
        <v>15061</v>
      </c>
      <c r="H9925" s="1" t="s">
        <v>15062</v>
      </c>
      <c r="I9925" s="1" t="s">
        <v>19</v>
      </c>
      <c r="J9925" s="1" t="s">
        <v>67</v>
      </c>
      <c r="K9925" s="1" t="s">
        <v>14</v>
      </c>
      <c r="M9925" s="2">
        <v>41913</v>
      </c>
      <c r="N9925" s="1" t="s">
        <v>8</v>
      </c>
      <c r="O9925" s="1" t="s">
        <v>68</v>
      </c>
    </row>
    <row r="9926" spans="1:15" ht="43.2" x14ac:dyDescent="0.3">
      <c r="A9926" s="1" t="s">
        <v>15064</v>
      </c>
      <c r="B9926" s="1" t="str">
        <f>"GEM Engineering and Maintenance Services Limited"</f>
        <v>GEM Engineering and Maintenance Services Limited</v>
      </c>
      <c r="C9926" s="1" t="s">
        <v>15065</v>
      </c>
      <c r="D9926" s="1" t="s">
        <v>746</v>
      </c>
      <c r="F9926" s="1" t="s">
        <v>323</v>
      </c>
      <c r="H9926" s="1" t="s">
        <v>960</v>
      </c>
      <c r="I9926" s="1" t="s">
        <v>19</v>
      </c>
      <c r="J9926" s="1" t="s">
        <v>67</v>
      </c>
      <c r="K9926" s="1" t="s">
        <v>14</v>
      </c>
      <c r="M9926" s="2">
        <v>41913</v>
      </c>
      <c r="N9926" s="1" t="s">
        <v>8</v>
      </c>
      <c r="O9926" s="1" t="s">
        <v>68</v>
      </c>
    </row>
    <row r="9927" spans="1:15" ht="43.2" x14ac:dyDescent="0.3">
      <c r="A9927" s="1" t="s">
        <v>15066</v>
      </c>
      <c r="B9927" s="1" t="str">
        <f>"SkyEnergy Installations Ltd"</f>
        <v>SkyEnergy Installations Ltd</v>
      </c>
      <c r="C9927" s="1" t="s">
        <v>15067</v>
      </c>
      <c r="F9927" s="1" t="s">
        <v>1230</v>
      </c>
      <c r="H9927" s="1" t="s">
        <v>9275</v>
      </c>
      <c r="I9927" s="1" t="s">
        <v>19</v>
      </c>
      <c r="J9927" s="1" t="s">
        <v>67</v>
      </c>
      <c r="K9927" s="1" t="s">
        <v>14</v>
      </c>
      <c r="M9927" s="2">
        <v>41913</v>
      </c>
      <c r="N9927" s="1" t="s">
        <v>8</v>
      </c>
      <c r="O9927" s="1" t="s">
        <v>68</v>
      </c>
    </row>
    <row r="9928" spans="1:15" ht="43.2" x14ac:dyDescent="0.3">
      <c r="A9928" s="1" t="s">
        <v>27416</v>
      </c>
      <c r="B9928" s="1" t="str">
        <f>"Robert Shepherd"</f>
        <v>Robert Shepherd</v>
      </c>
      <c r="C9928" s="1" t="s">
        <v>27417</v>
      </c>
      <c r="D9928" s="1" t="s">
        <v>345</v>
      </c>
      <c r="F9928" s="1" t="s">
        <v>162</v>
      </c>
      <c r="H9928" s="1" t="s">
        <v>27418</v>
      </c>
      <c r="I9928" s="1" t="s">
        <v>5</v>
      </c>
      <c r="J9928" s="1" t="s">
        <v>67</v>
      </c>
      <c r="K9928" s="1" t="s">
        <v>14</v>
      </c>
      <c r="M9928" s="2">
        <v>41913</v>
      </c>
      <c r="N9928" s="1" t="s">
        <v>8</v>
      </c>
      <c r="O9928" s="1" t="s">
        <v>68</v>
      </c>
    </row>
    <row r="9929" spans="1:15" ht="43.2" x14ac:dyDescent="0.3">
      <c r="A9929" s="1" t="s">
        <v>27419</v>
      </c>
      <c r="B9929" s="1" t="str">
        <f>"W D T Shanklin"</f>
        <v>W D T Shanklin</v>
      </c>
      <c r="C9929" s="1" t="s">
        <v>27420</v>
      </c>
      <c r="D9929" s="1" t="s">
        <v>1063</v>
      </c>
      <c r="F9929" s="1" t="s">
        <v>3691</v>
      </c>
      <c r="H9929" s="1" t="s">
        <v>27421</v>
      </c>
      <c r="I9929" s="1" t="s">
        <v>5</v>
      </c>
      <c r="J9929" s="1" t="s">
        <v>67</v>
      </c>
      <c r="K9929" s="1" t="s">
        <v>14</v>
      </c>
      <c r="M9929" s="2">
        <v>41913</v>
      </c>
      <c r="N9929" s="1" t="s">
        <v>8</v>
      </c>
      <c r="O9929" s="1" t="s">
        <v>68</v>
      </c>
    </row>
    <row r="9930" spans="1:15" ht="43.2" x14ac:dyDescent="0.3">
      <c r="A9930" s="1" t="s">
        <v>14206</v>
      </c>
      <c r="B9930" s="1" t="str">
        <f>"E J &amp; J M Westoby &amp; Sons"</f>
        <v>E J &amp; J M Westoby &amp; Sons</v>
      </c>
      <c r="C9930" s="1" t="s">
        <v>14207</v>
      </c>
      <c r="F9930" s="1" t="s">
        <v>230</v>
      </c>
      <c r="H9930" s="1" t="s">
        <v>14208</v>
      </c>
      <c r="I9930" s="1" t="s">
        <v>125</v>
      </c>
      <c r="J9930" s="1" t="s">
        <v>67</v>
      </c>
      <c r="K9930" s="1" t="s">
        <v>14</v>
      </c>
      <c r="M9930" s="2">
        <v>41912</v>
      </c>
      <c r="N9930" s="1" t="s">
        <v>8</v>
      </c>
      <c r="O9930" s="1" t="s">
        <v>68</v>
      </c>
    </row>
    <row r="9931" spans="1:15" ht="43.2" x14ac:dyDescent="0.3">
      <c r="A9931" s="1" t="s">
        <v>14209</v>
      </c>
      <c r="B9931" s="1" t="str">
        <f>"K P Builders Ltd"</f>
        <v>K P Builders Ltd</v>
      </c>
      <c r="C9931" s="1" t="s">
        <v>14210</v>
      </c>
      <c r="D9931" s="1" t="s">
        <v>424</v>
      </c>
      <c r="F9931" s="1" t="s">
        <v>64</v>
      </c>
      <c r="H9931" s="1" t="s">
        <v>14211</v>
      </c>
      <c r="I9931" s="1" t="s">
        <v>19</v>
      </c>
      <c r="J9931" s="1" t="s">
        <v>67</v>
      </c>
      <c r="K9931" s="1" t="s">
        <v>14</v>
      </c>
      <c r="M9931" s="2">
        <v>41912</v>
      </c>
      <c r="N9931" s="1" t="s">
        <v>8</v>
      </c>
      <c r="O9931" s="1" t="s">
        <v>68</v>
      </c>
    </row>
    <row r="9932" spans="1:15" ht="43.2" x14ac:dyDescent="0.3">
      <c r="A9932" s="1" t="s">
        <v>26567</v>
      </c>
      <c r="B9932" s="1" t="str">
        <f>"Geraint Morgan"</f>
        <v>Geraint Morgan</v>
      </c>
      <c r="C9932" s="1" t="s">
        <v>26568</v>
      </c>
      <c r="F9932" s="1" t="s">
        <v>37</v>
      </c>
      <c r="H9932" s="1" t="s">
        <v>24479</v>
      </c>
      <c r="I9932" s="1" t="s">
        <v>5</v>
      </c>
      <c r="J9932" s="1" t="s">
        <v>67</v>
      </c>
      <c r="K9932" s="1" t="s">
        <v>14</v>
      </c>
      <c r="M9932" s="2">
        <v>41912</v>
      </c>
      <c r="N9932" s="1" t="s">
        <v>8</v>
      </c>
      <c r="O9932" s="1" t="s">
        <v>68</v>
      </c>
    </row>
    <row r="9933" spans="1:15" ht="43.2" x14ac:dyDescent="0.3">
      <c r="A9933" s="1" t="s">
        <v>26569</v>
      </c>
      <c r="B9933" s="1" t="str">
        <f>"Geraint Morgan"</f>
        <v>Geraint Morgan</v>
      </c>
      <c r="C9933" s="1" t="s">
        <v>26568</v>
      </c>
      <c r="F9933" s="1" t="s">
        <v>37</v>
      </c>
      <c r="H9933" s="1" t="s">
        <v>24479</v>
      </c>
      <c r="I9933" s="1" t="s">
        <v>5</v>
      </c>
      <c r="J9933" s="1" t="s">
        <v>67</v>
      </c>
      <c r="K9933" s="1" t="s">
        <v>14</v>
      </c>
      <c r="M9933" s="2">
        <v>41912</v>
      </c>
      <c r="N9933" s="1" t="s">
        <v>8</v>
      </c>
      <c r="O9933" s="1" t="s">
        <v>68</v>
      </c>
    </row>
    <row r="9934" spans="1:15" ht="43.2" x14ac:dyDescent="0.3">
      <c r="A9934" s="1" t="s">
        <v>26570</v>
      </c>
      <c r="B9934" s="1" t="str">
        <f>"Stephen Owen"</f>
        <v>Stephen Owen</v>
      </c>
      <c r="C9934" s="1" t="s">
        <v>26571</v>
      </c>
      <c r="D9934" s="1" t="s">
        <v>938</v>
      </c>
      <c r="F9934" s="1" t="s">
        <v>64</v>
      </c>
      <c r="H9934" s="1" t="s">
        <v>20108</v>
      </c>
      <c r="I9934" s="1" t="s">
        <v>5</v>
      </c>
      <c r="J9934" s="1" t="s">
        <v>67</v>
      </c>
      <c r="K9934" s="1" t="s">
        <v>14</v>
      </c>
      <c r="M9934" s="2">
        <v>41912</v>
      </c>
      <c r="N9934" s="1" t="s">
        <v>8</v>
      </c>
      <c r="O9934" s="1" t="s">
        <v>68</v>
      </c>
    </row>
    <row r="9935" spans="1:15" ht="43.2" x14ac:dyDescent="0.3">
      <c r="A9935" s="1" t="s">
        <v>27412</v>
      </c>
      <c r="B9935" s="1" t="str">
        <f>"paul evans"</f>
        <v>paul evans</v>
      </c>
      <c r="C9935" s="1" t="s">
        <v>27413</v>
      </c>
      <c r="F9935" s="1" t="s">
        <v>27414</v>
      </c>
      <c r="H9935" s="1" t="s">
        <v>27415</v>
      </c>
      <c r="I9935" s="1" t="s">
        <v>5</v>
      </c>
      <c r="J9935" s="1" t="s">
        <v>67</v>
      </c>
      <c r="K9935" s="1" t="s">
        <v>14</v>
      </c>
      <c r="M9935" s="2">
        <v>41912</v>
      </c>
      <c r="N9935" s="1" t="s">
        <v>8</v>
      </c>
      <c r="O9935" s="1" t="s">
        <v>68</v>
      </c>
    </row>
    <row r="9936" spans="1:15" ht="43.2" x14ac:dyDescent="0.3">
      <c r="A9936" s="1" t="s">
        <v>13258</v>
      </c>
      <c r="B9936" s="1" t="str">
        <f>"SA12 LTD"</f>
        <v>SA12 LTD</v>
      </c>
      <c r="C9936" s="1" t="s">
        <v>13259</v>
      </c>
      <c r="F9936" s="1" t="s">
        <v>13260</v>
      </c>
      <c r="H9936" s="1" t="s">
        <v>1352</v>
      </c>
      <c r="I9936" s="1" t="s">
        <v>19</v>
      </c>
      <c r="J9936" s="1" t="s">
        <v>67</v>
      </c>
      <c r="K9936" s="1" t="s">
        <v>14</v>
      </c>
      <c r="M9936" s="2">
        <v>41911</v>
      </c>
      <c r="N9936" s="1" t="s">
        <v>8</v>
      </c>
      <c r="O9936" s="1" t="s">
        <v>68</v>
      </c>
    </row>
    <row r="9937" spans="1:15" ht="43.2" x14ac:dyDescent="0.3">
      <c r="A9937" s="1" t="s">
        <v>14191</v>
      </c>
      <c r="B9937" s="1" t="str">
        <f>"SHL Offshore Contractors BV"</f>
        <v>SHL Offshore Contractors BV</v>
      </c>
      <c r="C9937" s="1" t="s">
        <v>14192</v>
      </c>
      <c r="D9937" s="1" t="s">
        <v>14193</v>
      </c>
      <c r="E9937" s="1" t="s">
        <v>14194</v>
      </c>
      <c r="G9937" s="1" t="s">
        <v>14195</v>
      </c>
      <c r="I9937" s="1" t="s">
        <v>19</v>
      </c>
      <c r="J9937" s="1" t="s">
        <v>67</v>
      </c>
      <c r="K9937" s="1" t="s">
        <v>14</v>
      </c>
      <c r="M9937" s="2">
        <v>41911</v>
      </c>
      <c r="N9937" s="1" t="s">
        <v>8</v>
      </c>
      <c r="O9937" s="1" t="s">
        <v>68</v>
      </c>
    </row>
    <row r="9938" spans="1:15" ht="43.2" x14ac:dyDescent="0.3">
      <c r="A9938" s="1" t="s">
        <v>14196</v>
      </c>
      <c r="B9938" s="1" t="str">
        <f>"jj DAVIES&amp;SON"</f>
        <v>jj DAVIES&amp;SON</v>
      </c>
      <c r="C9938" s="1" t="s">
        <v>14197</v>
      </c>
      <c r="F9938" s="1" t="s">
        <v>3684</v>
      </c>
      <c r="H9938" s="1" t="s">
        <v>14198</v>
      </c>
      <c r="I9938" s="1" t="s">
        <v>125</v>
      </c>
      <c r="J9938" s="1" t="s">
        <v>67</v>
      </c>
      <c r="K9938" s="1" t="s">
        <v>14</v>
      </c>
      <c r="M9938" s="2">
        <v>41911</v>
      </c>
      <c r="N9938" s="1" t="s">
        <v>8</v>
      </c>
      <c r="O9938" s="1" t="s">
        <v>68</v>
      </c>
    </row>
    <row r="9939" spans="1:15" ht="43.2" x14ac:dyDescent="0.3">
      <c r="A9939" s="1" t="s">
        <v>14199</v>
      </c>
      <c r="B9939" s="1" t="str">
        <f>"B G and R S H Jones"</f>
        <v>B G and R S H Jones</v>
      </c>
      <c r="C9939" s="1" t="s">
        <v>14200</v>
      </c>
      <c r="F9939" s="1" t="s">
        <v>56</v>
      </c>
      <c r="H9939" s="1" t="s">
        <v>14201</v>
      </c>
      <c r="I9939" s="1" t="s">
        <v>125</v>
      </c>
      <c r="J9939" s="1" t="s">
        <v>67</v>
      </c>
      <c r="K9939" s="1" t="s">
        <v>14</v>
      </c>
      <c r="M9939" s="2">
        <v>41911</v>
      </c>
      <c r="N9939" s="1" t="s">
        <v>8</v>
      </c>
      <c r="O9939" s="1" t="s">
        <v>68</v>
      </c>
    </row>
    <row r="9940" spans="1:15" ht="43.2" x14ac:dyDescent="0.3">
      <c r="A9940" s="1" t="s">
        <v>14202</v>
      </c>
      <c r="B9940" s="1" t="str">
        <f>"minysarn"</f>
        <v>minysarn</v>
      </c>
      <c r="C9940" s="1" t="s">
        <v>14203</v>
      </c>
      <c r="F9940" s="1" t="s">
        <v>14204</v>
      </c>
      <c r="H9940" s="1" t="s">
        <v>14205</v>
      </c>
      <c r="I9940" s="1" t="s">
        <v>125</v>
      </c>
      <c r="J9940" s="1" t="s">
        <v>67</v>
      </c>
      <c r="K9940" s="1" t="s">
        <v>14</v>
      </c>
      <c r="M9940" s="2">
        <v>41911</v>
      </c>
      <c r="N9940" s="1" t="s">
        <v>8</v>
      </c>
      <c r="O9940" s="1" t="s">
        <v>68</v>
      </c>
    </row>
    <row r="9941" spans="1:15" ht="43.2" x14ac:dyDescent="0.3">
      <c r="A9941" s="1" t="s">
        <v>25813</v>
      </c>
      <c r="B9941" s="1" t="str">
        <f>"karen beggs"</f>
        <v>karen beggs</v>
      </c>
      <c r="C9941" s="1" t="s">
        <v>25814</v>
      </c>
      <c r="D9941" s="1" t="s">
        <v>23343</v>
      </c>
      <c r="F9941" s="1" t="s">
        <v>3925</v>
      </c>
      <c r="H9941" s="1" t="s">
        <v>25815</v>
      </c>
      <c r="I9941" s="1" t="s">
        <v>5</v>
      </c>
      <c r="J9941" s="1" t="s">
        <v>67</v>
      </c>
      <c r="K9941" s="1" t="s">
        <v>14</v>
      </c>
      <c r="M9941" s="2">
        <v>41911</v>
      </c>
      <c r="N9941" s="1" t="s">
        <v>8</v>
      </c>
      <c r="O9941" s="1" t="s">
        <v>68</v>
      </c>
    </row>
    <row r="9942" spans="1:15" ht="43.2" x14ac:dyDescent="0.3">
      <c r="A9942" s="1" t="s">
        <v>26555</v>
      </c>
      <c r="B9942" s="1" t="str">
        <f>"G H Roberts"</f>
        <v>G H Roberts</v>
      </c>
      <c r="C9942" s="1" t="s">
        <v>26556</v>
      </c>
      <c r="F9942" s="1" t="s">
        <v>922</v>
      </c>
      <c r="H9942" s="1" t="s">
        <v>26557</v>
      </c>
      <c r="I9942" s="1" t="s">
        <v>5</v>
      </c>
      <c r="J9942" s="1" t="s">
        <v>67</v>
      </c>
      <c r="K9942" s="1" t="s">
        <v>14</v>
      </c>
      <c r="M9942" s="2">
        <v>41911</v>
      </c>
      <c r="N9942" s="1" t="s">
        <v>8</v>
      </c>
      <c r="O9942" s="1" t="s">
        <v>68</v>
      </c>
    </row>
    <row r="9943" spans="1:15" ht="43.2" x14ac:dyDescent="0.3">
      <c r="A9943" s="1" t="s">
        <v>26558</v>
      </c>
      <c r="B9943" s="1" t="str">
        <f>"Ron Clark"</f>
        <v>Ron Clark</v>
      </c>
      <c r="C9943" s="1" t="s">
        <v>26559</v>
      </c>
      <c r="F9943" s="1" t="s">
        <v>922</v>
      </c>
      <c r="H9943" s="1" t="s">
        <v>26560</v>
      </c>
      <c r="I9943" s="1" t="s">
        <v>5</v>
      </c>
      <c r="J9943" s="1" t="s">
        <v>67</v>
      </c>
      <c r="K9943" s="1" t="s">
        <v>14</v>
      </c>
      <c r="M9943" s="2">
        <v>41911</v>
      </c>
      <c r="N9943" s="1" t="s">
        <v>8</v>
      </c>
      <c r="O9943" s="1" t="s">
        <v>68</v>
      </c>
    </row>
    <row r="9944" spans="1:15" ht="43.2" x14ac:dyDescent="0.3">
      <c r="A9944" s="1" t="s">
        <v>26561</v>
      </c>
      <c r="B9944" s="1" t="str">
        <f>"Radford Crocker"</f>
        <v>Radford Crocker</v>
      </c>
      <c r="C9944" s="1" t="s">
        <v>26562</v>
      </c>
      <c r="D9944" s="1" t="s">
        <v>25569</v>
      </c>
      <c r="F9944" s="1" t="s">
        <v>64</v>
      </c>
      <c r="H9944" s="1" t="s">
        <v>26563</v>
      </c>
      <c r="I9944" s="1" t="s">
        <v>5</v>
      </c>
      <c r="J9944" s="1" t="s">
        <v>67</v>
      </c>
      <c r="K9944" s="1" t="s">
        <v>14</v>
      </c>
      <c r="M9944" s="2">
        <v>41911</v>
      </c>
      <c r="N9944" s="1" t="s">
        <v>8</v>
      </c>
      <c r="O9944" s="1" t="s">
        <v>68</v>
      </c>
    </row>
    <row r="9945" spans="1:15" ht="43.2" x14ac:dyDescent="0.3">
      <c r="A9945" s="1" t="s">
        <v>26564</v>
      </c>
      <c r="B9945" s="1" t="str">
        <f>"Dylan  Williams"</f>
        <v>Dylan  Williams</v>
      </c>
      <c r="C9945" s="1" t="s">
        <v>26565</v>
      </c>
      <c r="F9945" s="1" t="s">
        <v>955</v>
      </c>
      <c r="H9945" s="1" t="s">
        <v>26566</v>
      </c>
      <c r="I9945" s="1" t="s">
        <v>5</v>
      </c>
      <c r="J9945" s="1" t="s">
        <v>67</v>
      </c>
      <c r="K9945" s="1" t="s">
        <v>14</v>
      </c>
      <c r="M9945" s="2">
        <v>41911</v>
      </c>
      <c r="N9945" s="1" t="s">
        <v>8</v>
      </c>
      <c r="O9945" s="1" t="s">
        <v>68</v>
      </c>
    </row>
    <row r="9946" spans="1:15" ht="43.2" x14ac:dyDescent="0.3">
      <c r="A9946" s="1" t="s">
        <v>13249</v>
      </c>
      <c r="B9946" s="1" t="str">
        <f>"g and n"</f>
        <v>g and n</v>
      </c>
      <c r="C9946" s="1" t="s">
        <v>13250</v>
      </c>
      <c r="F9946" s="1" t="s">
        <v>13251</v>
      </c>
      <c r="H9946" s="1" t="s">
        <v>13252</v>
      </c>
      <c r="I9946" s="1" t="s">
        <v>1872</v>
      </c>
      <c r="J9946" s="1" t="s">
        <v>67</v>
      </c>
      <c r="K9946" s="1" t="s">
        <v>14</v>
      </c>
      <c r="M9946" s="2">
        <v>41910</v>
      </c>
      <c r="N9946" s="1" t="s">
        <v>8</v>
      </c>
      <c r="O9946" s="1" t="s">
        <v>68</v>
      </c>
    </row>
    <row r="9947" spans="1:15" ht="43.2" x14ac:dyDescent="0.3">
      <c r="A9947" s="1" t="s">
        <v>13253</v>
      </c>
      <c r="B9947" s="1" t="str">
        <f>"g and n"</f>
        <v>g and n</v>
      </c>
      <c r="C9947" s="1" t="s">
        <v>13254</v>
      </c>
      <c r="F9947" s="1" t="s">
        <v>13251</v>
      </c>
      <c r="H9947" s="1" t="s">
        <v>13252</v>
      </c>
      <c r="I9947" s="1" t="s">
        <v>1872</v>
      </c>
      <c r="J9947" s="1" t="s">
        <v>67</v>
      </c>
      <c r="K9947" s="1" t="s">
        <v>14</v>
      </c>
      <c r="M9947" s="2">
        <v>41910</v>
      </c>
      <c r="N9947" s="1" t="s">
        <v>8</v>
      </c>
      <c r="O9947" s="1" t="s">
        <v>68</v>
      </c>
    </row>
    <row r="9948" spans="1:15" ht="43.2" x14ac:dyDescent="0.3">
      <c r="A9948" s="1" t="s">
        <v>13255</v>
      </c>
      <c r="B9948" s="1" t="str">
        <f>"Davies Bros Fencing"</f>
        <v>Davies Bros Fencing</v>
      </c>
      <c r="C9948" s="1" t="s">
        <v>13256</v>
      </c>
      <c r="D9948" s="1" t="s">
        <v>556</v>
      </c>
      <c r="F9948" s="1" t="s">
        <v>556</v>
      </c>
      <c r="H9948" s="1" t="s">
        <v>13257</v>
      </c>
      <c r="I9948" s="1" t="s">
        <v>125</v>
      </c>
      <c r="J9948" s="1" t="s">
        <v>67</v>
      </c>
      <c r="K9948" s="1" t="s">
        <v>14</v>
      </c>
      <c r="M9948" s="2">
        <v>41910</v>
      </c>
      <c r="N9948" s="1" t="s">
        <v>8</v>
      </c>
      <c r="O9948" s="1" t="s">
        <v>68</v>
      </c>
    </row>
    <row r="9949" spans="1:15" ht="43.2" x14ac:dyDescent="0.3">
      <c r="A9949" s="1" t="s">
        <v>13245</v>
      </c>
      <c r="B9949" s="1" t="str">
        <f>"L.M.N Property Maintanance"</f>
        <v>L.M.N Property Maintanance</v>
      </c>
      <c r="C9949" s="1" t="s">
        <v>13246</v>
      </c>
      <c r="F9949" s="1" t="s">
        <v>13247</v>
      </c>
      <c r="H9949" s="1" t="s">
        <v>13248</v>
      </c>
      <c r="I9949" s="1" t="s">
        <v>19</v>
      </c>
      <c r="J9949" s="1" t="s">
        <v>67</v>
      </c>
      <c r="K9949" s="1" t="s">
        <v>14</v>
      </c>
      <c r="M9949" s="2">
        <v>41908</v>
      </c>
      <c r="N9949" s="1" t="s">
        <v>8</v>
      </c>
      <c r="O9949" s="1" t="s">
        <v>68</v>
      </c>
    </row>
    <row r="9950" spans="1:15" ht="43.2" x14ac:dyDescent="0.3">
      <c r="A9950" s="1" t="s">
        <v>25812</v>
      </c>
      <c r="B9950" s="1" t="str">
        <f>"Julie Evans"</f>
        <v>Julie Evans</v>
      </c>
      <c r="C9950" s="1" t="s">
        <v>15073</v>
      </c>
      <c r="F9950" s="1" t="s">
        <v>798</v>
      </c>
      <c r="H9950" s="1" t="s">
        <v>15074</v>
      </c>
      <c r="I9950" s="1" t="s">
        <v>5</v>
      </c>
      <c r="J9950" s="1" t="s">
        <v>67</v>
      </c>
      <c r="K9950" s="1" t="s">
        <v>14</v>
      </c>
      <c r="M9950" s="2">
        <v>41908</v>
      </c>
      <c r="N9950" s="1" t="s">
        <v>8</v>
      </c>
      <c r="O9950" s="1" t="s">
        <v>68</v>
      </c>
    </row>
    <row r="9951" spans="1:15" ht="43.2" x14ac:dyDescent="0.3">
      <c r="A9951" s="1" t="s">
        <v>13236</v>
      </c>
      <c r="B9951" s="1" t="str">
        <f>"kj scrap metal"</f>
        <v>kj scrap metal</v>
      </c>
      <c r="C9951" s="1" t="s">
        <v>13237</v>
      </c>
      <c r="F9951" s="1" t="s">
        <v>13238</v>
      </c>
      <c r="H9951" s="1" t="s">
        <v>13239</v>
      </c>
      <c r="I9951" s="1" t="s">
        <v>188</v>
      </c>
      <c r="J9951" s="1" t="s">
        <v>67</v>
      </c>
      <c r="K9951" s="1" t="s">
        <v>14</v>
      </c>
      <c r="M9951" s="2">
        <v>41907</v>
      </c>
      <c r="N9951" s="1" t="s">
        <v>8</v>
      </c>
      <c r="O9951" s="1" t="s">
        <v>68</v>
      </c>
    </row>
    <row r="9952" spans="1:15" ht="43.2" x14ac:dyDescent="0.3">
      <c r="A9952" s="1" t="s">
        <v>13240</v>
      </c>
      <c r="B9952" s="1" t="str">
        <f>"kj scrap metal"</f>
        <v>kj scrap metal</v>
      </c>
      <c r="C9952" s="1" t="s">
        <v>13237</v>
      </c>
      <c r="F9952" s="1" t="s">
        <v>13238</v>
      </c>
      <c r="H9952" s="1" t="s">
        <v>13239</v>
      </c>
      <c r="I9952" s="1" t="s">
        <v>188</v>
      </c>
      <c r="J9952" s="1" t="s">
        <v>67</v>
      </c>
      <c r="K9952" s="1" t="s">
        <v>14</v>
      </c>
      <c r="M9952" s="2">
        <v>41907</v>
      </c>
      <c r="N9952" s="1" t="s">
        <v>8</v>
      </c>
      <c r="O9952" s="1" t="s">
        <v>68</v>
      </c>
    </row>
    <row r="9953" spans="1:15" ht="43.2" x14ac:dyDescent="0.3">
      <c r="A9953" s="1" t="s">
        <v>13241</v>
      </c>
      <c r="B9953" s="1" t="str">
        <f>"kj scrap metal"</f>
        <v>kj scrap metal</v>
      </c>
      <c r="C9953" s="1" t="s">
        <v>13237</v>
      </c>
      <c r="F9953" s="1" t="s">
        <v>13238</v>
      </c>
      <c r="H9953" s="1" t="s">
        <v>13239</v>
      </c>
      <c r="I9953" s="1" t="s">
        <v>188</v>
      </c>
      <c r="J9953" s="1" t="s">
        <v>67</v>
      </c>
      <c r="K9953" s="1" t="s">
        <v>14</v>
      </c>
      <c r="M9953" s="2">
        <v>41907</v>
      </c>
      <c r="N9953" s="1" t="s">
        <v>8</v>
      </c>
      <c r="O9953" s="1" t="s">
        <v>68</v>
      </c>
    </row>
    <row r="9954" spans="1:15" ht="43.2" x14ac:dyDescent="0.3">
      <c r="A9954" s="1" t="s">
        <v>13242</v>
      </c>
      <c r="B9954" s="1" t="str">
        <f>"leon morgan"</f>
        <v>leon morgan</v>
      </c>
      <c r="C9954" s="1" t="s">
        <v>13243</v>
      </c>
      <c r="D9954" s="1" t="s">
        <v>1525</v>
      </c>
      <c r="F9954" s="1" t="s">
        <v>1525</v>
      </c>
      <c r="H9954" s="1" t="s">
        <v>13244</v>
      </c>
      <c r="I9954" s="1" t="s">
        <v>188</v>
      </c>
      <c r="J9954" s="1" t="s">
        <v>67</v>
      </c>
      <c r="K9954" s="1" t="s">
        <v>14</v>
      </c>
      <c r="M9954" s="2">
        <v>41907</v>
      </c>
      <c r="N9954" s="1" t="s">
        <v>8</v>
      </c>
      <c r="O9954" s="1" t="s">
        <v>68</v>
      </c>
    </row>
    <row r="9955" spans="1:15" ht="43.2" x14ac:dyDescent="0.3">
      <c r="A9955" s="1" t="s">
        <v>13229</v>
      </c>
      <c r="B9955" s="1" t="str">
        <f>"Brecon &amp; Talybont Hunt"</f>
        <v>Brecon &amp; Talybont Hunt</v>
      </c>
      <c r="C9955" s="1" t="s">
        <v>13230</v>
      </c>
      <c r="F9955" s="1" t="s">
        <v>1206</v>
      </c>
      <c r="H9955" s="1" t="s">
        <v>13231</v>
      </c>
      <c r="I9955" s="1" t="s">
        <v>1872</v>
      </c>
      <c r="J9955" s="1" t="s">
        <v>67</v>
      </c>
      <c r="K9955" s="1" t="s">
        <v>14</v>
      </c>
      <c r="M9955" s="2">
        <v>41906</v>
      </c>
      <c r="N9955" s="1" t="s">
        <v>8</v>
      </c>
      <c r="O9955" s="1" t="s">
        <v>68</v>
      </c>
    </row>
    <row r="9956" spans="1:15" ht="43.2" x14ac:dyDescent="0.3">
      <c r="A9956" s="1" t="s">
        <v>13232</v>
      </c>
      <c r="B9956" s="1" t="str">
        <f>"RG scrap merchants"</f>
        <v>RG scrap merchants</v>
      </c>
      <c r="C9956" s="1" t="s">
        <v>13233</v>
      </c>
      <c r="D9956" s="1" t="s">
        <v>13234</v>
      </c>
      <c r="F9956" s="1" t="s">
        <v>22</v>
      </c>
      <c r="H9956" s="1" t="s">
        <v>13235</v>
      </c>
      <c r="I9956" s="1" t="s">
        <v>188</v>
      </c>
      <c r="J9956" s="1" t="s">
        <v>67</v>
      </c>
      <c r="K9956" s="1" t="s">
        <v>14</v>
      </c>
      <c r="M9956" s="2">
        <v>41906</v>
      </c>
      <c r="N9956" s="1" t="s">
        <v>8</v>
      </c>
      <c r="O9956" s="1" t="s">
        <v>68</v>
      </c>
    </row>
    <row r="9957" spans="1:15" ht="43.2" x14ac:dyDescent="0.3">
      <c r="A9957" s="1" t="s">
        <v>13226</v>
      </c>
      <c r="B9957" s="1" t="str">
        <f>"Ely Bridge Surgery"</f>
        <v>Ely Bridge Surgery</v>
      </c>
      <c r="C9957" s="1" t="s">
        <v>13227</v>
      </c>
      <c r="F9957" s="1" t="s">
        <v>123</v>
      </c>
      <c r="H9957" s="1" t="s">
        <v>13228</v>
      </c>
      <c r="I9957" s="1" t="s">
        <v>125</v>
      </c>
      <c r="J9957" s="1" t="s">
        <v>67</v>
      </c>
      <c r="K9957" s="1" t="s">
        <v>14</v>
      </c>
      <c r="M9957" s="2">
        <v>41905</v>
      </c>
      <c r="N9957" s="1" t="s">
        <v>8</v>
      </c>
      <c r="O9957" s="1" t="s">
        <v>68</v>
      </c>
    </row>
    <row r="9958" spans="1:15" ht="43.2" x14ac:dyDescent="0.3">
      <c r="A9958" s="1" t="s">
        <v>13222</v>
      </c>
      <c r="B9958" s="1" t="str">
        <f>"D.J. Thomas &amp; Sons"</f>
        <v>D.J. Thomas &amp; Sons</v>
      </c>
      <c r="C9958" s="1" t="s">
        <v>13223</v>
      </c>
      <c r="F9958" s="1" t="s">
        <v>1385</v>
      </c>
      <c r="H9958" s="1" t="s">
        <v>13224</v>
      </c>
      <c r="I9958" s="1" t="s">
        <v>19</v>
      </c>
      <c r="J9958" s="1" t="s">
        <v>67</v>
      </c>
      <c r="K9958" s="1" t="s">
        <v>14</v>
      </c>
      <c r="M9958" s="2">
        <v>41904</v>
      </c>
      <c r="N9958" s="1" t="s">
        <v>8</v>
      </c>
      <c r="O9958" s="1" t="s">
        <v>68</v>
      </c>
    </row>
    <row r="9959" spans="1:15" ht="43.2" x14ac:dyDescent="0.3">
      <c r="A9959" s="1" t="s">
        <v>13225</v>
      </c>
      <c r="B9959" s="1" t="str">
        <f>"D.J. Thomas &amp; Sons"</f>
        <v>D.J. Thomas &amp; Sons</v>
      </c>
      <c r="C9959" s="1" t="s">
        <v>13223</v>
      </c>
      <c r="F9959" s="1" t="s">
        <v>1385</v>
      </c>
      <c r="H9959" s="1" t="s">
        <v>13224</v>
      </c>
      <c r="I9959" s="1" t="s">
        <v>19</v>
      </c>
      <c r="J9959" s="1" t="s">
        <v>67</v>
      </c>
      <c r="K9959" s="1" t="s">
        <v>14</v>
      </c>
      <c r="M9959" s="2">
        <v>41904</v>
      </c>
      <c r="N9959" s="1" t="s">
        <v>8</v>
      </c>
      <c r="O9959" s="1" t="s">
        <v>68</v>
      </c>
    </row>
    <row r="9960" spans="1:15" ht="43.2" x14ac:dyDescent="0.3">
      <c r="A9960" s="1" t="s">
        <v>25099</v>
      </c>
      <c r="B9960" s="1" t="str">
        <f>"Jonathan Thomas"</f>
        <v>Jonathan Thomas</v>
      </c>
      <c r="C9960" s="1" t="s">
        <v>25100</v>
      </c>
      <c r="F9960" s="1" t="s">
        <v>25101</v>
      </c>
      <c r="H9960" s="1" t="s">
        <v>25102</v>
      </c>
      <c r="I9960" s="1" t="s">
        <v>5</v>
      </c>
      <c r="J9960" s="1" t="s">
        <v>67</v>
      </c>
      <c r="K9960" s="1" t="s">
        <v>14</v>
      </c>
      <c r="M9960" s="2">
        <v>41904</v>
      </c>
      <c r="N9960" s="1" t="s">
        <v>8</v>
      </c>
      <c r="O9960" s="1" t="s">
        <v>68</v>
      </c>
    </row>
    <row r="9961" spans="1:15" ht="43.2" x14ac:dyDescent="0.3">
      <c r="A9961" s="1" t="s">
        <v>25103</v>
      </c>
      <c r="B9961" s="1" t="str">
        <f>"Jonathan Thomas"</f>
        <v>Jonathan Thomas</v>
      </c>
      <c r="C9961" s="1" t="s">
        <v>25104</v>
      </c>
      <c r="D9961" s="1" t="s">
        <v>25101</v>
      </c>
      <c r="F9961" s="1" t="s">
        <v>25101</v>
      </c>
      <c r="H9961" s="1" t="s">
        <v>25102</v>
      </c>
      <c r="I9961" s="1" t="s">
        <v>5</v>
      </c>
      <c r="J9961" s="1" t="s">
        <v>67</v>
      </c>
      <c r="K9961" s="1" t="s">
        <v>14</v>
      </c>
      <c r="M9961" s="2">
        <v>41904</v>
      </c>
      <c r="N9961" s="1" t="s">
        <v>8</v>
      </c>
      <c r="O9961" s="1" t="s">
        <v>68</v>
      </c>
    </row>
    <row r="9962" spans="1:15" ht="43.2" x14ac:dyDescent="0.3">
      <c r="A9962" s="1" t="s">
        <v>25105</v>
      </c>
      <c r="B9962" s="1" t="str">
        <f>"Gavin Jones"</f>
        <v>Gavin Jones</v>
      </c>
      <c r="C9962" s="1" t="s">
        <v>25106</v>
      </c>
      <c r="D9962" s="1" t="s">
        <v>4645</v>
      </c>
      <c r="F9962" s="1" t="s">
        <v>324</v>
      </c>
      <c r="H9962" s="1" t="s">
        <v>25107</v>
      </c>
      <c r="I9962" s="1" t="s">
        <v>5</v>
      </c>
      <c r="J9962" s="1" t="s">
        <v>67</v>
      </c>
      <c r="K9962" s="1" t="s">
        <v>14</v>
      </c>
      <c r="M9962" s="2">
        <v>41904</v>
      </c>
      <c r="N9962" s="1" t="s">
        <v>8</v>
      </c>
      <c r="O9962" s="1" t="s">
        <v>68</v>
      </c>
    </row>
    <row r="9963" spans="1:15" ht="43.2" x14ac:dyDescent="0.3">
      <c r="A9963" s="1" t="s">
        <v>12185</v>
      </c>
      <c r="B9963" s="1" t="str">
        <f>"SHEDS CENTRE WALES LTD"</f>
        <v>SHEDS CENTRE WALES LTD</v>
      </c>
      <c r="C9963" s="1" t="s">
        <v>12186</v>
      </c>
      <c r="F9963" s="1" t="s">
        <v>12187</v>
      </c>
      <c r="H9963" s="1" t="s">
        <v>12188</v>
      </c>
      <c r="I9963" s="1" t="s">
        <v>19</v>
      </c>
      <c r="J9963" s="1" t="s">
        <v>67</v>
      </c>
      <c r="K9963" s="1" t="s">
        <v>14</v>
      </c>
      <c r="M9963" s="2">
        <v>41901</v>
      </c>
      <c r="N9963" s="1" t="s">
        <v>8</v>
      </c>
      <c r="O9963" s="1" t="s">
        <v>68</v>
      </c>
    </row>
    <row r="9964" spans="1:15" ht="43.2" x14ac:dyDescent="0.3">
      <c r="A9964" s="1" t="s">
        <v>12178</v>
      </c>
      <c r="B9964" s="1" t="str">
        <f>"Elpiniki Guesthouse"</f>
        <v>Elpiniki Guesthouse</v>
      </c>
      <c r="C9964" s="1" t="s">
        <v>12179</v>
      </c>
      <c r="D9964" s="1" t="s">
        <v>3242</v>
      </c>
      <c r="F9964" s="1" t="s">
        <v>3242</v>
      </c>
      <c r="H9964" s="1" t="s">
        <v>12180</v>
      </c>
      <c r="I9964" s="1" t="s">
        <v>125</v>
      </c>
      <c r="J9964" s="1" t="s">
        <v>67</v>
      </c>
      <c r="K9964" s="1" t="s">
        <v>14</v>
      </c>
      <c r="M9964" s="2">
        <v>41900</v>
      </c>
      <c r="N9964" s="1" t="s">
        <v>8</v>
      </c>
      <c r="O9964" s="1" t="s">
        <v>68</v>
      </c>
    </row>
    <row r="9965" spans="1:15" ht="43.2" x14ac:dyDescent="0.3">
      <c r="A9965" s="1" t="s">
        <v>12181</v>
      </c>
      <c r="B9965" s="1" t="str">
        <f>"Elpiniki Guesthouse"</f>
        <v>Elpiniki Guesthouse</v>
      </c>
      <c r="C9965" s="1" t="s">
        <v>12179</v>
      </c>
      <c r="D9965" s="1" t="s">
        <v>3242</v>
      </c>
      <c r="F9965" s="1" t="s">
        <v>3242</v>
      </c>
      <c r="H9965" s="1" t="s">
        <v>12180</v>
      </c>
      <c r="I9965" s="1" t="s">
        <v>125</v>
      </c>
      <c r="J9965" s="1" t="s">
        <v>67</v>
      </c>
      <c r="K9965" s="1" t="s">
        <v>14</v>
      </c>
      <c r="M9965" s="2">
        <v>41900</v>
      </c>
      <c r="N9965" s="1" t="s">
        <v>8</v>
      </c>
      <c r="O9965" s="1" t="s">
        <v>68</v>
      </c>
    </row>
    <row r="9966" spans="1:15" ht="43.2" x14ac:dyDescent="0.3">
      <c r="A9966" s="1" t="s">
        <v>12182</v>
      </c>
      <c r="B9966" s="1" t="str">
        <f>"Elpiniki Guesthouse"</f>
        <v>Elpiniki Guesthouse</v>
      </c>
      <c r="C9966" s="1" t="s">
        <v>12179</v>
      </c>
      <c r="D9966" s="1" t="s">
        <v>3242</v>
      </c>
      <c r="F9966" s="1" t="s">
        <v>3242</v>
      </c>
      <c r="H9966" s="1" t="s">
        <v>12180</v>
      </c>
      <c r="I9966" s="1" t="s">
        <v>125</v>
      </c>
      <c r="J9966" s="1" t="s">
        <v>67</v>
      </c>
      <c r="K9966" s="1" t="s">
        <v>14</v>
      </c>
      <c r="M9966" s="2">
        <v>41900</v>
      </c>
      <c r="N9966" s="1" t="s">
        <v>8</v>
      </c>
      <c r="O9966" s="1" t="s">
        <v>68</v>
      </c>
    </row>
    <row r="9967" spans="1:15" ht="43.2" x14ac:dyDescent="0.3">
      <c r="A9967" s="1" t="s">
        <v>12183</v>
      </c>
      <c r="B9967" s="1" t="str">
        <f>"Llanellitown.com"</f>
        <v>Llanellitown.com</v>
      </c>
      <c r="C9967" s="1" t="s">
        <v>12184</v>
      </c>
      <c r="F9967" s="1" t="s">
        <v>42</v>
      </c>
      <c r="H9967" s="1" t="s">
        <v>3420</v>
      </c>
      <c r="I9967" s="1" t="s">
        <v>1872</v>
      </c>
      <c r="J9967" s="1" t="s">
        <v>67</v>
      </c>
      <c r="K9967" s="1" t="s">
        <v>14</v>
      </c>
      <c r="M9967" s="2">
        <v>41900</v>
      </c>
      <c r="N9967" s="1" t="s">
        <v>8</v>
      </c>
      <c r="O9967" s="1" t="s">
        <v>68</v>
      </c>
    </row>
    <row r="9968" spans="1:15" ht="43.2" x14ac:dyDescent="0.3">
      <c r="A9968" s="1" t="s">
        <v>12175</v>
      </c>
      <c r="B9968" s="1" t="str">
        <f>"Pont Newydd Medical Centre"</f>
        <v>Pont Newydd Medical Centre</v>
      </c>
      <c r="C9968" s="1" t="s">
        <v>12176</v>
      </c>
      <c r="F9968" s="1" t="s">
        <v>22</v>
      </c>
      <c r="H9968" s="1" t="s">
        <v>12177</v>
      </c>
      <c r="I9968" s="1" t="s">
        <v>125</v>
      </c>
      <c r="J9968" s="1" t="s">
        <v>67</v>
      </c>
      <c r="K9968" s="1" t="s">
        <v>14</v>
      </c>
      <c r="M9968" s="2">
        <v>41899</v>
      </c>
      <c r="N9968" s="1" t="s">
        <v>8</v>
      </c>
      <c r="O9968" s="1" t="s">
        <v>68</v>
      </c>
    </row>
    <row r="9969" spans="1:15" ht="43.2" x14ac:dyDescent="0.3">
      <c r="A9969" s="1" t="s">
        <v>25090</v>
      </c>
      <c r="B9969" s="1" t="str">
        <f>"Steven Lockyer"</f>
        <v>Steven Lockyer</v>
      </c>
      <c r="C9969" s="1" t="s">
        <v>25091</v>
      </c>
      <c r="D9969" s="1" t="s">
        <v>25092</v>
      </c>
      <c r="F9969" s="1" t="s">
        <v>25093</v>
      </c>
      <c r="H9969" s="1" t="s">
        <v>25094</v>
      </c>
      <c r="I9969" s="1" t="s">
        <v>5</v>
      </c>
      <c r="J9969" s="1" t="s">
        <v>67</v>
      </c>
      <c r="K9969" s="1" t="s">
        <v>14</v>
      </c>
      <c r="M9969" s="2">
        <v>41899</v>
      </c>
      <c r="N9969" s="1" t="s">
        <v>8</v>
      </c>
      <c r="O9969" s="1" t="s">
        <v>68</v>
      </c>
    </row>
    <row r="9970" spans="1:15" ht="43.2" x14ac:dyDescent="0.3">
      <c r="A9970" s="1" t="s">
        <v>25095</v>
      </c>
      <c r="B9970" s="1" t="str">
        <f>"hywel phillips"</f>
        <v>hywel phillips</v>
      </c>
      <c r="C9970" s="1" t="s">
        <v>25096</v>
      </c>
      <c r="F9970" s="1" t="s">
        <v>25097</v>
      </c>
      <c r="H9970" s="1" t="s">
        <v>25098</v>
      </c>
      <c r="I9970" s="1" t="s">
        <v>5</v>
      </c>
      <c r="J9970" s="1" t="s">
        <v>67</v>
      </c>
      <c r="K9970" s="1" t="s">
        <v>14</v>
      </c>
      <c r="M9970" s="2">
        <v>41899</v>
      </c>
      <c r="N9970" s="1" t="s">
        <v>8</v>
      </c>
      <c r="O9970" s="1" t="s">
        <v>68</v>
      </c>
    </row>
    <row r="9971" spans="1:15" ht="43.2" x14ac:dyDescent="0.3">
      <c r="A9971" s="1" t="s">
        <v>25087</v>
      </c>
      <c r="B9971" s="1" t="str">
        <f>"Hugh Rowlands"</f>
        <v>Hugh Rowlands</v>
      </c>
      <c r="C9971" s="1" t="s">
        <v>25088</v>
      </c>
      <c r="F9971" s="1" t="s">
        <v>1818</v>
      </c>
      <c r="H9971" s="1" t="s">
        <v>25089</v>
      </c>
      <c r="I9971" s="1" t="s">
        <v>5</v>
      </c>
      <c r="J9971" s="1" t="s">
        <v>67</v>
      </c>
      <c r="K9971" s="1" t="s">
        <v>14</v>
      </c>
      <c r="M9971" s="2">
        <v>41898</v>
      </c>
      <c r="N9971" s="1" t="s">
        <v>8</v>
      </c>
      <c r="O9971" s="1" t="s">
        <v>68</v>
      </c>
    </row>
    <row r="9972" spans="1:15" ht="43.2" x14ac:dyDescent="0.3">
      <c r="A9972" s="1" t="s">
        <v>11176</v>
      </c>
      <c r="B9972" s="1" t="str">
        <f>"Smerdon Tree Services Ltd"</f>
        <v>Smerdon Tree Services Ltd</v>
      </c>
      <c r="C9972" s="1" t="s">
        <v>11177</v>
      </c>
      <c r="D9972" s="1" t="s">
        <v>5444</v>
      </c>
      <c r="F9972" s="1" t="s">
        <v>556</v>
      </c>
      <c r="H9972" s="1" t="s">
        <v>11178</v>
      </c>
      <c r="I9972" s="1" t="s">
        <v>19</v>
      </c>
      <c r="J9972" s="1" t="s">
        <v>67</v>
      </c>
      <c r="K9972" s="1" t="s">
        <v>14</v>
      </c>
      <c r="M9972" s="2">
        <v>41897</v>
      </c>
      <c r="N9972" s="1" t="s">
        <v>8</v>
      </c>
      <c r="O9972" s="1" t="s">
        <v>68</v>
      </c>
    </row>
    <row r="9973" spans="1:15" ht="43.2" x14ac:dyDescent="0.3">
      <c r="A9973" s="1" t="s">
        <v>11179</v>
      </c>
      <c r="B9973" s="1" t="str">
        <f>"Play Radnor"</f>
        <v>Play Radnor</v>
      </c>
      <c r="C9973" s="1" t="s">
        <v>11180</v>
      </c>
      <c r="F9973" s="1" t="s">
        <v>162</v>
      </c>
      <c r="H9973" s="1" t="s">
        <v>11181</v>
      </c>
      <c r="I9973" s="1" t="s">
        <v>1872</v>
      </c>
      <c r="J9973" s="1" t="s">
        <v>67</v>
      </c>
      <c r="K9973" s="1" t="s">
        <v>14</v>
      </c>
      <c r="M9973" s="2">
        <v>41897</v>
      </c>
      <c r="N9973" s="1" t="s">
        <v>8</v>
      </c>
      <c r="O9973" s="1" t="s">
        <v>68</v>
      </c>
    </row>
    <row r="9974" spans="1:15" ht="43.2" x14ac:dyDescent="0.3">
      <c r="A9974" s="1" t="s">
        <v>11182</v>
      </c>
      <c r="B9974" s="1" t="str">
        <f>"Crow Film Ltd "</f>
        <v xml:space="preserve">Crow Film Ltd </v>
      </c>
      <c r="C9974" s="1" t="s">
        <v>11183</v>
      </c>
      <c r="F9974" s="1" t="s">
        <v>123</v>
      </c>
      <c r="H9974" s="1" t="s">
        <v>11184</v>
      </c>
      <c r="I9974" s="1" t="s">
        <v>19</v>
      </c>
      <c r="J9974" s="1" t="s">
        <v>67</v>
      </c>
      <c r="K9974" s="1" t="s">
        <v>14</v>
      </c>
      <c r="M9974" s="2">
        <v>41897</v>
      </c>
      <c r="N9974" s="1" t="s">
        <v>8</v>
      </c>
      <c r="O9974" s="1" t="s">
        <v>68</v>
      </c>
    </row>
    <row r="9975" spans="1:15" ht="43.2" x14ac:dyDescent="0.3">
      <c r="A9975" s="1" t="s">
        <v>12170</v>
      </c>
      <c r="B9975" s="1" t="str">
        <f>"Crow Film Ltd "</f>
        <v xml:space="preserve">Crow Film Ltd </v>
      </c>
      <c r="C9975" s="1" t="s">
        <v>11183</v>
      </c>
      <c r="F9975" s="1" t="s">
        <v>123</v>
      </c>
      <c r="H9975" s="1" t="s">
        <v>11184</v>
      </c>
      <c r="I9975" s="1" t="s">
        <v>19</v>
      </c>
      <c r="J9975" s="1" t="s">
        <v>67</v>
      </c>
      <c r="K9975" s="1" t="s">
        <v>14</v>
      </c>
      <c r="M9975" s="2">
        <v>41897</v>
      </c>
      <c r="N9975" s="1" t="s">
        <v>8</v>
      </c>
      <c r="O9975" s="1" t="s">
        <v>68</v>
      </c>
    </row>
    <row r="9976" spans="1:15" ht="43.2" x14ac:dyDescent="0.3">
      <c r="A9976" s="1" t="s">
        <v>12171</v>
      </c>
      <c r="B9976" s="1" t="str">
        <f>"Topline Digital Satellite Limited"</f>
        <v>Topline Digital Satellite Limited</v>
      </c>
      <c r="C9976" s="1" t="s">
        <v>12172</v>
      </c>
      <c r="D9976" s="1" t="s">
        <v>12173</v>
      </c>
      <c r="F9976" s="1" t="s">
        <v>8076</v>
      </c>
      <c r="H9976" s="1" t="s">
        <v>12174</v>
      </c>
      <c r="I9976" s="1" t="s">
        <v>19</v>
      </c>
      <c r="J9976" s="1" t="s">
        <v>67</v>
      </c>
      <c r="K9976" s="1" t="s">
        <v>14</v>
      </c>
      <c r="M9976" s="2">
        <v>41897</v>
      </c>
      <c r="N9976" s="1" t="s">
        <v>8</v>
      </c>
      <c r="O9976" s="1" t="s">
        <v>68</v>
      </c>
    </row>
    <row r="9977" spans="1:15" ht="43.2" x14ac:dyDescent="0.3">
      <c r="A9977" s="1" t="s">
        <v>11173</v>
      </c>
      <c r="B9977" s="1" t="str">
        <f>"H A &amp; A Ll Humphreys &amp;son"</f>
        <v>H A &amp; A Ll Humphreys &amp;son</v>
      </c>
      <c r="C9977" s="1" t="s">
        <v>11174</v>
      </c>
      <c r="F9977" s="1" t="s">
        <v>2</v>
      </c>
      <c r="H9977" s="1" t="s">
        <v>11175</v>
      </c>
      <c r="I9977" s="1" t="s">
        <v>125</v>
      </c>
      <c r="J9977" s="1" t="s">
        <v>67</v>
      </c>
      <c r="K9977" s="1" t="s">
        <v>14</v>
      </c>
      <c r="M9977" s="2">
        <v>41896</v>
      </c>
      <c r="N9977" s="1" t="s">
        <v>8</v>
      </c>
      <c r="O9977" s="1" t="s">
        <v>68</v>
      </c>
    </row>
    <row r="9978" spans="1:15" ht="43.2" x14ac:dyDescent="0.3">
      <c r="A9978" s="1" t="s">
        <v>24253</v>
      </c>
      <c r="B9978" s="1" t="str">
        <f>"Kirsten Smith"</f>
        <v>Kirsten Smith</v>
      </c>
      <c r="C9978" s="1" t="s">
        <v>24254</v>
      </c>
      <c r="F9978" s="1" t="s">
        <v>42</v>
      </c>
      <c r="H9978" s="1" t="s">
        <v>24255</v>
      </c>
      <c r="I9978" s="1" t="s">
        <v>5</v>
      </c>
      <c r="J9978" s="1" t="s">
        <v>67</v>
      </c>
      <c r="K9978" s="1" t="s">
        <v>14</v>
      </c>
      <c r="M9978" s="2">
        <v>41895</v>
      </c>
      <c r="N9978" s="1" t="s">
        <v>8</v>
      </c>
      <c r="O9978" s="1" t="s">
        <v>68</v>
      </c>
    </row>
    <row r="9979" spans="1:15" ht="43.2" x14ac:dyDescent="0.3">
      <c r="A9979" s="1" t="s">
        <v>24256</v>
      </c>
      <c r="B9979" s="1" t="str">
        <f>"Kirsten Smith"</f>
        <v>Kirsten Smith</v>
      </c>
      <c r="C9979" s="1" t="s">
        <v>24254</v>
      </c>
      <c r="F9979" s="1" t="s">
        <v>42</v>
      </c>
      <c r="H9979" s="1" t="s">
        <v>24255</v>
      </c>
      <c r="I9979" s="1" t="s">
        <v>5</v>
      </c>
      <c r="J9979" s="1" t="s">
        <v>67</v>
      </c>
      <c r="K9979" s="1" t="s">
        <v>14</v>
      </c>
      <c r="M9979" s="2">
        <v>41895</v>
      </c>
      <c r="N9979" s="1" t="s">
        <v>8</v>
      </c>
      <c r="O9979" s="1" t="s">
        <v>68</v>
      </c>
    </row>
    <row r="9980" spans="1:15" ht="43.2" x14ac:dyDescent="0.3">
      <c r="A9980" s="1" t="s">
        <v>24257</v>
      </c>
      <c r="B9980" s="1" t="str">
        <f>"Kirsten Smith"</f>
        <v>Kirsten Smith</v>
      </c>
      <c r="C9980" s="1" t="s">
        <v>24254</v>
      </c>
      <c r="F9980" s="1" t="s">
        <v>42</v>
      </c>
      <c r="H9980" s="1" t="s">
        <v>24255</v>
      </c>
      <c r="I9980" s="1" t="s">
        <v>5</v>
      </c>
      <c r="J9980" s="1" t="s">
        <v>67</v>
      </c>
      <c r="K9980" s="1" t="s">
        <v>14</v>
      </c>
      <c r="M9980" s="2">
        <v>41895</v>
      </c>
      <c r="N9980" s="1" t="s">
        <v>8</v>
      </c>
      <c r="O9980" s="1" t="s">
        <v>68</v>
      </c>
    </row>
    <row r="9981" spans="1:15" ht="43.2" x14ac:dyDescent="0.3">
      <c r="A9981" s="1" t="s">
        <v>24258</v>
      </c>
      <c r="B9981" s="1" t="str">
        <f>"Kirsten Smith"</f>
        <v>Kirsten Smith</v>
      </c>
      <c r="C9981" s="1" t="s">
        <v>24254</v>
      </c>
      <c r="F9981" s="1" t="s">
        <v>42</v>
      </c>
      <c r="H9981" s="1" t="s">
        <v>24255</v>
      </c>
      <c r="I9981" s="1" t="s">
        <v>5</v>
      </c>
      <c r="J9981" s="1" t="s">
        <v>67</v>
      </c>
      <c r="K9981" s="1" t="s">
        <v>14</v>
      </c>
      <c r="M9981" s="2">
        <v>41895</v>
      </c>
      <c r="N9981" s="1" t="s">
        <v>8</v>
      </c>
      <c r="O9981" s="1" t="s">
        <v>68</v>
      </c>
    </row>
    <row r="9982" spans="1:15" ht="43.2" x14ac:dyDescent="0.3">
      <c r="A9982" s="1" t="s">
        <v>11167</v>
      </c>
      <c r="B9982" s="1" t="str">
        <f>"colebrid plant ltd"</f>
        <v>colebrid plant ltd</v>
      </c>
      <c r="C9982" s="1" t="s">
        <v>11168</v>
      </c>
      <c r="D9982" s="1" t="s">
        <v>4635</v>
      </c>
      <c r="F9982" s="1" t="s">
        <v>4635</v>
      </c>
      <c r="H9982" s="1" t="s">
        <v>11169</v>
      </c>
      <c r="I9982" s="1" t="s">
        <v>19</v>
      </c>
      <c r="J9982" s="1" t="s">
        <v>67</v>
      </c>
      <c r="K9982" s="1" t="s">
        <v>14</v>
      </c>
      <c r="M9982" s="2">
        <v>41894</v>
      </c>
      <c r="N9982" s="1" t="s">
        <v>8</v>
      </c>
      <c r="O9982" s="1" t="s">
        <v>68</v>
      </c>
    </row>
    <row r="9983" spans="1:15" ht="43.2" x14ac:dyDescent="0.3">
      <c r="A9983" s="1" t="s">
        <v>11170</v>
      </c>
      <c r="B9983" s="1" t="str">
        <f>"Keep Wales Tidy"</f>
        <v>Keep Wales Tidy</v>
      </c>
      <c r="C9983" s="1" t="s">
        <v>11171</v>
      </c>
      <c r="F9983" s="1" t="s">
        <v>123</v>
      </c>
      <c r="H9983" s="1" t="s">
        <v>11172</v>
      </c>
      <c r="I9983" s="1" t="s">
        <v>1872</v>
      </c>
      <c r="J9983" s="1" t="s">
        <v>67</v>
      </c>
      <c r="K9983" s="1" t="s">
        <v>14</v>
      </c>
      <c r="M9983" s="2">
        <v>41894</v>
      </c>
      <c r="N9983" s="1" t="s">
        <v>8</v>
      </c>
      <c r="O9983" s="1" t="s">
        <v>68</v>
      </c>
    </row>
    <row r="9984" spans="1:15" ht="43.2" x14ac:dyDescent="0.3">
      <c r="A9984" s="1" t="s">
        <v>24245</v>
      </c>
      <c r="B9984" s="1" t="str">
        <f>"David Williams"</f>
        <v>David Williams</v>
      </c>
      <c r="C9984" s="1" t="s">
        <v>24246</v>
      </c>
      <c r="D9984" s="1" t="s">
        <v>24247</v>
      </c>
      <c r="F9984" s="1" t="s">
        <v>179</v>
      </c>
      <c r="H9984" s="1" t="s">
        <v>24248</v>
      </c>
      <c r="I9984" s="1" t="s">
        <v>5</v>
      </c>
      <c r="J9984" s="1" t="s">
        <v>67</v>
      </c>
      <c r="K9984" s="1" t="s">
        <v>14</v>
      </c>
      <c r="M9984" s="2">
        <v>41893</v>
      </c>
      <c r="N9984" s="1" t="s">
        <v>8</v>
      </c>
      <c r="O9984" s="1" t="s">
        <v>68</v>
      </c>
    </row>
    <row r="9985" spans="1:15" ht="43.2" x14ac:dyDescent="0.3">
      <c r="A9985" s="1" t="s">
        <v>24249</v>
      </c>
      <c r="B9985" s="1" t="str">
        <f>"rob blunden"</f>
        <v>rob blunden</v>
      </c>
      <c r="C9985" s="1" t="s">
        <v>24250</v>
      </c>
      <c r="F9985" s="1" t="s">
        <v>24251</v>
      </c>
      <c r="H9985" s="1" t="s">
        <v>24252</v>
      </c>
      <c r="I9985" s="1" t="s">
        <v>5</v>
      </c>
      <c r="J9985" s="1" t="s">
        <v>67</v>
      </c>
      <c r="K9985" s="1" t="s">
        <v>14</v>
      </c>
      <c r="M9985" s="2">
        <v>41893</v>
      </c>
      <c r="N9985" s="1" t="s">
        <v>8</v>
      </c>
      <c r="O9985" s="1" t="s">
        <v>68</v>
      </c>
    </row>
    <row r="9986" spans="1:15" ht="43.2" x14ac:dyDescent="0.3">
      <c r="A9986" s="1" t="s">
        <v>24238</v>
      </c>
      <c r="B9986" s="1" t="str">
        <f>"Philip Rees"</f>
        <v>Philip Rees</v>
      </c>
      <c r="C9986" s="1" t="s">
        <v>24239</v>
      </c>
      <c r="D9986" s="1" t="s">
        <v>354</v>
      </c>
      <c r="F9986" s="1" t="s">
        <v>666</v>
      </c>
      <c r="H9986" s="1" t="s">
        <v>24240</v>
      </c>
      <c r="I9986" s="1" t="s">
        <v>5</v>
      </c>
      <c r="J9986" s="1" t="s">
        <v>67</v>
      </c>
      <c r="K9986" s="1" t="s">
        <v>14</v>
      </c>
      <c r="M9986" s="2">
        <v>41892</v>
      </c>
      <c r="N9986" s="1" t="s">
        <v>8</v>
      </c>
      <c r="O9986" s="1" t="s">
        <v>68</v>
      </c>
    </row>
    <row r="9987" spans="1:15" ht="43.2" x14ac:dyDescent="0.3">
      <c r="A9987" s="1" t="s">
        <v>24241</v>
      </c>
      <c r="B9987" s="1" t="str">
        <f>"Philip Rees"</f>
        <v>Philip Rees</v>
      </c>
      <c r="C9987" s="1" t="s">
        <v>24239</v>
      </c>
      <c r="D9987" s="1" t="s">
        <v>354</v>
      </c>
      <c r="F9987" s="1" t="s">
        <v>666</v>
      </c>
      <c r="H9987" s="1" t="s">
        <v>24240</v>
      </c>
      <c r="I9987" s="1" t="s">
        <v>5</v>
      </c>
      <c r="J9987" s="1" t="s">
        <v>67</v>
      </c>
      <c r="K9987" s="1" t="s">
        <v>14</v>
      </c>
      <c r="M9987" s="2">
        <v>41892</v>
      </c>
      <c r="N9987" s="1" t="s">
        <v>8</v>
      </c>
      <c r="O9987" s="1" t="s">
        <v>68</v>
      </c>
    </row>
    <row r="9988" spans="1:15" ht="43.2" x14ac:dyDescent="0.3">
      <c r="A9988" s="1" t="s">
        <v>24242</v>
      </c>
      <c r="B9988" s="1" t="str">
        <f>"Jon Howes"</f>
        <v>Jon Howes</v>
      </c>
      <c r="C9988" s="1" t="s">
        <v>24243</v>
      </c>
      <c r="D9988" s="1" t="s">
        <v>24244</v>
      </c>
      <c r="F9988" s="1" t="s">
        <v>123</v>
      </c>
      <c r="H9988" s="1" t="s">
        <v>3566</v>
      </c>
      <c r="I9988" s="1" t="s">
        <v>5</v>
      </c>
      <c r="J9988" s="1" t="s">
        <v>67</v>
      </c>
      <c r="K9988" s="1" t="s">
        <v>14</v>
      </c>
      <c r="M9988" s="2">
        <v>41892</v>
      </c>
      <c r="N9988" s="1" t="s">
        <v>8</v>
      </c>
      <c r="O9988" s="1" t="s">
        <v>68</v>
      </c>
    </row>
    <row r="9989" spans="1:15" ht="43.2" x14ac:dyDescent="0.3">
      <c r="A9989" s="1" t="s">
        <v>10139</v>
      </c>
      <c r="B9989" s="1" t="str">
        <f>"leon morgan"</f>
        <v>leon morgan</v>
      </c>
      <c r="C9989" s="1" t="s">
        <v>10140</v>
      </c>
      <c r="D9989" s="1" t="s">
        <v>10141</v>
      </c>
      <c r="F9989" s="1" t="s">
        <v>1525</v>
      </c>
      <c r="H9989" s="1" t="s">
        <v>10142</v>
      </c>
      <c r="I9989" s="1" t="s">
        <v>188</v>
      </c>
      <c r="J9989" s="1" t="s">
        <v>67</v>
      </c>
      <c r="K9989" s="1" t="s">
        <v>14</v>
      </c>
      <c r="M9989" s="2">
        <v>41886</v>
      </c>
      <c r="N9989" s="1" t="s">
        <v>8</v>
      </c>
      <c r="O9989" s="1" t="s">
        <v>68</v>
      </c>
    </row>
    <row r="9990" spans="1:15" ht="43.2" x14ac:dyDescent="0.3">
      <c r="A9990" s="1" t="s">
        <v>23364</v>
      </c>
      <c r="B9990" s="1" t="str">
        <f>"DAVID WINN"</f>
        <v>DAVID WINN</v>
      </c>
      <c r="C9990" s="1" t="s">
        <v>23365</v>
      </c>
      <c r="F9990" s="1" t="s">
        <v>23366</v>
      </c>
      <c r="H9990" s="1" t="s">
        <v>23367</v>
      </c>
      <c r="I9990" s="1" t="s">
        <v>5</v>
      </c>
      <c r="J9990" s="1" t="s">
        <v>67</v>
      </c>
      <c r="K9990" s="1" t="s">
        <v>14</v>
      </c>
      <c r="M9990" s="2">
        <v>41886</v>
      </c>
      <c r="N9990" s="1" t="s">
        <v>8</v>
      </c>
      <c r="O9990" s="1" t="s">
        <v>68</v>
      </c>
    </row>
    <row r="9991" spans="1:15" ht="43.2" x14ac:dyDescent="0.3">
      <c r="A9991" s="1" t="s">
        <v>23368</v>
      </c>
      <c r="B9991" s="1" t="str">
        <f>"DJ Bryan Davies"</f>
        <v>DJ Bryan Davies</v>
      </c>
      <c r="C9991" s="1" t="s">
        <v>23369</v>
      </c>
      <c r="F9991" s="1" t="s">
        <v>23370</v>
      </c>
      <c r="H9991" s="1" t="s">
        <v>23371</v>
      </c>
      <c r="I9991" s="1" t="s">
        <v>5</v>
      </c>
      <c r="J9991" s="1" t="s">
        <v>67</v>
      </c>
      <c r="K9991" s="1" t="s">
        <v>14</v>
      </c>
      <c r="M9991" s="2">
        <v>41886</v>
      </c>
      <c r="N9991" s="1" t="s">
        <v>8</v>
      </c>
      <c r="O9991" s="1" t="s">
        <v>68</v>
      </c>
    </row>
    <row r="9992" spans="1:15" ht="43.2" x14ac:dyDescent="0.3">
      <c r="A9992" s="1" t="s">
        <v>23372</v>
      </c>
      <c r="B9992" s="1" t="str">
        <f>"Joe Tango"</f>
        <v>Joe Tango</v>
      </c>
      <c r="C9992" s="1" t="s">
        <v>23373</v>
      </c>
      <c r="D9992" s="1" t="s">
        <v>72</v>
      </c>
      <c r="F9992" s="1" t="s">
        <v>23374</v>
      </c>
      <c r="H9992" s="1" t="s">
        <v>23375</v>
      </c>
      <c r="I9992" s="1" t="s">
        <v>5</v>
      </c>
      <c r="J9992" s="1" t="s">
        <v>67</v>
      </c>
      <c r="K9992" s="1" t="s">
        <v>14</v>
      </c>
      <c r="M9992" s="2">
        <v>41886</v>
      </c>
      <c r="N9992" s="1" t="s">
        <v>8</v>
      </c>
      <c r="O9992" s="1" t="s">
        <v>68</v>
      </c>
    </row>
    <row r="9993" spans="1:15" ht="43.2" x14ac:dyDescent="0.3">
      <c r="A9993" s="1" t="s">
        <v>10128</v>
      </c>
      <c r="B9993" s="1" t="str">
        <f>"grahamjoneshaulageltd"</f>
        <v>grahamjoneshaulageltd</v>
      </c>
      <c r="C9993" s="1" t="s">
        <v>10129</v>
      </c>
      <c r="D9993" s="1" t="s">
        <v>4390</v>
      </c>
      <c r="F9993" s="1" t="s">
        <v>3925</v>
      </c>
      <c r="H9993" s="1" t="s">
        <v>10130</v>
      </c>
      <c r="I9993" s="1" t="s">
        <v>19</v>
      </c>
      <c r="J9993" s="1" t="s">
        <v>67</v>
      </c>
      <c r="K9993" s="1" t="s">
        <v>14</v>
      </c>
      <c r="M9993" s="2">
        <v>41885</v>
      </c>
      <c r="N9993" s="1" t="s">
        <v>8</v>
      </c>
      <c r="O9993" s="1" t="s">
        <v>68</v>
      </c>
    </row>
    <row r="9994" spans="1:15" ht="43.2" x14ac:dyDescent="0.3">
      <c r="A9994" s="1" t="s">
        <v>10131</v>
      </c>
      <c r="B9994" s="1" t="str">
        <f>"Fairfax Plant Hire LTD"</f>
        <v>Fairfax Plant Hire LTD</v>
      </c>
      <c r="C9994" s="1" t="s">
        <v>10132</v>
      </c>
      <c r="D9994" s="1" t="s">
        <v>10133</v>
      </c>
      <c r="F9994" s="1" t="s">
        <v>10134</v>
      </c>
      <c r="H9994" s="1" t="s">
        <v>10135</v>
      </c>
      <c r="I9994" s="1" t="s">
        <v>19</v>
      </c>
      <c r="J9994" s="1" t="s">
        <v>67</v>
      </c>
      <c r="K9994" s="1" t="s">
        <v>14</v>
      </c>
      <c r="M9994" s="2">
        <v>41885</v>
      </c>
      <c r="N9994" s="1" t="s">
        <v>8</v>
      </c>
      <c r="O9994" s="1" t="s">
        <v>68</v>
      </c>
    </row>
    <row r="9995" spans="1:15" ht="43.2" x14ac:dyDescent="0.3">
      <c r="A9995" s="1" t="s">
        <v>10136</v>
      </c>
      <c r="B9995" s="1" t="str">
        <f>"Jones Holden Ltd"</f>
        <v>Jones Holden Ltd</v>
      </c>
      <c r="C9995" s="1" t="s">
        <v>10137</v>
      </c>
      <c r="F9995" s="1" t="s">
        <v>3655</v>
      </c>
      <c r="H9995" s="1" t="s">
        <v>3656</v>
      </c>
      <c r="I9995" s="1" t="s">
        <v>19</v>
      </c>
      <c r="J9995" s="1" t="s">
        <v>67</v>
      </c>
      <c r="K9995" s="1" t="s">
        <v>14</v>
      </c>
      <c r="M9995" s="2">
        <v>41885</v>
      </c>
      <c r="N9995" s="1" t="s">
        <v>8</v>
      </c>
      <c r="O9995" s="1" t="s">
        <v>68</v>
      </c>
    </row>
    <row r="9996" spans="1:15" ht="43.2" x14ac:dyDescent="0.3">
      <c r="A9996" s="1" t="s">
        <v>10138</v>
      </c>
      <c r="B9996" s="1" t="str">
        <f>"Jones Holden Ltd"</f>
        <v>Jones Holden Ltd</v>
      </c>
      <c r="C9996" s="1" t="s">
        <v>10137</v>
      </c>
      <c r="F9996" s="1" t="s">
        <v>3655</v>
      </c>
      <c r="H9996" s="1" t="s">
        <v>3656</v>
      </c>
      <c r="I9996" s="1" t="s">
        <v>19</v>
      </c>
      <c r="J9996" s="1" t="s">
        <v>67</v>
      </c>
      <c r="K9996" s="1" t="s">
        <v>14</v>
      </c>
      <c r="M9996" s="2">
        <v>41885</v>
      </c>
      <c r="N9996" s="1" t="s">
        <v>8</v>
      </c>
      <c r="O9996" s="1" t="s">
        <v>68</v>
      </c>
    </row>
    <row r="9997" spans="1:15" ht="43.2" x14ac:dyDescent="0.3">
      <c r="A9997" s="1" t="s">
        <v>23351</v>
      </c>
      <c r="B9997" s="1" t="str">
        <f>"Kevin Devoy"</f>
        <v>Kevin Devoy</v>
      </c>
      <c r="C9997" s="1" t="s">
        <v>23352</v>
      </c>
      <c r="D9997" s="1" t="s">
        <v>3868</v>
      </c>
      <c r="F9997" s="1" t="s">
        <v>64</v>
      </c>
      <c r="H9997" s="1" t="s">
        <v>23353</v>
      </c>
      <c r="I9997" s="1" t="s">
        <v>5</v>
      </c>
      <c r="J9997" s="1" t="s">
        <v>67</v>
      </c>
      <c r="K9997" s="1" t="s">
        <v>14</v>
      </c>
      <c r="M9997" s="2">
        <v>41885</v>
      </c>
      <c r="N9997" s="1" t="s">
        <v>8</v>
      </c>
      <c r="O9997" s="1" t="s">
        <v>68</v>
      </c>
    </row>
    <row r="9998" spans="1:15" ht="43.2" x14ac:dyDescent="0.3">
      <c r="A9998" s="1" t="s">
        <v>23354</v>
      </c>
      <c r="B9998" s="1" t="str">
        <f>"Kevin Devoy"</f>
        <v>Kevin Devoy</v>
      </c>
      <c r="C9998" s="1" t="s">
        <v>23352</v>
      </c>
      <c r="D9998" s="1" t="s">
        <v>3868</v>
      </c>
      <c r="F9998" s="1" t="s">
        <v>64</v>
      </c>
      <c r="H9998" s="1" t="s">
        <v>23353</v>
      </c>
      <c r="I9998" s="1" t="s">
        <v>5</v>
      </c>
      <c r="J9998" s="1" t="s">
        <v>67</v>
      </c>
      <c r="K9998" s="1" t="s">
        <v>14</v>
      </c>
      <c r="M9998" s="2">
        <v>41885</v>
      </c>
      <c r="N9998" s="1" t="s">
        <v>8</v>
      </c>
      <c r="O9998" s="1" t="s">
        <v>68</v>
      </c>
    </row>
    <row r="9999" spans="1:15" ht="43.2" x14ac:dyDescent="0.3">
      <c r="A9999" s="1" t="s">
        <v>23355</v>
      </c>
      <c r="B9999" s="1" t="str">
        <f>"Kevin Devoy"</f>
        <v>Kevin Devoy</v>
      </c>
      <c r="C9999" s="1" t="s">
        <v>23352</v>
      </c>
      <c r="D9999" s="1" t="s">
        <v>3868</v>
      </c>
      <c r="F9999" s="1" t="s">
        <v>64</v>
      </c>
      <c r="H9999" s="1" t="s">
        <v>23353</v>
      </c>
      <c r="I9999" s="1" t="s">
        <v>5</v>
      </c>
      <c r="J9999" s="1" t="s">
        <v>67</v>
      </c>
      <c r="K9999" s="1" t="s">
        <v>14</v>
      </c>
      <c r="M9999" s="2">
        <v>41885</v>
      </c>
      <c r="N9999" s="1" t="s">
        <v>8</v>
      </c>
      <c r="O9999" s="1" t="s">
        <v>68</v>
      </c>
    </row>
    <row r="10000" spans="1:15" ht="43.2" x14ac:dyDescent="0.3">
      <c r="A10000" s="1" t="s">
        <v>23356</v>
      </c>
      <c r="B10000" s="1" t="str">
        <f>"Kevin Devoy"</f>
        <v>Kevin Devoy</v>
      </c>
      <c r="C10000" s="1" t="s">
        <v>23352</v>
      </c>
      <c r="D10000" s="1" t="s">
        <v>3868</v>
      </c>
      <c r="F10000" s="1" t="s">
        <v>64</v>
      </c>
      <c r="H10000" s="1" t="s">
        <v>23353</v>
      </c>
      <c r="I10000" s="1" t="s">
        <v>5</v>
      </c>
      <c r="J10000" s="1" t="s">
        <v>67</v>
      </c>
      <c r="K10000" s="1" t="s">
        <v>14</v>
      </c>
      <c r="M10000" s="2">
        <v>41885</v>
      </c>
      <c r="N10000" s="1" t="s">
        <v>8</v>
      </c>
      <c r="O10000" s="1" t="s">
        <v>68</v>
      </c>
    </row>
    <row r="10001" spans="1:15" ht="43.2" x14ac:dyDescent="0.3">
      <c r="A10001" s="1" t="s">
        <v>23357</v>
      </c>
      <c r="B10001" s="1" t="str">
        <f>"Pravinbhai Desai"</f>
        <v>Pravinbhai Desai</v>
      </c>
      <c r="C10001" s="1" t="s">
        <v>23358</v>
      </c>
      <c r="F10001" s="1" t="s">
        <v>123</v>
      </c>
      <c r="H10001" s="1" t="s">
        <v>23359</v>
      </c>
      <c r="I10001" s="1" t="s">
        <v>5</v>
      </c>
      <c r="J10001" s="1" t="s">
        <v>67</v>
      </c>
      <c r="K10001" s="1" t="s">
        <v>14</v>
      </c>
      <c r="M10001" s="2">
        <v>41885</v>
      </c>
      <c r="N10001" s="1" t="s">
        <v>8</v>
      </c>
      <c r="O10001" s="1" t="s">
        <v>68</v>
      </c>
    </row>
    <row r="10002" spans="1:15" ht="43.2" x14ac:dyDescent="0.3">
      <c r="A10002" s="1" t="s">
        <v>23360</v>
      </c>
      <c r="B10002" s="1" t="str">
        <f>"Wayne Marsh"</f>
        <v>Wayne Marsh</v>
      </c>
      <c r="C10002" s="1" t="s">
        <v>23361</v>
      </c>
      <c r="F10002" s="1" t="s">
        <v>23362</v>
      </c>
      <c r="H10002" s="1" t="s">
        <v>23363</v>
      </c>
      <c r="I10002" s="1" t="s">
        <v>5</v>
      </c>
      <c r="J10002" s="1" t="s">
        <v>67</v>
      </c>
      <c r="K10002" s="1" t="s">
        <v>14</v>
      </c>
      <c r="M10002" s="2">
        <v>41885</v>
      </c>
      <c r="N10002" s="1" t="s">
        <v>8</v>
      </c>
      <c r="O10002" s="1" t="s">
        <v>68</v>
      </c>
    </row>
    <row r="10003" spans="1:15" ht="43.2" x14ac:dyDescent="0.3">
      <c r="A10003" s="1" t="s">
        <v>8979</v>
      </c>
      <c r="B10003" s="1" t="str">
        <f>"Valley of the Wye BP Scout Group"</f>
        <v>Valley of the Wye BP Scout Group</v>
      </c>
      <c r="C10003" s="1" t="s">
        <v>8980</v>
      </c>
      <c r="D10003" s="1" t="s">
        <v>8981</v>
      </c>
      <c r="F10003" s="1" t="s">
        <v>162</v>
      </c>
      <c r="H10003" s="1" t="s">
        <v>8982</v>
      </c>
      <c r="I10003" s="1" t="s">
        <v>1872</v>
      </c>
      <c r="J10003" s="1" t="s">
        <v>67</v>
      </c>
      <c r="K10003" s="1" t="s">
        <v>14</v>
      </c>
      <c r="M10003" s="2">
        <v>41884</v>
      </c>
      <c r="N10003" s="1" t="s">
        <v>8</v>
      </c>
      <c r="O10003" s="1" t="s">
        <v>68</v>
      </c>
    </row>
    <row r="10004" spans="1:15" ht="43.2" x14ac:dyDescent="0.3">
      <c r="A10004" s="1" t="s">
        <v>8983</v>
      </c>
      <c r="B10004" s="1" t="str">
        <f>"Anderson Apparel Ltd"</f>
        <v>Anderson Apparel Ltd</v>
      </c>
      <c r="C10004" s="1" t="s">
        <v>8984</v>
      </c>
      <c r="F10004" s="1" t="s">
        <v>7686</v>
      </c>
      <c r="H10004" s="1" t="s">
        <v>5467</v>
      </c>
      <c r="I10004" s="1" t="s">
        <v>1872</v>
      </c>
      <c r="J10004" s="1" t="s">
        <v>67</v>
      </c>
      <c r="K10004" s="1" t="s">
        <v>14</v>
      </c>
      <c r="M10004" s="2">
        <v>41884</v>
      </c>
      <c r="N10004" s="1" t="s">
        <v>8</v>
      </c>
      <c r="O10004" s="1" t="s">
        <v>68</v>
      </c>
    </row>
    <row r="10005" spans="1:15" ht="43.2" x14ac:dyDescent="0.3">
      <c r="A10005" s="1" t="s">
        <v>8985</v>
      </c>
      <c r="B10005" s="1" t="str">
        <f>"Cartref Contracting Limited"</f>
        <v>Cartref Contracting Limited</v>
      </c>
      <c r="C10005" s="1" t="s">
        <v>8986</v>
      </c>
      <c r="F10005" s="1" t="s">
        <v>7543</v>
      </c>
      <c r="H10005" s="1" t="s">
        <v>8987</v>
      </c>
      <c r="I10005" s="1" t="s">
        <v>19</v>
      </c>
      <c r="J10005" s="1" t="s">
        <v>67</v>
      </c>
      <c r="K10005" s="1" t="s">
        <v>14</v>
      </c>
      <c r="M10005" s="2">
        <v>41884</v>
      </c>
      <c r="N10005" s="1" t="s">
        <v>8</v>
      </c>
      <c r="O10005" s="1" t="s">
        <v>68</v>
      </c>
    </row>
    <row r="10006" spans="1:15" ht="43.2" x14ac:dyDescent="0.3">
      <c r="A10006" s="1" t="s">
        <v>8988</v>
      </c>
      <c r="B10006" s="1" t="str">
        <f>"Plant i Limited"</f>
        <v>Plant i Limited</v>
      </c>
      <c r="C10006" s="1" t="s">
        <v>4374</v>
      </c>
      <c r="F10006" s="1" t="s">
        <v>1818</v>
      </c>
      <c r="H10006" s="1" t="s">
        <v>4375</v>
      </c>
      <c r="I10006" s="1" t="s">
        <v>19</v>
      </c>
      <c r="J10006" s="1" t="s">
        <v>67</v>
      </c>
      <c r="K10006" s="1" t="s">
        <v>14</v>
      </c>
      <c r="M10006" s="2">
        <v>41884</v>
      </c>
      <c r="N10006" s="1" t="s">
        <v>8</v>
      </c>
      <c r="O10006" s="1" t="s">
        <v>68</v>
      </c>
    </row>
    <row r="10007" spans="1:15" ht="43.2" x14ac:dyDescent="0.3">
      <c r="A10007" s="1" t="s">
        <v>8989</v>
      </c>
      <c r="B10007" s="1" t="str">
        <f>"Thomas mills co ltd"</f>
        <v>Thomas mills co ltd</v>
      </c>
      <c r="C10007" s="1" t="s">
        <v>8990</v>
      </c>
      <c r="F10007" s="1" t="s">
        <v>179</v>
      </c>
      <c r="H10007" s="1" t="s">
        <v>8991</v>
      </c>
      <c r="I10007" s="1" t="s">
        <v>19</v>
      </c>
      <c r="J10007" s="1" t="s">
        <v>67</v>
      </c>
      <c r="K10007" s="1" t="s">
        <v>14</v>
      </c>
      <c r="M10007" s="2">
        <v>41884</v>
      </c>
      <c r="N10007" s="1" t="s">
        <v>8</v>
      </c>
      <c r="O10007" s="1" t="s">
        <v>68</v>
      </c>
    </row>
    <row r="10008" spans="1:15" ht="43.2" x14ac:dyDescent="0.3">
      <c r="A10008" s="1" t="s">
        <v>8992</v>
      </c>
      <c r="B10008" s="1" t="str">
        <f>"bishops meadow restaurant"</f>
        <v>bishops meadow restaurant</v>
      </c>
      <c r="C10008" s="1" t="s">
        <v>8993</v>
      </c>
      <c r="D10008" s="1" t="s">
        <v>4462</v>
      </c>
      <c r="F10008" s="1" t="s">
        <v>8994</v>
      </c>
      <c r="H10008" s="1" t="s">
        <v>8995</v>
      </c>
      <c r="I10008" s="1" t="s">
        <v>19</v>
      </c>
      <c r="J10008" s="1" t="s">
        <v>67</v>
      </c>
      <c r="K10008" s="1" t="s">
        <v>14</v>
      </c>
      <c r="M10008" s="2">
        <v>41884</v>
      </c>
      <c r="N10008" s="1" t="s">
        <v>8</v>
      </c>
      <c r="O10008" s="1" t="s">
        <v>68</v>
      </c>
    </row>
    <row r="10009" spans="1:15" ht="43.2" x14ac:dyDescent="0.3">
      <c r="A10009" s="1" t="s">
        <v>8996</v>
      </c>
      <c r="B10009" s="1" t="str">
        <f>"bishops meadow restaurant"</f>
        <v>bishops meadow restaurant</v>
      </c>
      <c r="C10009" s="1" t="s">
        <v>8993</v>
      </c>
      <c r="D10009" s="1" t="s">
        <v>4462</v>
      </c>
      <c r="F10009" s="1" t="s">
        <v>8994</v>
      </c>
      <c r="H10009" s="1" t="s">
        <v>8995</v>
      </c>
      <c r="I10009" s="1" t="s">
        <v>19</v>
      </c>
      <c r="J10009" s="1" t="s">
        <v>67</v>
      </c>
      <c r="K10009" s="1" t="s">
        <v>14</v>
      </c>
      <c r="M10009" s="2">
        <v>41884</v>
      </c>
      <c r="N10009" s="1" t="s">
        <v>8</v>
      </c>
      <c r="O10009" s="1" t="s">
        <v>68</v>
      </c>
    </row>
    <row r="10010" spans="1:15" ht="43.2" x14ac:dyDescent="0.3">
      <c r="A10010" s="1" t="s">
        <v>8997</v>
      </c>
      <c r="B10010" s="1" t="str">
        <f>"bishops meadow restaurant"</f>
        <v>bishops meadow restaurant</v>
      </c>
      <c r="C10010" s="1" t="s">
        <v>8993</v>
      </c>
      <c r="D10010" s="1" t="s">
        <v>4462</v>
      </c>
      <c r="F10010" s="1" t="s">
        <v>8994</v>
      </c>
      <c r="H10010" s="1" t="s">
        <v>8995</v>
      </c>
      <c r="I10010" s="1" t="s">
        <v>19</v>
      </c>
      <c r="J10010" s="1" t="s">
        <v>67</v>
      </c>
      <c r="K10010" s="1" t="s">
        <v>14</v>
      </c>
      <c r="M10010" s="2">
        <v>41884</v>
      </c>
      <c r="N10010" s="1" t="s">
        <v>8</v>
      </c>
      <c r="O10010" s="1" t="s">
        <v>68</v>
      </c>
    </row>
    <row r="10011" spans="1:15" ht="43.2" x14ac:dyDescent="0.3">
      <c r="A10011" s="1" t="s">
        <v>8998</v>
      </c>
      <c r="B10011" s="1" t="str">
        <f>"bishops meadow restaurant"</f>
        <v>bishops meadow restaurant</v>
      </c>
      <c r="C10011" s="1" t="s">
        <v>8993</v>
      </c>
      <c r="D10011" s="1" t="s">
        <v>4462</v>
      </c>
      <c r="F10011" s="1" t="s">
        <v>8994</v>
      </c>
      <c r="H10011" s="1" t="s">
        <v>8995</v>
      </c>
      <c r="I10011" s="1" t="s">
        <v>19</v>
      </c>
      <c r="J10011" s="1" t="s">
        <v>67</v>
      </c>
      <c r="K10011" s="1" t="s">
        <v>14</v>
      </c>
      <c r="M10011" s="2">
        <v>41884</v>
      </c>
      <c r="N10011" s="1" t="s">
        <v>8</v>
      </c>
      <c r="O10011" s="1" t="s">
        <v>68</v>
      </c>
    </row>
    <row r="10012" spans="1:15" ht="43.2" x14ac:dyDescent="0.3">
      <c r="A10012" s="1" t="s">
        <v>8999</v>
      </c>
      <c r="B10012" s="1" t="str">
        <f>"wembley services"</f>
        <v>wembley services</v>
      </c>
      <c r="C10012" s="1" t="s">
        <v>9000</v>
      </c>
      <c r="D10012" s="1" t="s">
        <v>9001</v>
      </c>
      <c r="F10012" s="1" t="s">
        <v>9002</v>
      </c>
      <c r="H10012" s="1" t="s">
        <v>9003</v>
      </c>
      <c r="I10012" s="1" t="s">
        <v>19</v>
      </c>
      <c r="J10012" s="1" t="s">
        <v>67</v>
      </c>
      <c r="K10012" s="1" t="s">
        <v>14</v>
      </c>
      <c r="M10012" s="2">
        <v>41884</v>
      </c>
      <c r="N10012" s="1" t="s">
        <v>8</v>
      </c>
      <c r="O10012" s="1" t="s">
        <v>68</v>
      </c>
    </row>
    <row r="10013" spans="1:15" ht="43.2" x14ac:dyDescent="0.3">
      <c r="A10013" s="1" t="s">
        <v>9004</v>
      </c>
      <c r="B10013" s="1" t="str">
        <f>"Middle Shop Ltd"</f>
        <v>Middle Shop Ltd</v>
      </c>
      <c r="C10013" s="1" t="s">
        <v>9005</v>
      </c>
      <c r="D10013" s="1" t="s">
        <v>9006</v>
      </c>
      <c r="F10013" s="1" t="s">
        <v>532</v>
      </c>
      <c r="H10013" s="1" t="s">
        <v>9007</v>
      </c>
      <c r="I10013" s="1" t="s">
        <v>19</v>
      </c>
      <c r="J10013" s="1" t="s">
        <v>67</v>
      </c>
      <c r="K10013" s="1" t="s">
        <v>14</v>
      </c>
      <c r="M10013" s="2">
        <v>41884</v>
      </c>
      <c r="N10013" s="1" t="s">
        <v>8</v>
      </c>
      <c r="O10013" s="1" t="s">
        <v>68</v>
      </c>
    </row>
    <row r="10014" spans="1:15" ht="43.2" x14ac:dyDescent="0.3">
      <c r="A10014" s="1" t="s">
        <v>23348</v>
      </c>
      <c r="B10014" s="1" t="str">
        <f>"David Williams"</f>
        <v>David Williams</v>
      </c>
      <c r="C10014" s="1" t="s">
        <v>23349</v>
      </c>
      <c r="F10014" s="1" t="s">
        <v>2459</v>
      </c>
      <c r="H10014" s="1" t="s">
        <v>23350</v>
      </c>
      <c r="I10014" s="1" t="s">
        <v>5</v>
      </c>
      <c r="J10014" s="1" t="s">
        <v>67</v>
      </c>
      <c r="K10014" s="1" t="s">
        <v>14</v>
      </c>
      <c r="M10014" s="2">
        <v>41884</v>
      </c>
      <c r="N10014" s="1" t="s">
        <v>8</v>
      </c>
      <c r="O10014" s="1" t="s">
        <v>68</v>
      </c>
    </row>
    <row r="10015" spans="1:15" ht="43.2" x14ac:dyDescent="0.3">
      <c r="A10015" s="1" t="s">
        <v>22635</v>
      </c>
      <c r="B10015" s="1" t="str">
        <f>"John Rolls"</f>
        <v>John Rolls</v>
      </c>
      <c r="C10015" s="1" t="s">
        <v>22636</v>
      </c>
      <c r="D10015" s="1" t="s">
        <v>3068</v>
      </c>
      <c r="F10015" s="1" t="s">
        <v>3691</v>
      </c>
      <c r="H10015" s="1" t="s">
        <v>22637</v>
      </c>
      <c r="I10015" s="1" t="s">
        <v>5</v>
      </c>
      <c r="J10015" s="1" t="s">
        <v>67</v>
      </c>
      <c r="K10015" s="1" t="s">
        <v>14</v>
      </c>
      <c r="M10015" s="2">
        <v>41883</v>
      </c>
      <c r="N10015" s="1" t="s">
        <v>8</v>
      </c>
      <c r="O10015" s="1" t="s">
        <v>68</v>
      </c>
    </row>
    <row r="10016" spans="1:15" ht="43.2" x14ac:dyDescent="0.3">
      <c r="A10016" s="1" t="s">
        <v>22638</v>
      </c>
      <c r="B10016" s="1" t="str">
        <f>"Pete Dunbar"</f>
        <v>Pete Dunbar</v>
      </c>
      <c r="C10016" s="1" t="s">
        <v>22639</v>
      </c>
      <c r="D10016" s="1" t="s">
        <v>22640</v>
      </c>
      <c r="F10016" s="1" t="s">
        <v>64</v>
      </c>
      <c r="H10016" s="1" t="s">
        <v>22641</v>
      </c>
      <c r="I10016" s="1" t="s">
        <v>5</v>
      </c>
      <c r="J10016" s="1" t="s">
        <v>67</v>
      </c>
      <c r="K10016" s="1" t="s">
        <v>14</v>
      </c>
      <c r="M10016" s="2">
        <v>41883</v>
      </c>
      <c r="N10016" s="1" t="s">
        <v>8</v>
      </c>
      <c r="O10016" s="1" t="s">
        <v>68</v>
      </c>
    </row>
    <row r="10017" spans="1:15" ht="43.2" x14ac:dyDescent="0.3">
      <c r="A10017" s="1" t="s">
        <v>22642</v>
      </c>
      <c r="B10017" s="1" t="str">
        <f>"Pete Dunbar"</f>
        <v>Pete Dunbar</v>
      </c>
      <c r="C10017" s="1" t="s">
        <v>22639</v>
      </c>
      <c r="D10017" s="1" t="s">
        <v>22640</v>
      </c>
      <c r="F10017" s="1" t="s">
        <v>64</v>
      </c>
      <c r="H10017" s="1" t="s">
        <v>22641</v>
      </c>
      <c r="I10017" s="1" t="s">
        <v>5</v>
      </c>
      <c r="J10017" s="1" t="s">
        <v>67</v>
      </c>
      <c r="K10017" s="1" t="s">
        <v>14</v>
      </c>
      <c r="M10017" s="2">
        <v>41883</v>
      </c>
      <c r="N10017" s="1" t="s">
        <v>8</v>
      </c>
      <c r="O10017" s="1" t="s">
        <v>68</v>
      </c>
    </row>
    <row r="10018" spans="1:15" ht="43.2" x14ac:dyDescent="0.3">
      <c r="A10018" s="1" t="s">
        <v>7821</v>
      </c>
      <c r="B10018" s="1" t="str">
        <f>"Domestic Appliance Repairs"</f>
        <v>Domestic Appliance Repairs</v>
      </c>
      <c r="C10018" s="1" t="s">
        <v>7822</v>
      </c>
      <c r="D10018" s="1" t="s">
        <v>7823</v>
      </c>
      <c r="F10018" s="1" t="s">
        <v>7823</v>
      </c>
      <c r="H10018" s="1" t="s">
        <v>6223</v>
      </c>
      <c r="I10018" s="1" t="s">
        <v>125</v>
      </c>
      <c r="J10018" s="1" t="s">
        <v>67</v>
      </c>
      <c r="K10018" s="1" t="s">
        <v>14</v>
      </c>
      <c r="M10018" s="2">
        <v>41881</v>
      </c>
      <c r="N10018" s="1" t="s">
        <v>8</v>
      </c>
      <c r="O10018" s="1" t="s">
        <v>68</v>
      </c>
    </row>
    <row r="10019" spans="1:15" ht="43.2" x14ac:dyDescent="0.3">
      <c r="A10019" s="1" t="s">
        <v>7815</v>
      </c>
      <c r="B10019" s="1" t="str">
        <f>"Bryngwyn Surgery"</f>
        <v>Bryngwyn Surgery</v>
      </c>
      <c r="C10019" s="1" t="s">
        <v>7816</v>
      </c>
      <c r="F10019" s="1" t="s">
        <v>156</v>
      </c>
      <c r="H10019" s="1" t="s">
        <v>7817</v>
      </c>
      <c r="I10019" s="1" t="s">
        <v>125</v>
      </c>
      <c r="J10019" s="1" t="s">
        <v>67</v>
      </c>
      <c r="K10019" s="1" t="s">
        <v>14</v>
      </c>
      <c r="M10019" s="2">
        <v>41879</v>
      </c>
      <c r="N10019" s="1" t="s">
        <v>8</v>
      </c>
      <c r="O10019" s="1" t="s">
        <v>68</v>
      </c>
    </row>
    <row r="10020" spans="1:15" ht="43.2" x14ac:dyDescent="0.3">
      <c r="A10020" s="1" t="s">
        <v>7818</v>
      </c>
      <c r="B10020" s="1" t="str">
        <f>"Richmond Clinic"</f>
        <v>Richmond Clinic</v>
      </c>
      <c r="C10020" s="1" t="s">
        <v>7819</v>
      </c>
      <c r="D10020" s="1" t="s">
        <v>156</v>
      </c>
      <c r="F10020" s="1" t="s">
        <v>1240</v>
      </c>
      <c r="H10020" s="1" t="s">
        <v>7820</v>
      </c>
      <c r="I10020" s="1" t="s">
        <v>125</v>
      </c>
      <c r="J10020" s="1" t="s">
        <v>67</v>
      </c>
      <c r="K10020" s="1" t="s">
        <v>14</v>
      </c>
      <c r="M10020" s="2">
        <v>41879</v>
      </c>
      <c r="N10020" s="1" t="s">
        <v>8</v>
      </c>
      <c r="O10020" s="1" t="s">
        <v>68</v>
      </c>
    </row>
    <row r="10021" spans="1:15" ht="43.2" x14ac:dyDescent="0.3">
      <c r="A10021" s="1" t="s">
        <v>21807</v>
      </c>
      <c r="B10021" s="1" t="str">
        <f>"Andrew Gray"</f>
        <v>Andrew Gray</v>
      </c>
      <c r="C10021" s="1" t="s">
        <v>21808</v>
      </c>
      <c r="D10021" s="1" t="s">
        <v>21809</v>
      </c>
      <c r="F10021" s="1" t="s">
        <v>11706</v>
      </c>
      <c r="H10021" s="1" t="s">
        <v>21810</v>
      </c>
      <c r="I10021" s="1" t="s">
        <v>5</v>
      </c>
      <c r="J10021" s="1" t="s">
        <v>67</v>
      </c>
      <c r="K10021" s="1" t="s">
        <v>14</v>
      </c>
      <c r="M10021" s="2">
        <v>41879</v>
      </c>
      <c r="N10021" s="1" t="s">
        <v>8</v>
      </c>
      <c r="O10021" s="1" t="s">
        <v>68</v>
      </c>
    </row>
    <row r="10022" spans="1:15" ht="43.2" x14ac:dyDescent="0.3">
      <c r="A10022" s="1" t="s">
        <v>7812</v>
      </c>
      <c r="B10022" s="1" t="str">
        <f>"CellPath Ltd"</f>
        <v>CellPath Ltd</v>
      </c>
      <c r="C10022" s="1" t="s">
        <v>7813</v>
      </c>
      <c r="F10022" s="1" t="s">
        <v>3465</v>
      </c>
      <c r="H10022" s="1" t="s">
        <v>7814</v>
      </c>
      <c r="I10022" s="1" t="s">
        <v>19</v>
      </c>
      <c r="J10022" s="1" t="s">
        <v>67</v>
      </c>
      <c r="K10022" s="1" t="s">
        <v>14</v>
      </c>
      <c r="M10022" s="2">
        <v>41878</v>
      </c>
      <c r="N10022" s="1" t="s">
        <v>8</v>
      </c>
      <c r="O10022" s="1" t="s">
        <v>68</v>
      </c>
    </row>
    <row r="10023" spans="1:15" ht="43.2" x14ac:dyDescent="0.3">
      <c r="A10023" s="1" t="s">
        <v>21802</v>
      </c>
      <c r="B10023" s="1" t="str">
        <f>"David Jones"</f>
        <v>David Jones</v>
      </c>
      <c r="C10023" s="1" t="s">
        <v>21803</v>
      </c>
      <c r="D10023" s="1" t="s">
        <v>21804</v>
      </c>
      <c r="F10023" s="1" t="s">
        <v>21805</v>
      </c>
      <c r="H10023" s="1" t="s">
        <v>21806</v>
      </c>
      <c r="I10023" s="1" t="s">
        <v>5</v>
      </c>
      <c r="J10023" s="1" t="s">
        <v>67</v>
      </c>
      <c r="K10023" s="1" t="s">
        <v>14</v>
      </c>
      <c r="M10023" s="2">
        <v>41878</v>
      </c>
      <c r="N10023" s="1" t="s">
        <v>8</v>
      </c>
      <c r="O10023" s="1" t="s">
        <v>68</v>
      </c>
    </row>
    <row r="10024" spans="1:15" ht="43.2" x14ac:dyDescent="0.3">
      <c r="A10024" s="1" t="s">
        <v>7803</v>
      </c>
      <c r="B10024" s="1" t="str">
        <f>"Trewythen Lodges"</f>
        <v>Trewythen Lodges</v>
      </c>
      <c r="C10024" s="1" t="s">
        <v>7804</v>
      </c>
      <c r="F10024" s="1" t="s">
        <v>4127</v>
      </c>
      <c r="H10024" s="1" t="s">
        <v>7805</v>
      </c>
      <c r="I10024" s="1" t="s">
        <v>125</v>
      </c>
      <c r="J10024" s="1" t="s">
        <v>67</v>
      </c>
      <c r="K10024" s="1" t="s">
        <v>14</v>
      </c>
      <c r="M10024" s="2">
        <v>41877</v>
      </c>
      <c r="N10024" s="1" t="s">
        <v>8</v>
      </c>
      <c r="O10024" s="1" t="s">
        <v>68</v>
      </c>
    </row>
    <row r="10025" spans="1:15" ht="43.2" x14ac:dyDescent="0.3">
      <c r="A10025" s="1" t="s">
        <v>7806</v>
      </c>
      <c r="B10025" s="1" t="str">
        <f>"Waverley Hotel"</f>
        <v>Waverley Hotel</v>
      </c>
      <c r="C10025" s="1" t="s">
        <v>7807</v>
      </c>
      <c r="F10025" s="1" t="s">
        <v>3242</v>
      </c>
      <c r="H10025" s="1" t="s">
        <v>7808</v>
      </c>
      <c r="I10025" s="1" t="s">
        <v>125</v>
      </c>
      <c r="J10025" s="1" t="s">
        <v>67</v>
      </c>
      <c r="K10025" s="1" t="s">
        <v>14</v>
      </c>
      <c r="M10025" s="2">
        <v>41877</v>
      </c>
      <c r="N10025" s="1" t="s">
        <v>8</v>
      </c>
      <c r="O10025" s="1" t="s">
        <v>68</v>
      </c>
    </row>
    <row r="10026" spans="1:15" ht="43.2" x14ac:dyDescent="0.3">
      <c r="A10026" s="1" t="s">
        <v>7809</v>
      </c>
      <c r="B10026" s="1" t="str">
        <f>"Pontardawe golf club"</f>
        <v>Pontardawe golf club</v>
      </c>
      <c r="C10026" s="1" t="s">
        <v>7810</v>
      </c>
      <c r="F10026" s="1" t="s">
        <v>108</v>
      </c>
      <c r="H10026" s="1" t="s">
        <v>7811</v>
      </c>
      <c r="I10026" s="1" t="s">
        <v>188</v>
      </c>
      <c r="J10026" s="1" t="s">
        <v>67</v>
      </c>
      <c r="K10026" s="1" t="s">
        <v>14</v>
      </c>
      <c r="M10026" s="2">
        <v>41877</v>
      </c>
      <c r="N10026" s="1" t="s">
        <v>8</v>
      </c>
      <c r="O10026" s="1" t="s">
        <v>68</v>
      </c>
    </row>
    <row r="10027" spans="1:15" ht="43.2" x14ac:dyDescent="0.3">
      <c r="A10027" s="1" t="s">
        <v>21798</v>
      </c>
      <c r="B10027" s="1" t="str">
        <f>"Norman Drinkwater"</f>
        <v>Norman Drinkwater</v>
      </c>
      <c r="C10027" s="1" t="s">
        <v>21799</v>
      </c>
      <c r="D10027" s="1" t="s">
        <v>21800</v>
      </c>
      <c r="F10027" s="1" t="s">
        <v>922</v>
      </c>
      <c r="H10027" s="1" t="s">
        <v>21801</v>
      </c>
      <c r="I10027" s="1" t="s">
        <v>5</v>
      </c>
      <c r="J10027" s="1" t="s">
        <v>67</v>
      </c>
      <c r="K10027" s="1" t="s">
        <v>14</v>
      </c>
      <c r="M10027" s="2">
        <v>41877</v>
      </c>
      <c r="N10027" s="1" t="s">
        <v>8</v>
      </c>
      <c r="O10027" s="1" t="s">
        <v>68</v>
      </c>
    </row>
    <row r="10028" spans="1:15" ht="43.2" x14ac:dyDescent="0.3">
      <c r="A10028" s="1" t="s">
        <v>21795</v>
      </c>
      <c r="B10028" s="1" t="str">
        <f>"HOWELL MORGAN"</f>
        <v>HOWELL MORGAN</v>
      </c>
      <c r="C10028" s="1" t="s">
        <v>21796</v>
      </c>
      <c r="F10028" s="1" t="s">
        <v>3255</v>
      </c>
      <c r="H10028" s="1" t="s">
        <v>21797</v>
      </c>
      <c r="I10028" s="1" t="s">
        <v>5</v>
      </c>
      <c r="J10028" s="1" t="s">
        <v>67</v>
      </c>
      <c r="K10028" s="1" t="s">
        <v>14</v>
      </c>
      <c r="M10028" s="2">
        <v>41875</v>
      </c>
      <c r="N10028" s="1" t="s">
        <v>8</v>
      </c>
      <c r="O10028" s="1" t="s">
        <v>68</v>
      </c>
    </row>
    <row r="10029" spans="1:15" ht="43.2" x14ac:dyDescent="0.3">
      <c r="A10029" s="1" t="s">
        <v>6763</v>
      </c>
      <c r="B10029" s="1" t="str">
        <f>"kitchen wizard"</f>
        <v>kitchen wizard</v>
      </c>
      <c r="C10029" s="1" t="s">
        <v>6764</v>
      </c>
      <c r="F10029" s="1" t="s">
        <v>6765</v>
      </c>
      <c r="H10029" s="1" t="s">
        <v>6766</v>
      </c>
      <c r="I10029" s="1" t="s">
        <v>19</v>
      </c>
      <c r="J10029" s="1" t="s">
        <v>67</v>
      </c>
      <c r="K10029" s="1" t="s">
        <v>14</v>
      </c>
      <c r="M10029" s="2">
        <v>41873</v>
      </c>
      <c r="N10029" s="1" t="s">
        <v>8</v>
      </c>
      <c r="O10029" s="1" t="s">
        <v>68</v>
      </c>
    </row>
    <row r="10030" spans="1:15" ht="43.2" x14ac:dyDescent="0.3">
      <c r="A10030" s="1" t="s">
        <v>21789</v>
      </c>
      <c r="B10030" s="1" t="str">
        <f>"Gill Byrne"</f>
        <v>Gill Byrne</v>
      </c>
      <c r="C10030" s="1" t="s">
        <v>21790</v>
      </c>
      <c r="F10030" s="1" t="s">
        <v>5640</v>
      </c>
      <c r="H10030" s="1" t="s">
        <v>21791</v>
      </c>
      <c r="I10030" s="1" t="s">
        <v>5</v>
      </c>
      <c r="J10030" s="1" t="s">
        <v>67</v>
      </c>
      <c r="K10030" s="1" t="s">
        <v>14</v>
      </c>
      <c r="M10030" s="2">
        <v>41873</v>
      </c>
      <c r="N10030" s="1" t="s">
        <v>8</v>
      </c>
      <c r="O10030" s="1" t="s">
        <v>68</v>
      </c>
    </row>
    <row r="10031" spans="1:15" ht="43.2" x14ac:dyDescent="0.3">
      <c r="A10031" s="1" t="s">
        <v>21792</v>
      </c>
      <c r="B10031" s="1" t="str">
        <f>"Shane Jordan"</f>
        <v>Shane Jordan</v>
      </c>
      <c r="C10031" s="1" t="s">
        <v>21793</v>
      </c>
      <c r="D10031" s="1" t="s">
        <v>20720</v>
      </c>
      <c r="F10031" s="1" t="s">
        <v>532</v>
      </c>
      <c r="H10031" s="1" t="s">
        <v>21794</v>
      </c>
      <c r="I10031" s="1" t="s">
        <v>5</v>
      </c>
      <c r="J10031" s="1" t="s">
        <v>67</v>
      </c>
      <c r="K10031" s="1" t="s">
        <v>14</v>
      </c>
      <c r="M10031" s="2">
        <v>41873</v>
      </c>
      <c r="N10031" s="1" t="s">
        <v>8</v>
      </c>
      <c r="O10031" s="1" t="s">
        <v>68</v>
      </c>
    </row>
    <row r="10032" spans="1:15" ht="43.2" x14ac:dyDescent="0.3">
      <c r="A10032" s="1" t="s">
        <v>21054</v>
      </c>
      <c r="B10032" s="1" t="str">
        <f>"Michael Proctor"</f>
        <v>Michael Proctor</v>
      </c>
      <c r="C10032" s="1" t="s">
        <v>21055</v>
      </c>
      <c r="D10032" s="1" t="s">
        <v>6747</v>
      </c>
      <c r="F10032" s="1" t="s">
        <v>123</v>
      </c>
      <c r="H10032" s="1" t="s">
        <v>21056</v>
      </c>
      <c r="I10032" s="1" t="s">
        <v>5</v>
      </c>
      <c r="J10032" s="1" t="s">
        <v>67</v>
      </c>
      <c r="K10032" s="1" t="s">
        <v>14</v>
      </c>
      <c r="M10032" s="2">
        <v>41872</v>
      </c>
      <c r="N10032" s="1" t="s">
        <v>8</v>
      </c>
      <c r="O10032" s="1" t="s">
        <v>68</v>
      </c>
    </row>
    <row r="10033" spans="1:15" ht="43.2" x14ac:dyDescent="0.3">
      <c r="A10033" s="1" t="s">
        <v>21057</v>
      </c>
      <c r="B10033" s="1" t="str">
        <f>"Graham Viner"</f>
        <v>Graham Viner</v>
      </c>
      <c r="C10033" s="1" t="s">
        <v>21058</v>
      </c>
      <c r="D10033" s="1" t="s">
        <v>21059</v>
      </c>
      <c r="F10033" s="1" t="s">
        <v>4980</v>
      </c>
      <c r="H10033" s="1" t="s">
        <v>21060</v>
      </c>
      <c r="I10033" s="1" t="s">
        <v>5</v>
      </c>
      <c r="J10033" s="1" t="s">
        <v>67</v>
      </c>
      <c r="K10033" s="1" t="s">
        <v>14</v>
      </c>
      <c r="M10033" s="2">
        <v>41872</v>
      </c>
      <c r="N10033" s="1" t="s">
        <v>8</v>
      </c>
      <c r="O10033" s="1" t="s">
        <v>68</v>
      </c>
    </row>
    <row r="10034" spans="1:15" ht="43.2" x14ac:dyDescent="0.3">
      <c r="A10034" s="1" t="s">
        <v>21061</v>
      </c>
      <c r="B10034" s="1" t="str">
        <f>"Stephen Orme"</f>
        <v>Stephen Orme</v>
      </c>
      <c r="C10034" s="1" t="s">
        <v>21062</v>
      </c>
      <c r="F10034" s="1" t="s">
        <v>2965</v>
      </c>
      <c r="H10034" s="1" t="s">
        <v>21063</v>
      </c>
      <c r="I10034" s="1" t="s">
        <v>5</v>
      </c>
      <c r="J10034" s="1" t="s">
        <v>67</v>
      </c>
      <c r="K10034" s="1" t="s">
        <v>14</v>
      </c>
      <c r="M10034" s="2">
        <v>41872</v>
      </c>
      <c r="N10034" s="1" t="s">
        <v>8</v>
      </c>
      <c r="O10034" s="1" t="s">
        <v>68</v>
      </c>
    </row>
    <row r="10035" spans="1:15" ht="43.2" x14ac:dyDescent="0.3">
      <c r="A10035" s="1" t="s">
        <v>21064</v>
      </c>
      <c r="B10035" s="1" t="str">
        <f>"Peter Brownson"</f>
        <v>Peter Brownson</v>
      </c>
      <c r="C10035" s="1" t="s">
        <v>21065</v>
      </c>
      <c r="F10035" s="1" t="s">
        <v>374</v>
      </c>
      <c r="G10035" s="1" t="s">
        <v>359</v>
      </c>
      <c r="H10035" s="1" t="s">
        <v>18004</v>
      </c>
      <c r="I10035" s="1" t="s">
        <v>5</v>
      </c>
      <c r="J10035" s="1" t="s">
        <v>67</v>
      </c>
      <c r="K10035" s="1" t="s">
        <v>34</v>
      </c>
      <c r="M10035" s="2">
        <v>41872</v>
      </c>
      <c r="N10035" s="1" t="s">
        <v>8</v>
      </c>
      <c r="O10035" s="1" t="s">
        <v>68</v>
      </c>
    </row>
    <row r="10036" spans="1:15" ht="43.2" x14ac:dyDescent="0.3">
      <c r="A10036" s="1" t="s">
        <v>6760</v>
      </c>
      <c r="B10036" s="1" t="str">
        <f>"Pontardawe Town Council"</f>
        <v>Pontardawe Town Council</v>
      </c>
      <c r="C10036" s="1" t="s">
        <v>6761</v>
      </c>
      <c r="F10036" s="1" t="s">
        <v>108</v>
      </c>
      <c r="H10036" s="1" t="s">
        <v>6762</v>
      </c>
      <c r="I10036" s="1" t="s">
        <v>188</v>
      </c>
      <c r="J10036" s="1" t="s">
        <v>67</v>
      </c>
      <c r="K10036" s="1" t="s">
        <v>14</v>
      </c>
      <c r="M10036" s="2">
        <v>41871</v>
      </c>
      <c r="N10036" s="1" t="s">
        <v>8</v>
      </c>
      <c r="O10036" s="1" t="s">
        <v>68</v>
      </c>
    </row>
    <row r="10037" spans="1:15" ht="43.2" x14ac:dyDescent="0.3">
      <c r="A10037" s="1" t="s">
        <v>21050</v>
      </c>
      <c r="B10037" s="1" t="str">
        <f>"paul bryan"</f>
        <v>paul bryan</v>
      </c>
      <c r="C10037" s="1" t="s">
        <v>21051</v>
      </c>
      <c r="F10037" s="1" t="s">
        <v>21052</v>
      </c>
      <c r="H10037" s="1" t="s">
        <v>21053</v>
      </c>
      <c r="I10037" s="1" t="s">
        <v>5</v>
      </c>
      <c r="J10037" s="1" t="s">
        <v>67</v>
      </c>
      <c r="K10037" s="1" t="s">
        <v>14</v>
      </c>
      <c r="M10037" s="2">
        <v>41871</v>
      </c>
      <c r="N10037" s="1" t="s">
        <v>8</v>
      </c>
      <c r="O10037" s="1" t="s">
        <v>68</v>
      </c>
    </row>
    <row r="10038" spans="1:15" ht="43.2" x14ac:dyDescent="0.3">
      <c r="A10038" s="1" t="s">
        <v>5554</v>
      </c>
      <c r="B10038" s="1" t="str">
        <f>"RUSHAR LIMITED"</f>
        <v>RUSHAR LIMITED</v>
      </c>
      <c r="C10038" s="1" t="s">
        <v>5555</v>
      </c>
      <c r="D10038" s="1" t="s">
        <v>5556</v>
      </c>
      <c r="F10038" s="1" t="s">
        <v>3247</v>
      </c>
      <c r="H10038" s="1" t="s">
        <v>4163</v>
      </c>
      <c r="I10038" s="1" t="s">
        <v>19</v>
      </c>
      <c r="J10038" s="1" t="s">
        <v>67</v>
      </c>
      <c r="K10038" s="1" t="s">
        <v>14</v>
      </c>
      <c r="M10038" s="2">
        <v>41870</v>
      </c>
      <c r="N10038" s="1" t="s">
        <v>8</v>
      </c>
      <c r="O10038" s="1" t="s">
        <v>68</v>
      </c>
    </row>
    <row r="10039" spans="1:15" ht="43.2" x14ac:dyDescent="0.3">
      <c r="A10039" s="1" t="s">
        <v>5557</v>
      </c>
      <c r="B10039" s="1" t="str">
        <f>"Taylor Wimpey UK"</f>
        <v>Taylor Wimpey UK</v>
      </c>
      <c r="C10039" s="1" t="s">
        <v>5558</v>
      </c>
      <c r="D10039" s="1" t="s">
        <v>5559</v>
      </c>
      <c r="F10039" s="1" t="s">
        <v>5560</v>
      </c>
      <c r="H10039" s="1" t="s">
        <v>5561</v>
      </c>
      <c r="I10039" s="1" t="s">
        <v>19</v>
      </c>
      <c r="J10039" s="1" t="s">
        <v>67</v>
      </c>
      <c r="K10039" s="1" t="s">
        <v>14</v>
      </c>
      <c r="M10039" s="2">
        <v>41870</v>
      </c>
      <c r="N10039" s="1" t="s">
        <v>8</v>
      </c>
      <c r="O10039" s="1" t="s">
        <v>68</v>
      </c>
    </row>
    <row r="10040" spans="1:15" ht="43.2" x14ac:dyDescent="0.3">
      <c r="A10040" s="1" t="s">
        <v>6753</v>
      </c>
      <c r="B10040" s="1" t="str">
        <f>"Eco Heat Central Heating Services Ltd"</f>
        <v>Eco Heat Central Heating Services Ltd</v>
      </c>
      <c r="C10040" s="1" t="s">
        <v>6754</v>
      </c>
      <c r="F10040" s="1" t="s">
        <v>706</v>
      </c>
      <c r="H10040" s="1" t="s">
        <v>6755</v>
      </c>
      <c r="I10040" s="1" t="s">
        <v>19</v>
      </c>
      <c r="J10040" s="1" t="s">
        <v>67</v>
      </c>
      <c r="K10040" s="1" t="s">
        <v>14</v>
      </c>
      <c r="M10040" s="2">
        <v>41870</v>
      </c>
      <c r="N10040" s="1" t="s">
        <v>8</v>
      </c>
      <c r="O10040" s="1" t="s">
        <v>68</v>
      </c>
    </row>
    <row r="10041" spans="1:15" ht="43.2" x14ac:dyDescent="0.3">
      <c r="A10041" s="1" t="s">
        <v>6756</v>
      </c>
      <c r="B10041" s="1" t="str">
        <f>"PARADISE FARMHOUSE LTD."</f>
        <v>PARADISE FARMHOUSE LTD.</v>
      </c>
      <c r="C10041" s="1" t="s">
        <v>6757</v>
      </c>
      <c r="F10041" s="1" t="s">
        <v>2859</v>
      </c>
      <c r="H10041" s="1" t="s">
        <v>6758</v>
      </c>
      <c r="I10041" s="1" t="s">
        <v>19</v>
      </c>
      <c r="J10041" s="1" t="s">
        <v>67</v>
      </c>
      <c r="K10041" s="1" t="s">
        <v>14</v>
      </c>
      <c r="M10041" s="2">
        <v>41870</v>
      </c>
      <c r="N10041" s="1" t="s">
        <v>8</v>
      </c>
      <c r="O10041" s="1" t="s">
        <v>68</v>
      </c>
    </row>
    <row r="10042" spans="1:15" ht="43.2" x14ac:dyDescent="0.3">
      <c r="A10042" s="1" t="s">
        <v>6759</v>
      </c>
      <c r="B10042" s="1" t="str">
        <f>"PARADISE FARMHOUSE LTD."</f>
        <v>PARADISE FARMHOUSE LTD.</v>
      </c>
      <c r="C10042" s="1" t="s">
        <v>6757</v>
      </c>
      <c r="F10042" s="1" t="s">
        <v>2859</v>
      </c>
      <c r="H10042" s="1" t="s">
        <v>6758</v>
      </c>
      <c r="I10042" s="1" t="s">
        <v>19</v>
      </c>
      <c r="J10042" s="1" t="s">
        <v>67</v>
      </c>
      <c r="K10042" s="1" t="s">
        <v>14</v>
      </c>
      <c r="M10042" s="2">
        <v>41870</v>
      </c>
      <c r="N10042" s="1" t="s">
        <v>8</v>
      </c>
      <c r="O10042" s="1" t="s">
        <v>68</v>
      </c>
    </row>
    <row r="10043" spans="1:15" ht="43.2" x14ac:dyDescent="0.3">
      <c r="A10043" s="1" t="s">
        <v>20234</v>
      </c>
      <c r="B10043" s="1" t="str">
        <f>"Annette  Degraaf"</f>
        <v>Annette  Degraaf</v>
      </c>
      <c r="C10043" s="1" t="s">
        <v>20235</v>
      </c>
      <c r="F10043" s="1" t="s">
        <v>1556</v>
      </c>
      <c r="H10043" s="1" t="s">
        <v>20236</v>
      </c>
      <c r="I10043" s="1" t="s">
        <v>5</v>
      </c>
      <c r="J10043" s="1" t="s">
        <v>67</v>
      </c>
      <c r="K10043" s="1" t="s">
        <v>14</v>
      </c>
      <c r="M10043" s="2">
        <v>41870</v>
      </c>
      <c r="N10043" s="1" t="s">
        <v>8</v>
      </c>
      <c r="O10043" s="1" t="s">
        <v>68</v>
      </c>
    </row>
    <row r="10044" spans="1:15" ht="43.2" x14ac:dyDescent="0.3">
      <c r="A10044" s="1" t="s">
        <v>21038</v>
      </c>
      <c r="B10044" s="1" t="str">
        <f>"Lee Lovett"</f>
        <v>Lee Lovett</v>
      </c>
      <c r="C10044" s="1" t="s">
        <v>21039</v>
      </c>
      <c r="F10044" s="1" t="s">
        <v>64</v>
      </c>
      <c r="H10044" s="1" t="s">
        <v>21040</v>
      </c>
      <c r="I10044" s="1" t="s">
        <v>5</v>
      </c>
      <c r="J10044" s="1" t="s">
        <v>67</v>
      </c>
      <c r="K10044" s="1" t="s">
        <v>14</v>
      </c>
      <c r="M10044" s="2">
        <v>41870</v>
      </c>
      <c r="N10044" s="1" t="s">
        <v>8</v>
      </c>
      <c r="O10044" s="1" t="s">
        <v>68</v>
      </c>
    </row>
    <row r="10045" spans="1:15" ht="43.2" x14ac:dyDescent="0.3">
      <c r="A10045" s="1" t="s">
        <v>21041</v>
      </c>
      <c r="B10045" s="1" t="str">
        <f>"andrew reeves"</f>
        <v>andrew reeves</v>
      </c>
      <c r="C10045" s="1" t="s">
        <v>21042</v>
      </c>
      <c r="D10045" s="1" t="s">
        <v>21043</v>
      </c>
      <c r="F10045" s="1" t="s">
        <v>21044</v>
      </c>
      <c r="H10045" s="1" t="s">
        <v>21045</v>
      </c>
      <c r="I10045" s="1" t="s">
        <v>5</v>
      </c>
      <c r="J10045" s="1" t="s">
        <v>67</v>
      </c>
      <c r="K10045" s="1" t="s">
        <v>14</v>
      </c>
      <c r="M10045" s="2">
        <v>41870</v>
      </c>
      <c r="N10045" s="1" t="s">
        <v>8</v>
      </c>
      <c r="O10045" s="1" t="s">
        <v>68</v>
      </c>
    </row>
    <row r="10046" spans="1:15" ht="43.2" x14ac:dyDescent="0.3">
      <c r="A10046" s="1" t="s">
        <v>21046</v>
      </c>
      <c r="B10046" s="1" t="str">
        <f>"Matthew Thomas"</f>
        <v>Matthew Thomas</v>
      </c>
      <c r="C10046" s="1" t="s">
        <v>21047</v>
      </c>
      <c r="D10046" s="1" t="s">
        <v>2479</v>
      </c>
      <c r="F10046" s="1" t="s">
        <v>21048</v>
      </c>
      <c r="H10046" s="1" t="s">
        <v>21049</v>
      </c>
      <c r="I10046" s="1" t="s">
        <v>5</v>
      </c>
      <c r="J10046" s="1" t="s">
        <v>67</v>
      </c>
      <c r="K10046" s="1" t="s">
        <v>14</v>
      </c>
      <c r="M10046" s="2">
        <v>41870</v>
      </c>
      <c r="N10046" s="1" t="s">
        <v>8</v>
      </c>
      <c r="O10046" s="1" t="s">
        <v>68</v>
      </c>
    </row>
    <row r="10047" spans="1:15" ht="43.2" x14ac:dyDescent="0.3">
      <c r="A10047" s="1" t="s">
        <v>5537</v>
      </c>
      <c r="B10047" s="1" t="str">
        <f>"d3signs"</f>
        <v>d3signs</v>
      </c>
      <c r="C10047" s="1" t="s">
        <v>5538</v>
      </c>
      <c r="F10047" s="1" t="s">
        <v>2169</v>
      </c>
      <c r="H10047" s="1" t="s">
        <v>5539</v>
      </c>
      <c r="I10047" s="1" t="s">
        <v>19</v>
      </c>
      <c r="J10047" s="1" t="s">
        <v>67</v>
      </c>
      <c r="K10047" s="1" t="s">
        <v>14</v>
      </c>
      <c r="M10047" s="2">
        <v>41869</v>
      </c>
      <c r="N10047" s="1" t="s">
        <v>8</v>
      </c>
      <c r="O10047" s="1" t="s">
        <v>68</v>
      </c>
    </row>
    <row r="10048" spans="1:15" ht="43.2" x14ac:dyDescent="0.3">
      <c r="A10048" s="1" t="s">
        <v>5540</v>
      </c>
      <c r="B10048" s="1" t="str">
        <f>"A &amp; D Tyres Ltd"</f>
        <v>A &amp; D Tyres Ltd</v>
      </c>
      <c r="C10048" s="1" t="s">
        <v>5541</v>
      </c>
      <c r="D10048" s="1" t="s">
        <v>5542</v>
      </c>
      <c r="F10048" s="1" t="s">
        <v>37</v>
      </c>
      <c r="H10048" s="1" t="s">
        <v>5543</v>
      </c>
      <c r="I10048" s="1" t="s">
        <v>19</v>
      </c>
      <c r="J10048" s="1" t="s">
        <v>67</v>
      </c>
      <c r="K10048" s="1" t="s">
        <v>14</v>
      </c>
      <c r="M10048" s="2">
        <v>41869</v>
      </c>
      <c r="N10048" s="1" t="s">
        <v>8</v>
      </c>
      <c r="O10048" s="1" t="s">
        <v>68</v>
      </c>
    </row>
    <row r="10049" spans="1:15" ht="43.2" x14ac:dyDescent="0.3">
      <c r="A10049" s="1" t="s">
        <v>5544</v>
      </c>
      <c r="B10049" s="1" t="str">
        <f>"jr jl morgan"</f>
        <v>jr jl morgan</v>
      </c>
      <c r="C10049" s="1" t="s">
        <v>5545</v>
      </c>
      <c r="F10049" s="1" t="s">
        <v>5546</v>
      </c>
      <c r="H10049" s="1" t="s">
        <v>5547</v>
      </c>
      <c r="I10049" s="1" t="s">
        <v>125</v>
      </c>
      <c r="J10049" s="1" t="s">
        <v>67</v>
      </c>
      <c r="K10049" s="1" t="s">
        <v>14</v>
      </c>
      <c r="M10049" s="2">
        <v>41869</v>
      </c>
      <c r="N10049" s="1" t="s">
        <v>8</v>
      </c>
      <c r="O10049" s="1" t="s">
        <v>68</v>
      </c>
    </row>
    <row r="10050" spans="1:15" ht="43.2" x14ac:dyDescent="0.3">
      <c r="A10050" s="1" t="s">
        <v>5548</v>
      </c>
      <c r="B10050" s="1" t="str">
        <f>"RM Jones"</f>
        <v>RM Jones</v>
      </c>
      <c r="C10050" s="1" t="s">
        <v>5549</v>
      </c>
      <c r="D10050" s="1" t="s">
        <v>5550</v>
      </c>
      <c r="F10050" s="1" t="s">
        <v>5551</v>
      </c>
      <c r="H10050" s="1" t="s">
        <v>5552</v>
      </c>
      <c r="I10050" s="1" t="s">
        <v>19</v>
      </c>
      <c r="J10050" s="1" t="s">
        <v>67</v>
      </c>
      <c r="K10050" s="1" t="s">
        <v>14</v>
      </c>
      <c r="M10050" s="2">
        <v>41869</v>
      </c>
      <c r="N10050" s="1" t="s">
        <v>8</v>
      </c>
      <c r="O10050" s="1" t="s">
        <v>68</v>
      </c>
    </row>
    <row r="10051" spans="1:15" ht="43.2" x14ac:dyDescent="0.3">
      <c r="A10051" s="1" t="s">
        <v>5553</v>
      </c>
      <c r="B10051" s="1" t="str">
        <f>"RM Jones"</f>
        <v>RM Jones</v>
      </c>
      <c r="C10051" s="1" t="s">
        <v>5549</v>
      </c>
      <c r="D10051" s="1" t="s">
        <v>5550</v>
      </c>
      <c r="F10051" s="1" t="s">
        <v>5551</v>
      </c>
      <c r="H10051" s="1" t="s">
        <v>5552</v>
      </c>
      <c r="I10051" s="1" t="s">
        <v>19</v>
      </c>
      <c r="J10051" s="1" t="s">
        <v>67</v>
      </c>
      <c r="K10051" s="1" t="s">
        <v>14</v>
      </c>
      <c r="M10051" s="2">
        <v>41869</v>
      </c>
      <c r="N10051" s="1" t="s">
        <v>8</v>
      </c>
      <c r="O10051" s="1" t="s">
        <v>68</v>
      </c>
    </row>
    <row r="10052" spans="1:15" ht="43.2" x14ac:dyDescent="0.3">
      <c r="A10052" s="1" t="s">
        <v>20231</v>
      </c>
      <c r="B10052" s="1" t="str">
        <f>"Martyn Webb"</f>
        <v>Martyn Webb</v>
      </c>
      <c r="C10052" s="1" t="s">
        <v>20232</v>
      </c>
      <c r="F10052" s="1" t="s">
        <v>2342</v>
      </c>
      <c r="H10052" s="1" t="s">
        <v>20233</v>
      </c>
      <c r="I10052" s="1" t="s">
        <v>5</v>
      </c>
      <c r="J10052" s="1" t="s">
        <v>67</v>
      </c>
      <c r="K10052" s="1" t="s">
        <v>14</v>
      </c>
      <c r="M10052" s="2">
        <v>41869</v>
      </c>
      <c r="N10052" s="1" t="s">
        <v>8</v>
      </c>
      <c r="O10052" s="1" t="s">
        <v>68</v>
      </c>
    </row>
    <row r="10053" spans="1:15" ht="43.2" x14ac:dyDescent="0.3">
      <c r="A10053" s="1" t="s">
        <v>5527</v>
      </c>
      <c r="B10053" s="1" t="str">
        <f>"spencer edward davies"</f>
        <v>spencer edward davies</v>
      </c>
      <c r="C10053" s="1" t="s">
        <v>5528</v>
      </c>
      <c r="D10053" s="1" t="s">
        <v>5529</v>
      </c>
      <c r="F10053" s="1" t="s">
        <v>1525</v>
      </c>
      <c r="H10053" s="1" t="s">
        <v>5530</v>
      </c>
      <c r="I10053" s="1" t="s">
        <v>188</v>
      </c>
      <c r="J10053" s="1" t="s">
        <v>67</v>
      </c>
      <c r="K10053" s="1" t="s">
        <v>14</v>
      </c>
      <c r="M10053" s="2">
        <v>41867</v>
      </c>
      <c r="N10053" s="1" t="s">
        <v>8</v>
      </c>
      <c r="O10053" s="1" t="s">
        <v>68</v>
      </c>
    </row>
    <row r="10054" spans="1:15" ht="43.2" x14ac:dyDescent="0.3">
      <c r="A10054" s="1" t="s">
        <v>5531</v>
      </c>
      <c r="B10054" s="1" t="str">
        <f>"spencer edward davies"</f>
        <v>spencer edward davies</v>
      </c>
      <c r="C10054" s="1" t="s">
        <v>5528</v>
      </c>
      <c r="D10054" s="1" t="s">
        <v>5529</v>
      </c>
      <c r="F10054" s="1" t="s">
        <v>1525</v>
      </c>
      <c r="H10054" s="1" t="s">
        <v>5530</v>
      </c>
      <c r="I10054" s="1" t="s">
        <v>188</v>
      </c>
      <c r="J10054" s="1" t="s">
        <v>67</v>
      </c>
      <c r="K10054" s="1" t="s">
        <v>14</v>
      </c>
      <c r="M10054" s="2">
        <v>41867</v>
      </c>
      <c r="N10054" s="1" t="s">
        <v>8</v>
      </c>
      <c r="O10054" s="1" t="s">
        <v>68</v>
      </c>
    </row>
    <row r="10055" spans="1:15" ht="43.2" x14ac:dyDescent="0.3">
      <c r="A10055" s="1" t="s">
        <v>5532</v>
      </c>
      <c r="B10055" s="1" t="str">
        <f>"Lewis Forecourts Ltd"</f>
        <v>Lewis Forecourts Ltd</v>
      </c>
      <c r="C10055" s="1" t="s">
        <v>5533</v>
      </c>
      <c r="F10055" s="1" t="s">
        <v>5534</v>
      </c>
      <c r="H10055" s="1" t="s">
        <v>5535</v>
      </c>
      <c r="I10055" s="1" t="s">
        <v>19</v>
      </c>
      <c r="J10055" s="1" t="s">
        <v>67</v>
      </c>
      <c r="K10055" s="1" t="s">
        <v>14</v>
      </c>
      <c r="M10055" s="2">
        <v>41867</v>
      </c>
      <c r="N10055" s="1" t="s">
        <v>8</v>
      </c>
      <c r="O10055" s="1" t="s">
        <v>68</v>
      </c>
    </row>
    <row r="10056" spans="1:15" ht="43.2" x14ac:dyDescent="0.3">
      <c r="A10056" s="1" t="s">
        <v>5536</v>
      </c>
      <c r="B10056" s="1" t="str">
        <f>"Lewis Forecourts Ltd"</f>
        <v>Lewis Forecourts Ltd</v>
      </c>
      <c r="C10056" s="1" t="s">
        <v>5533</v>
      </c>
      <c r="F10056" s="1" t="s">
        <v>5534</v>
      </c>
      <c r="H10056" s="1" t="s">
        <v>5535</v>
      </c>
      <c r="I10056" s="1" t="s">
        <v>19</v>
      </c>
      <c r="J10056" s="1" t="s">
        <v>67</v>
      </c>
      <c r="K10056" s="1" t="s">
        <v>14</v>
      </c>
      <c r="M10056" s="2">
        <v>41867</v>
      </c>
      <c r="N10056" s="1" t="s">
        <v>8</v>
      </c>
      <c r="O10056" s="1" t="s">
        <v>68</v>
      </c>
    </row>
    <row r="10057" spans="1:15" ht="43.2" x14ac:dyDescent="0.3">
      <c r="A10057" s="1" t="s">
        <v>4429</v>
      </c>
      <c r="B10057" s="1" t="str">
        <f>"elg electrical services ltd"</f>
        <v>elg electrical services ltd</v>
      </c>
      <c r="C10057" s="1" t="s">
        <v>4430</v>
      </c>
      <c r="D10057" s="1" t="s">
        <v>4431</v>
      </c>
      <c r="F10057" s="1" t="s">
        <v>4432</v>
      </c>
      <c r="H10057" s="1" t="s">
        <v>4433</v>
      </c>
      <c r="I10057" s="1" t="s">
        <v>19</v>
      </c>
      <c r="J10057" s="1" t="s">
        <v>67</v>
      </c>
      <c r="K10057" s="1" t="s">
        <v>14</v>
      </c>
      <c r="M10057" s="2">
        <v>41866</v>
      </c>
      <c r="N10057" s="1" t="s">
        <v>8</v>
      </c>
      <c r="O10057" s="1" t="s">
        <v>68</v>
      </c>
    </row>
    <row r="10058" spans="1:15" ht="43.2" x14ac:dyDescent="0.3">
      <c r="A10058" s="1" t="s">
        <v>4434</v>
      </c>
      <c r="B10058" s="1" t="str">
        <f>"Be My Bear Ltd"</f>
        <v>Be My Bear Ltd</v>
      </c>
      <c r="C10058" s="1" t="s">
        <v>4435</v>
      </c>
      <c r="D10058" s="1" t="s">
        <v>4436</v>
      </c>
      <c r="F10058" s="1" t="s">
        <v>4437</v>
      </c>
      <c r="H10058" s="1" t="s">
        <v>4438</v>
      </c>
      <c r="I10058" s="1" t="s">
        <v>19</v>
      </c>
      <c r="J10058" s="1" t="s">
        <v>67</v>
      </c>
      <c r="K10058" s="1" t="s">
        <v>14</v>
      </c>
      <c r="M10058" s="2">
        <v>41866</v>
      </c>
      <c r="N10058" s="1" t="s">
        <v>8</v>
      </c>
      <c r="O10058" s="1" t="s">
        <v>68</v>
      </c>
    </row>
    <row r="10059" spans="1:15" ht="43.2" x14ac:dyDescent="0.3">
      <c r="A10059" s="1" t="s">
        <v>5523</v>
      </c>
      <c r="B10059" s="1" t="str">
        <f>"rhyl mart express ltd"</f>
        <v>rhyl mart express ltd</v>
      </c>
      <c r="C10059" s="1" t="s">
        <v>5524</v>
      </c>
      <c r="F10059" s="1" t="s">
        <v>5525</v>
      </c>
      <c r="H10059" s="1" t="s">
        <v>5526</v>
      </c>
      <c r="I10059" s="1" t="s">
        <v>19</v>
      </c>
      <c r="J10059" s="1" t="s">
        <v>67</v>
      </c>
      <c r="K10059" s="1" t="s">
        <v>14</v>
      </c>
      <c r="M10059" s="2">
        <v>41866</v>
      </c>
      <c r="N10059" s="1" t="s">
        <v>8</v>
      </c>
      <c r="O10059" s="1" t="s">
        <v>68</v>
      </c>
    </row>
    <row r="10060" spans="1:15" ht="43.2" x14ac:dyDescent="0.3">
      <c r="A10060" s="1" t="s">
        <v>19455</v>
      </c>
      <c r="B10060" s="1" t="str">
        <f>"Pat Bradford"</f>
        <v>Pat Bradford</v>
      </c>
      <c r="C10060" s="1" t="s">
        <v>19456</v>
      </c>
      <c r="F10060" s="1" t="s">
        <v>476</v>
      </c>
      <c r="H10060" s="1" t="s">
        <v>19457</v>
      </c>
      <c r="I10060" s="1" t="s">
        <v>5</v>
      </c>
      <c r="J10060" s="1" t="s">
        <v>67</v>
      </c>
      <c r="K10060" s="1" t="s">
        <v>14</v>
      </c>
      <c r="M10060" s="2">
        <v>41866</v>
      </c>
      <c r="N10060" s="1" t="s">
        <v>8</v>
      </c>
      <c r="O10060" s="1" t="s">
        <v>68</v>
      </c>
    </row>
    <row r="10061" spans="1:15" ht="43.2" x14ac:dyDescent="0.3">
      <c r="A10061" s="1" t="s">
        <v>19458</v>
      </c>
      <c r="B10061" s="1" t="str">
        <f>"Pat Bradford"</f>
        <v>Pat Bradford</v>
      </c>
      <c r="C10061" s="1" t="s">
        <v>19456</v>
      </c>
      <c r="F10061" s="1" t="s">
        <v>476</v>
      </c>
      <c r="H10061" s="1" t="s">
        <v>19457</v>
      </c>
      <c r="I10061" s="1" t="s">
        <v>5</v>
      </c>
      <c r="J10061" s="1" t="s">
        <v>67</v>
      </c>
      <c r="K10061" s="1" t="s">
        <v>14</v>
      </c>
      <c r="M10061" s="2">
        <v>41866</v>
      </c>
      <c r="N10061" s="1" t="s">
        <v>8</v>
      </c>
      <c r="O10061" s="1" t="s">
        <v>68</v>
      </c>
    </row>
    <row r="10062" spans="1:15" ht="43.2" x14ac:dyDescent="0.3">
      <c r="A10062" s="1" t="s">
        <v>19459</v>
      </c>
      <c r="B10062" s="1" t="str">
        <f>"stephen mort"</f>
        <v>stephen mort</v>
      </c>
      <c r="C10062" s="1" t="s">
        <v>19460</v>
      </c>
      <c r="D10062" s="1" t="s">
        <v>19461</v>
      </c>
      <c r="F10062" s="1" t="s">
        <v>13023</v>
      </c>
      <c r="H10062" s="1" t="s">
        <v>13024</v>
      </c>
      <c r="I10062" s="1" t="s">
        <v>5</v>
      </c>
      <c r="J10062" s="1" t="s">
        <v>67</v>
      </c>
      <c r="K10062" s="1" t="s">
        <v>14</v>
      </c>
      <c r="M10062" s="2">
        <v>41866</v>
      </c>
      <c r="N10062" s="1" t="s">
        <v>8</v>
      </c>
      <c r="O10062" s="1" t="s">
        <v>68</v>
      </c>
    </row>
    <row r="10063" spans="1:15" ht="43.2" x14ac:dyDescent="0.3">
      <c r="A10063" s="1" t="s">
        <v>19462</v>
      </c>
      <c r="B10063" s="1" t="str">
        <f>"stephen mort"</f>
        <v>stephen mort</v>
      </c>
      <c r="C10063" s="1" t="s">
        <v>19460</v>
      </c>
      <c r="D10063" s="1" t="s">
        <v>19461</v>
      </c>
      <c r="F10063" s="1" t="s">
        <v>13023</v>
      </c>
      <c r="H10063" s="1" t="s">
        <v>13024</v>
      </c>
      <c r="I10063" s="1" t="s">
        <v>5</v>
      </c>
      <c r="J10063" s="1" t="s">
        <v>67</v>
      </c>
      <c r="K10063" s="1" t="s">
        <v>14</v>
      </c>
      <c r="M10063" s="2">
        <v>41866</v>
      </c>
      <c r="N10063" s="1" t="s">
        <v>8</v>
      </c>
      <c r="O10063" s="1" t="s">
        <v>68</v>
      </c>
    </row>
    <row r="10064" spans="1:15" ht="43.2" x14ac:dyDescent="0.3">
      <c r="A10064" s="1" t="s">
        <v>20228</v>
      </c>
      <c r="B10064" s="1" t="str">
        <f>"Ian Gould"</f>
        <v>Ian Gould</v>
      </c>
      <c r="C10064" s="1" t="s">
        <v>20229</v>
      </c>
      <c r="D10064" s="1" t="s">
        <v>2580</v>
      </c>
      <c r="F10064" s="1" t="s">
        <v>162</v>
      </c>
      <c r="H10064" s="1" t="s">
        <v>20230</v>
      </c>
      <c r="I10064" s="1" t="s">
        <v>5</v>
      </c>
      <c r="J10064" s="1" t="s">
        <v>67</v>
      </c>
      <c r="K10064" s="1" t="s">
        <v>14</v>
      </c>
      <c r="M10064" s="2">
        <v>41866</v>
      </c>
      <c r="N10064" s="1" t="s">
        <v>8</v>
      </c>
      <c r="O10064" s="1" t="s">
        <v>68</v>
      </c>
    </row>
    <row r="10065" spans="1:15" ht="43.2" x14ac:dyDescent="0.3">
      <c r="A10065" s="1" t="s">
        <v>4417</v>
      </c>
      <c r="B10065" s="1" t="str">
        <f>"Commercial Flooring Uk Ltd"</f>
        <v>Commercial Flooring Uk Ltd</v>
      </c>
      <c r="C10065" s="1" t="s">
        <v>4418</v>
      </c>
      <c r="D10065" s="1" t="s">
        <v>4419</v>
      </c>
      <c r="F10065" s="1" t="s">
        <v>42</v>
      </c>
      <c r="H10065" s="1" t="s">
        <v>4420</v>
      </c>
      <c r="I10065" s="1" t="s">
        <v>19</v>
      </c>
      <c r="J10065" s="1" t="s">
        <v>67</v>
      </c>
      <c r="K10065" s="1" t="s">
        <v>14</v>
      </c>
      <c r="M10065" s="2">
        <v>41865</v>
      </c>
      <c r="N10065" s="1" t="s">
        <v>8</v>
      </c>
      <c r="O10065" s="1" t="s">
        <v>68</v>
      </c>
    </row>
    <row r="10066" spans="1:15" ht="43.2" x14ac:dyDescent="0.3">
      <c r="A10066" s="1" t="s">
        <v>4421</v>
      </c>
      <c r="B10066" s="1" t="str">
        <f>"HI GLO HEATING "</f>
        <v xml:space="preserve">HI GLO HEATING </v>
      </c>
      <c r="C10066" s="1" t="s">
        <v>4422</v>
      </c>
      <c r="D10066" s="1" t="s">
        <v>4423</v>
      </c>
      <c r="F10066" s="1" t="s">
        <v>4423</v>
      </c>
      <c r="H10066" s="1" t="s">
        <v>4424</v>
      </c>
      <c r="I10066" s="1" t="s">
        <v>19</v>
      </c>
      <c r="J10066" s="1" t="s">
        <v>67</v>
      </c>
      <c r="K10066" s="1" t="s">
        <v>14</v>
      </c>
      <c r="M10066" s="2">
        <v>41865</v>
      </c>
      <c r="N10066" s="1" t="s">
        <v>8</v>
      </c>
      <c r="O10066" s="1" t="s">
        <v>68</v>
      </c>
    </row>
    <row r="10067" spans="1:15" ht="43.2" x14ac:dyDescent="0.3">
      <c r="A10067" s="1" t="s">
        <v>4425</v>
      </c>
      <c r="B10067" s="1" t="str">
        <f>"LLanrumney Medical Group"</f>
        <v>LLanrumney Medical Group</v>
      </c>
      <c r="C10067" s="1" t="s">
        <v>4426</v>
      </c>
      <c r="D10067" s="1" t="s">
        <v>4427</v>
      </c>
      <c r="F10067" s="1" t="s">
        <v>123</v>
      </c>
      <c r="H10067" s="1" t="s">
        <v>4428</v>
      </c>
      <c r="I10067" s="1" t="s">
        <v>125</v>
      </c>
      <c r="J10067" s="1" t="s">
        <v>67</v>
      </c>
      <c r="K10067" s="1" t="s">
        <v>14</v>
      </c>
      <c r="M10067" s="2">
        <v>41865</v>
      </c>
      <c r="N10067" s="1" t="s">
        <v>8</v>
      </c>
      <c r="O10067" s="1" t="s">
        <v>68</v>
      </c>
    </row>
    <row r="10068" spans="1:15" ht="43.2" x14ac:dyDescent="0.3">
      <c r="A10068" s="1" t="s">
        <v>19444</v>
      </c>
      <c r="B10068" s="1" t="str">
        <f>"ALED HUGHES"</f>
        <v>ALED HUGHES</v>
      </c>
      <c r="C10068" s="1" t="s">
        <v>19445</v>
      </c>
      <c r="D10068" s="1" t="s">
        <v>19446</v>
      </c>
      <c r="F10068" s="1" t="s">
        <v>19446</v>
      </c>
      <c r="H10068" s="1" t="s">
        <v>19447</v>
      </c>
      <c r="I10068" s="1" t="s">
        <v>5</v>
      </c>
      <c r="J10068" s="1" t="s">
        <v>67</v>
      </c>
      <c r="K10068" s="1" t="s">
        <v>14</v>
      </c>
      <c r="M10068" s="2">
        <v>41865</v>
      </c>
      <c r="N10068" s="1" t="s">
        <v>8</v>
      </c>
      <c r="O10068" s="1" t="s">
        <v>68</v>
      </c>
    </row>
    <row r="10069" spans="1:15" ht="43.2" x14ac:dyDescent="0.3">
      <c r="A10069" s="1" t="s">
        <v>19448</v>
      </c>
      <c r="B10069" s="1" t="str">
        <f>"Trevor Higginbottom"</f>
        <v>Trevor Higginbottom</v>
      </c>
      <c r="C10069" s="1" t="s">
        <v>19449</v>
      </c>
      <c r="F10069" s="1" t="s">
        <v>19450</v>
      </c>
      <c r="H10069" s="1" t="s">
        <v>19451</v>
      </c>
      <c r="I10069" s="1" t="s">
        <v>5</v>
      </c>
      <c r="J10069" s="1" t="s">
        <v>67</v>
      </c>
      <c r="K10069" s="1" t="s">
        <v>14</v>
      </c>
      <c r="M10069" s="2">
        <v>41865</v>
      </c>
      <c r="N10069" s="1" t="s">
        <v>8</v>
      </c>
      <c r="O10069" s="1" t="s">
        <v>68</v>
      </c>
    </row>
    <row r="10070" spans="1:15" ht="43.2" x14ac:dyDescent="0.3">
      <c r="A10070" s="1" t="s">
        <v>19452</v>
      </c>
      <c r="B10070" s="1" t="str">
        <f>"anna chalabi"</f>
        <v>anna chalabi</v>
      </c>
      <c r="C10070" s="1" t="s">
        <v>19453</v>
      </c>
      <c r="D10070" s="1" t="s">
        <v>123</v>
      </c>
      <c r="F10070" s="1" t="s">
        <v>123</v>
      </c>
      <c r="H10070" s="1" t="s">
        <v>19454</v>
      </c>
      <c r="I10070" s="1" t="s">
        <v>5</v>
      </c>
      <c r="J10070" s="1" t="s">
        <v>67</v>
      </c>
      <c r="K10070" s="1" t="s">
        <v>14</v>
      </c>
      <c r="M10070" s="2">
        <v>41865</v>
      </c>
      <c r="N10070" s="1" t="s">
        <v>8</v>
      </c>
      <c r="O10070" s="1" t="s">
        <v>68</v>
      </c>
    </row>
    <row r="10071" spans="1:15" ht="43.2" x14ac:dyDescent="0.3">
      <c r="A10071" s="1" t="s">
        <v>3300</v>
      </c>
      <c r="B10071" s="1" t="str">
        <f>"International Greetings UK Ltd"</f>
        <v>International Greetings UK Ltd</v>
      </c>
      <c r="C10071" s="1" t="s">
        <v>3301</v>
      </c>
      <c r="D10071" s="1" t="s">
        <v>3302</v>
      </c>
      <c r="F10071" s="1" t="s">
        <v>364</v>
      </c>
      <c r="H10071" s="1" t="s">
        <v>3303</v>
      </c>
      <c r="I10071" s="1" t="s">
        <v>19</v>
      </c>
      <c r="J10071" s="1" t="s">
        <v>67</v>
      </c>
      <c r="K10071" s="1" t="s">
        <v>14</v>
      </c>
      <c r="M10071" s="2">
        <v>41864</v>
      </c>
      <c r="N10071" s="1" t="s">
        <v>8</v>
      </c>
      <c r="O10071" s="1" t="s">
        <v>68</v>
      </c>
    </row>
    <row r="10072" spans="1:15" ht="43.2" x14ac:dyDescent="0.3">
      <c r="A10072" s="1" t="s">
        <v>4413</v>
      </c>
      <c r="B10072" s="1" t="str">
        <f>"PJ Ryan Construction "</f>
        <v xml:space="preserve">PJ Ryan Construction </v>
      </c>
      <c r="C10072" s="1" t="s">
        <v>4414</v>
      </c>
      <c r="F10072" s="1" t="s">
        <v>4415</v>
      </c>
      <c r="H10072" s="1" t="s">
        <v>4416</v>
      </c>
      <c r="I10072" s="1" t="s">
        <v>19</v>
      </c>
      <c r="J10072" s="1" t="s">
        <v>67</v>
      </c>
      <c r="K10072" s="1" t="s">
        <v>14</v>
      </c>
      <c r="M10072" s="2">
        <v>41864</v>
      </c>
      <c r="N10072" s="1" t="s">
        <v>8</v>
      </c>
      <c r="O10072" s="1" t="s">
        <v>68</v>
      </c>
    </row>
    <row r="10073" spans="1:15" ht="43.2" x14ac:dyDescent="0.3">
      <c r="A10073" s="1" t="s">
        <v>19440</v>
      </c>
      <c r="B10073" s="1" t="str">
        <f>"Pauline Hastings"</f>
        <v>Pauline Hastings</v>
      </c>
      <c r="C10073" s="1" t="s">
        <v>19441</v>
      </c>
      <c r="F10073" s="1" t="s">
        <v>3242</v>
      </c>
      <c r="H10073" s="1" t="s">
        <v>19442</v>
      </c>
      <c r="I10073" s="1" t="s">
        <v>5</v>
      </c>
      <c r="J10073" s="1" t="s">
        <v>67</v>
      </c>
      <c r="K10073" s="1" t="s">
        <v>14</v>
      </c>
      <c r="M10073" s="2">
        <v>41864</v>
      </c>
      <c r="N10073" s="1" t="s">
        <v>8</v>
      </c>
      <c r="O10073" s="1" t="s">
        <v>68</v>
      </c>
    </row>
    <row r="10074" spans="1:15" ht="43.2" x14ac:dyDescent="0.3">
      <c r="A10074" s="1" t="s">
        <v>19443</v>
      </c>
      <c r="B10074" s="1" t="str">
        <f>"Pauline Hastings"</f>
        <v>Pauline Hastings</v>
      </c>
      <c r="C10074" s="1" t="s">
        <v>19441</v>
      </c>
      <c r="F10074" s="1" t="s">
        <v>3242</v>
      </c>
      <c r="H10074" s="1" t="s">
        <v>19442</v>
      </c>
      <c r="I10074" s="1" t="s">
        <v>5</v>
      </c>
      <c r="J10074" s="1" t="s">
        <v>67</v>
      </c>
      <c r="K10074" s="1" t="s">
        <v>14</v>
      </c>
      <c r="M10074" s="2">
        <v>41864</v>
      </c>
      <c r="N10074" s="1" t="s">
        <v>8</v>
      </c>
      <c r="O10074" s="1" t="s">
        <v>68</v>
      </c>
    </row>
    <row r="10075" spans="1:15" ht="43.2" x14ac:dyDescent="0.3">
      <c r="A10075" s="1" t="s">
        <v>3289</v>
      </c>
      <c r="B10075" s="1" t="str">
        <f>"Taff Vale Practice"</f>
        <v>Taff Vale Practice</v>
      </c>
      <c r="C10075" s="1" t="s">
        <v>3290</v>
      </c>
      <c r="D10075" s="1" t="s">
        <v>276</v>
      </c>
      <c r="F10075" s="1" t="s">
        <v>277</v>
      </c>
      <c r="H10075" s="1" t="s">
        <v>278</v>
      </c>
      <c r="I10075" s="1" t="s">
        <v>125</v>
      </c>
      <c r="J10075" s="1" t="s">
        <v>67</v>
      </c>
      <c r="K10075" s="1" t="s">
        <v>14</v>
      </c>
      <c r="M10075" s="2">
        <v>41863</v>
      </c>
      <c r="N10075" s="1" t="s">
        <v>8</v>
      </c>
      <c r="O10075" s="1" t="s">
        <v>68</v>
      </c>
    </row>
    <row r="10076" spans="1:15" ht="43.2" x14ac:dyDescent="0.3">
      <c r="A10076" s="1" t="s">
        <v>3291</v>
      </c>
      <c r="B10076" s="1" t="str">
        <f>"Groundwork Caerphilly"</f>
        <v>Groundwork Caerphilly</v>
      </c>
      <c r="C10076" s="1" t="s">
        <v>3292</v>
      </c>
      <c r="F10076" s="1" t="s">
        <v>1341</v>
      </c>
      <c r="H10076" s="1" t="s">
        <v>3293</v>
      </c>
      <c r="I10076" s="1" t="s">
        <v>1872</v>
      </c>
      <c r="J10076" s="1" t="s">
        <v>67</v>
      </c>
      <c r="K10076" s="1" t="s">
        <v>14</v>
      </c>
      <c r="M10076" s="2">
        <v>41863</v>
      </c>
      <c r="N10076" s="1" t="s">
        <v>8</v>
      </c>
      <c r="O10076" s="1" t="s">
        <v>68</v>
      </c>
    </row>
    <row r="10077" spans="1:15" ht="43.2" x14ac:dyDescent="0.3">
      <c r="A10077" s="1" t="s">
        <v>3294</v>
      </c>
      <c r="B10077" s="1" t="str">
        <f>"Airpro Systems Holdings"</f>
        <v>Airpro Systems Holdings</v>
      </c>
      <c r="C10077" s="1" t="s">
        <v>3295</v>
      </c>
      <c r="F10077" s="1" t="s">
        <v>123</v>
      </c>
      <c r="H10077" s="1" t="s">
        <v>3296</v>
      </c>
      <c r="I10077" s="1" t="s">
        <v>125</v>
      </c>
      <c r="J10077" s="1" t="s">
        <v>67</v>
      </c>
      <c r="K10077" s="1" t="s">
        <v>14</v>
      </c>
      <c r="M10077" s="2">
        <v>41863</v>
      </c>
      <c r="N10077" s="1" t="s">
        <v>8</v>
      </c>
      <c r="O10077" s="1" t="s">
        <v>68</v>
      </c>
    </row>
    <row r="10078" spans="1:15" ht="43.2" x14ac:dyDescent="0.3">
      <c r="A10078" s="1" t="s">
        <v>3297</v>
      </c>
      <c r="B10078" s="1" t="str">
        <f>"Lliswerry Medical Centre"</f>
        <v>Lliswerry Medical Centre</v>
      </c>
      <c r="C10078" s="1" t="s">
        <v>3298</v>
      </c>
      <c r="F10078" s="1" t="s">
        <v>156</v>
      </c>
      <c r="H10078" s="1" t="s">
        <v>3299</v>
      </c>
      <c r="I10078" s="1" t="s">
        <v>125</v>
      </c>
      <c r="J10078" s="1" t="s">
        <v>67</v>
      </c>
      <c r="K10078" s="1" t="s">
        <v>14</v>
      </c>
      <c r="M10078" s="2">
        <v>41863</v>
      </c>
      <c r="N10078" s="1" t="s">
        <v>8</v>
      </c>
      <c r="O10078" s="1" t="s">
        <v>68</v>
      </c>
    </row>
    <row r="10079" spans="1:15" ht="43.2" x14ac:dyDescent="0.3">
      <c r="A10079" s="1" t="s">
        <v>18596</v>
      </c>
      <c r="B10079" s="1" t="str">
        <f>"Colin Patterson"</f>
        <v>Colin Patterson</v>
      </c>
      <c r="C10079" s="1" t="s">
        <v>18597</v>
      </c>
      <c r="F10079" s="1" t="s">
        <v>37</v>
      </c>
      <c r="H10079" s="1" t="s">
        <v>18598</v>
      </c>
      <c r="I10079" s="1" t="s">
        <v>5</v>
      </c>
      <c r="J10079" s="1" t="s">
        <v>67</v>
      </c>
      <c r="K10079" s="1" t="s">
        <v>14</v>
      </c>
      <c r="M10079" s="2">
        <v>41863</v>
      </c>
      <c r="N10079" s="1" t="s">
        <v>8</v>
      </c>
      <c r="O10079" s="1" t="s">
        <v>68</v>
      </c>
    </row>
    <row r="10080" spans="1:15" ht="43.2" x14ac:dyDescent="0.3">
      <c r="A10080" s="1" t="s">
        <v>18599</v>
      </c>
      <c r="B10080" s="1" t="str">
        <f>"Christopher Brown"</f>
        <v>Christopher Brown</v>
      </c>
      <c r="C10080" s="1" t="s">
        <v>18600</v>
      </c>
      <c r="D10080" s="1" t="s">
        <v>156</v>
      </c>
      <c r="F10080" s="1" t="s">
        <v>1240</v>
      </c>
      <c r="H10080" s="1" t="s">
        <v>18601</v>
      </c>
      <c r="I10080" s="1" t="s">
        <v>5</v>
      </c>
      <c r="J10080" s="1" t="s">
        <v>67</v>
      </c>
      <c r="K10080" s="1" t="s">
        <v>14</v>
      </c>
      <c r="M10080" s="2">
        <v>41863</v>
      </c>
      <c r="N10080" s="1" t="s">
        <v>8</v>
      </c>
      <c r="O10080" s="1" t="s">
        <v>68</v>
      </c>
    </row>
    <row r="10081" spans="1:15" ht="43.2" x14ac:dyDescent="0.3">
      <c r="A10081" s="1" t="s">
        <v>18602</v>
      </c>
      <c r="B10081" s="1" t="str">
        <f>"Andrew Jones"</f>
        <v>Andrew Jones</v>
      </c>
      <c r="C10081" s="1" t="s">
        <v>18603</v>
      </c>
      <c r="F10081" s="1" t="s">
        <v>1400</v>
      </c>
      <c r="H10081" s="1" t="s">
        <v>18604</v>
      </c>
      <c r="I10081" s="1" t="s">
        <v>5</v>
      </c>
      <c r="J10081" s="1" t="s">
        <v>67</v>
      </c>
      <c r="K10081" s="1" t="s">
        <v>14</v>
      </c>
      <c r="M10081" s="2">
        <v>41863</v>
      </c>
      <c r="N10081" s="1" t="s">
        <v>8</v>
      </c>
      <c r="O10081" s="1" t="s">
        <v>68</v>
      </c>
    </row>
    <row r="10082" spans="1:15" ht="43.2" x14ac:dyDescent="0.3">
      <c r="A10082" s="1" t="s">
        <v>3280</v>
      </c>
      <c r="B10082" s="1" t="str">
        <f>"Arncliffe Arms Ltd"</f>
        <v>Arncliffe Arms Ltd</v>
      </c>
      <c r="C10082" s="1" t="s">
        <v>3281</v>
      </c>
      <c r="D10082" s="1" t="s">
        <v>3282</v>
      </c>
      <c r="F10082" s="1" t="s">
        <v>3283</v>
      </c>
      <c r="H10082" s="1" t="s">
        <v>3284</v>
      </c>
      <c r="I10082" s="1" t="s">
        <v>19</v>
      </c>
      <c r="J10082" s="1" t="s">
        <v>67</v>
      </c>
      <c r="K10082" s="1" t="s">
        <v>14</v>
      </c>
      <c r="M10082" s="2">
        <v>41862</v>
      </c>
      <c r="N10082" s="1" t="s">
        <v>8</v>
      </c>
      <c r="O10082" s="1" t="s">
        <v>68</v>
      </c>
    </row>
    <row r="10083" spans="1:15" ht="43.2" x14ac:dyDescent="0.3">
      <c r="A10083" s="1" t="s">
        <v>3285</v>
      </c>
      <c r="B10083" s="1" t="str">
        <f>"Quidex Ltd"</f>
        <v>Quidex Ltd</v>
      </c>
      <c r="C10083" s="1" t="s">
        <v>3286</v>
      </c>
      <c r="D10083" s="1" t="s">
        <v>3287</v>
      </c>
      <c r="F10083" s="1" t="s">
        <v>64</v>
      </c>
      <c r="H10083" s="1" t="s">
        <v>3288</v>
      </c>
      <c r="I10083" s="1" t="s">
        <v>19</v>
      </c>
      <c r="J10083" s="1" t="s">
        <v>67</v>
      </c>
      <c r="K10083" s="1" t="s">
        <v>14</v>
      </c>
      <c r="M10083" s="2">
        <v>41862</v>
      </c>
      <c r="N10083" s="1" t="s">
        <v>8</v>
      </c>
      <c r="O10083" s="1" t="s">
        <v>68</v>
      </c>
    </row>
    <row r="10084" spans="1:15" ht="43.2" x14ac:dyDescent="0.3">
      <c r="A10084" s="1" t="s">
        <v>18582</v>
      </c>
      <c r="B10084" s="1" t="str">
        <f>"Stephen Matthews"</f>
        <v>Stephen Matthews</v>
      </c>
      <c r="C10084" s="1" t="s">
        <v>18583</v>
      </c>
      <c r="D10084" s="1" t="s">
        <v>1206</v>
      </c>
      <c r="F10084" s="1" t="s">
        <v>162</v>
      </c>
      <c r="H10084" s="1" t="s">
        <v>18584</v>
      </c>
      <c r="I10084" s="1" t="s">
        <v>5</v>
      </c>
      <c r="J10084" s="1" t="s">
        <v>67</v>
      </c>
      <c r="K10084" s="1" t="s">
        <v>14</v>
      </c>
      <c r="M10084" s="2">
        <v>41862</v>
      </c>
      <c r="N10084" s="1" t="s">
        <v>8</v>
      </c>
      <c r="O10084" s="1" t="s">
        <v>68</v>
      </c>
    </row>
    <row r="10085" spans="1:15" ht="43.2" x14ac:dyDescent="0.3">
      <c r="A10085" s="1" t="s">
        <v>18585</v>
      </c>
      <c r="B10085" s="1" t="str">
        <f>"John Roberts"</f>
        <v>John Roberts</v>
      </c>
      <c r="C10085" s="1" t="s">
        <v>18586</v>
      </c>
      <c r="D10085" s="1" t="s">
        <v>151</v>
      </c>
      <c r="F10085" s="1" t="s">
        <v>6084</v>
      </c>
      <c r="H10085" s="1" t="s">
        <v>18587</v>
      </c>
      <c r="I10085" s="1" t="s">
        <v>5</v>
      </c>
      <c r="J10085" s="1" t="s">
        <v>67</v>
      </c>
      <c r="K10085" s="1" t="s">
        <v>14</v>
      </c>
      <c r="M10085" s="2">
        <v>41862</v>
      </c>
      <c r="N10085" s="1" t="s">
        <v>8</v>
      </c>
      <c r="O10085" s="1" t="s">
        <v>68</v>
      </c>
    </row>
    <row r="10086" spans="1:15" ht="43.2" x14ac:dyDescent="0.3">
      <c r="A10086" s="1" t="s">
        <v>18588</v>
      </c>
      <c r="B10086" s="1" t="str">
        <f>"michael  Melbourne"</f>
        <v>michael  Melbourne</v>
      </c>
      <c r="C10086" s="1" t="s">
        <v>18589</v>
      </c>
      <c r="F10086" s="1" t="s">
        <v>18590</v>
      </c>
      <c r="H10086" s="1" t="s">
        <v>18591</v>
      </c>
      <c r="I10086" s="1" t="s">
        <v>5</v>
      </c>
      <c r="J10086" s="1" t="s">
        <v>67</v>
      </c>
      <c r="K10086" s="1" t="s">
        <v>14</v>
      </c>
      <c r="M10086" s="2">
        <v>41862</v>
      </c>
      <c r="N10086" s="1" t="s">
        <v>8</v>
      </c>
      <c r="O10086" s="1" t="s">
        <v>68</v>
      </c>
    </row>
    <row r="10087" spans="1:15" ht="43.2" x14ac:dyDescent="0.3">
      <c r="A10087" s="1" t="s">
        <v>18592</v>
      </c>
      <c r="B10087" s="1" t="str">
        <f>"Mike Wrona"</f>
        <v>Mike Wrona</v>
      </c>
      <c r="C10087" s="1" t="s">
        <v>18593</v>
      </c>
      <c r="D10087" s="1" t="s">
        <v>18594</v>
      </c>
      <c r="F10087" s="1" t="s">
        <v>1093</v>
      </c>
      <c r="H10087" s="1" t="s">
        <v>18595</v>
      </c>
      <c r="I10087" s="1" t="s">
        <v>5</v>
      </c>
      <c r="J10087" s="1" t="s">
        <v>67</v>
      </c>
      <c r="K10087" s="1" t="s">
        <v>14</v>
      </c>
      <c r="M10087" s="2">
        <v>41862</v>
      </c>
      <c r="N10087" s="1" t="s">
        <v>8</v>
      </c>
      <c r="O10087" s="1" t="s">
        <v>68</v>
      </c>
    </row>
    <row r="10088" spans="1:15" ht="43.2" x14ac:dyDescent="0.3">
      <c r="A10088" s="1" t="s">
        <v>18055</v>
      </c>
      <c r="B10088" s="1" t="str">
        <f>"MCS Building &amp; Design Ltd"</f>
        <v>MCS Building &amp; Design Ltd</v>
      </c>
      <c r="C10088" s="1" t="s">
        <v>18056</v>
      </c>
      <c r="D10088" s="1" t="s">
        <v>18057</v>
      </c>
      <c r="F10088" s="1" t="s">
        <v>123</v>
      </c>
      <c r="H10088" s="1" t="s">
        <v>18058</v>
      </c>
      <c r="I10088" s="1" t="s">
        <v>19</v>
      </c>
      <c r="J10088" s="1" t="s">
        <v>67</v>
      </c>
      <c r="K10088" s="1" t="s">
        <v>14</v>
      </c>
      <c r="M10088" s="2">
        <v>41859</v>
      </c>
      <c r="N10088" s="1" t="s">
        <v>8</v>
      </c>
      <c r="O10088" s="1" t="s">
        <v>68</v>
      </c>
    </row>
    <row r="10089" spans="1:15" ht="43.2" x14ac:dyDescent="0.3">
      <c r="A10089" s="1" t="s">
        <v>18059</v>
      </c>
      <c r="B10089" s="1" t="str">
        <f>"Management Learning Resources Ltd"</f>
        <v>Management Learning Resources Ltd</v>
      </c>
      <c r="C10089" s="1" t="s">
        <v>18060</v>
      </c>
      <c r="F10089" s="1" t="s">
        <v>56</v>
      </c>
      <c r="H10089" s="1" t="s">
        <v>18061</v>
      </c>
      <c r="I10089" s="1" t="s">
        <v>19</v>
      </c>
      <c r="J10089" s="1" t="s">
        <v>67</v>
      </c>
      <c r="K10089" s="1" t="s">
        <v>14</v>
      </c>
      <c r="M10089" s="2">
        <v>41859</v>
      </c>
      <c r="N10089" s="1" t="s">
        <v>8</v>
      </c>
      <c r="O10089" s="1" t="s">
        <v>68</v>
      </c>
    </row>
    <row r="10090" spans="1:15" ht="43.2" x14ac:dyDescent="0.3">
      <c r="A10090" s="1" t="s">
        <v>18579</v>
      </c>
      <c r="B10090" s="1" t="str">
        <f>"Catalin Romica Samis"</f>
        <v>Catalin Romica Samis</v>
      </c>
      <c r="C10090" s="1" t="s">
        <v>18580</v>
      </c>
      <c r="F10090" s="1" t="s">
        <v>64</v>
      </c>
      <c r="H10090" s="1" t="s">
        <v>18581</v>
      </c>
      <c r="I10090" s="1" t="s">
        <v>5</v>
      </c>
      <c r="J10090" s="1" t="s">
        <v>67</v>
      </c>
      <c r="K10090" s="1" t="s">
        <v>14</v>
      </c>
      <c r="M10090" s="2">
        <v>41859</v>
      </c>
      <c r="N10090" s="1" t="s">
        <v>8</v>
      </c>
      <c r="O10090" s="1" t="s">
        <v>68</v>
      </c>
    </row>
    <row r="10091" spans="1:15" ht="43.2" x14ac:dyDescent="0.3">
      <c r="A10091" s="1" t="s">
        <v>29733</v>
      </c>
      <c r="B10091" s="1" t="str">
        <f>"Robyn Jones"</f>
        <v>Robyn Jones</v>
      </c>
      <c r="C10091" s="1" t="s">
        <v>29734</v>
      </c>
      <c r="D10091" s="1" t="s">
        <v>5463</v>
      </c>
      <c r="F10091" s="1" t="s">
        <v>7961</v>
      </c>
      <c r="H10091" s="1" t="s">
        <v>29735</v>
      </c>
      <c r="I10091" s="1" t="s">
        <v>5</v>
      </c>
      <c r="J10091" s="1" t="s">
        <v>67</v>
      </c>
      <c r="K10091" s="1" t="s">
        <v>14</v>
      </c>
      <c r="M10091" s="2">
        <v>41859</v>
      </c>
      <c r="N10091" s="1" t="s">
        <v>8</v>
      </c>
      <c r="O10091" s="1" t="s">
        <v>68</v>
      </c>
    </row>
    <row r="10092" spans="1:15" ht="43.2" x14ac:dyDescent="0.3">
      <c r="A10092" s="1" t="s">
        <v>29730</v>
      </c>
      <c r="B10092" s="1" t="str">
        <f>"Edward Gerwyn Thomas"</f>
        <v>Edward Gerwyn Thomas</v>
      </c>
      <c r="C10092" s="1" t="s">
        <v>29731</v>
      </c>
      <c r="F10092" s="1" t="s">
        <v>1005</v>
      </c>
      <c r="H10092" s="1" t="s">
        <v>29732</v>
      </c>
      <c r="I10092" s="1" t="s">
        <v>5</v>
      </c>
      <c r="J10092" s="1" t="s">
        <v>67</v>
      </c>
      <c r="K10092" s="1" t="s">
        <v>14</v>
      </c>
      <c r="M10092" s="2">
        <v>41858</v>
      </c>
      <c r="N10092" s="1" t="s">
        <v>8</v>
      </c>
      <c r="O10092" s="1" t="s">
        <v>68</v>
      </c>
    </row>
    <row r="10093" spans="1:15" ht="43.2" x14ac:dyDescent="0.3">
      <c r="A10093" s="1" t="s">
        <v>18044</v>
      </c>
      <c r="B10093" s="1" t="str">
        <f>"wales air ambulance"</f>
        <v>wales air ambulance</v>
      </c>
      <c r="C10093" s="1" t="s">
        <v>18045</v>
      </c>
      <c r="F10093" s="1" t="s">
        <v>1525</v>
      </c>
      <c r="H10093" s="1" t="s">
        <v>18046</v>
      </c>
      <c r="I10093" s="1" t="s">
        <v>1872</v>
      </c>
      <c r="J10093" s="1" t="s">
        <v>67</v>
      </c>
      <c r="K10093" s="1" t="s">
        <v>14</v>
      </c>
      <c r="M10093" s="2">
        <v>41857</v>
      </c>
      <c r="N10093" s="1" t="s">
        <v>8</v>
      </c>
      <c r="O10093" s="1" t="s">
        <v>68</v>
      </c>
    </row>
    <row r="10094" spans="1:15" ht="43.2" x14ac:dyDescent="0.3">
      <c r="A10094" s="1" t="s">
        <v>18047</v>
      </c>
      <c r="B10094" s="1" t="str">
        <f>"Radnorshire Wildlife Trust"</f>
        <v>Radnorshire Wildlife Trust</v>
      </c>
      <c r="C10094" s="1" t="s">
        <v>18048</v>
      </c>
      <c r="F10094" s="1" t="s">
        <v>798</v>
      </c>
      <c r="H10094" s="1" t="s">
        <v>799</v>
      </c>
      <c r="I10094" s="1" t="s">
        <v>1872</v>
      </c>
      <c r="J10094" s="1" t="s">
        <v>67</v>
      </c>
      <c r="K10094" s="1" t="s">
        <v>14</v>
      </c>
      <c r="M10094" s="2">
        <v>41857</v>
      </c>
      <c r="N10094" s="1" t="s">
        <v>8</v>
      </c>
      <c r="O10094" s="1" t="s">
        <v>68</v>
      </c>
    </row>
    <row r="10095" spans="1:15" ht="43.2" x14ac:dyDescent="0.3">
      <c r="A10095" s="1" t="s">
        <v>18049</v>
      </c>
      <c r="B10095" s="1" t="str">
        <f>"Radnorshire Wildlife Trust"</f>
        <v>Radnorshire Wildlife Trust</v>
      </c>
      <c r="C10095" s="1" t="s">
        <v>18048</v>
      </c>
      <c r="F10095" s="1" t="s">
        <v>798</v>
      </c>
      <c r="H10095" s="1" t="s">
        <v>799</v>
      </c>
      <c r="I10095" s="1" t="s">
        <v>1872</v>
      </c>
      <c r="J10095" s="1" t="s">
        <v>67</v>
      </c>
      <c r="K10095" s="1" t="s">
        <v>14</v>
      </c>
      <c r="M10095" s="2">
        <v>41857</v>
      </c>
      <c r="N10095" s="1" t="s">
        <v>8</v>
      </c>
      <c r="O10095" s="1" t="s">
        <v>68</v>
      </c>
    </row>
    <row r="10096" spans="1:15" ht="43.2" x14ac:dyDescent="0.3">
      <c r="A10096" s="1" t="s">
        <v>18050</v>
      </c>
      <c r="B10096" s="1" t="str">
        <f>"marli constructio "</f>
        <v xml:space="preserve">marli constructio </v>
      </c>
      <c r="C10096" s="1" t="s">
        <v>18051</v>
      </c>
      <c r="D10096" s="1" t="s">
        <v>18052</v>
      </c>
      <c r="F10096" s="1" t="s">
        <v>18053</v>
      </c>
      <c r="H10096" s="1" t="s">
        <v>18054</v>
      </c>
      <c r="I10096" s="1" t="s">
        <v>19</v>
      </c>
      <c r="J10096" s="1" t="s">
        <v>67</v>
      </c>
      <c r="K10096" s="1" t="s">
        <v>14</v>
      </c>
      <c r="M10096" s="2">
        <v>41857</v>
      </c>
      <c r="N10096" s="1" t="s">
        <v>8</v>
      </c>
      <c r="O10096" s="1" t="s">
        <v>68</v>
      </c>
    </row>
    <row r="10097" spans="1:15" ht="43.2" x14ac:dyDescent="0.3">
      <c r="A10097" s="1" t="s">
        <v>29710</v>
      </c>
      <c r="B10097" s="1" t="str">
        <f>"John Hughes"</f>
        <v>John Hughes</v>
      </c>
      <c r="C10097" s="1" t="s">
        <v>29711</v>
      </c>
      <c r="F10097" s="1" t="s">
        <v>29712</v>
      </c>
      <c r="H10097" s="1" t="s">
        <v>29713</v>
      </c>
      <c r="I10097" s="1" t="s">
        <v>5</v>
      </c>
      <c r="J10097" s="1" t="s">
        <v>67</v>
      </c>
      <c r="K10097" s="1" t="s">
        <v>14</v>
      </c>
      <c r="M10097" s="2">
        <v>41857</v>
      </c>
      <c r="N10097" s="1" t="s">
        <v>8</v>
      </c>
      <c r="O10097" s="1" t="s">
        <v>68</v>
      </c>
    </row>
    <row r="10098" spans="1:15" ht="43.2" x14ac:dyDescent="0.3">
      <c r="A10098" s="1" t="s">
        <v>29714</v>
      </c>
      <c r="B10098" s="1" t="str">
        <f>"John Hughes"</f>
        <v>John Hughes</v>
      </c>
      <c r="C10098" s="1" t="s">
        <v>29711</v>
      </c>
      <c r="F10098" s="1" t="s">
        <v>29712</v>
      </c>
      <c r="H10098" s="1" t="s">
        <v>29713</v>
      </c>
      <c r="I10098" s="1" t="s">
        <v>5</v>
      </c>
      <c r="J10098" s="1" t="s">
        <v>67</v>
      </c>
      <c r="K10098" s="1" t="s">
        <v>14</v>
      </c>
      <c r="M10098" s="2">
        <v>41857</v>
      </c>
      <c r="N10098" s="1" t="s">
        <v>8</v>
      </c>
      <c r="O10098" s="1" t="s">
        <v>68</v>
      </c>
    </row>
    <row r="10099" spans="1:15" ht="43.2" x14ac:dyDescent="0.3">
      <c r="A10099" s="1" t="s">
        <v>29715</v>
      </c>
      <c r="B10099" s="1" t="str">
        <f>"Cai Ross"</f>
        <v>Cai Ross</v>
      </c>
      <c r="C10099" s="1" t="s">
        <v>29716</v>
      </c>
      <c r="D10099" s="1" t="s">
        <v>5518</v>
      </c>
      <c r="F10099" s="1" t="s">
        <v>7222</v>
      </c>
      <c r="H10099" s="1" t="s">
        <v>3405</v>
      </c>
      <c r="I10099" s="1" t="s">
        <v>5</v>
      </c>
      <c r="J10099" s="1" t="s">
        <v>67</v>
      </c>
      <c r="K10099" s="1" t="s">
        <v>14</v>
      </c>
      <c r="M10099" s="2">
        <v>41857</v>
      </c>
      <c r="N10099" s="1" t="s">
        <v>8</v>
      </c>
      <c r="O10099" s="1" t="s">
        <v>68</v>
      </c>
    </row>
    <row r="10100" spans="1:15" ht="43.2" x14ac:dyDescent="0.3">
      <c r="A10100" s="1" t="s">
        <v>29717</v>
      </c>
      <c r="B10100" s="1" t="str">
        <f>"Kevin Falvey"</f>
        <v>Kevin Falvey</v>
      </c>
      <c r="C10100" s="1" t="s">
        <v>29718</v>
      </c>
      <c r="D10100" s="1" t="s">
        <v>29719</v>
      </c>
      <c r="F10100" s="1" t="s">
        <v>9541</v>
      </c>
      <c r="H10100" s="1" t="s">
        <v>29720</v>
      </c>
      <c r="I10100" s="1" t="s">
        <v>5</v>
      </c>
      <c r="J10100" s="1" t="s">
        <v>67</v>
      </c>
      <c r="K10100" s="1" t="s">
        <v>14</v>
      </c>
      <c r="M10100" s="2">
        <v>41857</v>
      </c>
      <c r="N10100" s="1" t="s">
        <v>8</v>
      </c>
      <c r="O10100" s="1" t="s">
        <v>68</v>
      </c>
    </row>
    <row r="10101" spans="1:15" ht="43.2" x14ac:dyDescent="0.3">
      <c r="A10101" s="1" t="s">
        <v>29721</v>
      </c>
      <c r="B10101" s="1" t="str">
        <f>"Owen Brockway"</f>
        <v>Owen Brockway</v>
      </c>
      <c r="C10101" s="1" t="s">
        <v>29722</v>
      </c>
      <c r="D10101" s="1" t="s">
        <v>29723</v>
      </c>
      <c r="F10101" s="1" t="s">
        <v>491</v>
      </c>
      <c r="H10101" s="1" t="s">
        <v>29724</v>
      </c>
      <c r="I10101" s="1" t="s">
        <v>5</v>
      </c>
      <c r="J10101" s="1" t="s">
        <v>67</v>
      </c>
      <c r="K10101" s="1" t="s">
        <v>14</v>
      </c>
      <c r="M10101" s="2">
        <v>41857</v>
      </c>
      <c r="N10101" s="1" t="s">
        <v>8</v>
      </c>
      <c r="O10101" s="1" t="s">
        <v>68</v>
      </c>
    </row>
    <row r="10102" spans="1:15" ht="43.2" x14ac:dyDescent="0.3">
      <c r="A10102" s="1" t="s">
        <v>29725</v>
      </c>
      <c r="B10102" s="1" t="str">
        <f>"David Badger"</f>
        <v>David Badger</v>
      </c>
      <c r="C10102" s="1" t="s">
        <v>29726</v>
      </c>
      <c r="D10102" s="1" t="s">
        <v>29727</v>
      </c>
      <c r="F10102" s="1" t="s">
        <v>2686</v>
      </c>
      <c r="H10102" s="1" t="s">
        <v>29728</v>
      </c>
      <c r="I10102" s="1" t="s">
        <v>5</v>
      </c>
      <c r="J10102" s="1" t="s">
        <v>67</v>
      </c>
      <c r="K10102" s="1" t="s">
        <v>14</v>
      </c>
      <c r="M10102" s="2">
        <v>41857</v>
      </c>
      <c r="N10102" s="1" t="s">
        <v>8</v>
      </c>
      <c r="O10102" s="1" t="s">
        <v>68</v>
      </c>
    </row>
    <row r="10103" spans="1:15" ht="43.2" x14ac:dyDescent="0.3">
      <c r="A10103" s="1" t="s">
        <v>29729</v>
      </c>
      <c r="B10103" s="1" t="str">
        <f>"David Badger"</f>
        <v>David Badger</v>
      </c>
      <c r="C10103" s="1" t="s">
        <v>29726</v>
      </c>
      <c r="D10103" s="1" t="s">
        <v>29727</v>
      </c>
      <c r="F10103" s="1" t="s">
        <v>2686</v>
      </c>
      <c r="H10103" s="1" t="s">
        <v>29728</v>
      </c>
      <c r="I10103" s="1" t="s">
        <v>5</v>
      </c>
      <c r="J10103" s="1" t="s">
        <v>67</v>
      </c>
      <c r="K10103" s="1" t="s">
        <v>14</v>
      </c>
      <c r="M10103" s="2">
        <v>41857</v>
      </c>
      <c r="N10103" s="1" t="s">
        <v>8</v>
      </c>
      <c r="O10103" s="1" t="s">
        <v>68</v>
      </c>
    </row>
    <row r="10104" spans="1:15" ht="43.2" x14ac:dyDescent="0.3">
      <c r="A10104" s="1" t="s">
        <v>17007</v>
      </c>
      <c r="B10104" s="1" t="str">
        <f>"Derwas of Welshpool Ltd"</f>
        <v>Derwas of Welshpool Ltd</v>
      </c>
      <c r="C10104" s="1" t="s">
        <v>17008</v>
      </c>
      <c r="F10104" s="1" t="s">
        <v>2459</v>
      </c>
      <c r="H10104" s="1" t="s">
        <v>2880</v>
      </c>
      <c r="I10104" s="1" t="s">
        <v>19</v>
      </c>
      <c r="J10104" s="1" t="s">
        <v>67</v>
      </c>
      <c r="K10104" s="1" t="s">
        <v>14</v>
      </c>
      <c r="M10104" s="2">
        <v>41856</v>
      </c>
      <c r="N10104" s="1" t="s">
        <v>8</v>
      </c>
      <c r="O10104" s="1" t="s">
        <v>68</v>
      </c>
    </row>
    <row r="10105" spans="1:15" ht="43.2" x14ac:dyDescent="0.3">
      <c r="A10105" s="1" t="s">
        <v>17009</v>
      </c>
      <c r="B10105" s="1" t="str">
        <f>"Derwas of Welshpool Ltd"</f>
        <v>Derwas of Welshpool Ltd</v>
      </c>
      <c r="C10105" s="1" t="s">
        <v>17008</v>
      </c>
      <c r="F10105" s="1" t="s">
        <v>2459</v>
      </c>
      <c r="H10105" s="1" t="s">
        <v>2880</v>
      </c>
      <c r="I10105" s="1" t="s">
        <v>19</v>
      </c>
      <c r="J10105" s="1" t="s">
        <v>67</v>
      </c>
      <c r="K10105" s="1" t="s">
        <v>14</v>
      </c>
      <c r="M10105" s="2">
        <v>41856</v>
      </c>
      <c r="N10105" s="1" t="s">
        <v>8</v>
      </c>
      <c r="O10105" s="1" t="s">
        <v>68</v>
      </c>
    </row>
    <row r="10106" spans="1:15" ht="43.2" x14ac:dyDescent="0.3">
      <c r="A10106" s="1" t="s">
        <v>28970</v>
      </c>
      <c r="B10106" s="1" t="str">
        <f>"Sharon Anderson"</f>
        <v>Sharon Anderson</v>
      </c>
      <c r="C10106" s="1" t="s">
        <v>28971</v>
      </c>
      <c r="F10106" s="1" t="s">
        <v>2459</v>
      </c>
      <c r="H10106" s="1" t="s">
        <v>28972</v>
      </c>
      <c r="I10106" s="1" t="s">
        <v>5</v>
      </c>
      <c r="J10106" s="1" t="s">
        <v>67</v>
      </c>
      <c r="K10106" s="1" t="s">
        <v>14</v>
      </c>
      <c r="M10106" s="2">
        <v>41856</v>
      </c>
      <c r="N10106" s="1" t="s">
        <v>8</v>
      </c>
      <c r="O10106" s="1" t="s">
        <v>68</v>
      </c>
    </row>
    <row r="10107" spans="1:15" ht="43.2" x14ac:dyDescent="0.3">
      <c r="A10107" s="1" t="s">
        <v>28973</v>
      </c>
      <c r="B10107" s="1" t="str">
        <f>"Sharon Anderson"</f>
        <v>Sharon Anderson</v>
      </c>
      <c r="C10107" s="1" t="s">
        <v>28971</v>
      </c>
      <c r="F10107" s="1" t="s">
        <v>2459</v>
      </c>
      <c r="H10107" s="1" t="s">
        <v>28972</v>
      </c>
      <c r="I10107" s="1" t="s">
        <v>5</v>
      </c>
      <c r="J10107" s="1" t="s">
        <v>67</v>
      </c>
      <c r="K10107" s="1" t="s">
        <v>14</v>
      </c>
      <c r="M10107" s="2">
        <v>41856</v>
      </c>
      <c r="N10107" s="1" t="s">
        <v>8</v>
      </c>
      <c r="O10107" s="1" t="s">
        <v>68</v>
      </c>
    </row>
    <row r="10108" spans="1:15" ht="43.2" x14ac:dyDescent="0.3">
      <c r="A10108" s="1" t="s">
        <v>16999</v>
      </c>
      <c r="B10108" s="1" t="str">
        <f>"Bowling Club"</f>
        <v>Bowling Club</v>
      </c>
      <c r="C10108" s="1" t="s">
        <v>17000</v>
      </c>
      <c r="D10108" s="1" t="s">
        <v>17001</v>
      </c>
      <c r="F10108" s="1" t="s">
        <v>1206</v>
      </c>
      <c r="H10108" s="1" t="s">
        <v>17002</v>
      </c>
      <c r="I10108" s="1" t="s">
        <v>1872</v>
      </c>
      <c r="J10108" s="1" t="s">
        <v>67</v>
      </c>
      <c r="K10108" s="1" t="s">
        <v>14</v>
      </c>
      <c r="M10108" s="2">
        <v>41855</v>
      </c>
      <c r="N10108" s="1" t="s">
        <v>8</v>
      </c>
      <c r="O10108" s="1" t="s">
        <v>68</v>
      </c>
    </row>
    <row r="10109" spans="1:15" ht="43.2" x14ac:dyDescent="0.3">
      <c r="A10109" s="1" t="s">
        <v>17003</v>
      </c>
      <c r="B10109" s="1" t="str">
        <f>"Marl Hall Outdoor Education Centre"</f>
        <v>Marl Hall Outdoor Education Centre</v>
      </c>
      <c r="C10109" s="1" t="s">
        <v>17004</v>
      </c>
      <c r="F10109" s="1" t="s">
        <v>17005</v>
      </c>
      <c r="H10109" s="1" t="s">
        <v>17006</v>
      </c>
      <c r="I10109" s="1" t="s">
        <v>188</v>
      </c>
      <c r="J10109" s="1" t="s">
        <v>67</v>
      </c>
      <c r="K10109" s="1" t="s">
        <v>14</v>
      </c>
      <c r="M10109" s="2">
        <v>41855</v>
      </c>
      <c r="N10109" s="1" t="s">
        <v>8</v>
      </c>
      <c r="O10109" s="1" t="s">
        <v>68</v>
      </c>
    </row>
    <row r="10110" spans="1:15" ht="43.2" x14ac:dyDescent="0.3">
      <c r="A10110" s="1" t="s">
        <v>16996</v>
      </c>
      <c r="B10110" s="1" t="str">
        <f>"Cardiff Rivers Group"</f>
        <v>Cardiff Rivers Group</v>
      </c>
      <c r="C10110" s="1" t="s">
        <v>16997</v>
      </c>
      <c r="F10110" s="1" t="s">
        <v>123</v>
      </c>
      <c r="H10110" s="1" t="s">
        <v>16998</v>
      </c>
      <c r="I10110" s="1" t="s">
        <v>1872</v>
      </c>
      <c r="J10110" s="1" t="s">
        <v>67</v>
      </c>
      <c r="K10110" s="1" t="s">
        <v>14</v>
      </c>
      <c r="M10110" s="2">
        <v>41854</v>
      </c>
      <c r="N10110" s="1" t="s">
        <v>8</v>
      </c>
      <c r="O10110" s="1" t="s">
        <v>68</v>
      </c>
    </row>
    <row r="10111" spans="1:15" ht="43.2" x14ac:dyDescent="0.3">
      <c r="A10111" s="1" t="s">
        <v>28967</v>
      </c>
      <c r="B10111" s="1" t="str">
        <f>"John Hall"</f>
        <v>John Hall</v>
      </c>
      <c r="C10111" s="1" t="s">
        <v>28968</v>
      </c>
      <c r="F10111" s="1" t="s">
        <v>19408</v>
      </c>
      <c r="H10111" s="1" t="s">
        <v>28969</v>
      </c>
      <c r="I10111" s="1" t="s">
        <v>5</v>
      </c>
      <c r="J10111" s="1" t="s">
        <v>67</v>
      </c>
      <c r="K10111" s="1" t="s">
        <v>14</v>
      </c>
      <c r="M10111" s="2">
        <v>41853</v>
      </c>
      <c r="N10111" s="1" t="s">
        <v>8</v>
      </c>
      <c r="O10111" s="1" t="s">
        <v>68</v>
      </c>
    </row>
    <row r="10112" spans="1:15" ht="43.2" x14ac:dyDescent="0.3">
      <c r="A10112" s="1" t="s">
        <v>16043</v>
      </c>
      <c r="B10112" s="1" t="str">
        <f>"Make A Green Team"</f>
        <v>Make A Green Team</v>
      </c>
      <c r="C10112" s="1" t="s">
        <v>16044</v>
      </c>
      <c r="F10112" s="1" t="s">
        <v>16045</v>
      </c>
      <c r="H10112" s="1" t="s">
        <v>16046</v>
      </c>
      <c r="I10112" s="1" t="s">
        <v>1872</v>
      </c>
      <c r="J10112" s="1" t="s">
        <v>67</v>
      </c>
      <c r="K10112" s="1" t="s">
        <v>14</v>
      </c>
      <c r="M10112" s="2">
        <v>41852</v>
      </c>
      <c r="N10112" s="1" t="s">
        <v>8</v>
      </c>
      <c r="O10112" s="1" t="s">
        <v>68</v>
      </c>
    </row>
    <row r="10113" spans="1:15" ht="43.2" x14ac:dyDescent="0.3">
      <c r="A10113" s="1" t="s">
        <v>16990</v>
      </c>
      <c r="B10113" s="1" t="str">
        <f>"Acorn Chemical Services Limited"</f>
        <v>Acorn Chemical Services Limited</v>
      </c>
      <c r="C10113" s="1" t="s">
        <v>16991</v>
      </c>
      <c r="F10113" s="1" t="s">
        <v>32</v>
      </c>
      <c r="H10113" s="1" t="s">
        <v>5859</v>
      </c>
      <c r="I10113" s="1" t="s">
        <v>19</v>
      </c>
      <c r="J10113" s="1" t="s">
        <v>67</v>
      </c>
      <c r="K10113" s="1" t="s">
        <v>14</v>
      </c>
      <c r="M10113" s="2">
        <v>41852</v>
      </c>
      <c r="N10113" s="1" t="s">
        <v>8</v>
      </c>
      <c r="O10113" s="1" t="s">
        <v>68</v>
      </c>
    </row>
    <row r="10114" spans="1:15" ht="43.2" x14ac:dyDescent="0.3">
      <c r="A10114" s="1" t="s">
        <v>16992</v>
      </c>
      <c r="B10114" s="1" t="str">
        <f>"L&amp;D Installations"</f>
        <v>L&amp;D Installations</v>
      </c>
      <c r="C10114" s="1" t="s">
        <v>16993</v>
      </c>
      <c r="F10114" s="1" t="s">
        <v>16994</v>
      </c>
      <c r="H10114" s="1" t="s">
        <v>16995</v>
      </c>
      <c r="I10114" s="1" t="s">
        <v>125</v>
      </c>
      <c r="J10114" s="1" t="s">
        <v>67</v>
      </c>
      <c r="K10114" s="1" t="s">
        <v>14</v>
      </c>
      <c r="M10114" s="2">
        <v>41852</v>
      </c>
      <c r="N10114" s="1" t="s">
        <v>8</v>
      </c>
      <c r="O10114" s="1" t="s">
        <v>68</v>
      </c>
    </row>
    <row r="10115" spans="1:15" ht="43.2" x14ac:dyDescent="0.3">
      <c r="A10115" s="1" t="s">
        <v>28957</v>
      </c>
      <c r="B10115" s="1" t="str">
        <f>"Kevin Claridge"</f>
        <v>Kevin Claridge</v>
      </c>
      <c r="C10115" s="1" t="s">
        <v>28958</v>
      </c>
      <c r="F10115" s="1" t="s">
        <v>5409</v>
      </c>
      <c r="H10115" s="1" t="s">
        <v>28959</v>
      </c>
      <c r="I10115" s="1" t="s">
        <v>5</v>
      </c>
      <c r="J10115" s="1" t="s">
        <v>67</v>
      </c>
      <c r="K10115" s="1" t="s">
        <v>14</v>
      </c>
      <c r="M10115" s="2">
        <v>41852</v>
      </c>
      <c r="N10115" s="1" t="s">
        <v>8</v>
      </c>
      <c r="O10115" s="1" t="s">
        <v>68</v>
      </c>
    </row>
    <row r="10116" spans="1:15" ht="43.2" x14ac:dyDescent="0.3">
      <c r="A10116" s="1" t="s">
        <v>28960</v>
      </c>
      <c r="B10116" s="1" t="str">
        <f>"Lorraine Brunt"</f>
        <v>Lorraine Brunt</v>
      </c>
      <c r="C10116" s="1" t="s">
        <v>28961</v>
      </c>
      <c r="F10116" s="1" t="s">
        <v>11041</v>
      </c>
      <c r="H10116" s="1" t="s">
        <v>28962</v>
      </c>
      <c r="I10116" s="1" t="s">
        <v>5</v>
      </c>
      <c r="J10116" s="1" t="s">
        <v>67</v>
      </c>
      <c r="K10116" s="1" t="s">
        <v>14</v>
      </c>
      <c r="M10116" s="2">
        <v>41852</v>
      </c>
      <c r="N10116" s="1" t="s">
        <v>8</v>
      </c>
      <c r="O10116" s="1" t="s">
        <v>68</v>
      </c>
    </row>
    <row r="10117" spans="1:15" ht="43.2" x14ac:dyDescent="0.3">
      <c r="A10117" s="1" t="s">
        <v>28963</v>
      </c>
      <c r="B10117" s="1" t="str">
        <f>"kevin claridge"</f>
        <v>kevin claridge</v>
      </c>
      <c r="C10117" s="1" t="s">
        <v>28964</v>
      </c>
      <c r="F10117" s="1" t="s">
        <v>28965</v>
      </c>
      <c r="H10117" s="1" t="s">
        <v>28966</v>
      </c>
      <c r="I10117" s="1" t="s">
        <v>5</v>
      </c>
      <c r="J10117" s="1" t="s">
        <v>67</v>
      </c>
      <c r="K10117" s="1" t="s">
        <v>14</v>
      </c>
      <c r="M10117" s="2">
        <v>41852</v>
      </c>
      <c r="N10117" s="1" t="s">
        <v>8</v>
      </c>
      <c r="O10117" s="1" t="s">
        <v>68</v>
      </c>
    </row>
    <row r="10118" spans="1:15" ht="43.2" x14ac:dyDescent="0.3">
      <c r="A10118" s="1" t="s">
        <v>16028</v>
      </c>
      <c r="B10118" s="1" t="str">
        <f>"carmarthen accident repair centre ltd"</f>
        <v>carmarthen accident repair centre ltd</v>
      </c>
      <c r="C10118" s="1" t="s">
        <v>16029</v>
      </c>
      <c r="D10118" s="1" t="s">
        <v>16030</v>
      </c>
      <c r="F10118" s="1" t="s">
        <v>16031</v>
      </c>
      <c r="H10118" s="1" t="s">
        <v>16032</v>
      </c>
      <c r="I10118" s="1" t="s">
        <v>19</v>
      </c>
      <c r="J10118" s="1" t="s">
        <v>67</v>
      </c>
      <c r="K10118" s="1" t="s">
        <v>14</v>
      </c>
      <c r="M10118" s="2">
        <v>41851</v>
      </c>
      <c r="N10118" s="1" t="s">
        <v>8</v>
      </c>
      <c r="O10118" s="1" t="s">
        <v>68</v>
      </c>
    </row>
    <row r="10119" spans="1:15" ht="43.2" x14ac:dyDescent="0.3">
      <c r="A10119" s="1" t="s">
        <v>16033</v>
      </c>
      <c r="B10119" s="1" t="str">
        <f>"Hafod Housing Association Limited"</f>
        <v>Hafod Housing Association Limited</v>
      </c>
      <c r="C10119" s="1" t="s">
        <v>3207</v>
      </c>
      <c r="F10119" s="1" t="s">
        <v>123</v>
      </c>
      <c r="H10119" s="1" t="s">
        <v>3209</v>
      </c>
      <c r="I10119" s="1" t="s">
        <v>1872</v>
      </c>
      <c r="J10119" s="1" t="s">
        <v>67</v>
      </c>
      <c r="K10119" s="1" t="s">
        <v>14</v>
      </c>
      <c r="M10119" s="2">
        <v>41851</v>
      </c>
      <c r="N10119" s="1" t="s">
        <v>8</v>
      </c>
      <c r="O10119" s="1" t="s">
        <v>68</v>
      </c>
    </row>
    <row r="10120" spans="1:15" ht="43.2" x14ac:dyDescent="0.3">
      <c r="A10120" s="1" t="s">
        <v>16034</v>
      </c>
      <c r="B10120" s="1" t="str">
        <f>"Carmarthenshire County Council"</f>
        <v>Carmarthenshire County Council</v>
      </c>
      <c r="C10120" s="1" t="s">
        <v>16035</v>
      </c>
      <c r="F10120" s="1" t="s">
        <v>56</v>
      </c>
      <c r="H10120" s="1" t="s">
        <v>16036</v>
      </c>
      <c r="I10120" s="1" t="s">
        <v>188</v>
      </c>
      <c r="J10120" s="1" t="s">
        <v>67</v>
      </c>
      <c r="K10120" s="1" t="s">
        <v>14</v>
      </c>
      <c r="M10120" s="2">
        <v>41851</v>
      </c>
      <c r="N10120" s="1" t="s">
        <v>8</v>
      </c>
      <c r="O10120" s="1" t="s">
        <v>68</v>
      </c>
    </row>
    <row r="10121" spans="1:15" ht="43.2" x14ac:dyDescent="0.3">
      <c r="A10121" s="1" t="s">
        <v>16037</v>
      </c>
      <c r="B10121" s="1" t="str">
        <f>"NHC Technology Ltd"</f>
        <v>NHC Technology Ltd</v>
      </c>
      <c r="C10121" s="1" t="s">
        <v>16038</v>
      </c>
      <c r="D10121" s="1" t="s">
        <v>922</v>
      </c>
      <c r="F10121" s="1" t="s">
        <v>73</v>
      </c>
      <c r="H10121" s="1" t="s">
        <v>16039</v>
      </c>
      <c r="I10121" s="1" t="s">
        <v>19</v>
      </c>
      <c r="J10121" s="1" t="s">
        <v>67</v>
      </c>
      <c r="K10121" s="1" t="s">
        <v>14</v>
      </c>
      <c r="M10121" s="2">
        <v>41851</v>
      </c>
      <c r="N10121" s="1" t="s">
        <v>8</v>
      </c>
      <c r="O10121" s="1" t="s">
        <v>68</v>
      </c>
    </row>
    <row r="10122" spans="1:15" ht="57.6" x14ac:dyDescent="0.3">
      <c r="A10122" s="1" t="s">
        <v>16040</v>
      </c>
      <c r="B10122" s="1" t="str">
        <f>"North Wales Housing Association Cymdeithas Tai Gogledd Cymru Limited"</f>
        <v>North Wales Housing Association Cymdeithas Tai Gogledd Cymru Limited</v>
      </c>
      <c r="C10122" s="1" t="s">
        <v>16041</v>
      </c>
      <c r="F10122" s="1" t="s">
        <v>3052</v>
      </c>
      <c r="H10122" s="1" t="s">
        <v>16042</v>
      </c>
      <c r="I10122" s="1" t="s">
        <v>1872</v>
      </c>
      <c r="J10122" s="1" t="s">
        <v>67</v>
      </c>
      <c r="K10122" s="1" t="s">
        <v>14</v>
      </c>
      <c r="M10122" s="2">
        <v>41851</v>
      </c>
      <c r="N10122" s="1" t="s">
        <v>8</v>
      </c>
      <c r="O10122" s="1" t="s">
        <v>68</v>
      </c>
    </row>
    <row r="10123" spans="1:15" ht="43.2" x14ac:dyDescent="0.3">
      <c r="A10123" s="1" t="s">
        <v>28177</v>
      </c>
      <c r="B10123" s="1" t="str">
        <f>"P F Sweeney"</f>
        <v>P F Sweeney</v>
      </c>
      <c r="C10123" s="1" t="s">
        <v>28178</v>
      </c>
      <c r="D10123" s="1" t="s">
        <v>1206</v>
      </c>
      <c r="F10123" s="1" t="s">
        <v>162</v>
      </c>
      <c r="H10123" s="1" t="s">
        <v>18584</v>
      </c>
      <c r="I10123" s="1" t="s">
        <v>5</v>
      </c>
      <c r="J10123" s="1" t="s">
        <v>67</v>
      </c>
      <c r="K10123" s="1" t="s">
        <v>14</v>
      </c>
      <c r="M10123" s="2">
        <v>41851</v>
      </c>
      <c r="N10123" s="1" t="s">
        <v>8</v>
      </c>
      <c r="O10123" s="1" t="s">
        <v>68</v>
      </c>
    </row>
    <row r="10124" spans="1:15" ht="43.2" x14ac:dyDescent="0.3">
      <c r="A10124" s="1" t="s">
        <v>28179</v>
      </c>
      <c r="B10124" s="1" t="str">
        <f>"Ian Corstorphine"</f>
        <v>Ian Corstorphine</v>
      </c>
      <c r="C10124" s="1" t="s">
        <v>28180</v>
      </c>
      <c r="F10124" s="1" t="s">
        <v>3465</v>
      </c>
      <c r="H10124" s="1" t="s">
        <v>12205</v>
      </c>
      <c r="I10124" s="1" t="s">
        <v>5</v>
      </c>
      <c r="J10124" s="1" t="s">
        <v>67</v>
      </c>
      <c r="K10124" s="1" t="s">
        <v>14</v>
      </c>
      <c r="M10124" s="2">
        <v>41851</v>
      </c>
      <c r="N10124" s="1" t="s">
        <v>8</v>
      </c>
      <c r="O10124" s="1" t="s">
        <v>68</v>
      </c>
    </row>
    <row r="10125" spans="1:15" ht="43.2" x14ac:dyDescent="0.3">
      <c r="A10125" s="1" t="s">
        <v>28181</v>
      </c>
      <c r="B10125" s="1" t="str">
        <f>"JOHN C WILLIAMS"</f>
        <v>JOHN C WILLIAMS</v>
      </c>
      <c r="C10125" s="1" t="s">
        <v>28182</v>
      </c>
      <c r="D10125" s="1" t="s">
        <v>28183</v>
      </c>
      <c r="F10125" s="1" t="s">
        <v>3684</v>
      </c>
      <c r="H10125" s="1" t="s">
        <v>18598</v>
      </c>
      <c r="I10125" s="1" t="s">
        <v>5</v>
      </c>
      <c r="J10125" s="1" t="s">
        <v>67</v>
      </c>
      <c r="K10125" s="1" t="s">
        <v>14</v>
      </c>
      <c r="M10125" s="2">
        <v>41851</v>
      </c>
      <c r="N10125" s="1" t="s">
        <v>8</v>
      </c>
      <c r="O10125" s="1" t="s">
        <v>68</v>
      </c>
    </row>
    <row r="10126" spans="1:15" ht="43.2" x14ac:dyDescent="0.3">
      <c r="A10126" s="1" t="s">
        <v>15054</v>
      </c>
      <c r="B10126" s="1" t="str">
        <f>"Merthyr Tydfil County Borough Council"</f>
        <v>Merthyr Tydfil County Borough Council</v>
      </c>
      <c r="C10126" s="1" t="s">
        <v>11401</v>
      </c>
      <c r="F10126" s="1" t="s">
        <v>556</v>
      </c>
      <c r="H10126" s="1" t="s">
        <v>11402</v>
      </c>
      <c r="I10126" s="1" t="s">
        <v>188</v>
      </c>
      <c r="J10126" s="1" t="s">
        <v>67</v>
      </c>
      <c r="K10126" s="1" t="s">
        <v>14</v>
      </c>
      <c r="M10126" s="2">
        <v>41850</v>
      </c>
      <c r="N10126" s="1" t="s">
        <v>8</v>
      </c>
      <c r="O10126" s="1" t="s">
        <v>68</v>
      </c>
    </row>
    <row r="10127" spans="1:15" ht="43.2" x14ac:dyDescent="0.3">
      <c r="A10127" s="1" t="s">
        <v>15055</v>
      </c>
      <c r="B10127" s="1" t="str">
        <f>"Green Horizons merthyr ltd"</f>
        <v>Green Horizons merthyr ltd</v>
      </c>
      <c r="C10127" s="1" t="s">
        <v>15056</v>
      </c>
      <c r="D10127" s="1" t="s">
        <v>15057</v>
      </c>
      <c r="F10127" s="1" t="s">
        <v>3754</v>
      </c>
      <c r="H10127" s="1" t="s">
        <v>13375</v>
      </c>
      <c r="I10127" s="1" t="s">
        <v>19</v>
      </c>
      <c r="J10127" s="1" t="s">
        <v>67</v>
      </c>
      <c r="K10127" s="1" t="s">
        <v>14</v>
      </c>
      <c r="M10127" s="2">
        <v>41850</v>
      </c>
      <c r="N10127" s="1" t="s">
        <v>8</v>
      </c>
      <c r="O10127" s="1" t="s">
        <v>68</v>
      </c>
    </row>
    <row r="10128" spans="1:15" ht="43.2" x14ac:dyDescent="0.3">
      <c r="A10128" s="1" t="s">
        <v>16016</v>
      </c>
      <c r="B10128" s="1" t="str">
        <f>"Resource Renew"</f>
        <v>Resource Renew</v>
      </c>
      <c r="C10128" s="1" t="s">
        <v>16017</v>
      </c>
      <c r="F10128" s="1" t="s">
        <v>16018</v>
      </c>
      <c r="H10128" s="1" t="s">
        <v>6452</v>
      </c>
      <c r="I10128" s="1" t="s">
        <v>1872</v>
      </c>
      <c r="J10128" s="1" t="s">
        <v>67</v>
      </c>
      <c r="K10128" s="1" t="s">
        <v>14</v>
      </c>
      <c r="M10128" s="2">
        <v>41850</v>
      </c>
      <c r="N10128" s="1" t="s">
        <v>8</v>
      </c>
      <c r="O10128" s="1" t="s">
        <v>68</v>
      </c>
    </row>
    <row r="10129" spans="1:15" ht="43.2" x14ac:dyDescent="0.3">
      <c r="A10129" s="1" t="s">
        <v>16019</v>
      </c>
      <c r="B10129" s="1" t="str">
        <f>"Campaign for the Protection of Rural Wales"</f>
        <v>Campaign for the Protection of Rural Wales</v>
      </c>
      <c r="C10129" s="1" t="s">
        <v>16020</v>
      </c>
      <c r="F10129" s="1" t="s">
        <v>2459</v>
      </c>
      <c r="H10129" s="1" t="s">
        <v>16021</v>
      </c>
      <c r="I10129" s="1" t="s">
        <v>1872</v>
      </c>
      <c r="J10129" s="1" t="s">
        <v>67</v>
      </c>
      <c r="K10129" s="1" t="s">
        <v>14</v>
      </c>
      <c r="M10129" s="2">
        <v>41850</v>
      </c>
      <c r="N10129" s="1" t="s">
        <v>8</v>
      </c>
      <c r="O10129" s="1" t="s">
        <v>68</v>
      </c>
    </row>
    <row r="10130" spans="1:15" ht="43.2" x14ac:dyDescent="0.3">
      <c r="A10130" s="1" t="s">
        <v>16022</v>
      </c>
      <c r="B10130" s="1" t="str">
        <f>"Fire and Security Alarms Ltd"</f>
        <v>Fire and Security Alarms Ltd</v>
      </c>
      <c r="C10130" s="1" t="s">
        <v>16023</v>
      </c>
      <c r="D10130" s="1" t="s">
        <v>95</v>
      </c>
      <c r="F10130" s="1" t="s">
        <v>56</v>
      </c>
      <c r="H10130" s="1" t="s">
        <v>1270</v>
      </c>
      <c r="I10130" s="1" t="s">
        <v>19</v>
      </c>
      <c r="J10130" s="1" t="s">
        <v>67</v>
      </c>
      <c r="K10130" s="1" t="s">
        <v>14</v>
      </c>
      <c r="M10130" s="2">
        <v>41850</v>
      </c>
      <c r="N10130" s="1" t="s">
        <v>8</v>
      </c>
      <c r="O10130" s="1" t="s">
        <v>68</v>
      </c>
    </row>
    <row r="10131" spans="1:15" ht="43.2" x14ac:dyDescent="0.3">
      <c r="A10131" s="1" t="s">
        <v>16024</v>
      </c>
      <c r="B10131" s="1" t="str">
        <f>"Fire and Security Alarms Ltd"</f>
        <v>Fire and Security Alarms Ltd</v>
      </c>
      <c r="C10131" s="1" t="s">
        <v>16023</v>
      </c>
      <c r="D10131" s="1" t="s">
        <v>95</v>
      </c>
      <c r="F10131" s="1" t="s">
        <v>56</v>
      </c>
      <c r="H10131" s="1" t="s">
        <v>1270</v>
      </c>
      <c r="I10131" s="1" t="s">
        <v>19</v>
      </c>
      <c r="J10131" s="1" t="s">
        <v>67</v>
      </c>
      <c r="K10131" s="1" t="s">
        <v>14</v>
      </c>
      <c r="M10131" s="2">
        <v>41850</v>
      </c>
      <c r="N10131" s="1" t="s">
        <v>8</v>
      </c>
      <c r="O10131" s="1" t="s">
        <v>68</v>
      </c>
    </row>
    <row r="10132" spans="1:15" ht="43.2" x14ac:dyDescent="0.3">
      <c r="A10132" s="1" t="s">
        <v>16025</v>
      </c>
      <c r="B10132" s="1" t="str">
        <f>"horse and hoof limited"</f>
        <v>horse and hoof limited</v>
      </c>
      <c r="C10132" s="1" t="s">
        <v>16026</v>
      </c>
      <c r="F10132" s="1" t="s">
        <v>16027</v>
      </c>
      <c r="H10132" s="1" t="s">
        <v>5179</v>
      </c>
      <c r="I10132" s="1" t="s">
        <v>19</v>
      </c>
      <c r="J10132" s="1" t="s">
        <v>67</v>
      </c>
      <c r="K10132" s="1" t="s">
        <v>14</v>
      </c>
      <c r="M10132" s="2">
        <v>41850</v>
      </c>
      <c r="N10132" s="1" t="s">
        <v>8</v>
      </c>
      <c r="O10132" s="1" t="s">
        <v>68</v>
      </c>
    </row>
    <row r="10133" spans="1:15" ht="43.2" x14ac:dyDescent="0.3">
      <c r="A10133" s="1" t="s">
        <v>27408</v>
      </c>
      <c r="B10133" s="1" t="str">
        <f>"bryn jones"</f>
        <v>bryn jones</v>
      </c>
      <c r="C10133" s="1" t="s">
        <v>27409</v>
      </c>
      <c r="F10133" s="1" t="s">
        <v>27410</v>
      </c>
      <c r="H10133" s="1" t="s">
        <v>27411</v>
      </c>
      <c r="I10133" s="1" t="s">
        <v>5</v>
      </c>
      <c r="J10133" s="1" t="s">
        <v>67</v>
      </c>
      <c r="K10133" s="1" t="s">
        <v>14</v>
      </c>
      <c r="M10133" s="2">
        <v>41850</v>
      </c>
      <c r="N10133" s="1" t="s">
        <v>8</v>
      </c>
      <c r="O10133" s="1" t="s">
        <v>68</v>
      </c>
    </row>
    <row r="10134" spans="1:15" ht="43.2" x14ac:dyDescent="0.3">
      <c r="A10134" s="1" t="s">
        <v>28169</v>
      </c>
      <c r="B10134" s="1" t="str">
        <f>"nigel baker"</f>
        <v>nigel baker</v>
      </c>
      <c r="C10134" s="1" t="s">
        <v>28170</v>
      </c>
      <c r="D10134" s="1" t="s">
        <v>28171</v>
      </c>
      <c r="F10134" s="1" t="s">
        <v>28171</v>
      </c>
      <c r="H10134" s="1" t="s">
        <v>28172</v>
      </c>
      <c r="I10134" s="1" t="s">
        <v>5</v>
      </c>
      <c r="J10134" s="1" t="s">
        <v>67</v>
      </c>
      <c r="K10134" s="1" t="s">
        <v>14</v>
      </c>
      <c r="M10134" s="2">
        <v>41850</v>
      </c>
      <c r="N10134" s="1" t="s">
        <v>8</v>
      </c>
      <c r="O10134" s="1" t="s">
        <v>68</v>
      </c>
    </row>
    <row r="10135" spans="1:15" ht="43.2" x14ac:dyDescent="0.3">
      <c r="A10135" s="1" t="s">
        <v>28173</v>
      </c>
      <c r="B10135" s="1" t="str">
        <f>"jeff lloyd"</f>
        <v>jeff lloyd</v>
      </c>
      <c r="C10135" s="1" t="s">
        <v>28174</v>
      </c>
      <c r="F10135" s="1" t="s">
        <v>28175</v>
      </c>
      <c r="H10135" s="1" t="s">
        <v>28176</v>
      </c>
      <c r="I10135" s="1" t="s">
        <v>5</v>
      </c>
      <c r="J10135" s="1" t="s">
        <v>67</v>
      </c>
      <c r="K10135" s="1" t="s">
        <v>14</v>
      </c>
      <c r="M10135" s="2">
        <v>41850</v>
      </c>
      <c r="N10135" s="1" t="s">
        <v>8</v>
      </c>
      <c r="O10135" s="1" t="s">
        <v>68</v>
      </c>
    </row>
    <row r="10136" spans="1:15" ht="43.2" x14ac:dyDescent="0.3">
      <c r="A10136" s="1" t="s">
        <v>15045</v>
      </c>
      <c r="B10136" s="1" t="str">
        <f>"BFL Electrical Ltd"</f>
        <v>BFL Electrical Ltd</v>
      </c>
      <c r="C10136" s="1" t="s">
        <v>15046</v>
      </c>
      <c r="D10136" s="1" t="s">
        <v>7521</v>
      </c>
      <c r="F10136" s="1" t="s">
        <v>564</v>
      </c>
      <c r="H10136" s="1" t="s">
        <v>15047</v>
      </c>
      <c r="I10136" s="1" t="s">
        <v>19</v>
      </c>
      <c r="J10136" s="1" t="s">
        <v>67</v>
      </c>
      <c r="K10136" s="1" t="s">
        <v>14</v>
      </c>
      <c r="M10136" s="2">
        <v>41849</v>
      </c>
      <c r="N10136" s="1" t="s">
        <v>8</v>
      </c>
      <c r="O10136" s="1" t="s">
        <v>68</v>
      </c>
    </row>
    <row r="10137" spans="1:15" ht="43.2" x14ac:dyDescent="0.3">
      <c r="A10137" s="1" t="s">
        <v>15048</v>
      </c>
      <c r="B10137" s="1" t="str">
        <f>"Going Green Energy "</f>
        <v xml:space="preserve">Going Green Energy </v>
      </c>
      <c r="C10137" s="1" t="s">
        <v>15049</v>
      </c>
      <c r="D10137" s="1" t="s">
        <v>706</v>
      </c>
      <c r="F10137" s="1" t="s">
        <v>706</v>
      </c>
      <c r="H10137" s="1" t="s">
        <v>15050</v>
      </c>
      <c r="I10137" s="1" t="s">
        <v>19</v>
      </c>
      <c r="J10137" s="1" t="s">
        <v>67</v>
      </c>
      <c r="K10137" s="1" t="s">
        <v>14</v>
      </c>
      <c r="M10137" s="2">
        <v>41849</v>
      </c>
      <c r="N10137" s="1" t="s">
        <v>8</v>
      </c>
      <c r="O10137" s="1" t="s">
        <v>68</v>
      </c>
    </row>
    <row r="10138" spans="1:15" ht="43.2" x14ac:dyDescent="0.3">
      <c r="A10138" s="1" t="s">
        <v>15051</v>
      </c>
      <c r="B10138" s="1" t="str">
        <f>"The Plough Inn Sageston Limited"</f>
        <v>The Plough Inn Sageston Limited</v>
      </c>
      <c r="C10138" s="1" t="s">
        <v>15052</v>
      </c>
      <c r="F10138" s="1" t="s">
        <v>1063</v>
      </c>
      <c r="H10138" s="1" t="s">
        <v>15053</v>
      </c>
      <c r="I10138" s="1" t="s">
        <v>19</v>
      </c>
      <c r="J10138" s="1" t="s">
        <v>67</v>
      </c>
      <c r="K10138" s="1" t="s">
        <v>14</v>
      </c>
      <c r="M10138" s="2">
        <v>41849</v>
      </c>
      <c r="N10138" s="1" t="s">
        <v>8</v>
      </c>
      <c r="O10138" s="1" t="s">
        <v>68</v>
      </c>
    </row>
    <row r="10139" spans="1:15" ht="43.2" x14ac:dyDescent="0.3">
      <c r="A10139" s="1" t="s">
        <v>27405</v>
      </c>
      <c r="B10139" s="1" t="str">
        <f>"Richard Martin"</f>
        <v>Richard Martin</v>
      </c>
      <c r="C10139" s="1" t="s">
        <v>27406</v>
      </c>
      <c r="D10139" s="1" t="s">
        <v>3468</v>
      </c>
      <c r="F10139" s="1" t="s">
        <v>27407</v>
      </c>
      <c r="H10139" s="1" t="s">
        <v>25915</v>
      </c>
      <c r="I10139" s="1" t="s">
        <v>5</v>
      </c>
      <c r="J10139" s="1" t="s">
        <v>67</v>
      </c>
      <c r="K10139" s="1" t="s">
        <v>14</v>
      </c>
      <c r="M10139" s="2">
        <v>41849</v>
      </c>
      <c r="N10139" s="1" t="s">
        <v>8</v>
      </c>
      <c r="O10139" s="1" t="s">
        <v>68</v>
      </c>
    </row>
    <row r="10140" spans="1:15" ht="43.2" x14ac:dyDescent="0.3">
      <c r="A10140" s="1" t="s">
        <v>15042</v>
      </c>
      <c r="B10140" s="1" t="str">
        <f>"Shillingford Park"</f>
        <v>Shillingford Park</v>
      </c>
      <c r="C10140" s="1" t="s">
        <v>15043</v>
      </c>
      <c r="F10140" s="1" t="s">
        <v>839</v>
      </c>
      <c r="H10140" s="1" t="s">
        <v>15044</v>
      </c>
      <c r="I10140" s="1" t="s">
        <v>125</v>
      </c>
      <c r="J10140" s="1" t="s">
        <v>67</v>
      </c>
      <c r="K10140" s="1" t="s">
        <v>14</v>
      </c>
      <c r="M10140" s="2">
        <v>41848</v>
      </c>
      <c r="N10140" s="1" t="s">
        <v>8</v>
      </c>
      <c r="O10140" s="1" t="s">
        <v>68</v>
      </c>
    </row>
    <row r="10141" spans="1:15" ht="43.2" x14ac:dyDescent="0.3">
      <c r="A10141" s="1" t="s">
        <v>27393</v>
      </c>
      <c r="B10141" s="1" t="str">
        <f>"leslie davies"</f>
        <v>leslie davies</v>
      </c>
      <c r="C10141" s="1" t="s">
        <v>27394</v>
      </c>
      <c r="F10141" s="1" t="s">
        <v>27395</v>
      </c>
      <c r="H10141" s="1" t="s">
        <v>27396</v>
      </c>
      <c r="I10141" s="1" t="s">
        <v>5</v>
      </c>
      <c r="J10141" s="1" t="s">
        <v>67</v>
      </c>
      <c r="K10141" s="1" t="s">
        <v>14</v>
      </c>
      <c r="M10141" s="2">
        <v>41848</v>
      </c>
      <c r="N10141" s="1" t="s">
        <v>8</v>
      </c>
      <c r="O10141" s="1" t="s">
        <v>68</v>
      </c>
    </row>
    <row r="10142" spans="1:15" ht="43.2" x14ac:dyDescent="0.3">
      <c r="A10142" s="1" t="s">
        <v>27397</v>
      </c>
      <c r="B10142" s="1" t="str">
        <f>"Alexander Craig"</f>
        <v>Alexander Craig</v>
      </c>
      <c r="C10142" s="1" t="s">
        <v>27398</v>
      </c>
      <c r="D10142" s="1" t="s">
        <v>27399</v>
      </c>
      <c r="F10142" s="1" t="s">
        <v>476</v>
      </c>
      <c r="H10142" s="1" t="s">
        <v>27400</v>
      </c>
      <c r="I10142" s="1" t="s">
        <v>5</v>
      </c>
      <c r="J10142" s="1" t="s">
        <v>67</v>
      </c>
      <c r="K10142" s="1" t="s">
        <v>14</v>
      </c>
      <c r="M10142" s="2">
        <v>41848</v>
      </c>
      <c r="N10142" s="1" t="s">
        <v>8</v>
      </c>
      <c r="O10142" s="1" t="s">
        <v>68</v>
      </c>
    </row>
    <row r="10143" spans="1:15" ht="43.2" x14ac:dyDescent="0.3">
      <c r="A10143" s="1" t="s">
        <v>27401</v>
      </c>
      <c r="B10143" s="1" t="str">
        <f>"Matthew Davies"</f>
        <v>Matthew Davies</v>
      </c>
      <c r="C10143" s="1" t="s">
        <v>27402</v>
      </c>
      <c r="D10143" s="1" t="s">
        <v>27403</v>
      </c>
      <c r="F10143" s="1" t="s">
        <v>1063</v>
      </c>
      <c r="H10143" s="1" t="s">
        <v>27404</v>
      </c>
      <c r="I10143" s="1" t="s">
        <v>5</v>
      </c>
      <c r="J10143" s="1" t="s">
        <v>67</v>
      </c>
      <c r="K10143" s="1" t="s">
        <v>14</v>
      </c>
      <c r="M10143" s="2">
        <v>41848</v>
      </c>
      <c r="N10143" s="1" t="s">
        <v>8</v>
      </c>
      <c r="O10143" s="1" t="s">
        <v>68</v>
      </c>
    </row>
    <row r="10144" spans="1:15" ht="43.2" x14ac:dyDescent="0.3">
      <c r="A10144" s="1" t="s">
        <v>27387</v>
      </c>
      <c r="B10144" s="1" t="str">
        <f>"robert davis"</f>
        <v>robert davis</v>
      </c>
      <c r="C10144" s="1" t="s">
        <v>27388</v>
      </c>
      <c r="F10144" s="1" t="s">
        <v>1525</v>
      </c>
      <c r="H10144" s="1" t="s">
        <v>27389</v>
      </c>
      <c r="I10144" s="1" t="s">
        <v>5</v>
      </c>
      <c r="J10144" s="1" t="s">
        <v>67</v>
      </c>
      <c r="K10144" s="1" t="s">
        <v>14</v>
      </c>
      <c r="M10144" s="2">
        <v>41846</v>
      </c>
      <c r="N10144" s="1" t="s">
        <v>8</v>
      </c>
      <c r="O10144" s="1" t="s">
        <v>68</v>
      </c>
    </row>
    <row r="10145" spans="1:15" ht="43.2" x14ac:dyDescent="0.3">
      <c r="A10145" s="1" t="s">
        <v>27390</v>
      </c>
      <c r="B10145" s="1" t="str">
        <f>"Peter Thomas"</f>
        <v>Peter Thomas</v>
      </c>
      <c r="C10145" s="1" t="s">
        <v>27391</v>
      </c>
      <c r="F10145" s="1" t="s">
        <v>3754</v>
      </c>
      <c r="H10145" s="1" t="s">
        <v>27392</v>
      </c>
      <c r="I10145" s="1" t="s">
        <v>5</v>
      </c>
      <c r="J10145" s="1" t="s">
        <v>67</v>
      </c>
      <c r="K10145" s="1" t="s">
        <v>14</v>
      </c>
      <c r="M10145" s="2">
        <v>41846</v>
      </c>
      <c r="N10145" s="1" t="s">
        <v>8</v>
      </c>
      <c r="O10145" s="1" t="s">
        <v>68</v>
      </c>
    </row>
    <row r="10146" spans="1:15" ht="43.2" x14ac:dyDescent="0.3">
      <c r="A10146" s="1" t="s">
        <v>15039</v>
      </c>
      <c r="B10146" s="1" t="str">
        <f>"RSPCA Llys Nini"</f>
        <v>RSPCA Llys Nini</v>
      </c>
      <c r="C10146" s="1" t="s">
        <v>15040</v>
      </c>
      <c r="F10146" s="1" t="s">
        <v>64</v>
      </c>
      <c r="H10146" s="1" t="s">
        <v>15041</v>
      </c>
      <c r="I10146" s="1" t="s">
        <v>1872</v>
      </c>
      <c r="J10146" s="1" t="s">
        <v>67</v>
      </c>
      <c r="K10146" s="1" t="s">
        <v>14</v>
      </c>
      <c r="M10146" s="2">
        <v>41845</v>
      </c>
      <c r="N10146" s="1" t="s">
        <v>8</v>
      </c>
      <c r="O10146" s="1" t="s">
        <v>68</v>
      </c>
    </row>
    <row r="10147" spans="1:15" ht="43.2" x14ac:dyDescent="0.3">
      <c r="A10147" s="1" t="s">
        <v>26552</v>
      </c>
      <c r="B10147" s="1" t="str">
        <f>"Madeleine Richards"</f>
        <v>Madeleine Richards</v>
      </c>
      <c r="C10147" s="1" t="s">
        <v>26553</v>
      </c>
      <c r="F10147" s="1" t="s">
        <v>3181</v>
      </c>
      <c r="H10147" s="1" t="s">
        <v>26554</v>
      </c>
      <c r="I10147" s="1" t="s">
        <v>5</v>
      </c>
      <c r="J10147" s="1" t="s">
        <v>67</v>
      </c>
      <c r="K10147" s="1" t="s">
        <v>14</v>
      </c>
      <c r="M10147" s="2">
        <v>41845</v>
      </c>
      <c r="N10147" s="1" t="s">
        <v>8</v>
      </c>
      <c r="O10147" s="1" t="s">
        <v>68</v>
      </c>
    </row>
    <row r="10148" spans="1:15" ht="43.2" x14ac:dyDescent="0.3">
      <c r="A10148" s="1" t="s">
        <v>27384</v>
      </c>
      <c r="B10148" s="1" t="str">
        <f>"Michael Pinches"</f>
        <v>Michael Pinches</v>
      </c>
      <c r="C10148" s="1" t="s">
        <v>27385</v>
      </c>
      <c r="F10148" s="1" t="s">
        <v>710</v>
      </c>
      <c r="H10148" s="1" t="s">
        <v>27386</v>
      </c>
      <c r="I10148" s="1" t="s">
        <v>5</v>
      </c>
      <c r="J10148" s="1" t="s">
        <v>67</v>
      </c>
      <c r="K10148" s="1" t="s">
        <v>14</v>
      </c>
      <c r="M10148" s="2">
        <v>41845</v>
      </c>
      <c r="N10148" s="1" t="s">
        <v>8</v>
      </c>
      <c r="O10148" s="1" t="s">
        <v>68</v>
      </c>
    </row>
    <row r="10149" spans="1:15" ht="43.2" x14ac:dyDescent="0.3">
      <c r="A10149" s="1" t="s">
        <v>14182</v>
      </c>
      <c r="B10149" s="1" t="str">
        <f>"Deli Rouge Ltd"</f>
        <v>Deli Rouge Ltd</v>
      </c>
      <c r="C10149" s="1" t="s">
        <v>14183</v>
      </c>
      <c r="D10149" s="1" t="s">
        <v>7260</v>
      </c>
      <c r="F10149" s="1" t="s">
        <v>123</v>
      </c>
      <c r="H10149" s="1" t="s">
        <v>14184</v>
      </c>
      <c r="I10149" s="1" t="s">
        <v>19</v>
      </c>
      <c r="J10149" s="1" t="s">
        <v>67</v>
      </c>
      <c r="K10149" s="1" t="s">
        <v>14</v>
      </c>
      <c r="M10149" s="2">
        <v>41844</v>
      </c>
      <c r="N10149" s="1" t="s">
        <v>8</v>
      </c>
      <c r="O10149" s="1" t="s">
        <v>68</v>
      </c>
    </row>
    <row r="10150" spans="1:15" ht="43.2" x14ac:dyDescent="0.3">
      <c r="A10150" s="1" t="s">
        <v>14185</v>
      </c>
      <c r="B10150" s="1" t="str">
        <f>"St Christophers School"</f>
        <v>St Christophers School</v>
      </c>
      <c r="C10150" s="1" t="s">
        <v>14186</v>
      </c>
      <c r="F10150" s="1" t="s">
        <v>532</v>
      </c>
      <c r="H10150" s="1" t="s">
        <v>14187</v>
      </c>
      <c r="I10150" s="1" t="s">
        <v>188</v>
      </c>
      <c r="J10150" s="1" t="s">
        <v>67</v>
      </c>
      <c r="K10150" s="1" t="s">
        <v>14</v>
      </c>
      <c r="M10150" s="2">
        <v>41844</v>
      </c>
      <c r="N10150" s="1" t="s">
        <v>8</v>
      </c>
      <c r="O10150" s="1" t="s">
        <v>68</v>
      </c>
    </row>
    <row r="10151" spans="1:15" ht="43.2" x14ac:dyDescent="0.3">
      <c r="A10151" s="1" t="s">
        <v>14188</v>
      </c>
      <c r="B10151" s="1" t="str">
        <f>"Denbighshire Care &amp; Repair"</f>
        <v>Denbighshire Care &amp; Repair</v>
      </c>
      <c r="C10151" s="1" t="s">
        <v>14189</v>
      </c>
      <c r="D10151" s="1" t="s">
        <v>14190</v>
      </c>
      <c r="F10151" s="1" t="s">
        <v>2434</v>
      </c>
      <c r="H10151" s="1" t="s">
        <v>8049</v>
      </c>
      <c r="I10151" s="1" t="s">
        <v>1872</v>
      </c>
      <c r="J10151" s="1" t="s">
        <v>67</v>
      </c>
      <c r="K10151" s="1" t="s">
        <v>14</v>
      </c>
      <c r="M10151" s="2">
        <v>41844</v>
      </c>
      <c r="N10151" s="1" t="s">
        <v>8</v>
      </c>
      <c r="O10151" s="1" t="s">
        <v>68</v>
      </c>
    </row>
    <row r="10152" spans="1:15" ht="43.2" x14ac:dyDescent="0.3">
      <c r="A10152" s="1" t="s">
        <v>26542</v>
      </c>
      <c r="B10152" s="1" t="str">
        <f>"Daniel Owen"</f>
        <v>Daniel Owen</v>
      </c>
      <c r="C10152" s="1" t="s">
        <v>26543</v>
      </c>
      <c r="F10152" s="1" t="s">
        <v>37</v>
      </c>
      <c r="H10152" s="1" t="s">
        <v>26544</v>
      </c>
      <c r="I10152" s="1" t="s">
        <v>5</v>
      </c>
      <c r="J10152" s="1" t="s">
        <v>67</v>
      </c>
      <c r="K10152" s="1" t="s">
        <v>14</v>
      </c>
      <c r="M10152" s="2">
        <v>41844</v>
      </c>
      <c r="N10152" s="1" t="s">
        <v>8</v>
      </c>
      <c r="O10152" s="1" t="s">
        <v>68</v>
      </c>
    </row>
    <row r="10153" spans="1:15" ht="43.2" x14ac:dyDescent="0.3">
      <c r="A10153" s="1" t="s">
        <v>26545</v>
      </c>
      <c r="B10153" s="1" t="str">
        <f>"Daniel Owen"</f>
        <v>Daniel Owen</v>
      </c>
      <c r="C10153" s="1" t="s">
        <v>26543</v>
      </c>
      <c r="F10153" s="1" t="s">
        <v>37</v>
      </c>
      <c r="H10153" s="1" t="s">
        <v>26544</v>
      </c>
      <c r="I10153" s="1" t="s">
        <v>5</v>
      </c>
      <c r="J10153" s="1" t="s">
        <v>67</v>
      </c>
      <c r="K10153" s="1" t="s">
        <v>14</v>
      </c>
      <c r="M10153" s="2">
        <v>41844</v>
      </c>
      <c r="N10153" s="1" t="s">
        <v>8</v>
      </c>
      <c r="O10153" s="1" t="s">
        <v>68</v>
      </c>
    </row>
    <row r="10154" spans="1:15" ht="43.2" x14ac:dyDescent="0.3">
      <c r="A10154" s="1" t="s">
        <v>26546</v>
      </c>
      <c r="B10154" s="1" t="str">
        <f>"Aled Jones"</f>
        <v>Aled Jones</v>
      </c>
      <c r="C10154" s="1" t="s">
        <v>26547</v>
      </c>
      <c r="D10154" s="1" t="s">
        <v>26548</v>
      </c>
      <c r="F10154" s="1" t="s">
        <v>64</v>
      </c>
      <c r="H10154" s="1" t="s">
        <v>22762</v>
      </c>
      <c r="I10154" s="1" t="s">
        <v>5</v>
      </c>
      <c r="J10154" s="1" t="s">
        <v>67</v>
      </c>
      <c r="K10154" s="1" t="s">
        <v>14</v>
      </c>
      <c r="M10154" s="2">
        <v>41844</v>
      </c>
      <c r="N10154" s="1" t="s">
        <v>8</v>
      </c>
      <c r="O10154" s="1" t="s">
        <v>68</v>
      </c>
    </row>
    <row r="10155" spans="1:15" ht="43.2" x14ac:dyDescent="0.3">
      <c r="A10155" s="1" t="s">
        <v>26549</v>
      </c>
      <c r="B10155" s="1" t="str">
        <f>"Jonathan Pashley"</f>
        <v>Jonathan Pashley</v>
      </c>
      <c r="C10155" s="1" t="s">
        <v>26550</v>
      </c>
      <c r="F10155" s="1" t="s">
        <v>5169</v>
      </c>
      <c r="H10155" s="1" t="s">
        <v>26551</v>
      </c>
      <c r="I10155" s="1" t="s">
        <v>5</v>
      </c>
      <c r="J10155" s="1" t="s">
        <v>67</v>
      </c>
      <c r="K10155" s="1" t="s">
        <v>14</v>
      </c>
      <c r="M10155" s="2">
        <v>41844</v>
      </c>
      <c r="N10155" s="1" t="s">
        <v>8</v>
      </c>
      <c r="O10155" s="1" t="s">
        <v>68</v>
      </c>
    </row>
    <row r="10156" spans="1:15" ht="43.2" x14ac:dyDescent="0.3">
      <c r="A10156" s="1" t="s">
        <v>14177</v>
      </c>
      <c r="B10156" s="1" t="str">
        <f>"Wine Street Coffee"</f>
        <v>Wine Street Coffee</v>
      </c>
      <c r="C10156" s="1" t="s">
        <v>14178</v>
      </c>
      <c r="F10156" s="1" t="s">
        <v>4867</v>
      </c>
      <c r="H10156" s="1" t="s">
        <v>14179</v>
      </c>
      <c r="I10156" s="1" t="s">
        <v>19</v>
      </c>
      <c r="J10156" s="1" t="s">
        <v>67</v>
      </c>
      <c r="K10156" s="1" t="s">
        <v>14</v>
      </c>
      <c r="M10156" s="2">
        <v>41843</v>
      </c>
      <c r="N10156" s="1" t="s">
        <v>8</v>
      </c>
      <c r="O10156" s="1" t="s">
        <v>68</v>
      </c>
    </row>
    <row r="10157" spans="1:15" ht="43.2" x14ac:dyDescent="0.3">
      <c r="A10157" s="1" t="s">
        <v>14180</v>
      </c>
      <c r="B10157" s="1" t="str">
        <f>"R T Electrics Ltd"</f>
        <v>R T Electrics Ltd</v>
      </c>
      <c r="C10157" s="1" t="s">
        <v>14181</v>
      </c>
      <c r="F10157" s="1" t="s">
        <v>42</v>
      </c>
      <c r="H10157" s="1" t="s">
        <v>5142</v>
      </c>
      <c r="I10157" s="1" t="s">
        <v>19</v>
      </c>
      <c r="J10157" s="1" t="s">
        <v>67</v>
      </c>
      <c r="K10157" s="1" t="s">
        <v>14</v>
      </c>
      <c r="M10157" s="2">
        <v>41843</v>
      </c>
      <c r="N10157" s="1" t="s">
        <v>8</v>
      </c>
      <c r="O10157" s="1" t="s">
        <v>68</v>
      </c>
    </row>
    <row r="10158" spans="1:15" ht="43.2" x14ac:dyDescent="0.3">
      <c r="A10158" s="1" t="s">
        <v>26539</v>
      </c>
      <c r="B10158" s="1" t="str">
        <f>"Gabe Thomas"</f>
        <v>Gabe Thomas</v>
      </c>
      <c r="C10158" s="1" t="s">
        <v>26540</v>
      </c>
      <c r="D10158" s="1" t="s">
        <v>4220</v>
      </c>
      <c r="F10158" s="1" t="s">
        <v>108</v>
      </c>
      <c r="H10158" s="1" t="s">
        <v>26541</v>
      </c>
      <c r="I10158" s="1" t="s">
        <v>5</v>
      </c>
      <c r="J10158" s="1" t="s">
        <v>67</v>
      </c>
      <c r="K10158" s="1" t="s">
        <v>14</v>
      </c>
      <c r="M10158" s="2">
        <v>41843</v>
      </c>
      <c r="N10158" s="1" t="s">
        <v>8</v>
      </c>
      <c r="O10158" s="1" t="s">
        <v>68</v>
      </c>
    </row>
    <row r="10159" spans="1:15" ht="43.2" x14ac:dyDescent="0.3">
      <c r="A10159" s="1" t="s">
        <v>14171</v>
      </c>
      <c r="B10159" s="1" t="str">
        <f>"Boppers Ltd"</f>
        <v>Boppers Ltd</v>
      </c>
      <c r="C10159" s="1" t="s">
        <v>14172</v>
      </c>
      <c r="F10159" s="1" t="s">
        <v>358</v>
      </c>
      <c r="H10159" s="1" t="s">
        <v>14173</v>
      </c>
      <c r="I10159" s="1" t="s">
        <v>19</v>
      </c>
      <c r="J10159" s="1" t="s">
        <v>67</v>
      </c>
      <c r="K10159" s="1" t="s">
        <v>14</v>
      </c>
      <c r="M10159" s="2">
        <v>41842</v>
      </c>
      <c r="N10159" s="1" t="s">
        <v>8</v>
      </c>
      <c r="O10159" s="1" t="s">
        <v>68</v>
      </c>
    </row>
    <row r="10160" spans="1:15" ht="43.2" x14ac:dyDescent="0.3">
      <c r="A10160" s="1" t="s">
        <v>14174</v>
      </c>
      <c r="B10160" s="1" t="str">
        <f>"St Isan Road Surgery"</f>
        <v>St Isan Road Surgery</v>
      </c>
      <c r="C10160" s="1" t="s">
        <v>14175</v>
      </c>
      <c r="D10160" s="1" t="s">
        <v>2656</v>
      </c>
      <c r="F10160" s="1" t="s">
        <v>123</v>
      </c>
      <c r="H10160" s="1" t="s">
        <v>14176</v>
      </c>
      <c r="I10160" s="1" t="s">
        <v>125</v>
      </c>
      <c r="J10160" s="1" t="s">
        <v>67</v>
      </c>
      <c r="K10160" s="1" t="s">
        <v>14</v>
      </c>
      <c r="M10160" s="2">
        <v>41842</v>
      </c>
      <c r="N10160" s="1" t="s">
        <v>8</v>
      </c>
      <c r="O10160" s="1" t="s">
        <v>68</v>
      </c>
    </row>
    <row r="10161" spans="1:15" ht="43.2" x14ac:dyDescent="0.3">
      <c r="A10161" s="1" t="s">
        <v>26536</v>
      </c>
      <c r="B10161" s="1" t="str">
        <f>"Andrew Breamore"</f>
        <v>Andrew Breamore</v>
      </c>
      <c r="C10161" s="1" t="s">
        <v>26537</v>
      </c>
      <c r="D10161" s="1" t="s">
        <v>706</v>
      </c>
      <c r="F10161" s="1" t="s">
        <v>706</v>
      </c>
      <c r="H10161" s="1" t="s">
        <v>26538</v>
      </c>
      <c r="I10161" s="1" t="s">
        <v>5</v>
      </c>
      <c r="J10161" s="1" t="s">
        <v>67</v>
      </c>
      <c r="K10161" s="1" t="s">
        <v>14</v>
      </c>
      <c r="M10161" s="2">
        <v>41842</v>
      </c>
      <c r="N10161" s="1" t="s">
        <v>8</v>
      </c>
      <c r="O10161" s="1" t="s">
        <v>68</v>
      </c>
    </row>
    <row r="10162" spans="1:15" ht="43.2" x14ac:dyDescent="0.3">
      <c r="A10162" s="1" t="s">
        <v>14168</v>
      </c>
      <c r="B10162" s="1" t="str">
        <f>"Llandrindod Wells Town Council"</f>
        <v>Llandrindod Wells Town Council</v>
      </c>
      <c r="C10162" s="1" t="s">
        <v>14169</v>
      </c>
      <c r="F10162" s="1" t="s">
        <v>798</v>
      </c>
      <c r="H10162" s="1" t="s">
        <v>14170</v>
      </c>
      <c r="I10162" s="1" t="s">
        <v>188</v>
      </c>
      <c r="J10162" s="1" t="s">
        <v>67</v>
      </c>
      <c r="K10162" s="1" t="s">
        <v>14</v>
      </c>
      <c r="M10162" s="2">
        <v>41841</v>
      </c>
      <c r="N10162" s="1" t="s">
        <v>8</v>
      </c>
      <c r="O10162" s="1" t="s">
        <v>68</v>
      </c>
    </row>
    <row r="10163" spans="1:15" ht="43.2" x14ac:dyDescent="0.3">
      <c r="A10163" s="1" t="s">
        <v>13214</v>
      </c>
      <c r="B10163" s="1" t="str">
        <f>"Templebar Inn Ltd"</f>
        <v>Templebar Inn Ltd</v>
      </c>
      <c r="C10163" s="1" t="s">
        <v>13215</v>
      </c>
      <c r="D10163" s="1" t="s">
        <v>9838</v>
      </c>
      <c r="F10163" s="1" t="s">
        <v>9838</v>
      </c>
      <c r="H10163" s="1" t="s">
        <v>13216</v>
      </c>
      <c r="I10163" s="1" t="s">
        <v>19</v>
      </c>
      <c r="J10163" s="1" t="s">
        <v>67</v>
      </c>
      <c r="K10163" s="1" t="s">
        <v>14</v>
      </c>
      <c r="M10163" s="2">
        <v>41840</v>
      </c>
      <c r="N10163" s="1" t="s">
        <v>8</v>
      </c>
      <c r="O10163" s="1" t="s">
        <v>68</v>
      </c>
    </row>
    <row r="10164" spans="1:15" ht="43.2" x14ac:dyDescent="0.3">
      <c r="A10164" s="1" t="s">
        <v>13217</v>
      </c>
      <c r="B10164" s="1" t="str">
        <f>"Petite Retreat"</f>
        <v>Petite Retreat</v>
      </c>
      <c r="C10164" s="1" t="s">
        <v>13218</v>
      </c>
      <c r="D10164" s="1" t="s">
        <v>13219</v>
      </c>
      <c r="F10164" s="1" t="s">
        <v>13220</v>
      </c>
      <c r="H10164" s="1" t="s">
        <v>13221</v>
      </c>
      <c r="I10164" s="1" t="s">
        <v>125</v>
      </c>
      <c r="J10164" s="1" t="s">
        <v>67</v>
      </c>
      <c r="K10164" s="1" t="s">
        <v>14</v>
      </c>
      <c r="M10164" s="2">
        <v>41840</v>
      </c>
      <c r="N10164" s="1" t="s">
        <v>8</v>
      </c>
      <c r="O10164" s="1" t="s">
        <v>68</v>
      </c>
    </row>
    <row r="10165" spans="1:15" ht="43.2" x14ac:dyDescent="0.3">
      <c r="A10165" s="1" t="s">
        <v>14165</v>
      </c>
      <c r="B10165" s="1" t="str">
        <f>"Gurkha bar and buffet restaurant"</f>
        <v>Gurkha bar and buffet restaurant</v>
      </c>
      <c r="C10165" s="1" t="s">
        <v>14166</v>
      </c>
      <c r="F10165" s="1" t="s">
        <v>3574</v>
      </c>
      <c r="H10165" s="1" t="s">
        <v>14167</v>
      </c>
      <c r="I10165" s="1" t="s">
        <v>19</v>
      </c>
      <c r="J10165" s="1" t="s">
        <v>67</v>
      </c>
      <c r="K10165" s="1" t="s">
        <v>14</v>
      </c>
      <c r="M10165" s="2">
        <v>41840</v>
      </c>
      <c r="N10165" s="1" t="s">
        <v>8</v>
      </c>
      <c r="O10165" s="1" t="s">
        <v>68</v>
      </c>
    </row>
    <row r="10166" spans="1:15" ht="43.2" x14ac:dyDescent="0.3">
      <c r="A10166" s="1" t="s">
        <v>13207</v>
      </c>
      <c r="B10166" s="1" t="str">
        <f>"A and C  PLUMBING and HEATING"</f>
        <v>A and C  PLUMBING and HEATING</v>
      </c>
      <c r="C10166" s="1" t="s">
        <v>13208</v>
      </c>
      <c r="D10166" s="1" t="s">
        <v>13209</v>
      </c>
      <c r="F10166" s="1" t="s">
        <v>13210</v>
      </c>
      <c r="H10166" s="1" t="s">
        <v>13211</v>
      </c>
      <c r="I10166" s="1" t="s">
        <v>125</v>
      </c>
      <c r="J10166" s="1" t="s">
        <v>67</v>
      </c>
      <c r="K10166" s="1" t="s">
        <v>14</v>
      </c>
      <c r="M10166" s="2">
        <v>41839</v>
      </c>
      <c r="N10166" s="1" t="s">
        <v>8</v>
      </c>
      <c r="O10166" s="1" t="s">
        <v>68</v>
      </c>
    </row>
    <row r="10167" spans="1:15" ht="43.2" x14ac:dyDescent="0.3">
      <c r="A10167" s="1" t="s">
        <v>13212</v>
      </c>
      <c r="B10167" s="1" t="str">
        <f>"C&amp;S Plastering Limited"</f>
        <v>C&amp;S Plastering Limited</v>
      </c>
      <c r="C10167" s="1" t="s">
        <v>4134</v>
      </c>
      <c r="D10167" s="1" t="s">
        <v>4135</v>
      </c>
      <c r="F10167" s="1" t="s">
        <v>1093</v>
      </c>
      <c r="H10167" s="1" t="s">
        <v>13213</v>
      </c>
      <c r="I10167" s="1" t="s">
        <v>19</v>
      </c>
      <c r="J10167" s="1" t="s">
        <v>67</v>
      </c>
      <c r="K10167" s="1" t="s">
        <v>14</v>
      </c>
      <c r="M10167" s="2">
        <v>41839</v>
      </c>
      <c r="N10167" s="1" t="s">
        <v>8</v>
      </c>
      <c r="O10167" s="1" t="s">
        <v>68</v>
      </c>
    </row>
    <row r="10168" spans="1:15" ht="43.2" x14ac:dyDescent="0.3">
      <c r="A10168" s="1" t="s">
        <v>25803</v>
      </c>
      <c r="B10168" s="1" t="str">
        <f>"john trott"</f>
        <v>john trott</v>
      </c>
      <c r="C10168" s="1" t="s">
        <v>25804</v>
      </c>
      <c r="F10168" s="1" t="s">
        <v>25805</v>
      </c>
      <c r="H10168" s="1" t="s">
        <v>25806</v>
      </c>
      <c r="I10168" s="1" t="s">
        <v>5</v>
      </c>
      <c r="J10168" s="1" t="s">
        <v>67</v>
      </c>
      <c r="K10168" s="1" t="s">
        <v>14</v>
      </c>
      <c r="M10168" s="2">
        <v>41839</v>
      </c>
      <c r="N10168" s="1" t="s">
        <v>8</v>
      </c>
      <c r="O10168" s="1" t="s">
        <v>68</v>
      </c>
    </row>
    <row r="10169" spans="1:15" ht="43.2" x14ac:dyDescent="0.3">
      <c r="A10169" s="1" t="s">
        <v>25807</v>
      </c>
      <c r="B10169" s="1" t="str">
        <f>"john trott"</f>
        <v>john trott</v>
      </c>
      <c r="C10169" s="1" t="s">
        <v>25804</v>
      </c>
      <c r="F10169" s="1" t="s">
        <v>25805</v>
      </c>
      <c r="H10169" s="1" t="s">
        <v>25806</v>
      </c>
      <c r="I10169" s="1" t="s">
        <v>5</v>
      </c>
      <c r="J10169" s="1" t="s">
        <v>67</v>
      </c>
      <c r="K10169" s="1" t="s">
        <v>14</v>
      </c>
      <c r="M10169" s="2">
        <v>41839</v>
      </c>
      <c r="N10169" s="1" t="s">
        <v>8</v>
      </c>
      <c r="O10169" s="1" t="s">
        <v>68</v>
      </c>
    </row>
    <row r="10170" spans="1:15" ht="43.2" x14ac:dyDescent="0.3">
      <c r="A10170" s="1" t="s">
        <v>25808</v>
      </c>
      <c r="B10170" s="1" t="str">
        <f>"Ben Roscoe"</f>
        <v>Ben Roscoe</v>
      </c>
      <c r="C10170" s="1" t="s">
        <v>25809</v>
      </c>
      <c r="D10170" s="1" t="s">
        <v>25810</v>
      </c>
      <c r="F10170" s="1" t="s">
        <v>1776</v>
      </c>
      <c r="H10170" s="1" t="s">
        <v>25811</v>
      </c>
      <c r="I10170" s="1" t="s">
        <v>5</v>
      </c>
      <c r="J10170" s="1" t="s">
        <v>67</v>
      </c>
      <c r="K10170" s="1" t="s">
        <v>14</v>
      </c>
      <c r="M10170" s="2">
        <v>41839</v>
      </c>
      <c r="N10170" s="1" t="s">
        <v>8</v>
      </c>
      <c r="O10170" s="1" t="s">
        <v>68</v>
      </c>
    </row>
    <row r="10171" spans="1:15" ht="43.2" x14ac:dyDescent="0.3">
      <c r="A10171" s="1" t="s">
        <v>12160</v>
      </c>
      <c r="B10171" s="1" t="str">
        <f>"Caila Park Partnership"</f>
        <v>Caila Park Partnership</v>
      </c>
      <c r="C10171" s="1" t="s">
        <v>12161</v>
      </c>
      <c r="F10171" s="1" t="s">
        <v>532</v>
      </c>
      <c r="H10171" s="1" t="s">
        <v>12162</v>
      </c>
      <c r="I10171" s="1" t="s">
        <v>125</v>
      </c>
      <c r="J10171" s="1" t="s">
        <v>67</v>
      </c>
      <c r="K10171" s="1" t="s">
        <v>14</v>
      </c>
      <c r="M10171" s="2">
        <v>41836</v>
      </c>
      <c r="N10171" s="1" t="s">
        <v>8</v>
      </c>
      <c r="O10171" s="1" t="s">
        <v>68</v>
      </c>
    </row>
    <row r="10172" spans="1:15" ht="43.2" x14ac:dyDescent="0.3">
      <c r="A10172" s="1" t="s">
        <v>12163</v>
      </c>
      <c r="B10172" s="1" t="str">
        <f>"Seren Ffestiniog Cyf"</f>
        <v>Seren Ffestiniog Cyf</v>
      </c>
      <c r="C10172" s="1" t="s">
        <v>12164</v>
      </c>
      <c r="D10172" s="1" t="s">
        <v>370</v>
      </c>
      <c r="F10172" s="1" t="s">
        <v>3</v>
      </c>
      <c r="H10172" s="1" t="s">
        <v>12165</v>
      </c>
      <c r="I10172" s="1" t="s">
        <v>19</v>
      </c>
      <c r="J10172" s="1" t="s">
        <v>67</v>
      </c>
      <c r="K10172" s="1" t="s">
        <v>14</v>
      </c>
      <c r="M10172" s="2">
        <v>41836</v>
      </c>
      <c r="N10172" s="1" t="s">
        <v>8</v>
      </c>
      <c r="O10172" s="1" t="s">
        <v>68</v>
      </c>
    </row>
    <row r="10173" spans="1:15" ht="43.2" x14ac:dyDescent="0.3">
      <c r="A10173" s="1" t="s">
        <v>12166</v>
      </c>
      <c r="B10173" s="1" t="str">
        <f>"William Lloyd Williams &amp; Son"</f>
        <v>William Lloyd Williams &amp; Son</v>
      </c>
      <c r="C10173" s="1" t="s">
        <v>12167</v>
      </c>
      <c r="D10173" s="1" t="s">
        <v>12168</v>
      </c>
      <c r="F10173" s="1" t="s">
        <v>1818</v>
      </c>
      <c r="H10173" s="1" t="s">
        <v>12169</v>
      </c>
      <c r="I10173" s="1" t="s">
        <v>19</v>
      </c>
      <c r="J10173" s="1" t="s">
        <v>67</v>
      </c>
      <c r="K10173" s="1" t="s">
        <v>14</v>
      </c>
      <c r="M10173" s="2">
        <v>41836</v>
      </c>
      <c r="N10173" s="1" t="s">
        <v>8</v>
      </c>
      <c r="O10173" s="1" t="s">
        <v>68</v>
      </c>
    </row>
    <row r="10174" spans="1:15" ht="43.2" x14ac:dyDescent="0.3">
      <c r="A10174" s="1" t="s">
        <v>13198</v>
      </c>
      <c r="B10174" s="1" t="str">
        <f>"Track 2000"</f>
        <v>Track 2000</v>
      </c>
      <c r="C10174" s="1" t="s">
        <v>13199</v>
      </c>
      <c r="D10174" s="1" t="s">
        <v>3437</v>
      </c>
      <c r="F10174" s="1" t="s">
        <v>123</v>
      </c>
      <c r="H10174" s="1" t="s">
        <v>13200</v>
      </c>
      <c r="I10174" s="1" t="s">
        <v>1872</v>
      </c>
      <c r="J10174" s="1" t="s">
        <v>67</v>
      </c>
      <c r="K10174" s="1" t="s">
        <v>14</v>
      </c>
      <c r="M10174" s="2">
        <v>41836</v>
      </c>
      <c r="N10174" s="1" t="s">
        <v>8</v>
      </c>
      <c r="O10174" s="1" t="s">
        <v>68</v>
      </c>
    </row>
    <row r="10175" spans="1:15" ht="43.2" x14ac:dyDescent="0.3">
      <c r="A10175" s="1" t="s">
        <v>13201</v>
      </c>
      <c r="B10175" s="1" t="str">
        <f>"Ministry of Grounds"</f>
        <v>Ministry of Grounds</v>
      </c>
      <c r="C10175" s="1" t="s">
        <v>13202</v>
      </c>
      <c r="D10175" s="1" t="s">
        <v>13203</v>
      </c>
      <c r="F10175" s="1" t="s">
        <v>123</v>
      </c>
      <c r="H10175" s="1" t="s">
        <v>13204</v>
      </c>
      <c r="I10175" s="1" t="s">
        <v>19</v>
      </c>
      <c r="J10175" s="1" t="s">
        <v>67</v>
      </c>
      <c r="K10175" s="1" t="s">
        <v>14</v>
      </c>
      <c r="M10175" s="2">
        <v>41836</v>
      </c>
      <c r="N10175" s="1" t="s">
        <v>8</v>
      </c>
      <c r="O10175" s="1" t="s">
        <v>68</v>
      </c>
    </row>
    <row r="10176" spans="1:15" ht="43.2" x14ac:dyDescent="0.3">
      <c r="A10176" s="1" t="s">
        <v>13205</v>
      </c>
      <c r="B10176" s="1" t="str">
        <f>"Ministry of Grounds"</f>
        <v>Ministry of Grounds</v>
      </c>
      <c r="C10176" s="1" t="s">
        <v>13202</v>
      </c>
      <c r="D10176" s="1" t="s">
        <v>13203</v>
      </c>
      <c r="F10176" s="1" t="s">
        <v>123</v>
      </c>
      <c r="H10176" s="1" t="s">
        <v>13204</v>
      </c>
      <c r="I10176" s="1" t="s">
        <v>19</v>
      </c>
      <c r="J10176" s="1" t="s">
        <v>67</v>
      </c>
      <c r="K10176" s="1" t="s">
        <v>14</v>
      </c>
      <c r="M10176" s="2">
        <v>41836</v>
      </c>
      <c r="N10176" s="1" t="s">
        <v>8</v>
      </c>
      <c r="O10176" s="1" t="s">
        <v>68</v>
      </c>
    </row>
    <row r="10177" spans="1:15" ht="43.2" x14ac:dyDescent="0.3">
      <c r="A10177" s="1" t="s">
        <v>13206</v>
      </c>
      <c r="B10177" s="1" t="str">
        <f>"Woodlands Hotel"</f>
        <v>Woodlands Hotel</v>
      </c>
      <c r="C10177" s="1" t="s">
        <v>11165</v>
      </c>
      <c r="F10177" s="1" t="s">
        <v>5291</v>
      </c>
      <c r="H10177" s="1" t="s">
        <v>11166</v>
      </c>
      <c r="I10177" s="1" t="s">
        <v>125</v>
      </c>
      <c r="J10177" s="1" t="s">
        <v>67</v>
      </c>
      <c r="K10177" s="1" t="s">
        <v>14</v>
      </c>
      <c r="M10177" s="2">
        <v>41836</v>
      </c>
      <c r="N10177" s="1" t="s">
        <v>8</v>
      </c>
      <c r="O10177" s="1" t="s">
        <v>68</v>
      </c>
    </row>
    <row r="10178" spans="1:15" ht="43.2" x14ac:dyDescent="0.3">
      <c r="A10178" s="1" t="s">
        <v>25059</v>
      </c>
      <c r="B10178" s="1" t="str">
        <f>"jonathan windsor-luk"</f>
        <v>jonathan windsor-luk</v>
      </c>
      <c r="C10178" s="1" t="s">
        <v>25060</v>
      </c>
      <c r="F10178" s="1" t="s">
        <v>4462</v>
      </c>
      <c r="H10178" s="1" t="s">
        <v>25061</v>
      </c>
      <c r="I10178" s="1" t="s">
        <v>5</v>
      </c>
      <c r="J10178" s="1" t="s">
        <v>67</v>
      </c>
      <c r="K10178" s="1" t="s">
        <v>14</v>
      </c>
      <c r="M10178" s="2">
        <v>41836</v>
      </c>
      <c r="N10178" s="1" t="s">
        <v>8</v>
      </c>
      <c r="O10178" s="1" t="s">
        <v>68</v>
      </c>
    </row>
    <row r="10179" spans="1:15" ht="43.2" x14ac:dyDescent="0.3">
      <c r="A10179" s="1" t="s">
        <v>25062</v>
      </c>
      <c r="B10179" s="1" t="str">
        <f>"Gareth Williams"</f>
        <v>Gareth Williams</v>
      </c>
      <c r="C10179" s="1" t="s">
        <v>25063</v>
      </c>
      <c r="F10179" s="1" t="s">
        <v>179</v>
      </c>
      <c r="H10179" s="1" t="s">
        <v>25064</v>
      </c>
      <c r="I10179" s="1" t="s">
        <v>5</v>
      </c>
      <c r="J10179" s="1" t="s">
        <v>67</v>
      </c>
      <c r="K10179" s="1" t="s">
        <v>14</v>
      </c>
      <c r="M10179" s="2">
        <v>41836</v>
      </c>
      <c r="N10179" s="1" t="s">
        <v>8</v>
      </c>
      <c r="O10179" s="1" t="s">
        <v>68</v>
      </c>
    </row>
    <row r="10180" spans="1:15" ht="43.2" x14ac:dyDescent="0.3">
      <c r="A10180" s="1" t="s">
        <v>25065</v>
      </c>
      <c r="B10180" s="1" t="str">
        <f>"Gareth Williams"</f>
        <v>Gareth Williams</v>
      </c>
      <c r="C10180" s="1" t="s">
        <v>25063</v>
      </c>
      <c r="F10180" s="1" t="s">
        <v>179</v>
      </c>
      <c r="H10180" s="1" t="s">
        <v>25064</v>
      </c>
      <c r="I10180" s="1" t="s">
        <v>5</v>
      </c>
      <c r="J10180" s="1" t="s">
        <v>67</v>
      </c>
      <c r="K10180" s="1" t="s">
        <v>14</v>
      </c>
      <c r="M10180" s="2">
        <v>41836</v>
      </c>
      <c r="N10180" s="1" t="s">
        <v>8</v>
      </c>
      <c r="O10180" s="1" t="s">
        <v>68</v>
      </c>
    </row>
    <row r="10181" spans="1:15" ht="43.2" x14ac:dyDescent="0.3">
      <c r="A10181" s="1" t="s">
        <v>25066</v>
      </c>
      <c r="B10181" s="1" t="str">
        <f>"Trevor Thomas"</f>
        <v>Trevor Thomas</v>
      </c>
      <c r="C10181" s="1" t="s">
        <v>25067</v>
      </c>
      <c r="F10181" s="1" t="s">
        <v>64</v>
      </c>
      <c r="H10181" s="1" t="s">
        <v>25068</v>
      </c>
      <c r="I10181" s="1" t="s">
        <v>5</v>
      </c>
      <c r="J10181" s="1" t="s">
        <v>67</v>
      </c>
      <c r="K10181" s="1" t="s">
        <v>14</v>
      </c>
      <c r="M10181" s="2">
        <v>41836</v>
      </c>
      <c r="N10181" s="1" t="s">
        <v>8</v>
      </c>
      <c r="O10181" s="1" t="s">
        <v>68</v>
      </c>
    </row>
    <row r="10182" spans="1:15" ht="43.2" x14ac:dyDescent="0.3">
      <c r="A10182" s="1" t="s">
        <v>25069</v>
      </c>
      <c r="B10182" s="1" t="str">
        <f>"Geoffrey Griffiths"</f>
        <v>Geoffrey Griffiths</v>
      </c>
      <c r="C10182" s="1" t="s">
        <v>25070</v>
      </c>
      <c r="D10182" s="1" t="s">
        <v>9006</v>
      </c>
      <c r="F10182" s="1" t="s">
        <v>532</v>
      </c>
      <c r="H10182" s="1" t="s">
        <v>25071</v>
      </c>
      <c r="I10182" s="1" t="s">
        <v>5</v>
      </c>
      <c r="J10182" s="1" t="s">
        <v>67</v>
      </c>
      <c r="K10182" s="1" t="s">
        <v>14</v>
      </c>
      <c r="M10182" s="2">
        <v>41836</v>
      </c>
      <c r="N10182" s="1" t="s">
        <v>8</v>
      </c>
      <c r="O10182" s="1" t="s">
        <v>68</v>
      </c>
    </row>
    <row r="10183" spans="1:15" ht="43.2" x14ac:dyDescent="0.3">
      <c r="A10183" s="1" t="s">
        <v>25072</v>
      </c>
      <c r="B10183" s="1" t="str">
        <f>"Fred Janes"</f>
        <v>Fred Janes</v>
      </c>
      <c r="C10183" s="1" t="s">
        <v>25073</v>
      </c>
      <c r="D10183" s="1" t="s">
        <v>25074</v>
      </c>
      <c r="F10183" s="1" t="s">
        <v>2169</v>
      </c>
      <c r="H10183" s="1" t="s">
        <v>25075</v>
      </c>
      <c r="I10183" s="1" t="s">
        <v>5</v>
      </c>
      <c r="J10183" s="1" t="s">
        <v>67</v>
      </c>
      <c r="K10183" s="1" t="s">
        <v>14</v>
      </c>
      <c r="M10183" s="2">
        <v>41836</v>
      </c>
      <c r="N10183" s="1" t="s">
        <v>8</v>
      </c>
      <c r="O10183" s="1" t="s">
        <v>68</v>
      </c>
    </row>
    <row r="10184" spans="1:15" ht="43.2" x14ac:dyDescent="0.3">
      <c r="A10184" s="1" t="s">
        <v>25076</v>
      </c>
      <c r="B10184" s="1" t="str">
        <f>"James Jones"</f>
        <v>James Jones</v>
      </c>
      <c r="C10184" s="1" t="s">
        <v>25077</v>
      </c>
      <c r="D10184" s="1" t="s">
        <v>564</v>
      </c>
      <c r="F10184" s="1" t="s">
        <v>179</v>
      </c>
      <c r="H10184" s="1" t="s">
        <v>565</v>
      </c>
      <c r="I10184" s="1" t="s">
        <v>5</v>
      </c>
      <c r="J10184" s="1" t="s">
        <v>67</v>
      </c>
      <c r="K10184" s="1" t="s">
        <v>14</v>
      </c>
      <c r="M10184" s="2">
        <v>41836</v>
      </c>
      <c r="N10184" s="1" t="s">
        <v>8</v>
      </c>
      <c r="O10184" s="1" t="s">
        <v>68</v>
      </c>
    </row>
    <row r="10185" spans="1:15" ht="43.2" x14ac:dyDescent="0.3">
      <c r="A10185" s="1" t="s">
        <v>25078</v>
      </c>
      <c r="B10185" s="1" t="str">
        <f>"Pauline Jones"</f>
        <v>Pauline Jones</v>
      </c>
      <c r="C10185" s="1" t="s">
        <v>25079</v>
      </c>
      <c r="D10185" s="1" t="s">
        <v>25080</v>
      </c>
      <c r="F10185" s="1" t="s">
        <v>3242</v>
      </c>
      <c r="H10185" s="1" t="s">
        <v>18121</v>
      </c>
      <c r="I10185" s="1" t="s">
        <v>5</v>
      </c>
      <c r="J10185" s="1" t="s">
        <v>67</v>
      </c>
      <c r="K10185" s="1" t="s">
        <v>14</v>
      </c>
      <c r="M10185" s="2">
        <v>41836</v>
      </c>
      <c r="N10185" s="1" t="s">
        <v>8</v>
      </c>
      <c r="O10185" s="1" t="s">
        <v>68</v>
      </c>
    </row>
    <row r="10186" spans="1:15" ht="43.2" x14ac:dyDescent="0.3">
      <c r="A10186" s="1" t="s">
        <v>25081</v>
      </c>
      <c r="B10186" s="1" t="str">
        <f>"john roberts"</f>
        <v>john roberts</v>
      </c>
      <c r="C10186" s="1" t="s">
        <v>25082</v>
      </c>
      <c r="F10186" s="1" t="s">
        <v>3925</v>
      </c>
      <c r="H10186" s="1" t="s">
        <v>25083</v>
      </c>
      <c r="I10186" s="1" t="s">
        <v>5</v>
      </c>
      <c r="J10186" s="1" t="s">
        <v>67</v>
      </c>
      <c r="K10186" s="1" t="s">
        <v>14</v>
      </c>
      <c r="M10186" s="2">
        <v>41836</v>
      </c>
      <c r="N10186" s="1" t="s">
        <v>8</v>
      </c>
      <c r="O10186" s="1" t="s">
        <v>68</v>
      </c>
    </row>
    <row r="10187" spans="1:15" ht="43.2" x14ac:dyDescent="0.3">
      <c r="A10187" s="1" t="s">
        <v>25084</v>
      </c>
      <c r="B10187" s="1" t="str">
        <f>"Edward Naish"</f>
        <v>Edward Naish</v>
      </c>
      <c r="C10187" s="1" t="s">
        <v>25085</v>
      </c>
      <c r="F10187" s="1" t="s">
        <v>9722</v>
      </c>
      <c r="H10187" s="1" t="s">
        <v>25086</v>
      </c>
      <c r="I10187" s="1" t="s">
        <v>5</v>
      </c>
      <c r="J10187" s="1" t="s">
        <v>67</v>
      </c>
      <c r="K10187" s="1" t="s">
        <v>14</v>
      </c>
      <c r="M10187" s="2">
        <v>41836</v>
      </c>
      <c r="N10187" s="1" t="s">
        <v>8</v>
      </c>
      <c r="O10187" s="1" t="s">
        <v>68</v>
      </c>
    </row>
    <row r="10188" spans="1:15" ht="43.2" x14ac:dyDescent="0.3">
      <c r="A10188" s="1" t="s">
        <v>25786</v>
      </c>
      <c r="B10188" s="1" t="str">
        <f>"Daniel Marsden"</f>
        <v>Daniel Marsden</v>
      </c>
      <c r="C10188" s="1" t="s">
        <v>25787</v>
      </c>
      <c r="D10188" s="1" t="s">
        <v>25788</v>
      </c>
      <c r="F10188" s="1" t="s">
        <v>179</v>
      </c>
      <c r="H10188" s="1" t="s">
        <v>25789</v>
      </c>
      <c r="I10188" s="1" t="s">
        <v>5</v>
      </c>
      <c r="J10188" s="1" t="s">
        <v>67</v>
      </c>
      <c r="K10188" s="1" t="s">
        <v>14</v>
      </c>
      <c r="M10188" s="2">
        <v>41836</v>
      </c>
      <c r="N10188" s="1" t="s">
        <v>8</v>
      </c>
      <c r="O10188" s="1" t="s">
        <v>68</v>
      </c>
    </row>
    <row r="10189" spans="1:15" ht="43.2" x14ac:dyDescent="0.3">
      <c r="A10189" s="1" t="s">
        <v>25790</v>
      </c>
      <c r="B10189" s="1" t="str">
        <f>"helen smith"</f>
        <v>helen smith</v>
      </c>
      <c r="C10189" s="1" t="s">
        <v>25791</v>
      </c>
      <c r="D10189" s="1" t="s">
        <v>25792</v>
      </c>
      <c r="F10189" s="1" t="s">
        <v>1256</v>
      </c>
      <c r="H10189" s="1" t="s">
        <v>25793</v>
      </c>
      <c r="I10189" s="1" t="s">
        <v>5</v>
      </c>
      <c r="J10189" s="1" t="s">
        <v>67</v>
      </c>
      <c r="K10189" s="1" t="s">
        <v>14</v>
      </c>
      <c r="M10189" s="2">
        <v>41836</v>
      </c>
      <c r="N10189" s="1" t="s">
        <v>8</v>
      </c>
      <c r="O10189" s="1" t="s">
        <v>68</v>
      </c>
    </row>
    <row r="10190" spans="1:15" ht="43.2" x14ac:dyDescent="0.3">
      <c r="A10190" s="1" t="s">
        <v>25794</v>
      </c>
      <c r="B10190" s="1" t="str">
        <f>"Christopher Ebrey"</f>
        <v>Christopher Ebrey</v>
      </c>
      <c r="C10190" s="1" t="s">
        <v>25795</v>
      </c>
      <c r="F10190" s="1" t="s">
        <v>491</v>
      </c>
      <c r="H10190" s="1" t="s">
        <v>25796</v>
      </c>
      <c r="I10190" s="1" t="s">
        <v>5</v>
      </c>
      <c r="J10190" s="1" t="s">
        <v>67</v>
      </c>
      <c r="K10190" s="1" t="s">
        <v>14</v>
      </c>
      <c r="M10190" s="2">
        <v>41836</v>
      </c>
      <c r="N10190" s="1" t="s">
        <v>8</v>
      </c>
      <c r="O10190" s="1" t="s">
        <v>68</v>
      </c>
    </row>
    <row r="10191" spans="1:15" ht="43.2" x14ac:dyDescent="0.3">
      <c r="A10191" s="1" t="s">
        <v>25797</v>
      </c>
      <c r="B10191" s="1" t="str">
        <f>"Nigel Lawrence"</f>
        <v>Nigel Lawrence</v>
      </c>
      <c r="C10191" s="1" t="s">
        <v>25798</v>
      </c>
      <c r="D10191" s="1" t="s">
        <v>25799</v>
      </c>
      <c r="F10191" s="1" t="s">
        <v>179</v>
      </c>
      <c r="H10191" s="1" t="s">
        <v>15241</v>
      </c>
      <c r="I10191" s="1" t="s">
        <v>5</v>
      </c>
      <c r="J10191" s="1" t="s">
        <v>67</v>
      </c>
      <c r="K10191" s="1" t="s">
        <v>14</v>
      </c>
      <c r="M10191" s="2">
        <v>41836</v>
      </c>
      <c r="N10191" s="1" t="s">
        <v>8</v>
      </c>
      <c r="O10191" s="1" t="s">
        <v>68</v>
      </c>
    </row>
    <row r="10192" spans="1:15" ht="43.2" x14ac:dyDescent="0.3">
      <c r="A10192" s="1" t="s">
        <v>25800</v>
      </c>
      <c r="B10192" s="1" t="str">
        <f>"kevin morgan"</f>
        <v>kevin morgan</v>
      </c>
      <c r="C10192" s="1" t="s">
        <v>25801</v>
      </c>
      <c r="D10192" s="1" t="s">
        <v>108</v>
      </c>
      <c r="F10192" s="1" t="s">
        <v>1525</v>
      </c>
      <c r="H10192" s="1" t="s">
        <v>25802</v>
      </c>
      <c r="I10192" s="1" t="s">
        <v>5</v>
      </c>
      <c r="J10192" s="1" t="s">
        <v>67</v>
      </c>
      <c r="K10192" s="1" t="s">
        <v>14</v>
      </c>
      <c r="M10192" s="2">
        <v>41836</v>
      </c>
      <c r="N10192" s="1" t="s">
        <v>8</v>
      </c>
      <c r="O10192" s="1" t="s">
        <v>68</v>
      </c>
    </row>
    <row r="10193" spans="1:15" ht="43.2" x14ac:dyDescent="0.3">
      <c r="A10193" s="1" t="s">
        <v>11164</v>
      </c>
      <c r="B10193" s="1" t="str">
        <f>"Woodlands Hotel"</f>
        <v>Woodlands Hotel</v>
      </c>
      <c r="C10193" s="1" t="s">
        <v>11165</v>
      </c>
      <c r="F10193" s="1" t="s">
        <v>5291</v>
      </c>
      <c r="H10193" s="1" t="s">
        <v>11166</v>
      </c>
      <c r="I10193" s="1" t="s">
        <v>125</v>
      </c>
      <c r="J10193" s="1" t="s">
        <v>67</v>
      </c>
      <c r="K10193" s="1" t="s">
        <v>14</v>
      </c>
      <c r="M10193" s="2">
        <v>41835</v>
      </c>
      <c r="N10193" s="1" t="s">
        <v>8</v>
      </c>
      <c r="O10193" s="1" t="s">
        <v>68</v>
      </c>
    </row>
    <row r="10194" spans="1:15" ht="43.2" x14ac:dyDescent="0.3">
      <c r="A10194" s="1" t="s">
        <v>24234</v>
      </c>
      <c r="B10194" s="1" t="str">
        <f>"Ben Herbert"</f>
        <v>Ben Herbert</v>
      </c>
      <c r="C10194" s="1" t="s">
        <v>24235</v>
      </c>
      <c r="F10194" s="1" t="s">
        <v>230</v>
      </c>
      <c r="H10194" s="1" t="s">
        <v>24236</v>
      </c>
      <c r="I10194" s="1" t="s">
        <v>5</v>
      </c>
      <c r="J10194" s="1" t="s">
        <v>67</v>
      </c>
      <c r="K10194" s="1" t="s">
        <v>14</v>
      </c>
      <c r="M10194" s="2">
        <v>41835</v>
      </c>
      <c r="N10194" s="1" t="s">
        <v>8</v>
      </c>
      <c r="O10194" s="1" t="s">
        <v>68</v>
      </c>
    </row>
    <row r="10195" spans="1:15" ht="43.2" x14ac:dyDescent="0.3">
      <c r="A10195" s="1" t="s">
        <v>24237</v>
      </c>
      <c r="B10195" s="1" t="str">
        <f>"Ben Herbert"</f>
        <v>Ben Herbert</v>
      </c>
      <c r="C10195" s="1" t="s">
        <v>24235</v>
      </c>
      <c r="F10195" s="1" t="s">
        <v>230</v>
      </c>
      <c r="H10195" s="1" t="s">
        <v>24236</v>
      </c>
      <c r="I10195" s="1" t="s">
        <v>5</v>
      </c>
      <c r="J10195" s="1" t="s">
        <v>67</v>
      </c>
      <c r="K10195" s="1" t="s">
        <v>14</v>
      </c>
      <c r="M10195" s="2">
        <v>41835</v>
      </c>
      <c r="N10195" s="1" t="s">
        <v>8</v>
      </c>
      <c r="O10195" s="1" t="s">
        <v>68</v>
      </c>
    </row>
    <row r="10196" spans="1:15" ht="43.2" x14ac:dyDescent="0.3">
      <c r="A10196" s="1" t="s">
        <v>25054</v>
      </c>
      <c r="B10196" s="1" t="str">
        <f>"Rauf Marsh"</f>
        <v>Rauf Marsh</v>
      </c>
      <c r="C10196" s="1" t="s">
        <v>25055</v>
      </c>
      <c r="D10196" s="1" t="s">
        <v>25056</v>
      </c>
      <c r="F10196" s="1" t="s">
        <v>3316</v>
      </c>
      <c r="H10196" s="1" t="s">
        <v>25057</v>
      </c>
      <c r="I10196" s="1" t="s">
        <v>5</v>
      </c>
      <c r="J10196" s="1" t="s">
        <v>67</v>
      </c>
      <c r="K10196" s="1" t="s">
        <v>14</v>
      </c>
      <c r="M10196" s="2">
        <v>41835</v>
      </c>
      <c r="N10196" s="1" t="s">
        <v>8</v>
      </c>
      <c r="O10196" s="1" t="s">
        <v>68</v>
      </c>
    </row>
    <row r="10197" spans="1:15" ht="43.2" x14ac:dyDescent="0.3">
      <c r="A10197" s="1" t="s">
        <v>25058</v>
      </c>
      <c r="B10197" s="1" t="str">
        <f>"Rauf Marsh"</f>
        <v>Rauf Marsh</v>
      </c>
      <c r="C10197" s="1" t="s">
        <v>25055</v>
      </c>
      <c r="D10197" s="1" t="s">
        <v>25056</v>
      </c>
      <c r="F10197" s="1" t="s">
        <v>3316</v>
      </c>
      <c r="H10197" s="1" t="s">
        <v>25057</v>
      </c>
      <c r="I10197" s="1" t="s">
        <v>5</v>
      </c>
      <c r="J10197" s="1" t="s">
        <v>67</v>
      </c>
      <c r="K10197" s="1" t="s">
        <v>14</v>
      </c>
      <c r="M10197" s="2">
        <v>41835</v>
      </c>
      <c r="N10197" s="1" t="s">
        <v>8</v>
      </c>
      <c r="O10197" s="1" t="s">
        <v>68</v>
      </c>
    </row>
    <row r="10198" spans="1:15" ht="43.2" x14ac:dyDescent="0.3">
      <c r="A10198" s="1" t="s">
        <v>11151</v>
      </c>
      <c r="B10198" s="1" t="str">
        <f>"RC and EJ Rogers"</f>
        <v>RC and EJ Rogers</v>
      </c>
      <c r="C10198" s="1" t="s">
        <v>11152</v>
      </c>
      <c r="F10198" s="1" t="s">
        <v>1021</v>
      </c>
      <c r="H10198" s="1" t="s">
        <v>11153</v>
      </c>
      <c r="I10198" s="1" t="s">
        <v>125</v>
      </c>
      <c r="J10198" s="1" t="s">
        <v>67</v>
      </c>
      <c r="K10198" s="1" t="s">
        <v>14</v>
      </c>
      <c r="M10198" s="2">
        <v>41834</v>
      </c>
      <c r="N10198" s="1" t="s">
        <v>8</v>
      </c>
      <c r="O10198" s="1" t="s">
        <v>68</v>
      </c>
    </row>
    <row r="10199" spans="1:15" ht="43.2" x14ac:dyDescent="0.3">
      <c r="A10199" s="1" t="s">
        <v>11154</v>
      </c>
      <c r="B10199" s="1" t="str">
        <f>"RC and EJ Rogers"</f>
        <v>RC and EJ Rogers</v>
      </c>
      <c r="C10199" s="1" t="s">
        <v>11152</v>
      </c>
      <c r="F10199" s="1" t="s">
        <v>1021</v>
      </c>
      <c r="H10199" s="1" t="s">
        <v>11153</v>
      </c>
      <c r="I10199" s="1" t="s">
        <v>125</v>
      </c>
      <c r="J10199" s="1" t="s">
        <v>67</v>
      </c>
      <c r="K10199" s="1" t="s">
        <v>14</v>
      </c>
      <c r="M10199" s="2">
        <v>41834</v>
      </c>
      <c r="N10199" s="1" t="s">
        <v>8</v>
      </c>
      <c r="O10199" s="1" t="s">
        <v>68</v>
      </c>
    </row>
    <row r="10200" spans="1:15" ht="43.2" x14ac:dyDescent="0.3">
      <c r="A10200" s="1" t="s">
        <v>11155</v>
      </c>
      <c r="B10200" s="1" t="str">
        <f>"MHP Industrial Ltd"</f>
        <v>MHP Industrial Ltd</v>
      </c>
      <c r="C10200" s="1" t="s">
        <v>11156</v>
      </c>
      <c r="F10200" s="1" t="s">
        <v>3465</v>
      </c>
      <c r="H10200" s="1" t="s">
        <v>1374</v>
      </c>
      <c r="I10200" s="1" t="s">
        <v>19</v>
      </c>
      <c r="J10200" s="1" t="s">
        <v>67</v>
      </c>
      <c r="K10200" s="1" t="s">
        <v>14</v>
      </c>
      <c r="M10200" s="2">
        <v>41834</v>
      </c>
      <c r="N10200" s="1" t="s">
        <v>8</v>
      </c>
      <c r="O10200" s="1" t="s">
        <v>68</v>
      </c>
    </row>
    <row r="10201" spans="1:15" ht="43.2" x14ac:dyDescent="0.3">
      <c r="A10201" s="1" t="s">
        <v>11157</v>
      </c>
      <c r="B10201" s="1" t="str">
        <f>"woodhouse farm ltd"</f>
        <v>woodhouse farm ltd</v>
      </c>
      <c r="C10201" s="1" t="s">
        <v>11158</v>
      </c>
      <c r="F10201" s="1" t="s">
        <v>11159</v>
      </c>
      <c r="H10201" s="1" t="s">
        <v>11160</v>
      </c>
      <c r="I10201" s="1" t="s">
        <v>19</v>
      </c>
      <c r="J10201" s="1" t="s">
        <v>67</v>
      </c>
      <c r="K10201" s="1" t="s">
        <v>14</v>
      </c>
      <c r="M10201" s="2">
        <v>41834</v>
      </c>
      <c r="N10201" s="1" t="s">
        <v>8</v>
      </c>
      <c r="O10201" s="1" t="s">
        <v>68</v>
      </c>
    </row>
    <row r="10202" spans="1:15" ht="43.2" x14ac:dyDescent="0.3">
      <c r="A10202" s="1" t="s">
        <v>11161</v>
      </c>
      <c r="B10202" s="1" t="str">
        <f>"Granite Transformations"</f>
        <v>Granite Transformations</v>
      </c>
      <c r="C10202" s="1" t="s">
        <v>11162</v>
      </c>
      <c r="F10202" s="1" t="s">
        <v>64</v>
      </c>
      <c r="H10202" s="1" t="s">
        <v>11163</v>
      </c>
      <c r="I10202" s="1" t="s">
        <v>19</v>
      </c>
      <c r="J10202" s="1" t="s">
        <v>67</v>
      </c>
      <c r="K10202" s="1" t="s">
        <v>14</v>
      </c>
      <c r="M10202" s="2">
        <v>41834</v>
      </c>
      <c r="N10202" s="1" t="s">
        <v>8</v>
      </c>
      <c r="O10202" s="1" t="s">
        <v>68</v>
      </c>
    </row>
    <row r="10203" spans="1:15" ht="43.2" x14ac:dyDescent="0.3">
      <c r="A10203" s="1" t="s">
        <v>24223</v>
      </c>
      <c r="B10203" s="1" t="str">
        <f>"andrew spencer"</f>
        <v>andrew spencer</v>
      </c>
      <c r="C10203" s="1" t="s">
        <v>24224</v>
      </c>
      <c r="D10203" s="1" t="s">
        <v>24225</v>
      </c>
      <c r="F10203" s="1" t="s">
        <v>5914</v>
      </c>
      <c r="H10203" s="1" t="s">
        <v>24226</v>
      </c>
      <c r="I10203" s="1" t="s">
        <v>5</v>
      </c>
      <c r="J10203" s="1" t="s">
        <v>67</v>
      </c>
      <c r="K10203" s="1" t="s">
        <v>14</v>
      </c>
      <c r="M10203" s="2">
        <v>41833</v>
      </c>
      <c r="N10203" s="1" t="s">
        <v>8</v>
      </c>
      <c r="O10203" s="1" t="s">
        <v>68</v>
      </c>
    </row>
    <row r="10204" spans="1:15" ht="43.2" x14ac:dyDescent="0.3">
      <c r="A10204" s="1" t="s">
        <v>24227</v>
      </c>
      <c r="B10204" s="1" t="str">
        <f>"Caerwyn Lloyd"</f>
        <v>Caerwyn Lloyd</v>
      </c>
      <c r="C10204" s="1" t="s">
        <v>24228</v>
      </c>
      <c r="F10204" s="1" t="s">
        <v>922</v>
      </c>
      <c r="H10204" s="1" t="s">
        <v>24229</v>
      </c>
      <c r="I10204" s="1" t="s">
        <v>5</v>
      </c>
      <c r="J10204" s="1" t="s">
        <v>67</v>
      </c>
      <c r="K10204" s="1" t="s">
        <v>14</v>
      </c>
      <c r="M10204" s="2">
        <v>41833</v>
      </c>
      <c r="N10204" s="1" t="s">
        <v>8</v>
      </c>
      <c r="O10204" s="1" t="s">
        <v>68</v>
      </c>
    </row>
    <row r="10205" spans="1:15" ht="43.2" x14ac:dyDescent="0.3">
      <c r="A10205" s="1" t="s">
        <v>24230</v>
      </c>
      <c r="B10205" s="1" t="str">
        <f>"colin tasker"</f>
        <v>colin tasker</v>
      </c>
      <c r="C10205" s="1" t="s">
        <v>24231</v>
      </c>
      <c r="D10205" s="1" t="s">
        <v>16932</v>
      </c>
      <c r="F10205" s="1" t="s">
        <v>24232</v>
      </c>
      <c r="H10205" s="1" t="s">
        <v>24233</v>
      </c>
      <c r="I10205" s="1" t="s">
        <v>5</v>
      </c>
      <c r="J10205" s="1" t="s">
        <v>67</v>
      </c>
      <c r="K10205" s="1" t="s">
        <v>14</v>
      </c>
      <c r="M10205" s="2">
        <v>41833</v>
      </c>
      <c r="N10205" s="1" t="s">
        <v>8</v>
      </c>
      <c r="O10205" s="1" t="s">
        <v>68</v>
      </c>
    </row>
    <row r="10206" spans="1:15" ht="43.2" x14ac:dyDescent="0.3">
      <c r="A10206" s="1" t="s">
        <v>24216</v>
      </c>
      <c r="B10206" s="1" t="str">
        <f>"darren knibbs"</f>
        <v>darren knibbs</v>
      </c>
      <c r="C10206" s="1" t="s">
        <v>24217</v>
      </c>
      <c r="D10206" s="1" t="s">
        <v>24218</v>
      </c>
      <c r="F10206" s="1" t="s">
        <v>4471</v>
      </c>
      <c r="H10206" s="1" t="s">
        <v>24219</v>
      </c>
      <c r="I10206" s="1" t="s">
        <v>5</v>
      </c>
      <c r="J10206" s="1" t="s">
        <v>67</v>
      </c>
      <c r="K10206" s="1" t="s">
        <v>14</v>
      </c>
      <c r="M10206" s="2">
        <v>41832</v>
      </c>
      <c r="N10206" s="1" t="s">
        <v>8</v>
      </c>
      <c r="O10206" s="1" t="s">
        <v>68</v>
      </c>
    </row>
    <row r="10207" spans="1:15" ht="43.2" x14ac:dyDescent="0.3">
      <c r="A10207" s="1" t="s">
        <v>24220</v>
      </c>
      <c r="B10207" s="1" t="str">
        <f>"tim barnes"</f>
        <v>tim barnes</v>
      </c>
      <c r="C10207" s="1" t="s">
        <v>24221</v>
      </c>
      <c r="F10207" s="1" t="s">
        <v>5149</v>
      </c>
      <c r="H10207" s="1" t="s">
        <v>24222</v>
      </c>
      <c r="I10207" s="1" t="s">
        <v>5</v>
      </c>
      <c r="J10207" s="1" t="s">
        <v>67</v>
      </c>
      <c r="K10207" s="1" t="s">
        <v>14</v>
      </c>
      <c r="M10207" s="2">
        <v>41832</v>
      </c>
      <c r="N10207" s="1" t="s">
        <v>8</v>
      </c>
      <c r="O10207" s="1" t="s">
        <v>68</v>
      </c>
    </row>
    <row r="10208" spans="1:15" ht="43.2" x14ac:dyDescent="0.3">
      <c r="A10208" s="1" t="s">
        <v>11147</v>
      </c>
      <c r="B10208" s="1" t="str">
        <f>"The Health Centre Abercynon"</f>
        <v>The Health Centre Abercynon</v>
      </c>
      <c r="C10208" s="1" t="s">
        <v>11148</v>
      </c>
      <c r="D10208" s="1" t="s">
        <v>10958</v>
      </c>
      <c r="F10208" s="1" t="s">
        <v>11149</v>
      </c>
      <c r="H10208" s="1" t="s">
        <v>11150</v>
      </c>
      <c r="I10208" s="1" t="s">
        <v>125</v>
      </c>
      <c r="J10208" s="1" t="s">
        <v>67</v>
      </c>
      <c r="K10208" s="1" t="s">
        <v>14</v>
      </c>
      <c r="M10208" s="2">
        <v>41831</v>
      </c>
      <c r="N10208" s="1" t="s">
        <v>8</v>
      </c>
      <c r="O10208" s="1" t="s">
        <v>68</v>
      </c>
    </row>
    <row r="10209" spans="1:15" ht="43.2" x14ac:dyDescent="0.3">
      <c r="A10209" s="1" t="s">
        <v>23345</v>
      </c>
      <c r="B10209" s="1" t="str">
        <f>"Keith Lee"</f>
        <v>Keith Lee</v>
      </c>
      <c r="C10209" s="1" t="s">
        <v>23346</v>
      </c>
      <c r="F10209" s="1" t="s">
        <v>1206</v>
      </c>
      <c r="H10209" s="1" t="s">
        <v>23347</v>
      </c>
      <c r="I10209" s="1" t="s">
        <v>5</v>
      </c>
      <c r="J10209" s="1" t="s">
        <v>67</v>
      </c>
      <c r="K10209" s="1" t="s">
        <v>14</v>
      </c>
      <c r="M10209" s="2">
        <v>41831</v>
      </c>
      <c r="N10209" s="1" t="s">
        <v>8</v>
      </c>
      <c r="O10209" s="1" t="s">
        <v>68</v>
      </c>
    </row>
    <row r="10210" spans="1:15" ht="43.2" x14ac:dyDescent="0.3">
      <c r="A10210" s="1" t="s">
        <v>24212</v>
      </c>
      <c r="B10210" s="1" t="str">
        <f>"MARTIN JONES"</f>
        <v>MARTIN JONES</v>
      </c>
      <c r="C10210" s="1" t="s">
        <v>24213</v>
      </c>
      <c r="F10210" s="1" t="s">
        <v>24214</v>
      </c>
      <c r="H10210" s="1" t="s">
        <v>24215</v>
      </c>
      <c r="I10210" s="1" t="s">
        <v>5</v>
      </c>
      <c r="J10210" s="1" t="s">
        <v>67</v>
      </c>
      <c r="K10210" s="1" t="s">
        <v>14</v>
      </c>
      <c r="M10210" s="2">
        <v>41831</v>
      </c>
      <c r="N10210" s="1" t="s">
        <v>8</v>
      </c>
      <c r="O10210" s="1" t="s">
        <v>68</v>
      </c>
    </row>
    <row r="10211" spans="1:15" ht="43.2" x14ac:dyDescent="0.3">
      <c r="A10211" s="1" t="s">
        <v>10125</v>
      </c>
      <c r="B10211" s="1" t="str">
        <f>"ProAdventure"</f>
        <v>ProAdventure</v>
      </c>
      <c r="C10211" s="1" t="s">
        <v>10126</v>
      </c>
      <c r="D10211" s="1" t="s">
        <v>1888</v>
      </c>
      <c r="F10211" s="1" t="s">
        <v>1888</v>
      </c>
      <c r="H10211" s="1" t="s">
        <v>10127</v>
      </c>
      <c r="I10211" s="1" t="s">
        <v>19</v>
      </c>
      <c r="J10211" s="1" t="s">
        <v>67</v>
      </c>
      <c r="K10211" s="1" t="s">
        <v>14</v>
      </c>
      <c r="M10211" s="2">
        <v>41830</v>
      </c>
      <c r="N10211" s="1" t="s">
        <v>8</v>
      </c>
      <c r="O10211" s="1" t="s">
        <v>68</v>
      </c>
    </row>
    <row r="10212" spans="1:15" ht="43.2" x14ac:dyDescent="0.3">
      <c r="A10212" s="1" t="s">
        <v>10117</v>
      </c>
      <c r="B10212" s="1" t="str">
        <f>"Whitchurch Village Practice"</f>
        <v>Whitchurch Village Practice</v>
      </c>
      <c r="C10212" s="1" t="s">
        <v>10118</v>
      </c>
      <c r="D10212" s="1" t="s">
        <v>560</v>
      </c>
      <c r="F10212" s="1" t="s">
        <v>123</v>
      </c>
      <c r="H10212" s="1" t="s">
        <v>10119</v>
      </c>
      <c r="I10212" s="1" t="s">
        <v>125</v>
      </c>
      <c r="J10212" s="1" t="s">
        <v>67</v>
      </c>
      <c r="K10212" s="1" t="s">
        <v>14</v>
      </c>
      <c r="M10212" s="2">
        <v>41829</v>
      </c>
      <c r="N10212" s="1" t="s">
        <v>8</v>
      </c>
      <c r="O10212" s="1" t="s">
        <v>68</v>
      </c>
    </row>
    <row r="10213" spans="1:15" ht="43.2" x14ac:dyDescent="0.3">
      <c r="A10213" s="1" t="s">
        <v>10120</v>
      </c>
      <c r="B10213" s="1" t="str">
        <f>"Blaenau Gwent Care and Repair"</f>
        <v>Blaenau Gwent Care and Repair</v>
      </c>
      <c r="C10213" s="1" t="s">
        <v>10121</v>
      </c>
      <c r="F10213" s="1" t="s">
        <v>10122</v>
      </c>
      <c r="H10213" s="1" t="s">
        <v>10123</v>
      </c>
      <c r="I10213" s="1" t="s">
        <v>1872</v>
      </c>
      <c r="J10213" s="1" t="s">
        <v>67</v>
      </c>
      <c r="K10213" s="1" t="s">
        <v>14</v>
      </c>
      <c r="M10213" s="2">
        <v>41829</v>
      </c>
      <c r="N10213" s="1" t="s">
        <v>8</v>
      </c>
      <c r="O10213" s="1" t="s">
        <v>68</v>
      </c>
    </row>
    <row r="10214" spans="1:15" ht="43.2" x14ac:dyDescent="0.3">
      <c r="A10214" s="1" t="s">
        <v>10124</v>
      </c>
      <c r="B10214" s="1" t="str">
        <f>"Blaenau Gwent Care and Repair"</f>
        <v>Blaenau Gwent Care and Repair</v>
      </c>
      <c r="C10214" s="1" t="s">
        <v>10121</v>
      </c>
      <c r="F10214" s="1" t="s">
        <v>10122</v>
      </c>
      <c r="H10214" s="1" t="s">
        <v>10123</v>
      </c>
      <c r="I10214" s="1" t="s">
        <v>1872</v>
      </c>
      <c r="J10214" s="1" t="s">
        <v>67</v>
      </c>
      <c r="K10214" s="1" t="s">
        <v>14</v>
      </c>
      <c r="M10214" s="2">
        <v>41829</v>
      </c>
      <c r="N10214" s="1" t="s">
        <v>8</v>
      </c>
      <c r="O10214" s="1" t="s">
        <v>68</v>
      </c>
    </row>
    <row r="10215" spans="1:15" ht="43.2" x14ac:dyDescent="0.3">
      <c r="A10215" s="1" t="s">
        <v>10110</v>
      </c>
      <c r="B10215" s="1" t="str">
        <f>"Merthyr Valleys Homes"</f>
        <v>Merthyr Valleys Homes</v>
      </c>
      <c r="C10215" s="1" t="s">
        <v>10111</v>
      </c>
      <c r="D10215" s="1" t="s">
        <v>10112</v>
      </c>
      <c r="F10215" s="1" t="s">
        <v>556</v>
      </c>
      <c r="H10215" s="1" t="s">
        <v>10113</v>
      </c>
      <c r="I10215" s="1" t="s">
        <v>1872</v>
      </c>
      <c r="J10215" s="1" t="s">
        <v>67</v>
      </c>
      <c r="K10215" s="1" t="s">
        <v>14</v>
      </c>
      <c r="M10215" s="2">
        <v>41828</v>
      </c>
      <c r="N10215" s="1" t="s">
        <v>8</v>
      </c>
      <c r="O10215" s="1" t="s">
        <v>68</v>
      </c>
    </row>
    <row r="10216" spans="1:15" ht="43.2" x14ac:dyDescent="0.3">
      <c r="A10216" s="1" t="s">
        <v>10114</v>
      </c>
      <c r="B10216" s="1" t="str">
        <f>"Nant Conwy Tree Services Ltd "</f>
        <v xml:space="preserve">Nant Conwy Tree Services Ltd </v>
      </c>
      <c r="C10216" s="1" t="s">
        <v>10115</v>
      </c>
      <c r="F10216" s="1" t="s">
        <v>7543</v>
      </c>
      <c r="H10216" s="1" t="s">
        <v>10116</v>
      </c>
      <c r="I10216" s="1" t="s">
        <v>19</v>
      </c>
      <c r="J10216" s="1" t="s">
        <v>67</v>
      </c>
      <c r="K10216" s="1" t="s">
        <v>14</v>
      </c>
      <c r="M10216" s="2">
        <v>41828</v>
      </c>
      <c r="N10216" s="1" t="s">
        <v>8</v>
      </c>
      <c r="O10216" s="1" t="s">
        <v>68</v>
      </c>
    </row>
    <row r="10217" spans="1:15" ht="43.2" x14ac:dyDescent="0.3">
      <c r="A10217" s="1" t="s">
        <v>10102</v>
      </c>
      <c r="B10217" s="1" t="str">
        <f>"scrap metal"</f>
        <v>scrap metal</v>
      </c>
      <c r="C10217" s="1" t="s">
        <v>10103</v>
      </c>
      <c r="F10217" s="1" t="s">
        <v>1525</v>
      </c>
      <c r="H10217" s="1" t="s">
        <v>10104</v>
      </c>
      <c r="I10217" s="1" t="s">
        <v>125</v>
      </c>
      <c r="J10217" s="1" t="s">
        <v>67</v>
      </c>
      <c r="K10217" s="1" t="s">
        <v>14</v>
      </c>
      <c r="M10217" s="2">
        <v>41827</v>
      </c>
      <c r="N10217" s="1" t="s">
        <v>8</v>
      </c>
      <c r="O10217" s="1" t="s">
        <v>68</v>
      </c>
    </row>
    <row r="10218" spans="1:15" ht="43.2" x14ac:dyDescent="0.3">
      <c r="A10218" s="1" t="s">
        <v>10105</v>
      </c>
      <c r="B10218" s="1" t="str">
        <f>"Sirhowy Valley Honeybee Company Limited"</f>
        <v>Sirhowy Valley Honeybee Company Limited</v>
      </c>
      <c r="C10218" s="1" t="s">
        <v>10106</v>
      </c>
      <c r="D10218" s="1" t="s">
        <v>10107</v>
      </c>
      <c r="F10218" s="1" t="s">
        <v>10108</v>
      </c>
      <c r="H10218" s="1" t="s">
        <v>10109</v>
      </c>
      <c r="I10218" s="1" t="s">
        <v>19</v>
      </c>
      <c r="J10218" s="1" t="s">
        <v>67</v>
      </c>
      <c r="K10218" s="1" t="s">
        <v>14</v>
      </c>
      <c r="M10218" s="2">
        <v>41827</v>
      </c>
      <c r="N10218" s="1" t="s">
        <v>8</v>
      </c>
      <c r="O10218" s="1" t="s">
        <v>68</v>
      </c>
    </row>
    <row r="10219" spans="1:15" ht="43.2" x14ac:dyDescent="0.3">
      <c r="A10219" s="1" t="s">
        <v>10098</v>
      </c>
      <c r="B10219" s="1" t="str">
        <f>"A D DAVIES"</f>
        <v>A D DAVIES</v>
      </c>
      <c r="C10219" s="1" t="s">
        <v>10099</v>
      </c>
      <c r="F10219" s="1" t="s">
        <v>10100</v>
      </c>
      <c r="H10219" s="1" t="s">
        <v>10101</v>
      </c>
      <c r="I10219" s="1" t="s">
        <v>125</v>
      </c>
      <c r="J10219" s="1" t="s">
        <v>67</v>
      </c>
      <c r="K10219" s="1" t="s">
        <v>14</v>
      </c>
      <c r="M10219" s="2">
        <v>41826</v>
      </c>
      <c r="N10219" s="1" t="s">
        <v>8</v>
      </c>
      <c r="O10219" s="1" t="s">
        <v>68</v>
      </c>
    </row>
    <row r="10220" spans="1:15" ht="43.2" x14ac:dyDescent="0.3">
      <c r="A10220" s="1" t="s">
        <v>23341</v>
      </c>
      <c r="B10220" s="1" t="str">
        <f>"elwyn williams"</f>
        <v>elwyn williams</v>
      </c>
      <c r="C10220" s="1" t="s">
        <v>23342</v>
      </c>
      <c r="F10220" s="1" t="s">
        <v>23343</v>
      </c>
      <c r="H10220" s="1" t="s">
        <v>23344</v>
      </c>
      <c r="I10220" s="1" t="s">
        <v>5</v>
      </c>
      <c r="J10220" s="1" t="s">
        <v>67</v>
      </c>
      <c r="K10220" s="1" t="s">
        <v>14</v>
      </c>
      <c r="M10220" s="2">
        <v>41826</v>
      </c>
      <c r="N10220" s="1" t="s">
        <v>8</v>
      </c>
      <c r="O10220" s="1" t="s">
        <v>68</v>
      </c>
    </row>
    <row r="10221" spans="1:15" ht="43.2" x14ac:dyDescent="0.3">
      <c r="A10221" s="1" t="s">
        <v>10096</v>
      </c>
      <c r="B10221" s="1" t="str">
        <f>"National Zoological Society of Wales"</f>
        <v>National Zoological Society of Wales</v>
      </c>
      <c r="C10221" s="1" t="s">
        <v>10097</v>
      </c>
      <c r="F10221" s="1" t="s">
        <v>358</v>
      </c>
      <c r="H10221" s="1" t="s">
        <v>6670</v>
      </c>
      <c r="I10221" s="1" t="s">
        <v>1872</v>
      </c>
      <c r="J10221" s="1" t="s">
        <v>67</v>
      </c>
      <c r="K10221" s="1" t="s">
        <v>14</v>
      </c>
      <c r="M10221" s="2">
        <v>41825</v>
      </c>
      <c r="N10221" s="1" t="s">
        <v>8</v>
      </c>
      <c r="O10221" s="1" t="s">
        <v>68</v>
      </c>
    </row>
    <row r="10222" spans="1:15" ht="43.2" x14ac:dyDescent="0.3">
      <c r="A10222" s="1" t="s">
        <v>23337</v>
      </c>
      <c r="B10222" s="1" t="str">
        <f>"Robert Leach"</f>
        <v>Robert Leach</v>
      </c>
      <c r="C10222" s="1" t="s">
        <v>23338</v>
      </c>
      <c r="F10222" s="1" t="s">
        <v>3242</v>
      </c>
      <c r="H10222" s="1" t="s">
        <v>23339</v>
      </c>
      <c r="I10222" s="1" t="s">
        <v>5</v>
      </c>
      <c r="J10222" s="1" t="s">
        <v>67</v>
      </c>
      <c r="K10222" s="1" t="s">
        <v>14</v>
      </c>
      <c r="M10222" s="2">
        <v>41825</v>
      </c>
      <c r="N10222" s="1" t="s">
        <v>8</v>
      </c>
      <c r="O10222" s="1" t="s">
        <v>68</v>
      </c>
    </row>
    <row r="10223" spans="1:15" ht="43.2" x14ac:dyDescent="0.3">
      <c r="A10223" s="1" t="s">
        <v>23340</v>
      </c>
      <c r="B10223" s="1" t="str">
        <f>"Robert Leach"</f>
        <v>Robert Leach</v>
      </c>
      <c r="C10223" s="1" t="s">
        <v>23338</v>
      </c>
      <c r="F10223" s="1" t="s">
        <v>3242</v>
      </c>
      <c r="H10223" s="1" t="s">
        <v>23339</v>
      </c>
      <c r="I10223" s="1" t="s">
        <v>5</v>
      </c>
      <c r="J10223" s="1" t="s">
        <v>67</v>
      </c>
      <c r="K10223" s="1" t="s">
        <v>14</v>
      </c>
      <c r="M10223" s="2">
        <v>41825</v>
      </c>
      <c r="N10223" s="1" t="s">
        <v>8</v>
      </c>
      <c r="O10223" s="1" t="s">
        <v>68</v>
      </c>
    </row>
    <row r="10224" spans="1:15" ht="43.2" x14ac:dyDescent="0.3">
      <c r="A10224" s="1" t="s">
        <v>8973</v>
      </c>
      <c r="B10224" s="1" t="str">
        <f>"Tooby &amp; Williams Ltd"</f>
        <v>Tooby &amp; Williams Ltd</v>
      </c>
      <c r="C10224" s="1" t="s">
        <v>8974</v>
      </c>
      <c r="F10224" s="1" t="s">
        <v>8975</v>
      </c>
      <c r="H10224" s="1" t="s">
        <v>8976</v>
      </c>
      <c r="I10224" s="1" t="s">
        <v>19</v>
      </c>
      <c r="J10224" s="1" t="s">
        <v>67</v>
      </c>
      <c r="K10224" s="1" t="s">
        <v>14</v>
      </c>
      <c r="M10224" s="2">
        <v>41824</v>
      </c>
      <c r="N10224" s="1" t="s">
        <v>8</v>
      </c>
      <c r="O10224" s="1" t="s">
        <v>68</v>
      </c>
    </row>
    <row r="10225" spans="1:15" ht="43.2" x14ac:dyDescent="0.3">
      <c r="A10225" s="1" t="s">
        <v>8977</v>
      </c>
      <c r="B10225" s="1" t="str">
        <f>"DAVID WILLIAMS LLANDUDNO LTD."</f>
        <v>DAVID WILLIAMS LLANDUDNO LTD.</v>
      </c>
      <c r="C10225" s="1" t="s">
        <v>8978</v>
      </c>
      <c r="F10225" s="1" t="s">
        <v>8878</v>
      </c>
      <c r="H10225" s="1" t="s">
        <v>3243</v>
      </c>
      <c r="I10225" s="1" t="s">
        <v>19</v>
      </c>
      <c r="J10225" s="1" t="s">
        <v>67</v>
      </c>
      <c r="K10225" s="1" t="s">
        <v>14</v>
      </c>
      <c r="M10225" s="2">
        <v>41824</v>
      </c>
      <c r="N10225" s="1" t="s">
        <v>8</v>
      </c>
      <c r="O10225" s="1" t="s">
        <v>68</v>
      </c>
    </row>
    <row r="10226" spans="1:15" ht="43.2" x14ac:dyDescent="0.3">
      <c r="A10226" s="1" t="s">
        <v>22630</v>
      </c>
      <c r="B10226" s="1" t="str">
        <f>"Neil Jones"</f>
        <v>Neil Jones</v>
      </c>
      <c r="C10226" s="1" t="s">
        <v>22631</v>
      </c>
      <c r="D10226" s="1" t="s">
        <v>22632</v>
      </c>
      <c r="F10226" s="1" t="s">
        <v>179</v>
      </c>
      <c r="H10226" s="1" t="s">
        <v>22633</v>
      </c>
      <c r="I10226" s="1" t="s">
        <v>5</v>
      </c>
      <c r="J10226" s="1" t="s">
        <v>67</v>
      </c>
      <c r="K10226" s="1" t="s">
        <v>14</v>
      </c>
      <c r="M10226" s="2">
        <v>41824</v>
      </c>
      <c r="N10226" s="1" t="s">
        <v>8</v>
      </c>
      <c r="O10226" s="1" t="s">
        <v>68</v>
      </c>
    </row>
    <row r="10227" spans="1:15" ht="43.2" x14ac:dyDescent="0.3">
      <c r="A10227" s="1" t="s">
        <v>22634</v>
      </c>
      <c r="B10227" s="1" t="str">
        <f>"Neil Jones"</f>
        <v>Neil Jones</v>
      </c>
      <c r="C10227" s="1" t="s">
        <v>22631</v>
      </c>
      <c r="D10227" s="1" t="s">
        <v>22632</v>
      </c>
      <c r="F10227" s="1" t="s">
        <v>179</v>
      </c>
      <c r="H10227" s="1" t="s">
        <v>22633</v>
      </c>
      <c r="I10227" s="1" t="s">
        <v>5</v>
      </c>
      <c r="J10227" s="1" t="s">
        <v>67</v>
      </c>
      <c r="K10227" s="1" t="s">
        <v>14</v>
      </c>
      <c r="M10227" s="2">
        <v>41824</v>
      </c>
      <c r="N10227" s="1" t="s">
        <v>8</v>
      </c>
      <c r="O10227" s="1" t="s">
        <v>68</v>
      </c>
    </row>
    <row r="10228" spans="1:15" ht="43.2" x14ac:dyDescent="0.3">
      <c r="A10228" s="1" t="s">
        <v>23334</v>
      </c>
      <c r="B10228" s="1" t="str">
        <f>"John Dalzell"</f>
        <v>John Dalzell</v>
      </c>
      <c r="C10228" s="1" t="s">
        <v>23335</v>
      </c>
      <c r="F10228" s="1" t="s">
        <v>6067</v>
      </c>
      <c r="H10228" s="1" t="s">
        <v>23336</v>
      </c>
      <c r="I10228" s="1" t="s">
        <v>5</v>
      </c>
      <c r="J10228" s="1" t="s">
        <v>67</v>
      </c>
      <c r="K10228" s="1" t="s">
        <v>14</v>
      </c>
      <c r="M10228" s="2">
        <v>41824</v>
      </c>
      <c r="N10228" s="1" t="s">
        <v>8</v>
      </c>
      <c r="O10228" s="1" t="s">
        <v>68</v>
      </c>
    </row>
    <row r="10229" spans="1:15" ht="43.2" x14ac:dyDescent="0.3">
      <c r="A10229" s="1" t="s">
        <v>8966</v>
      </c>
      <c r="B10229" s="1" t="str">
        <f>"Talgarth Stores"</f>
        <v>Talgarth Stores</v>
      </c>
      <c r="C10229" s="1" t="s">
        <v>8967</v>
      </c>
      <c r="F10229" s="1" t="s">
        <v>5074</v>
      </c>
      <c r="H10229" s="1" t="s">
        <v>8968</v>
      </c>
      <c r="I10229" s="1" t="s">
        <v>125</v>
      </c>
      <c r="J10229" s="1" t="s">
        <v>67</v>
      </c>
      <c r="K10229" s="1" t="s">
        <v>14</v>
      </c>
      <c r="M10229" s="2">
        <v>41823</v>
      </c>
      <c r="N10229" s="1" t="s">
        <v>8</v>
      </c>
      <c r="O10229" s="1" t="s">
        <v>68</v>
      </c>
    </row>
    <row r="10230" spans="1:15" ht="43.2" x14ac:dyDescent="0.3">
      <c r="A10230" s="1" t="s">
        <v>8969</v>
      </c>
      <c r="B10230" s="1" t="str">
        <f>"Installation JB Wales Limited"</f>
        <v>Installation JB Wales Limited</v>
      </c>
      <c r="C10230" s="1" t="s">
        <v>8970</v>
      </c>
      <c r="F10230" s="1" t="s">
        <v>8971</v>
      </c>
      <c r="H10230" s="1" t="s">
        <v>8972</v>
      </c>
      <c r="I10230" s="1" t="s">
        <v>19</v>
      </c>
      <c r="J10230" s="1" t="s">
        <v>67</v>
      </c>
      <c r="K10230" s="1" t="s">
        <v>14</v>
      </c>
      <c r="M10230" s="2">
        <v>41823</v>
      </c>
      <c r="N10230" s="1" t="s">
        <v>8</v>
      </c>
      <c r="O10230" s="1" t="s">
        <v>68</v>
      </c>
    </row>
    <row r="10231" spans="1:15" ht="43.2" x14ac:dyDescent="0.3">
      <c r="A10231" s="1" t="s">
        <v>22616</v>
      </c>
      <c r="B10231" s="1" t="str">
        <f>"nigel griffiths"</f>
        <v>nigel griffiths</v>
      </c>
      <c r="C10231" s="1" t="s">
        <v>22617</v>
      </c>
      <c r="D10231" s="1" t="s">
        <v>22618</v>
      </c>
      <c r="F10231" s="1" t="s">
        <v>21044</v>
      </c>
      <c r="H10231" s="1" t="s">
        <v>22619</v>
      </c>
      <c r="I10231" s="1" t="s">
        <v>5</v>
      </c>
      <c r="J10231" s="1" t="s">
        <v>67</v>
      </c>
      <c r="K10231" s="1" t="s">
        <v>14</v>
      </c>
      <c r="M10231" s="2">
        <v>41823</v>
      </c>
      <c r="N10231" s="1" t="s">
        <v>8</v>
      </c>
      <c r="O10231" s="1" t="s">
        <v>68</v>
      </c>
    </row>
    <row r="10232" spans="1:15" ht="43.2" x14ac:dyDescent="0.3">
      <c r="A10232" s="1" t="s">
        <v>22620</v>
      </c>
      <c r="B10232" s="1" t="str">
        <f>"David Jackman"</f>
        <v>David Jackman</v>
      </c>
      <c r="C10232" s="1" t="s">
        <v>22621</v>
      </c>
      <c r="D10232" s="1" t="s">
        <v>22622</v>
      </c>
      <c r="F10232" s="1" t="s">
        <v>3242</v>
      </c>
      <c r="H10232" s="1" t="s">
        <v>22623</v>
      </c>
      <c r="I10232" s="1" t="s">
        <v>5</v>
      </c>
      <c r="J10232" s="1" t="s">
        <v>67</v>
      </c>
      <c r="K10232" s="1" t="s">
        <v>14</v>
      </c>
      <c r="M10232" s="2">
        <v>41823</v>
      </c>
      <c r="N10232" s="1" t="s">
        <v>8</v>
      </c>
      <c r="O10232" s="1" t="s">
        <v>68</v>
      </c>
    </row>
    <row r="10233" spans="1:15" ht="43.2" x14ac:dyDescent="0.3">
      <c r="A10233" s="1" t="s">
        <v>22624</v>
      </c>
      <c r="B10233" s="1" t="str">
        <f>"Richard Howatson"</f>
        <v>Richard Howatson</v>
      </c>
      <c r="C10233" s="1" t="s">
        <v>22625</v>
      </c>
      <c r="F10233" s="1" t="s">
        <v>922</v>
      </c>
      <c r="H10233" s="1" t="s">
        <v>22626</v>
      </c>
      <c r="I10233" s="1" t="s">
        <v>5</v>
      </c>
      <c r="J10233" s="1" t="s">
        <v>67</v>
      </c>
      <c r="K10233" s="1" t="s">
        <v>14</v>
      </c>
      <c r="M10233" s="2">
        <v>41823</v>
      </c>
      <c r="N10233" s="1" t="s">
        <v>8</v>
      </c>
      <c r="O10233" s="1" t="s">
        <v>68</v>
      </c>
    </row>
    <row r="10234" spans="1:15" ht="43.2" x14ac:dyDescent="0.3">
      <c r="A10234" s="1" t="s">
        <v>22627</v>
      </c>
      <c r="B10234" s="1" t="str">
        <f>"Richard Howatson"</f>
        <v>Richard Howatson</v>
      </c>
      <c r="C10234" s="1" t="s">
        <v>22625</v>
      </c>
      <c r="F10234" s="1" t="s">
        <v>922</v>
      </c>
      <c r="H10234" s="1" t="s">
        <v>22626</v>
      </c>
      <c r="I10234" s="1" t="s">
        <v>5</v>
      </c>
      <c r="J10234" s="1" t="s">
        <v>67</v>
      </c>
      <c r="K10234" s="1" t="s">
        <v>14</v>
      </c>
      <c r="M10234" s="2">
        <v>41823</v>
      </c>
      <c r="N10234" s="1" t="s">
        <v>8</v>
      </c>
      <c r="O10234" s="1" t="s">
        <v>68</v>
      </c>
    </row>
    <row r="10235" spans="1:15" ht="43.2" x14ac:dyDescent="0.3">
      <c r="A10235" s="1" t="s">
        <v>22628</v>
      </c>
      <c r="B10235" s="1" t="str">
        <f>"Richard Howatson"</f>
        <v>Richard Howatson</v>
      </c>
      <c r="C10235" s="1" t="s">
        <v>22625</v>
      </c>
      <c r="F10235" s="1" t="s">
        <v>922</v>
      </c>
      <c r="H10235" s="1" t="s">
        <v>22626</v>
      </c>
      <c r="I10235" s="1" t="s">
        <v>5</v>
      </c>
      <c r="J10235" s="1" t="s">
        <v>67</v>
      </c>
      <c r="K10235" s="1" t="s">
        <v>14</v>
      </c>
      <c r="M10235" s="2">
        <v>41823</v>
      </c>
      <c r="N10235" s="1" t="s">
        <v>8</v>
      </c>
      <c r="O10235" s="1" t="s">
        <v>68</v>
      </c>
    </row>
    <row r="10236" spans="1:15" ht="43.2" x14ac:dyDescent="0.3">
      <c r="A10236" s="1" t="s">
        <v>22629</v>
      </c>
      <c r="B10236" s="1" t="str">
        <f>"Richard Howatson"</f>
        <v>Richard Howatson</v>
      </c>
      <c r="C10236" s="1" t="s">
        <v>22625</v>
      </c>
      <c r="F10236" s="1" t="s">
        <v>922</v>
      </c>
      <c r="H10236" s="1" t="s">
        <v>22626</v>
      </c>
      <c r="I10236" s="1" t="s">
        <v>5</v>
      </c>
      <c r="J10236" s="1" t="s">
        <v>67</v>
      </c>
      <c r="K10236" s="1" t="s">
        <v>14</v>
      </c>
      <c r="M10236" s="2">
        <v>41823</v>
      </c>
      <c r="N10236" s="1" t="s">
        <v>8</v>
      </c>
      <c r="O10236" s="1" t="s">
        <v>68</v>
      </c>
    </row>
    <row r="10237" spans="1:15" ht="43.2" x14ac:dyDescent="0.3">
      <c r="A10237" s="1" t="s">
        <v>7799</v>
      </c>
      <c r="B10237" s="1" t="str">
        <f>"bjs electrical"</f>
        <v>bjs electrical</v>
      </c>
      <c r="C10237" s="1" t="s">
        <v>7800</v>
      </c>
      <c r="F10237" s="1" t="s">
        <v>7801</v>
      </c>
      <c r="H10237" s="1" t="s">
        <v>7802</v>
      </c>
      <c r="I10237" s="1" t="s">
        <v>19</v>
      </c>
      <c r="J10237" s="1" t="s">
        <v>67</v>
      </c>
      <c r="K10237" s="1" t="s">
        <v>14</v>
      </c>
      <c r="M10237" s="2">
        <v>41822</v>
      </c>
      <c r="N10237" s="1" t="s">
        <v>8</v>
      </c>
      <c r="O10237" s="1" t="s">
        <v>68</v>
      </c>
    </row>
    <row r="10238" spans="1:15" ht="43.2" x14ac:dyDescent="0.3">
      <c r="A10238" s="1" t="s">
        <v>8956</v>
      </c>
      <c r="B10238" s="1" t="str">
        <f>"the pool coffe shop"</f>
        <v>the pool coffe shop</v>
      </c>
      <c r="C10238" s="1" t="s">
        <v>8957</v>
      </c>
      <c r="D10238" s="1" t="s">
        <v>8958</v>
      </c>
      <c r="F10238" s="1" t="s">
        <v>8959</v>
      </c>
      <c r="H10238" s="1" t="s">
        <v>8960</v>
      </c>
      <c r="I10238" s="1" t="s">
        <v>125</v>
      </c>
      <c r="J10238" s="1" t="s">
        <v>67</v>
      </c>
      <c r="K10238" s="1" t="s">
        <v>14</v>
      </c>
      <c r="M10238" s="2">
        <v>41822</v>
      </c>
      <c r="N10238" s="1" t="s">
        <v>8</v>
      </c>
      <c r="O10238" s="1" t="s">
        <v>68</v>
      </c>
    </row>
    <row r="10239" spans="1:15" ht="43.2" x14ac:dyDescent="0.3">
      <c r="A10239" s="1" t="s">
        <v>8961</v>
      </c>
      <c r="B10239" s="1" t="str">
        <f>"Neuadd Dyfi"</f>
        <v>Neuadd Dyfi</v>
      </c>
      <c r="C10239" s="1" t="s">
        <v>8962</v>
      </c>
      <c r="F10239" s="1" t="s">
        <v>8963</v>
      </c>
      <c r="H10239" s="1" t="s">
        <v>8964</v>
      </c>
      <c r="I10239" s="1" t="s">
        <v>1872</v>
      </c>
      <c r="J10239" s="1" t="s">
        <v>67</v>
      </c>
      <c r="K10239" s="1" t="s">
        <v>14</v>
      </c>
      <c r="M10239" s="2">
        <v>41822</v>
      </c>
      <c r="N10239" s="1" t="s">
        <v>8</v>
      </c>
      <c r="O10239" s="1" t="s">
        <v>68</v>
      </c>
    </row>
    <row r="10240" spans="1:15" ht="43.2" x14ac:dyDescent="0.3">
      <c r="A10240" s="1" t="s">
        <v>8965</v>
      </c>
      <c r="B10240" s="1" t="str">
        <f>"Neuadd Dyfi"</f>
        <v>Neuadd Dyfi</v>
      </c>
      <c r="C10240" s="1" t="s">
        <v>8962</v>
      </c>
      <c r="F10240" s="1" t="s">
        <v>8963</v>
      </c>
      <c r="H10240" s="1" t="s">
        <v>8964</v>
      </c>
      <c r="I10240" s="1" t="s">
        <v>1872</v>
      </c>
      <c r="J10240" s="1" t="s">
        <v>67</v>
      </c>
      <c r="K10240" s="1" t="s">
        <v>14</v>
      </c>
      <c r="M10240" s="2">
        <v>41822</v>
      </c>
      <c r="N10240" s="1" t="s">
        <v>8</v>
      </c>
      <c r="O10240" s="1" t="s">
        <v>68</v>
      </c>
    </row>
    <row r="10241" spans="1:15" ht="43.2" x14ac:dyDescent="0.3">
      <c r="A10241" s="1" t="s">
        <v>21785</v>
      </c>
      <c r="B10241" s="1" t="str">
        <f>"sue clarke"</f>
        <v>sue clarke</v>
      </c>
      <c r="C10241" s="1" t="s">
        <v>21786</v>
      </c>
      <c r="F10241" s="1" t="s">
        <v>56</v>
      </c>
      <c r="H10241" s="1" t="s">
        <v>21787</v>
      </c>
      <c r="I10241" s="1" t="s">
        <v>5</v>
      </c>
      <c r="J10241" s="1" t="s">
        <v>67</v>
      </c>
      <c r="K10241" s="1" t="s">
        <v>14</v>
      </c>
      <c r="M10241" s="2">
        <v>41822</v>
      </c>
      <c r="N10241" s="1" t="s">
        <v>8</v>
      </c>
      <c r="O10241" s="1" t="s">
        <v>68</v>
      </c>
    </row>
    <row r="10242" spans="1:15" ht="43.2" x14ac:dyDescent="0.3">
      <c r="A10242" s="1" t="s">
        <v>21788</v>
      </c>
      <c r="B10242" s="1" t="str">
        <f>"sue clarke"</f>
        <v>sue clarke</v>
      </c>
      <c r="C10242" s="1" t="s">
        <v>21786</v>
      </c>
      <c r="F10242" s="1" t="s">
        <v>56</v>
      </c>
      <c r="H10242" s="1" t="s">
        <v>21787</v>
      </c>
      <c r="I10242" s="1" t="s">
        <v>5</v>
      </c>
      <c r="J10242" s="1" t="s">
        <v>67</v>
      </c>
      <c r="K10242" s="1" t="s">
        <v>14</v>
      </c>
      <c r="M10242" s="2">
        <v>41822</v>
      </c>
      <c r="N10242" s="1" t="s">
        <v>8</v>
      </c>
      <c r="O10242" s="1" t="s">
        <v>68</v>
      </c>
    </row>
    <row r="10243" spans="1:15" ht="43.2" x14ac:dyDescent="0.3">
      <c r="A10243" s="1" t="s">
        <v>22612</v>
      </c>
      <c r="B10243" s="1" t="str">
        <f>"Jean Price"</f>
        <v>Jean Price</v>
      </c>
      <c r="C10243" s="1" t="s">
        <v>22613</v>
      </c>
      <c r="D10243" s="1" t="s">
        <v>22614</v>
      </c>
      <c r="F10243" s="1" t="s">
        <v>2859</v>
      </c>
      <c r="H10243" s="1" t="s">
        <v>22615</v>
      </c>
      <c r="I10243" s="1" t="s">
        <v>5</v>
      </c>
      <c r="J10243" s="1" t="s">
        <v>67</v>
      </c>
      <c r="K10243" s="1" t="s">
        <v>14</v>
      </c>
      <c r="M10243" s="2">
        <v>41822</v>
      </c>
      <c r="N10243" s="1" t="s">
        <v>8</v>
      </c>
      <c r="O10243" s="1" t="s">
        <v>68</v>
      </c>
    </row>
    <row r="10244" spans="1:15" ht="43.2" x14ac:dyDescent="0.3">
      <c r="A10244" s="1" t="s">
        <v>7771</v>
      </c>
      <c r="B10244" s="1" t="str">
        <f>"Emma J Cooling Services Ltd"</f>
        <v>Emma J Cooling Services Ltd</v>
      </c>
      <c r="C10244" s="1" t="s">
        <v>7772</v>
      </c>
      <c r="D10244" s="1" t="s">
        <v>7773</v>
      </c>
      <c r="F10244" s="1" t="s">
        <v>4200</v>
      </c>
      <c r="H10244" s="1" t="s">
        <v>7774</v>
      </c>
      <c r="I10244" s="1" t="s">
        <v>19</v>
      </c>
      <c r="J10244" s="1" t="s">
        <v>67</v>
      </c>
      <c r="K10244" s="1" t="s">
        <v>14</v>
      </c>
      <c r="M10244" s="2">
        <v>41821</v>
      </c>
      <c r="N10244" s="1" t="s">
        <v>8</v>
      </c>
      <c r="O10244" s="1" t="s">
        <v>68</v>
      </c>
    </row>
    <row r="10245" spans="1:15" ht="43.2" x14ac:dyDescent="0.3">
      <c r="A10245" s="1" t="s">
        <v>7775</v>
      </c>
      <c r="B10245" s="1" t="str">
        <f>"Wastesavers Charitable Trust Limited"</f>
        <v>Wastesavers Charitable Trust Limited</v>
      </c>
      <c r="C10245" s="1" t="s">
        <v>7776</v>
      </c>
      <c r="D10245" s="1" t="s">
        <v>2227</v>
      </c>
      <c r="F10245" s="1" t="s">
        <v>156</v>
      </c>
      <c r="H10245" s="1" t="s">
        <v>2228</v>
      </c>
      <c r="I10245" s="1" t="s">
        <v>1872</v>
      </c>
      <c r="J10245" s="1" t="s">
        <v>67</v>
      </c>
      <c r="K10245" s="1" t="s">
        <v>14</v>
      </c>
      <c r="M10245" s="2">
        <v>41821</v>
      </c>
      <c r="N10245" s="1" t="s">
        <v>8</v>
      </c>
      <c r="O10245" s="1" t="s">
        <v>68</v>
      </c>
    </row>
    <row r="10246" spans="1:15" ht="43.2" x14ac:dyDescent="0.3">
      <c r="A10246" s="1" t="s">
        <v>7777</v>
      </c>
      <c r="B10246" s="1" t="str">
        <f>"Wastesavers Limited"</f>
        <v>Wastesavers Limited</v>
      </c>
      <c r="C10246" s="1" t="s">
        <v>7778</v>
      </c>
      <c r="D10246" s="1" t="s">
        <v>7779</v>
      </c>
      <c r="F10246" s="1" t="s">
        <v>156</v>
      </c>
      <c r="H10246" s="1" t="s">
        <v>2180</v>
      </c>
      <c r="I10246" s="1" t="s">
        <v>1872</v>
      </c>
      <c r="J10246" s="1" t="s">
        <v>67</v>
      </c>
      <c r="K10246" s="1" t="s">
        <v>14</v>
      </c>
      <c r="M10246" s="2">
        <v>41821</v>
      </c>
      <c r="N10246" s="1" t="s">
        <v>8</v>
      </c>
      <c r="O10246" s="1" t="s">
        <v>68</v>
      </c>
    </row>
    <row r="10247" spans="1:15" ht="43.2" x14ac:dyDescent="0.3">
      <c r="A10247" s="1" t="s">
        <v>7780</v>
      </c>
      <c r="B10247" s="1" t="str">
        <f>"YSTRADGYNLAIS VOLUNTEER CENTRE"</f>
        <v>YSTRADGYNLAIS VOLUNTEER CENTRE</v>
      </c>
      <c r="C10247" s="1" t="s">
        <v>7781</v>
      </c>
      <c r="D10247" s="1" t="s">
        <v>7782</v>
      </c>
      <c r="F10247" s="1" t="s">
        <v>7783</v>
      </c>
      <c r="H10247" s="1" t="s">
        <v>7784</v>
      </c>
      <c r="I10247" s="1" t="s">
        <v>1872</v>
      </c>
      <c r="J10247" s="1" t="s">
        <v>67</v>
      </c>
      <c r="K10247" s="1" t="s">
        <v>14</v>
      </c>
      <c r="M10247" s="2">
        <v>41821</v>
      </c>
      <c r="N10247" s="1" t="s">
        <v>8</v>
      </c>
      <c r="O10247" s="1" t="s">
        <v>68</v>
      </c>
    </row>
    <row r="10248" spans="1:15" ht="43.2" x14ac:dyDescent="0.3">
      <c r="A10248" s="1" t="s">
        <v>7785</v>
      </c>
      <c r="B10248" s="1" t="str">
        <f>"Fforest Timber Engineering Limited"</f>
        <v>Fforest Timber Engineering Limited</v>
      </c>
      <c r="C10248" s="1" t="s">
        <v>7786</v>
      </c>
      <c r="D10248" s="1" t="s">
        <v>7787</v>
      </c>
      <c r="E10248" s="1" t="s">
        <v>7788</v>
      </c>
      <c r="F10248" s="1" t="s">
        <v>64</v>
      </c>
      <c r="G10248" s="1" t="s">
        <v>65</v>
      </c>
      <c r="H10248" s="1" t="s">
        <v>7789</v>
      </c>
      <c r="I10248" s="1" t="s">
        <v>19</v>
      </c>
      <c r="J10248" s="1" t="s">
        <v>67</v>
      </c>
      <c r="K10248" s="1" t="s">
        <v>14</v>
      </c>
      <c r="M10248" s="2">
        <v>41821</v>
      </c>
      <c r="N10248" s="1" t="s">
        <v>8</v>
      </c>
      <c r="O10248" s="1" t="s">
        <v>68</v>
      </c>
    </row>
    <row r="10249" spans="1:15" ht="43.2" x14ac:dyDescent="0.3">
      <c r="A10249" s="1" t="s">
        <v>7790</v>
      </c>
      <c r="B10249" s="1" t="str">
        <f>"BULLSHIRT LTD"</f>
        <v>BULLSHIRT LTD</v>
      </c>
      <c r="C10249" s="1" t="s">
        <v>7791</v>
      </c>
      <c r="D10249" s="1" t="s">
        <v>7792</v>
      </c>
      <c r="F10249" s="1" t="s">
        <v>64</v>
      </c>
      <c r="H10249" s="1" t="s">
        <v>7793</v>
      </c>
      <c r="I10249" s="1" t="s">
        <v>19</v>
      </c>
      <c r="J10249" s="1" t="s">
        <v>67</v>
      </c>
      <c r="K10249" s="1" t="s">
        <v>14</v>
      </c>
      <c r="M10249" s="2">
        <v>41821</v>
      </c>
      <c r="N10249" s="1" t="s">
        <v>8</v>
      </c>
      <c r="O10249" s="1" t="s">
        <v>68</v>
      </c>
    </row>
    <row r="10250" spans="1:15" ht="43.2" x14ac:dyDescent="0.3">
      <c r="A10250" s="1" t="s">
        <v>7794</v>
      </c>
      <c r="B10250" s="1" t="str">
        <f>"North Wales Wildlife Trust"</f>
        <v>North Wales Wildlife Trust</v>
      </c>
      <c r="C10250" s="1" t="s">
        <v>7795</v>
      </c>
      <c r="F10250" s="1" t="s">
        <v>1321</v>
      </c>
      <c r="H10250" s="1" t="s">
        <v>7796</v>
      </c>
      <c r="I10250" s="1" t="s">
        <v>1872</v>
      </c>
      <c r="J10250" s="1" t="s">
        <v>67</v>
      </c>
      <c r="K10250" s="1" t="s">
        <v>14</v>
      </c>
      <c r="M10250" s="2">
        <v>41821</v>
      </c>
      <c r="N10250" s="1" t="s">
        <v>8</v>
      </c>
      <c r="O10250" s="1" t="s">
        <v>68</v>
      </c>
    </row>
    <row r="10251" spans="1:15" ht="43.2" x14ac:dyDescent="0.3">
      <c r="A10251" s="1" t="s">
        <v>7797</v>
      </c>
      <c r="B10251" s="1" t="str">
        <f>"North Wales Wildlife Trust"</f>
        <v>North Wales Wildlife Trust</v>
      </c>
      <c r="C10251" s="1" t="s">
        <v>7798</v>
      </c>
      <c r="D10251" s="1" t="s">
        <v>2209</v>
      </c>
      <c r="F10251" s="1" t="s">
        <v>720</v>
      </c>
      <c r="H10251" s="1" t="s">
        <v>6919</v>
      </c>
      <c r="I10251" s="1" t="s">
        <v>1872</v>
      </c>
      <c r="J10251" s="1" t="s">
        <v>67</v>
      </c>
      <c r="K10251" s="1" t="s">
        <v>14</v>
      </c>
      <c r="M10251" s="2">
        <v>41821</v>
      </c>
      <c r="N10251" s="1" t="s">
        <v>8</v>
      </c>
      <c r="O10251" s="1" t="s">
        <v>68</v>
      </c>
    </row>
    <row r="10252" spans="1:15" ht="43.2" x14ac:dyDescent="0.3">
      <c r="A10252" s="1" t="s">
        <v>21777</v>
      </c>
      <c r="B10252" s="1" t="str">
        <f>"Mark  Brooks"</f>
        <v>Mark  Brooks</v>
      </c>
      <c r="C10252" s="1" t="s">
        <v>21778</v>
      </c>
      <c r="F10252" s="1" t="s">
        <v>102</v>
      </c>
      <c r="H10252" s="1" t="s">
        <v>21779</v>
      </c>
      <c r="I10252" s="1" t="s">
        <v>5</v>
      </c>
      <c r="J10252" s="1" t="s">
        <v>67</v>
      </c>
      <c r="K10252" s="1" t="s">
        <v>14</v>
      </c>
      <c r="M10252" s="2">
        <v>41821</v>
      </c>
      <c r="N10252" s="1" t="s">
        <v>8</v>
      </c>
      <c r="O10252" s="1" t="s">
        <v>68</v>
      </c>
    </row>
    <row r="10253" spans="1:15" ht="43.2" x14ac:dyDescent="0.3">
      <c r="A10253" s="1" t="s">
        <v>21780</v>
      </c>
      <c r="B10253" s="1" t="str">
        <f>"Mark  Brooks"</f>
        <v>Mark  Brooks</v>
      </c>
      <c r="C10253" s="1" t="s">
        <v>21778</v>
      </c>
      <c r="F10253" s="1" t="s">
        <v>102</v>
      </c>
      <c r="H10253" s="1" t="s">
        <v>21779</v>
      </c>
      <c r="I10253" s="1" t="s">
        <v>5</v>
      </c>
      <c r="J10253" s="1" t="s">
        <v>67</v>
      </c>
      <c r="K10253" s="1" t="s">
        <v>14</v>
      </c>
      <c r="M10253" s="2">
        <v>41821</v>
      </c>
      <c r="N10253" s="1" t="s">
        <v>8</v>
      </c>
      <c r="O10253" s="1" t="s">
        <v>68</v>
      </c>
    </row>
    <row r="10254" spans="1:15" ht="43.2" x14ac:dyDescent="0.3">
      <c r="A10254" s="1" t="s">
        <v>21781</v>
      </c>
      <c r="B10254" s="1" t="str">
        <f>"Ian Humphrey"</f>
        <v>Ian Humphrey</v>
      </c>
      <c r="C10254" s="1" t="s">
        <v>21782</v>
      </c>
      <c r="D10254" s="1" t="s">
        <v>21783</v>
      </c>
      <c r="F10254" s="1" t="s">
        <v>1341</v>
      </c>
      <c r="H10254" s="1" t="s">
        <v>21784</v>
      </c>
      <c r="I10254" s="1" t="s">
        <v>5</v>
      </c>
      <c r="J10254" s="1" t="s">
        <v>67</v>
      </c>
      <c r="K10254" s="1" t="s">
        <v>14</v>
      </c>
      <c r="M10254" s="2">
        <v>41821</v>
      </c>
      <c r="N10254" s="1" t="s">
        <v>8</v>
      </c>
      <c r="O10254" s="1" t="s">
        <v>68</v>
      </c>
    </row>
    <row r="10255" spans="1:15" ht="43.2" x14ac:dyDescent="0.3">
      <c r="A10255" s="1" t="s">
        <v>6745</v>
      </c>
      <c r="B10255" s="1" t="str">
        <f>"AAP ARREST-A-PEST LTD"</f>
        <v>AAP ARREST-A-PEST LTD</v>
      </c>
      <c r="C10255" s="1" t="s">
        <v>6746</v>
      </c>
      <c r="D10255" s="1" t="s">
        <v>6747</v>
      </c>
      <c r="F10255" s="1" t="s">
        <v>123</v>
      </c>
      <c r="H10255" s="1" t="s">
        <v>6748</v>
      </c>
      <c r="I10255" s="1" t="s">
        <v>19</v>
      </c>
      <c r="J10255" s="1" t="s">
        <v>67</v>
      </c>
      <c r="K10255" s="1" t="s">
        <v>14</v>
      </c>
      <c r="M10255" s="2">
        <v>41820</v>
      </c>
      <c r="N10255" s="1" t="s">
        <v>8</v>
      </c>
      <c r="O10255" s="1" t="s">
        <v>68</v>
      </c>
    </row>
    <row r="10256" spans="1:15" ht="43.2" x14ac:dyDescent="0.3">
      <c r="A10256" s="1" t="s">
        <v>6749</v>
      </c>
      <c r="B10256" s="1" t="str">
        <f>"Sm and b barker"</f>
        <v>Sm and b barker</v>
      </c>
      <c r="C10256" s="1" t="s">
        <v>6750</v>
      </c>
      <c r="F10256" s="1" t="s">
        <v>6751</v>
      </c>
      <c r="H10256" s="1" t="s">
        <v>6752</v>
      </c>
      <c r="I10256" s="1" t="s">
        <v>125</v>
      </c>
      <c r="J10256" s="1" t="s">
        <v>67</v>
      </c>
      <c r="K10256" s="1" t="s">
        <v>14</v>
      </c>
      <c r="M10256" s="2">
        <v>41820</v>
      </c>
      <c r="N10256" s="1" t="s">
        <v>8</v>
      </c>
      <c r="O10256" s="1" t="s">
        <v>68</v>
      </c>
    </row>
    <row r="10257" spans="1:15" ht="43.2" x14ac:dyDescent="0.3">
      <c r="A10257" s="1" t="s">
        <v>21034</v>
      </c>
      <c r="B10257" s="1" t="str">
        <f>"Colin Chapman"</f>
        <v>Colin Chapman</v>
      </c>
      <c r="C10257" s="1" t="s">
        <v>21035</v>
      </c>
      <c r="D10257" s="1" t="s">
        <v>21036</v>
      </c>
      <c r="F10257" s="1" t="s">
        <v>15441</v>
      </c>
      <c r="H10257" s="1" t="s">
        <v>21037</v>
      </c>
      <c r="I10257" s="1" t="s">
        <v>5</v>
      </c>
      <c r="J10257" s="1" t="s">
        <v>67</v>
      </c>
      <c r="K10257" s="1" t="s">
        <v>14</v>
      </c>
      <c r="M10257" s="2">
        <v>41820</v>
      </c>
      <c r="N10257" s="1" t="s">
        <v>8</v>
      </c>
      <c r="O10257" s="1" t="s">
        <v>68</v>
      </c>
    </row>
    <row r="10258" spans="1:15" ht="43.2" x14ac:dyDescent="0.3">
      <c r="A10258" s="1" t="s">
        <v>21770</v>
      </c>
      <c r="B10258" s="1" t="str">
        <f>"Johnstone McLauchlan"</f>
        <v>Johnstone McLauchlan</v>
      </c>
      <c r="C10258" s="1" t="s">
        <v>21771</v>
      </c>
      <c r="F10258" s="1" t="s">
        <v>21772</v>
      </c>
      <c r="H10258" s="1" t="s">
        <v>21773</v>
      </c>
      <c r="I10258" s="1" t="s">
        <v>5</v>
      </c>
      <c r="J10258" s="1" t="s">
        <v>67</v>
      </c>
      <c r="K10258" s="1" t="s">
        <v>14</v>
      </c>
      <c r="M10258" s="2">
        <v>41820</v>
      </c>
      <c r="N10258" s="1" t="s">
        <v>8</v>
      </c>
      <c r="O10258" s="1" t="s">
        <v>68</v>
      </c>
    </row>
    <row r="10259" spans="1:15" ht="43.2" x14ac:dyDescent="0.3">
      <c r="A10259" s="1" t="s">
        <v>21774</v>
      </c>
      <c r="B10259" s="1" t="str">
        <f>"Kyle Hemmings"</f>
        <v>Kyle Hemmings</v>
      </c>
      <c r="C10259" s="1" t="s">
        <v>21775</v>
      </c>
      <c r="F10259" s="1" t="s">
        <v>641</v>
      </c>
      <c r="H10259" s="1" t="s">
        <v>21776</v>
      </c>
      <c r="I10259" s="1" t="s">
        <v>5</v>
      </c>
      <c r="J10259" s="1" t="s">
        <v>67</v>
      </c>
      <c r="K10259" s="1" t="s">
        <v>14</v>
      </c>
      <c r="M10259" s="2">
        <v>41820</v>
      </c>
      <c r="N10259" s="1" t="s">
        <v>8</v>
      </c>
      <c r="O10259" s="1" t="s">
        <v>68</v>
      </c>
    </row>
    <row r="10260" spans="1:15" ht="43.2" x14ac:dyDescent="0.3">
      <c r="A10260" s="1" t="s">
        <v>6738</v>
      </c>
      <c r="B10260" s="1" t="str">
        <f>"JM &amp; DJ GEORGE"</f>
        <v>JM &amp; DJ GEORGE</v>
      </c>
      <c r="C10260" s="1" t="s">
        <v>6739</v>
      </c>
      <c r="F10260" s="1" t="s">
        <v>6740</v>
      </c>
      <c r="H10260" s="1" t="s">
        <v>6741</v>
      </c>
      <c r="I10260" s="1" t="s">
        <v>125</v>
      </c>
      <c r="J10260" s="1" t="s">
        <v>67</v>
      </c>
      <c r="K10260" s="1" t="s">
        <v>14</v>
      </c>
      <c r="M10260" s="2">
        <v>41818</v>
      </c>
      <c r="N10260" s="1" t="s">
        <v>8</v>
      </c>
      <c r="O10260" s="1" t="s">
        <v>68</v>
      </c>
    </row>
    <row r="10261" spans="1:15" ht="43.2" x14ac:dyDescent="0.3">
      <c r="A10261" s="1" t="s">
        <v>6742</v>
      </c>
      <c r="B10261" s="1" t="str">
        <f>"R.E. &amp; E.J. Rowlands"</f>
        <v>R.E. &amp; E.J. Rowlands</v>
      </c>
      <c r="C10261" s="1" t="s">
        <v>6743</v>
      </c>
      <c r="F10261" s="1" t="s">
        <v>37</v>
      </c>
      <c r="H10261" s="1" t="s">
        <v>6744</v>
      </c>
      <c r="I10261" s="1" t="s">
        <v>125</v>
      </c>
      <c r="J10261" s="1" t="s">
        <v>67</v>
      </c>
      <c r="K10261" s="1" t="s">
        <v>14</v>
      </c>
      <c r="M10261" s="2">
        <v>41818</v>
      </c>
      <c r="N10261" s="1" t="s">
        <v>8</v>
      </c>
      <c r="O10261" s="1" t="s">
        <v>68</v>
      </c>
    </row>
    <row r="10262" spans="1:15" ht="43.2" x14ac:dyDescent="0.3">
      <c r="A10262" s="1" t="s">
        <v>21031</v>
      </c>
      <c r="B10262" s="1" t="str">
        <f>"mark grey"</f>
        <v>mark grey</v>
      </c>
      <c r="C10262" s="1" t="s">
        <v>21032</v>
      </c>
      <c r="F10262" s="1" t="s">
        <v>5546</v>
      </c>
      <c r="H10262" s="1" t="s">
        <v>21033</v>
      </c>
      <c r="I10262" s="1" t="s">
        <v>5</v>
      </c>
      <c r="J10262" s="1" t="s">
        <v>67</v>
      </c>
      <c r="K10262" s="1" t="s">
        <v>14</v>
      </c>
      <c r="M10262" s="2">
        <v>41818</v>
      </c>
      <c r="N10262" s="1" t="s">
        <v>8</v>
      </c>
      <c r="O10262" s="1" t="s">
        <v>68</v>
      </c>
    </row>
    <row r="10263" spans="1:15" ht="43.2" x14ac:dyDescent="0.3">
      <c r="A10263" s="1" t="s">
        <v>6726</v>
      </c>
      <c r="B10263" s="1" t="str">
        <f>"Coastal Housing Group"</f>
        <v>Coastal Housing Group</v>
      </c>
      <c r="C10263" s="1" t="s">
        <v>6727</v>
      </c>
      <c r="F10263" s="1" t="s">
        <v>64</v>
      </c>
      <c r="H10263" s="1" t="s">
        <v>6728</v>
      </c>
      <c r="I10263" s="1" t="s">
        <v>1872</v>
      </c>
      <c r="J10263" s="1" t="s">
        <v>67</v>
      </c>
      <c r="K10263" s="1" t="s">
        <v>14</v>
      </c>
      <c r="M10263" s="2">
        <v>41817</v>
      </c>
      <c r="N10263" s="1" t="s">
        <v>8</v>
      </c>
      <c r="O10263" s="1" t="s">
        <v>68</v>
      </c>
    </row>
    <row r="10264" spans="1:15" ht="43.2" x14ac:dyDescent="0.3">
      <c r="A10264" s="1" t="s">
        <v>6729</v>
      </c>
      <c r="B10264" s="1" t="str">
        <f>"Streetkleen Bio Ltd"</f>
        <v>Streetkleen Bio Ltd</v>
      </c>
      <c r="C10264" s="1" t="s">
        <v>6730</v>
      </c>
      <c r="F10264" s="1" t="s">
        <v>1358</v>
      </c>
      <c r="H10264" s="1" t="s">
        <v>6731</v>
      </c>
      <c r="I10264" s="1" t="s">
        <v>19</v>
      </c>
      <c r="J10264" s="1" t="s">
        <v>67</v>
      </c>
      <c r="K10264" s="1" t="s">
        <v>14</v>
      </c>
      <c r="M10264" s="2">
        <v>41817</v>
      </c>
      <c r="N10264" s="1" t="s">
        <v>8</v>
      </c>
      <c r="O10264" s="1" t="s">
        <v>68</v>
      </c>
    </row>
    <row r="10265" spans="1:15" ht="43.2" x14ac:dyDescent="0.3">
      <c r="A10265" s="1" t="s">
        <v>6732</v>
      </c>
      <c r="B10265" s="1" t="str">
        <f>"Cae Post Ltd"</f>
        <v>Cae Post Ltd</v>
      </c>
      <c r="C10265" s="1" t="s">
        <v>6733</v>
      </c>
      <c r="D10265" s="1" t="s">
        <v>6734</v>
      </c>
      <c r="F10265" s="1" t="s">
        <v>162</v>
      </c>
      <c r="H10265" s="1" t="s">
        <v>6735</v>
      </c>
      <c r="I10265" s="1" t="s">
        <v>1872</v>
      </c>
      <c r="J10265" s="1" t="s">
        <v>67</v>
      </c>
      <c r="K10265" s="1" t="s">
        <v>14</v>
      </c>
      <c r="M10265" s="2">
        <v>41817</v>
      </c>
      <c r="N10265" s="1" t="s">
        <v>8</v>
      </c>
      <c r="O10265" s="1" t="s">
        <v>68</v>
      </c>
    </row>
    <row r="10266" spans="1:15" ht="43.2" x14ac:dyDescent="0.3">
      <c r="A10266" s="1" t="s">
        <v>6736</v>
      </c>
      <c r="B10266" s="1" t="str">
        <f>"cardiff ymca housing association"</f>
        <v>cardiff ymca housing association</v>
      </c>
      <c r="C10266" s="1" t="s">
        <v>6737</v>
      </c>
      <c r="F10266" s="1" t="s">
        <v>123</v>
      </c>
      <c r="H10266" s="1" t="s">
        <v>5341</v>
      </c>
      <c r="I10266" s="1" t="s">
        <v>1872</v>
      </c>
      <c r="J10266" s="1" t="s">
        <v>67</v>
      </c>
      <c r="K10266" s="1" t="s">
        <v>14</v>
      </c>
      <c r="M10266" s="2">
        <v>41817</v>
      </c>
      <c r="N10266" s="1" t="s">
        <v>8</v>
      </c>
      <c r="O10266" s="1" t="s">
        <v>68</v>
      </c>
    </row>
    <row r="10267" spans="1:15" ht="43.2" x14ac:dyDescent="0.3">
      <c r="A10267" s="1" t="s">
        <v>21028</v>
      </c>
      <c r="B10267" s="1" t="str">
        <f>"David Evans"</f>
        <v>David Evans</v>
      </c>
      <c r="C10267" s="1" t="s">
        <v>21029</v>
      </c>
      <c r="F10267" s="1" t="s">
        <v>42</v>
      </c>
      <c r="H10267" s="1" t="s">
        <v>21030</v>
      </c>
      <c r="I10267" s="1" t="s">
        <v>5</v>
      </c>
      <c r="J10267" s="1" t="s">
        <v>67</v>
      </c>
      <c r="K10267" s="1" t="s">
        <v>14</v>
      </c>
      <c r="M10267" s="2">
        <v>41817</v>
      </c>
      <c r="N10267" s="1" t="s">
        <v>8</v>
      </c>
      <c r="O10267" s="1" t="s">
        <v>68</v>
      </c>
    </row>
    <row r="10268" spans="1:15" ht="43.2" x14ac:dyDescent="0.3">
      <c r="A10268" s="1" t="s">
        <v>5499</v>
      </c>
      <c r="B10268" s="1" t="str">
        <f>"Mon Fire Management Ltd"</f>
        <v>Mon Fire Management Ltd</v>
      </c>
      <c r="C10268" s="1" t="s">
        <v>5500</v>
      </c>
      <c r="F10268" s="1" t="s">
        <v>1108</v>
      </c>
      <c r="H10268" s="1" t="s">
        <v>3313</v>
      </c>
      <c r="I10268" s="1" t="s">
        <v>19</v>
      </c>
      <c r="J10268" s="1" t="s">
        <v>67</v>
      </c>
      <c r="K10268" s="1" t="s">
        <v>14</v>
      </c>
      <c r="M10268" s="2">
        <v>41816</v>
      </c>
      <c r="N10268" s="1" t="s">
        <v>8</v>
      </c>
      <c r="O10268" s="1" t="s">
        <v>68</v>
      </c>
    </row>
    <row r="10269" spans="1:15" ht="43.2" x14ac:dyDescent="0.3">
      <c r="A10269" s="1" t="s">
        <v>5501</v>
      </c>
      <c r="B10269" s="1" t="str">
        <f>"NSA PCCARE"</f>
        <v>NSA PCCARE</v>
      </c>
      <c r="C10269" s="1" t="s">
        <v>5502</v>
      </c>
      <c r="D10269" s="1" t="s">
        <v>1719</v>
      </c>
      <c r="F10269" s="1" t="s">
        <v>1351</v>
      </c>
      <c r="H10269" s="1" t="s">
        <v>5503</v>
      </c>
      <c r="I10269" s="1" t="s">
        <v>1872</v>
      </c>
      <c r="J10269" s="1" t="s">
        <v>67</v>
      </c>
      <c r="K10269" s="1" t="s">
        <v>14</v>
      </c>
      <c r="M10269" s="2">
        <v>41816</v>
      </c>
      <c r="N10269" s="1" t="s">
        <v>8</v>
      </c>
      <c r="O10269" s="1" t="s">
        <v>68</v>
      </c>
    </row>
    <row r="10270" spans="1:15" ht="43.2" x14ac:dyDescent="0.3">
      <c r="A10270" s="1" t="s">
        <v>5504</v>
      </c>
      <c r="B10270" s="1" t="str">
        <f>"O.G GRIFFITHS &amp; SONS"</f>
        <v>O.G GRIFFITHS &amp; SONS</v>
      </c>
      <c r="C10270" s="1" t="s">
        <v>5505</v>
      </c>
      <c r="F10270" s="1" t="s">
        <v>5506</v>
      </c>
      <c r="H10270" s="1" t="s">
        <v>5507</v>
      </c>
      <c r="I10270" s="1" t="s">
        <v>125</v>
      </c>
      <c r="J10270" s="1" t="s">
        <v>67</v>
      </c>
      <c r="K10270" s="1" t="s">
        <v>14</v>
      </c>
      <c r="M10270" s="2">
        <v>41816</v>
      </c>
      <c r="N10270" s="1" t="s">
        <v>8</v>
      </c>
      <c r="O10270" s="1" t="s">
        <v>68</v>
      </c>
    </row>
    <row r="10271" spans="1:15" ht="43.2" x14ac:dyDescent="0.3">
      <c r="A10271" s="1" t="s">
        <v>5508</v>
      </c>
      <c r="B10271" s="1" t="str">
        <f>"Re-Create"</f>
        <v>Re-Create</v>
      </c>
      <c r="C10271" s="1" t="s">
        <v>5509</v>
      </c>
      <c r="D10271" s="1" t="s">
        <v>5510</v>
      </c>
      <c r="F10271" s="1" t="s">
        <v>123</v>
      </c>
      <c r="H10271" s="1" t="s">
        <v>5511</v>
      </c>
      <c r="I10271" s="1" t="s">
        <v>1872</v>
      </c>
      <c r="J10271" s="1" t="s">
        <v>67</v>
      </c>
      <c r="K10271" s="1" t="s">
        <v>14</v>
      </c>
      <c r="M10271" s="2">
        <v>41816</v>
      </c>
      <c r="N10271" s="1" t="s">
        <v>8</v>
      </c>
      <c r="O10271" s="1" t="s">
        <v>68</v>
      </c>
    </row>
    <row r="10272" spans="1:15" ht="43.2" x14ac:dyDescent="0.3">
      <c r="A10272" s="1" t="s">
        <v>5512</v>
      </c>
      <c r="B10272" s="1" t="str">
        <f>"Newydd Housing Association"</f>
        <v>Newydd Housing Association</v>
      </c>
      <c r="C10272" s="1" t="s">
        <v>5513</v>
      </c>
      <c r="D10272" s="1" t="s">
        <v>5514</v>
      </c>
      <c r="F10272" s="1" t="s">
        <v>123</v>
      </c>
      <c r="H10272" s="1" t="s">
        <v>5515</v>
      </c>
      <c r="I10272" s="1" t="s">
        <v>19</v>
      </c>
      <c r="J10272" s="1" t="s">
        <v>67</v>
      </c>
      <c r="K10272" s="1" t="s">
        <v>14</v>
      </c>
      <c r="M10272" s="2">
        <v>41816</v>
      </c>
      <c r="N10272" s="1" t="s">
        <v>8</v>
      </c>
      <c r="O10272" s="1" t="s">
        <v>68</v>
      </c>
    </row>
    <row r="10273" spans="1:15" ht="43.2" x14ac:dyDescent="0.3">
      <c r="A10273" s="1" t="s">
        <v>5516</v>
      </c>
      <c r="B10273" s="1" t="str">
        <f>"Mechanical Access Company Ltd"</f>
        <v>Mechanical Access Company Ltd</v>
      </c>
      <c r="C10273" s="1" t="s">
        <v>5517</v>
      </c>
      <c r="D10273" s="1" t="s">
        <v>5518</v>
      </c>
      <c r="F10273" s="1" t="s">
        <v>123</v>
      </c>
      <c r="H10273" s="1" t="s">
        <v>5519</v>
      </c>
      <c r="I10273" s="1" t="s">
        <v>19</v>
      </c>
      <c r="J10273" s="1" t="s">
        <v>67</v>
      </c>
      <c r="K10273" s="1" t="s">
        <v>14</v>
      </c>
      <c r="M10273" s="2">
        <v>41816</v>
      </c>
      <c r="N10273" s="1" t="s">
        <v>8</v>
      </c>
      <c r="O10273" s="1" t="s">
        <v>68</v>
      </c>
    </row>
    <row r="10274" spans="1:15" ht="43.2" x14ac:dyDescent="0.3">
      <c r="A10274" s="1" t="s">
        <v>5520</v>
      </c>
      <c r="B10274" s="1" t="str">
        <f>"Caia Park New 2 You Wrexham Ltd"</f>
        <v>Caia Park New 2 You Wrexham Ltd</v>
      </c>
      <c r="C10274" s="1" t="s">
        <v>5521</v>
      </c>
      <c r="F10274" s="1" t="s">
        <v>532</v>
      </c>
      <c r="H10274" s="1" t="s">
        <v>5522</v>
      </c>
      <c r="I10274" s="1" t="s">
        <v>1872</v>
      </c>
      <c r="J10274" s="1" t="s">
        <v>67</v>
      </c>
      <c r="K10274" s="1" t="s">
        <v>14</v>
      </c>
      <c r="M10274" s="2">
        <v>41816</v>
      </c>
      <c r="N10274" s="1" t="s">
        <v>8</v>
      </c>
      <c r="O10274" s="1" t="s">
        <v>68</v>
      </c>
    </row>
    <row r="10275" spans="1:15" ht="43.2" x14ac:dyDescent="0.3">
      <c r="A10275" s="1" t="s">
        <v>6719</v>
      </c>
      <c r="B10275" s="1" t="str">
        <f>"Phoenix Community Furniture Scheme Limited"</f>
        <v>Phoenix Community Furniture Scheme Limited</v>
      </c>
      <c r="C10275" s="1" t="s">
        <v>6720</v>
      </c>
      <c r="F10275" s="1" t="s">
        <v>3465</v>
      </c>
      <c r="H10275" s="1" t="s">
        <v>6721</v>
      </c>
      <c r="I10275" s="1" t="s">
        <v>1872</v>
      </c>
      <c r="J10275" s="1" t="s">
        <v>67</v>
      </c>
      <c r="K10275" s="1" t="s">
        <v>14</v>
      </c>
      <c r="M10275" s="2">
        <v>41816</v>
      </c>
      <c r="N10275" s="1" t="s">
        <v>8</v>
      </c>
      <c r="O10275" s="1" t="s">
        <v>68</v>
      </c>
    </row>
    <row r="10276" spans="1:15" ht="43.2" x14ac:dyDescent="0.3">
      <c r="A10276" s="1" t="s">
        <v>6722</v>
      </c>
      <c r="B10276" s="1" t="str">
        <f>"Camelot IT South Wales Ltd"</f>
        <v>Camelot IT South Wales Ltd</v>
      </c>
      <c r="C10276" s="1" t="s">
        <v>6723</v>
      </c>
      <c r="D10276" s="1" t="s">
        <v>6724</v>
      </c>
      <c r="F10276" s="1" t="s">
        <v>364</v>
      </c>
      <c r="H10276" s="1" t="s">
        <v>6725</v>
      </c>
      <c r="I10276" s="1" t="s">
        <v>19</v>
      </c>
      <c r="J10276" s="1" t="s">
        <v>67</v>
      </c>
      <c r="K10276" s="1" t="s">
        <v>14</v>
      </c>
      <c r="M10276" s="2">
        <v>41816</v>
      </c>
      <c r="N10276" s="1" t="s">
        <v>8</v>
      </c>
      <c r="O10276" s="1" t="s">
        <v>68</v>
      </c>
    </row>
    <row r="10277" spans="1:15" ht="43.2" x14ac:dyDescent="0.3">
      <c r="A10277" s="1" t="s">
        <v>20225</v>
      </c>
      <c r="B10277" s="1" t="str">
        <f>"John Jones"</f>
        <v>John Jones</v>
      </c>
      <c r="C10277" s="1" t="s">
        <v>20226</v>
      </c>
      <c r="F10277" s="1" t="s">
        <v>922</v>
      </c>
      <c r="H10277" s="1" t="s">
        <v>20227</v>
      </c>
      <c r="I10277" s="1" t="s">
        <v>5</v>
      </c>
      <c r="J10277" s="1" t="s">
        <v>67</v>
      </c>
      <c r="K10277" s="1" t="s">
        <v>14</v>
      </c>
      <c r="M10277" s="2">
        <v>41816</v>
      </c>
      <c r="N10277" s="1" t="s">
        <v>8</v>
      </c>
      <c r="O10277" s="1" t="s">
        <v>68</v>
      </c>
    </row>
    <row r="10278" spans="1:15" ht="43.2" x14ac:dyDescent="0.3">
      <c r="A10278" s="1" t="s">
        <v>21021</v>
      </c>
      <c r="B10278" s="1" t="str">
        <f>"Jacqueline Parkes"</f>
        <v>Jacqueline Parkes</v>
      </c>
      <c r="C10278" s="1" t="s">
        <v>21022</v>
      </c>
      <c r="D10278" s="1" t="s">
        <v>21023</v>
      </c>
      <c r="F10278" s="1" t="s">
        <v>653</v>
      </c>
      <c r="H10278" s="1" t="s">
        <v>21024</v>
      </c>
      <c r="I10278" s="1" t="s">
        <v>5</v>
      </c>
      <c r="J10278" s="1" t="s">
        <v>67</v>
      </c>
      <c r="K10278" s="1" t="s">
        <v>14</v>
      </c>
      <c r="M10278" s="2">
        <v>41816</v>
      </c>
      <c r="N10278" s="1" t="s">
        <v>8</v>
      </c>
      <c r="O10278" s="1" t="s">
        <v>68</v>
      </c>
    </row>
    <row r="10279" spans="1:15" ht="43.2" x14ac:dyDescent="0.3">
      <c r="A10279" s="1" t="s">
        <v>21025</v>
      </c>
      <c r="B10279" s="1" t="str">
        <f>"Keith Trickett"</f>
        <v>Keith Trickett</v>
      </c>
      <c r="C10279" s="1" t="s">
        <v>21026</v>
      </c>
      <c r="D10279" s="1" t="s">
        <v>2204</v>
      </c>
      <c r="F10279" s="1" t="s">
        <v>123</v>
      </c>
      <c r="H10279" s="1" t="s">
        <v>21027</v>
      </c>
      <c r="I10279" s="1" t="s">
        <v>5</v>
      </c>
      <c r="J10279" s="1" t="s">
        <v>67</v>
      </c>
      <c r="K10279" s="1" t="s">
        <v>14</v>
      </c>
      <c r="M10279" s="2">
        <v>41816</v>
      </c>
      <c r="N10279" s="1" t="s">
        <v>8</v>
      </c>
      <c r="O10279" s="1" t="s">
        <v>68</v>
      </c>
    </row>
    <row r="10280" spans="1:15" ht="43.2" x14ac:dyDescent="0.3">
      <c r="A10280" s="1" t="s">
        <v>5489</v>
      </c>
      <c r="B10280" s="1" t="str">
        <f>"Circulate Furniture Recycling"</f>
        <v>Circulate Furniture Recycling</v>
      </c>
      <c r="C10280" s="1" t="s">
        <v>5490</v>
      </c>
      <c r="F10280" s="1" t="s">
        <v>5491</v>
      </c>
      <c r="H10280" s="1" t="s">
        <v>5492</v>
      </c>
      <c r="I10280" s="1" t="s">
        <v>1872</v>
      </c>
      <c r="J10280" s="1" t="s">
        <v>67</v>
      </c>
      <c r="K10280" s="1" t="s">
        <v>14</v>
      </c>
      <c r="M10280" s="2">
        <v>41815</v>
      </c>
      <c r="N10280" s="1" t="s">
        <v>8</v>
      </c>
      <c r="O10280" s="1" t="s">
        <v>68</v>
      </c>
    </row>
    <row r="10281" spans="1:15" ht="43.2" x14ac:dyDescent="0.3">
      <c r="A10281" s="1" t="s">
        <v>5493</v>
      </c>
      <c r="B10281" s="1" t="str">
        <f>"Tafarn Dwynant"</f>
        <v>Tafarn Dwynant</v>
      </c>
      <c r="C10281" s="1" t="s">
        <v>5494</v>
      </c>
      <c r="F10281" s="1" t="s">
        <v>1818</v>
      </c>
      <c r="H10281" s="1" t="s">
        <v>5495</v>
      </c>
      <c r="I10281" s="1" t="s">
        <v>125</v>
      </c>
      <c r="J10281" s="1" t="s">
        <v>67</v>
      </c>
      <c r="K10281" s="1" t="s">
        <v>14</v>
      </c>
      <c r="M10281" s="2">
        <v>41815</v>
      </c>
      <c r="N10281" s="1" t="s">
        <v>8</v>
      </c>
      <c r="O10281" s="1" t="s">
        <v>68</v>
      </c>
    </row>
    <row r="10282" spans="1:15" ht="43.2" x14ac:dyDescent="0.3">
      <c r="A10282" s="1" t="s">
        <v>5496</v>
      </c>
      <c r="B10282" s="1" t="str">
        <f>"Radiant Events Ltd"</f>
        <v>Radiant Events Ltd</v>
      </c>
      <c r="C10282" s="1" t="s">
        <v>5497</v>
      </c>
      <c r="F10282" s="1" t="s">
        <v>1888</v>
      </c>
      <c r="H10282" s="1" t="s">
        <v>5498</v>
      </c>
      <c r="I10282" s="1" t="s">
        <v>19</v>
      </c>
      <c r="J10282" s="1" t="s">
        <v>67</v>
      </c>
      <c r="K10282" s="1" t="s">
        <v>14</v>
      </c>
      <c r="M10282" s="2">
        <v>41815</v>
      </c>
      <c r="N10282" s="1" t="s">
        <v>8</v>
      </c>
      <c r="O10282" s="1" t="s">
        <v>68</v>
      </c>
    </row>
    <row r="10283" spans="1:15" ht="43.2" x14ac:dyDescent="0.3">
      <c r="A10283" s="1" t="s">
        <v>19437</v>
      </c>
      <c r="B10283" s="1" t="str">
        <f>"Andrew Morgan"</f>
        <v>Andrew Morgan</v>
      </c>
      <c r="C10283" s="1" t="s">
        <v>19438</v>
      </c>
      <c r="F10283" s="1" t="s">
        <v>123</v>
      </c>
      <c r="H10283" s="1" t="s">
        <v>19439</v>
      </c>
      <c r="I10283" s="1" t="s">
        <v>5</v>
      </c>
      <c r="J10283" s="1" t="s">
        <v>67</v>
      </c>
      <c r="K10283" s="1" t="s">
        <v>14</v>
      </c>
      <c r="M10283" s="2">
        <v>41815</v>
      </c>
      <c r="N10283" s="1" t="s">
        <v>8</v>
      </c>
      <c r="O10283" s="1" t="s">
        <v>68</v>
      </c>
    </row>
    <row r="10284" spans="1:15" ht="43.2" x14ac:dyDescent="0.3">
      <c r="A10284" s="1" t="s">
        <v>20214</v>
      </c>
      <c r="B10284" s="1" t="str">
        <f>"Anne Collins"</f>
        <v>Anne Collins</v>
      </c>
      <c r="C10284" s="1" t="s">
        <v>20215</v>
      </c>
      <c r="D10284" s="1" t="s">
        <v>20216</v>
      </c>
      <c r="F10284" s="1" t="s">
        <v>20217</v>
      </c>
      <c r="H10284" s="1" t="s">
        <v>20218</v>
      </c>
      <c r="I10284" s="1" t="s">
        <v>5</v>
      </c>
      <c r="J10284" s="1" t="s">
        <v>67</v>
      </c>
      <c r="K10284" s="1" t="s">
        <v>14</v>
      </c>
      <c r="M10284" s="2">
        <v>41815</v>
      </c>
      <c r="N10284" s="1" t="s">
        <v>8</v>
      </c>
      <c r="O10284" s="1" t="s">
        <v>68</v>
      </c>
    </row>
    <row r="10285" spans="1:15" ht="43.2" x14ac:dyDescent="0.3">
      <c r="A10285" s="1" t="s">
        <v>20219</v>
      </c>
      <c r="B10285" s="1" t="str">
        <f>"Paul Jones"</f>
        <v>Paul Jones</v>
      </c>
      <c r="C10285" s="1" t="s">
        <v>20220</v>
      </c>
      <c r="D10285" s="1" t="s">
        <v>5169</v>
      </c>
      <c r="F10285" s="1" t="s">
        <v>32</v>
      </c>
      <c r="H10285" s="1" t="s">
        <v>20221</v>
      </c>
      <c r="I10285" s="1" t="s">
        <v>5</v>
      </c>
      <c r="J10285" s="1" t="s">
        <v>67</v>
      </c>
      <c r="K10285" s="1" t="s">
        <v>14</v>
      </c>
      <c r="M10285" s="2">
        <v>41815</v>
      </c>
      <c r="N10285" s="1" t="s">
        <v>8</v>
      </c>
      <c r="O10285" s="1" t="s">
        <v>68</v>
      </c>
    </row>
    <row r="10286" spans="1:15" ht="43.2" x14ac:dyDescent="0.3">
      <c r="A10286" s="1" t="s">
        <v>20222</v>
      </c>
      <c r="B10286" s="1" t="str">
        <f>"phillip barrit"</f>
        <v>phillip barrit</v>
      </c>
      <c r="C10286" s="1" t="s">
        <v>20223</v>
      </c>
      <c r="F10286" s="1" t="s">
        <v>3242</v>
      </c>
      <c r="H10286" s="1" t="s">
        <v>20224</v>
      </c>
      <c r="I10286" s="1" t="s">
        <v>5</v>
      </c>
      <c r="J10286" s="1" t="s">
        <v>67</v>
      </c>
      <c r="K10286" s="1" t="s">
        <v>14</v>
      </c>
      <c r="M10286" s="2">
        <v>41815</v>
      </c>
      <c r="N10286" s="1" t="s">
        <v>8</v>
      </c>
      <c r="O10286" s="1" t="s">
        <v>68</v>
      </c>
    </row>
    <row r="10287" spans="1:15" ht="43.2" x14ac:dyDescent="0.3">
      <c r="A10287" s="1" t="s">
        <v>4403</v>
      </c>
      <c r="B10287" s="1" t="str">
        <f>"ACT Reprographics Ltd"</f>
        <v>ACT Reprographics Ltd</v>
      </c>
      <c r="C10287" s="1" t="s">
        <v>4404</v>
      </c>
      <c r="F10287" s="1" t="s">
        <v>123</v>
      </c>
      <c r="H10287" s="1" t="s">
        <v>4405</v>
      </c>
      <c r="I10287" s="1" t="s">
        <v>19</v>
      </c>
      <c r="J10287" s="1" t="s">
        <v>67</v>
      </c>
      <c r="K10287" s="1" t="s">
        <v>14</v>
      </c>
      <c r="M10287" s="2">
        <v>41814</v>
      </c>
      <c r="N10287" s="1" t="s">
        <v>8</v>
      </c>
      <c r="O10287" s="1" t="s">
        <v>68</v>
      </c>
    </row>
    <row r="10288" spans="1:15" ht="43.2" x14ac:dyDescent="0.3">
      <c r="A10288" s="1" t="s">
        <v>4406</v>
      </c>
      <c r="B10288" s="1" t="str">
        <f>"Reseiclo Community Wood Recycling"</f>
        <v>Reseiclo Community Wood Recycling</v>
      </c>
      <c r="C10288" s="1" t="s">
        <v>4407</v>
      </c>
      <c r="D10288" s="1" t="s">
        <v>4408</v>
      </c>
      <c r="F10288" s="1" t="s">
        <v>156</v>
      </c>
      <c r="H10288" s="1" t="s">
        <v>4409</v>
      </c>
      <c r="I10288" s="1" t="s">
        <v>1872</v>
      </c>
      <c r="J10288" s="1" t="s">
        <v>67</v>
      </c>
      <c r="K10288" s="1" t="s">
        <v>14</v>
      </c>
      <c r="M10288" s="2">
        <v>41814</v>
      </c>
      <c r="N10288" s="1" t="s">
        <v>8</v>
      </c>
      <c r="O10288" s="1" t="s">
        <v>68</v>
      </c>
    </row>
    <row r="10289" spans="1:15" ht="43.2" x14ac:dyDescent="0.3">
      <c r="A10289" s="1" t="s">
        <v>4410</v>
      </c>
      <c r="B10289" s="1" t="str">
        <f>"B.E.B &amp; E.A. &amp; M.J. Rees"</f>
        <v>B.E.B &amp; E.A. &amp; M.J. Rees</v>
      </c>
      <c r="C10289" s="1" t="s">
        <v>4411</v>
      </c>
      <c r="F10289" s="1" t="s">
        <v>556</v>
      </c>
      <c r="H10289" s="1" t="s">
        <v>4412</v>
      </c>
      <c r="I10289" s="1" t="s">
        <v>125</v>
      </c>
      <c r="J10289" s="1" t="s">
        <v>67</v>
      </c>
      <c r="K10289" s="1" t="s">
        <v>14</v>
      </c>
      <c r="M10289" s="2">
        <v>41814</v>
      </c>
      <c r="N10289" s="1" t="s">
        <v>8</v>
      </c>
      <c r="O10289" s="1" t="s">
        <v>68</v>
      </c>
    </row>
    <row r="10290" spans="1:15" ht="43.2" x14ac:dyDescent="0.3">
      <c r="A10290" s="1" t="s">
        <v>19431</v>
      </c>
      <c r="B10290" s="1" t="str">
        <f>"Nicola Stevens"</f>
        <v>Nicola Stevens</v>
      </c>
      <c r="C10290" s="1" t="s">
        <v>19432</v>
      </c>
      <c r="D10290" s="1" t="s">
        <v>465</v>
      </c>
      <c r="F10290" s="1" t="s">
        <v>123</v>
      </c>
      <c r="H10290" s="1" t="s">
        <v>19433</v>
      </c>
      <c r="I10290" s="1" t="s">
        <v>5</v>
      </c>
      <c r="J10290" s="1" t="s">
        <v>67</v>
      </c>
      <c r="K10290" s="1" t="s">
        <v>14</v>
      </c>
      <c r="M10290" s="2">
        <v>41814</v>
      </c>
      <c r="N10290" s="1" t="s">
        <v>8</v>
      </c>
      <c r="O10290" s="1" t="s">
        <v>68</v>
      </c>
    </row>
    <row r="10291" spans="1:15" ht="43.2" x14ac:dyDescent="0.3">
      <c r="A10291" s="1" t="s">
        <v>19434</v>
      </c>
      <c r="B10291" s="1" t="str">
        <f>"Mark Haines"</f>
        <v>Mark Haines</v>
      </c>
      <c r="C10291" s="1" t="s">
        <v>19435</v>
      </c>
      <c r="F10291" s="1" t="s">
        <v>3337</v>
      </c>
      <c r="H10291" s="1" t="s">
        <v>19436</v>
      </c>
      <c r="I10291" s="1" t="s">
        <v>5</v>
      </c>
      <c r="J10291" s="1" t="s">
        <v>67</v>
      </c>
      <c r="K10291" s="1" t="s">
        <v>14</v>
      </c>
      <c r="M10291" s="2">
        <v>41814</v>
      </c>
      <c r="N10291" s="1" t="s">
        <v>8</v>
      </c>
      <c r="O10291" s="1" t="s">
        <v>68</v>
      </c>
    </row>
    <row r="10292" spans="1:15" ht="43.2" x14ac:dyDescent="0.3">
      <c r="A10292" s="1" t="s">
        <v>3271</v>
      </c>
      <c r="B10292" s="1" t="str">
        <f>"Castlebank Hotel"</f>
        <v>Castlebank Hotel</v>
      </c>
      <c r="C10292" s="1" t="s">
        <v>3272</v>
      </c>
      <c r="F10292" s="1" t="s">
        <v>359</v>
      </c>
      <c r="H10292" s="1" t="s">
        <v>3273</v>
      </c>
      <c r="I10292" s="1" t="s">
        <v>125</v>
      </c>
      <c r="J10292" s="1" t="s">
        <v>67</v>
      </c>
      <c r="K10292" s="1" t="s">
        <v>14</v>
      </c>
      <c r="M10292" s="2">
        <v>41813</v>
      </c>
      <c r="N10292" s="1" t="s">
        <v>8</v>
      </c>
      <c r="O10292" s="1" t="s">
        <v>68</v>
      </c>
    </row>
    <row r="10293" spans="1:15" ht="43.2" x14ac:dyDescent="0.3">
      <c r="A10293" s="1" t="s">
        <v>3274</v>
      </c>
      <c r="B10293" s="1" t="str">
        <f>"dm gl d griffiths"</f>
        <v>dm gl d griffiths</v>
      </c>
      <c r="C10293" s="1" t="s">
        <v>3275</v>
      </c>
      <c r="D10293" s="1" t="s">
        <v>3276</v>
      </c>
      <c r="F10293" s="1" t="s">
        <v>3277</v>
      </c>
      <c r="H10293" s="1" t="s">
        <v>3278</v>
      </c>
      <c r="I10293" s="1" t="s">
        <v>125</v>
      </c>
      <c r="J10293" s="1" t="s">
        <v>67</v>
      </c>
      <c r="K10293" s="1" t="s">
        <v>14</v>
      </c>
      <c r="M10293" s="2">
        <v>41813</v>
      </c>
      <c r="N10293" s="1" t="s">
        <v>8</v>
      </c>
      <c r="O10293" s="1" t="s">
        <v>68</v>
      </c>
    </row>
    <row r="10294" spans="1:15" ht="43.2" x14ac:dyDescent="0.3">
      <c r="A10294" s="1" t="s">
        <v>3279</v>
      </c>
      <c r="B10294" s="1" t="str">
        <f>"dm gl d griffiths"</f>
        <v>dm gl d griffiths</v>
      </c>
      <c r="C10294" s="1" t="s">
        <v>3275</v>
      </c>
      <c r="D10294" s="1" t="s">
        <v>3276</v>
      </c>
      <c r="F10294" s="1" t="s">
        <v>3277</v>
      </c>
      <c r="H10294" s="1" t="s">
        <v>3278</v>
      </c>
      <c r="I10294" s="1" t="s">
        <v>125</v>
      </c>
      <c r="J10294" s="1" t="s">
        <v>67</v>
      </c>
      <c r="K10294" s="1" t="s">
        <v>14</v>
      </c>
      <c r="M10294" s="2">
        <v>41813</v>
      </c>
      <c r="N10294" s="1" t="s">
        <v>8</v>
      </c>
      <c r="O10294" s="1" t="s">
        <v>68</v>
      </c>
    </row>
    <row r="10295" spans="1:15" ht="43.2" x14ac:dyDescent="0.3">
      <c r="A10295" s="1" t="s">
        <v>4398</v>
      </c>
      <c r="B10295" s="1" t="str">
        <f>"Peter Stephens Road Haulage Ltd"</f>
        <v>Peter Stephens Road Haulage Ltd</v>
      </c>
      <c r="C10295" s="1" t="s">
        <v>4399</v>
      </c>
      <c r="D10295" s="1" t="s">
        <v>4400</v>
      </c>
      <c r="F10295" s="1" t="s">
        <v>4401</v>
      </c>
      <c r="H10295" s="1" t="s">
        <v>4402</v>
      </c>
      <c r="I10295" s="1" t="s">
        <v>19</v>
      </c>
      <c r="J10295" s="1" t="s">
        <v>67</v>
      </c>
      <c r="K10295" s="1" t="s">
        <v>14</v>
      </c>
      <c r="M10295" s="2">
        <v>41813</v>
      </c>
      <c r="N10295" s="1" t="s">
        <v>8</v>
      </c>
      <c r="O10295" s="1" t="s">
        <v>68</v>
      </c>
    </row>
    <row r="10296" spans="1:15" ht="43.2" x14ac:dyDescent="0.3">
      <c r="A10296" s="1" t="s">
        <v>19414</v>
      </c>
      <c r="B10296" s="1" t="str">
        <f>"Johnathan Cook"</f>
        <v>Johnathan Cook</v>
      </c>
      <c r="C10296" s="1" t="s">
        <v>19415</v>
      </c>
      <c r="D10296" s="1" t="s">
        <v>19416</v>
      </c>
      <c r="F10296" s="1" t="s">
        <v>9049</v>
      </c>
      <c r="H10296" s="1" t="s">
        <v>19417</v>
      </c>
      <c r="I10296" s="1" t="s">
        <v>5</v>
      </c>
      <c r="J10296" s="1" t="s">
        <v>67</v>
      </c>
      <c r="K10296" s="1" t="s">
        <v>14</v>
      </c>
      <c r="M10296" s="2">
        <v>41813</v>
      </c>
      <c r="N10296" s="1" t="s">
        <v>8</v>
      </c>
      <c r="O10296" s="1" t="s">
        <v>68</v>
      </c>
    </row>
    <row r="10297" spans="1:15" ht="43.2" x14ac:dyDescent="0.3">
      <c r="A10297" s="1" t="s">
        <v>19418</v>
      </c>
      <c r="B10297" s="1" t="str">
        <f>"Thomas Jones"</f>
        <v>Thomas Jones</v>
      </c>
      <c r="C10297" s="1" t="s">
        <v>19419</v>
      </c>
      <c r="D10297" s="1" t="s">
        <v>2250</v>
      </c>
      <c r="F10297" s="1" t="s">
        <v>179</v>
      </c>
      <c r="H10297" s="1" t="s">
        <v>19420</v>
      </c>
      <c r="I10297" s="1" t="s">
        <v>5</v>
      </c>
      <c r="J10297" s="1" t="s">
        <v>67</v>
      </c>
      <c r="K10297" s="1" t="s">
        <v>14</v>
      </c>
      <c r="M10297" s="2">
        <v>41813</v>
      </c>
      <c r="N10297" s="1" t="s">
        <v>8</v>
      </c>
      <c r="O10297" s="1" t="s">
        <v>68</v>
      </c>
    </row>
    <row r="10298" spans="1:15" ht="43.2" x14ac:dyDescent="0.3">
      <c r="A10298" s="1" t="s">
        <v>19421</v>
      </c>
      <c r="B10298" s="1" t="str">
        <f>"Sean Rafferty"</f>
        <v>Sean Rafferty</v>
      </c>
      <c r="C10298" s="1" t="s">
        <v>19422</v>
      </c>
      <c r="D10298" s="1" t="s">
        <v>19423</v>
      </c>
      <c r="F10298" s="1" t="s">
        <v>123</v>
      </c>
      <c r="H10298" s="1" t="s">
        <v>2924</v>
      </c>
      <c r="I10298" s="1" t="s">
        <v>5</v>
      </c>
      <c r="J10298" s="1" t="s">
        <v>67</v>
      </c>
      <c r="K10298" s="1" t="s">
        <v>14</v>
      </c>
      <c r="M10298" s="2">
        <v>41813</v>
      </c>
      <c r="N10298" s="1" t="s">
        <v>8</v>
      </c>
      <c r="O10298" s="1" t="s">
        <v>68</v>
      </c>
    </row>
    <row r="10299" spans="1:15" ht="43.2" x14ac:dyDescent="0.3">
      <c r="A10299" s="1" t="s">
        <v>19424</v>
      </c>
      <c r="B10299" s="1" t="str">
        <f>"paul fryer"</f>
        <v>paul fryer</v>
      </c>
      <c r="C10299" s="1" t="s">
        <v>19425</v>
      </c>
      <c r="D10299" s="1" t="s">
        <v>19426</v>
      </c>
      <c r="F10299" s="1" t="s">
        <v>3925</v>
      </c>
      <c r="H10299" s="1" t="s">
        <v>19427</v>
      </c>
      <c r="I10299" s="1" t="s">
        <v>5</v>
      </c>
      <c r="J10299" s="1" t="s">
        <v>67</v>
      </c>
      <c r="K10299" s="1" t="s">
        <v>14</v>
      </c>
      <c r="M10299" s="2">
        <v>41813</v>
      </c>
      <c r="N10299" s="1" t="s">
        <v>8</v>
      </c>
      <c r="O10299" s="1" t="s">
        <v>68</v>
      </c>
    </row>
    <row r="10300" spans="1:15" ht="43.2" x14ac:dyDescent="0.3">
      <c r="A10300" s="1" t="s">
        <v>19428</v>
      </c>
      <c r="B10300" s="1" t="str">
        <f>"ANTHONY ASTBURY"</f>
        <v>ANTHONY ASTBURY</v>
      </c>
      <c r="C10300" s="1" t="s">
        <v>19429</v>
      </c>
      <c r="F10300" s="1" t="s">
        <v>10504</v>
      </c>
      <c r="H10300" s="1" t="s">
        <v>19430</v>
      </c>
      <c r="I10300" s="1" t="s">
        <v>5</v>
      </c>
      <c r="J10300" s="1" t="s">
        <v>67</v>
      </c>
      <c r="K10300" s="1" t="s">
        <v>14</v>
      </c>
      <c r="M10300" s="2">
        <v>41813</v>
      </c>
      <c r="N10300" s="1" t="s">
        <v>8</v>
      </c>
      <c r="O10300" s="1" t="s">
        <v>68</v>
      </c>
    </row>
    <row r="10301" spans="1:15" ht="43.2" x14ac:dyDescent="0.3">
      <c r="A10301" s="1" t="s">
        <v>3268</v>
      </c>
      <c r="B10301" s="1" t="str">
        <f>"Terra Firma Maintenance"</f>
        <v>Terra Firma Maintenance</v>
      </c>
      <c r="C10301" s="1" t="s">
        <v>3269</v>
      </c>
      <c r="F10301" s="1" t="s">
        <v>123</v>
      </c>
      <c r="H10301" s="1" t="s">
        <v>3270</v>
      </c>
      <c r="I10301" s="1" t="s">
        <v>125</v>
      </c>
      <c r="J10301" s="1" t="s">
        <v>67</v>
      </c>
      <c r="K10301" s="1" t="s">
        <v>14</v>
      </c>
      <c r="M10301" s="2">
        <v>41812</v>
      </c>
      <c r="N10301" s="1" t="s">
        <v>8</v>
      </c>
      <c r="O10301" s="1" t="s">
        <v>68</v>
      </c>
    </row>
    <row r="10302" spans="1:15" ht="43.2" x14ac:dyDescent="0.3">
      <c r="A10302" s="1" t="s">
        <v>18570</v>
      </c>
      <c r="B10302" s="1" t="str">
        <f>"Steven Moulinie"</f>
        <v>Steven Moulinie</v>
      </c>
      <c r="C10302" s="1" t="s">
        <v>18571</v>
      </c>
      <c r="D10302" s="1" t="s">
        <v>18572</v>
      </c>
      <c r="F10302" s="1" t="s">
        <v>18573</v>
      </c>
      <c r="H10302" s="1" t="s">
        <v>18574</v>
      </c>
      <c r="I10302" s="1" t="s">
        <v>5</v>
      </c>
      <c r="J10302" s="1" t="s">
        <v>67</v>
      </c>
      <c r="K10302" s="1" t="s">
        <v>14</v>
      </c>
      <c r="M10302" s="2">
        <v>41812</v>
      </c>
      <c r="N10302" s="1" t="s">
        <v>8</v>
      </c>
      <c r="O10302" s="1" t="s">
        <v>68</v>
      </c>
    </row>
    <row r="10303" spans="1:15" ht="43.2" x14ac:dyDescent="0.3">
      <c r="A10303" s="1" t="s">
        <v>18575</v>
      </c>
      <c r="B10303" s="1" t="str">
        <f>"paul robinson"</f>
        <v>paul robinson</v>
      </c>
      <c r="C10303" s="1" t="s">
        <v>18576</v>
      </c>
      <c r="F10303" s="1" t="s">
        <v>18577</v>
      </c>
      <c r="H10303" s="1" t="s">
        <v>18578</v>
      </c>
      <c r="I10303" s="1" t="s">
        <v>5</v>
      </c>
      <c r="J10303" s="1" t="s">
        <v>67</v>
      </c>
      <c r="K10303" s="1" t="s">
        <v>14</v>
      </c>
      <c r="M10303" s="2">
        <v>41812</v>
      </c>
      <c r="N10303" s="1" t="s">
        <v>8</v>
      </c>
      <c r="O10303" s="1" t="s">
        <v>68</v>
      </c>
    </row>
    <row r="10304" spans="1:15" ht="43.2" x14ac:dyDescent="0.3">
      <c r="A10304" s="1" t="s">
        <v>3264</v>
      </c>
      <c r="B10304" s="1" t="str">
        <f>"conwy care and repair"</f>
        <v>conwy care and repair</v>
      </c>
      <c r="C10304" s="1" t="s">
        <v>3265</v>
      </c>
      <c r="F10304" s="1" t="s">
        <v>3266</v>
      </c>
      <c r="H10304" s="1" t="s">
        <v>3267</v>
      </c>
      <c r="I10304" s="1" t="s">
        <v>1872</v>
      </c>
      <c r="J10304" s="1" t="s">
        <v>67</v>
      </c>
      <c r="K10304" s="1" t="s">
        <v>14</v>
      </c>
      <c r="M10304" s="2">
        <v>41810</v>
      </c>
      <c r="N10304" s="1" t="s">
        <v>8</v>
      </c>
      <c r="O10304" s="1" t="s">
        <v>68</v>
      </c>
    </row>
    <row r="10305" spans="1:15" ht="43.2" x14ac:dyDescent="0.3">
      <c r="A10305" s="1" t="s">
        <v>18567</v>
      </c>
      <c r="B10305" s="1" t="str">
        <f>"Paul Robinson"</f>
        <v>Paul Robinson</v>
      </c>
      <c r="C10305" s="1" t="s">
        <v>18568</v>
      </c>
      <c r="F10305" s="1" t="s">
        <v>64</v>
      </c>
      <c r="H10305" s="1" t="s">
        <v>18569</v>
      </c>
      <c r="I10305" s="1" t="s">
        <v>5</v>
      </c>
      <c r="J10305" s="1" t="s">
        <v>67</v>
      </c>
      <c r="K10305" s="1" t="s">
        <v>14</v>
      </c>
      <c r="M10305" s="2">
        <v>41810</v>
      </c>
      <c r="N10305" s="1" t="s">
        <v>8</v>
      </c>
      <c r="O10305" s="1" t="s">
        <v>68</v>
      </c>
    </row>
    <row r="10306" spans="1:15" ht="43.2" x14ac:dyDescent="0.3">
      <c r="A10306" s="1" t="s">
        <v>3253</v>
      </c>
      <c r="B10306" s="1" t="str">
        <f>"NJ &amp; CV TURNER"</f>
        <v>NJ &amp; CV TURNER</v>
      </c>
      <c r="C10306" s="1" t="s">
        <v>3254</v>
      </c>
      <c r="D10306" s="1" t="s">
        <v>3255</v>
      </c>
      <c r="F10306" s="1" t="s">
        <v>3256</v>
      </c>
      <c r="H10306" s="1" t="s">
        <v>2067</v>
      </c>
      <c r="I10306" s="1" t="s">
        <v>125</v>
      </c>
      <c r="J10306" s="1" t="s">
        <v>67</v>
      </c>
      <c r="K10306" s="1" t="s">
        <v>14</v>
      </c>
      <c r="M10306" s="2">
        <v>41809</v>
      </c>
      <c r="N10306" s="1" t="s">
        <v>8</v>
      </c>
      <c r="O10306" s="1" t="s">
        <v>68</v>
      </c>
    </row>
    <row r="10307" spans="1:15" ht="43.2" x14ac:dyDescent="0.3">
      <c r="A10307" s="1" t="s">
        <v>3257</v>
      </c>
      <c r="B10307" s="1" t="str">
        <f>"Hamptons Home Improvements Ltd"</f>
        <v>Hamptons Home Improvements Ltd</v>
      </c>
      <c r="C10307" s="1" t="s">
        <v>3258</v>
      </c>
      <c r="F10307" s="1" t="s">
        <v>706</v>
      </c>
      <c r="H10307" s="1" t="s">
        <v>3259</v>
      </c>
      <c r="I10307" s="1" t="s">
        <v>19</v>
      </c>
      <c r="J10307" s="1" t="s">
        <v>67</v>
      </c>
      <c r="K10307" s="1" t="s">
        <v>14</v>
      </c>
      <c r="M10307" s="2">
        <v>41809</v>
      </c>
      <c r="N10307" s="1" t="s">
        <v>8</v>
      </c>
      <c r="O10307" s="1" t="s">
        <v>68</v>
      </c>
    </row>
    <row r="10308" spans="1:15" ht="43.2" x14ac:dyDescent="0.3">
      <c r="A10308" s="1" t="s">
        <v>3260</v>
      </c>
      <c r="B10308" s="1" t="str">
        <f>"Dyffryn Clydach Volunteers"</f>
        <v>Dyffryn Clydach Volunteers</v>
      </c>
      <c r="C10308" s="1" t="s">
        <v>3261</v>
      </c>
      <c r="F10308" s="1" t="s">
        <v>32</v>
      </c>
      <c r="H10308" s="1" t="s">
        <v>3262</v>
      </c>
      <c r="I10308" s="1" t="s">
        <v>1872</v>
      </c>
      <c r="J10308" s="1" t="s">
        <v>67</v>
      </c>
      <c r="K10308" s="1" t="s">
        <v>14</v>
      </c>
      <c r="M10308" s="2">
        <v>41809</v>
      </c>
      <c r="N10308" s="1" t="s">
        <v>8</v>
      </c>
      <c r="O10308" s="1" t="s">
        <v>68</v>
      </c>
    </row>
    <row r="10309" spans="1:15" ht="43.2" x14ac:dyDescent="0.3">
      <c r="A10309" s="1" t="s">
        <v>3263</v>
      </c>
      <c r="B10309" s="1" t="str">
        <f>"Dyffryn Clydach Volunteers"</f>
        <v>Dyffryn Clydach Volunteers</v>
      </c>
      <c r="C10309" s="1" t="s">
        <v>3261</v>
      </c>
      <c r="F10309" s="1" t="s">
        <v>32</v>
      </c>
      <c r="H10309" s="1" t="s">
        <v>3262</v>
      </c>
      <c r="I10309" s="1" t="s">
        <v>1872</v>
      </c>
      <c r="J10309" s="1" t="s">
        <v>67</v>
      </c>
      <c r="K10309" s="1" t="s">
        <v>14</v>
      </c>
      <c r="M10309" s="2">
        <v>41809</v>
      </c>
      <c r="N10309" s="1" t="s">
        <v>8</v>
      </c>
      <c r="O10309" s="1" t="s">
        <v>68</v>
      </c>
    </row>
    <row r="10310" spans="1:15" ht="43.2" x14ac:dyDescent="0.3">
      <c r="A10310" s="1" t="s">
        <v>18563</v>
      </c>
      <c r="B10310" s="1" t="str">
        <f>"owen hughes"</f>
        <v>owen hughes</v>
      </c>
      <c r="C10310" s="1" t="s">
        <v>18564</v>
      </c>
      <c r="F10310" s="1" t="s">
        <v>18565</v>
      </c>
      <c r="H10310" s="1" t="s">
        <v>18566</v>
      </c>
      <c r="I10310" s="1" t="s">
        <v>5</v>
      </c>
      <c r="J10310" s="1" t="s">
        <v>67</v>
      </c>
      <c r="K10310" s="1" t="s">
        <v>14</v>
      </c>
      <c r="M10310" s="2">
        <v>41809</v>
      </c>
      <c r="N10310" s="1" t="s">
        <v>8</v>
      </c>
      <c r="O10310" s="1" t="s">
        <v>68</v>
      </c>
    </row>
    <row r="10311" spans="1:15" ht="43.2" x14ac:dyDescent="0.3">
      <c r="A10311" s="1" t="s">
        <v>18032</v>
      </c>
      <c r="B10311" s="1" t="str">
        <f>"KPC Y outh"</f>
        <v>KPC Y outh</v>
      </c>
      <c r="C10311" s="1" t="s">
        <v>18033</v>
      </c>
      <c r="D10311" s="1" t="s">
        <v>564</v>
      </c>
      <c r="F10311" s="1" t="s">
        <v>16340</v>
      </c>
      <c r="H10311" s="1" t="s">
        <v>18034</v>
      </c>
      <c r="I10311" s="1" t="s">
        <v>1872</v>
      </c>
      <c r="J10311" s="1" t="s">
        <v>67</v>
      </c>
      <c r="K10311" s="1" t="s">
        <v>14</v>
      </c>
      <c r="M10311" s="2">
        <v>41808</v>
      </c>
      <c r="N10311" s="1" t="s">
        <v>8</v>
      </c>
      <c r="O10311" s="1" t="s">
        <v>68</v>
      </c>
    </row>
    <row r="10312" spans="1:15" ht="43.2" x14ac:dyDescent="0.3">
      <c r="A10312" s="1" t="s">
        <v>18035</v>
      </c>
      <c r="B10312" s="1" t="str">
        <f>"Valleys to Coast Housing Ltd."</f>
        <v>Valleys to Coast Housing Ltd.</v>
      </c>
      <c r="C10312" s="1" t="s">
        <v>18036</v>
      </c>
      <c r="F10312" s="1" t="s">
        <v>179</v>
      </c>
      <c r="H10312" s="1" t="s">
        <v>18037</v>
      </c>
      <c r="I10312" s="1" t="s">
        <v>1872</v>
      </c>
      <c r="J10312" s="1" t="s">
        <v>67</v>
      </c>
      <c r="K10312" s="1" t="s">
        <v>14</v>
      </c>
      <c r="M10312" s="2">
        <v>41808</v>
      </c>
      <c r="N10312" s="1" t="s">
        <v>8</v>
      </c>
      <c r="O10312" s="1" t="s">
        <v>68</v>
      </c>
    </row>
    <row r="10313" spans="1:15" ht="43.2" x14ac:dyDescent="0.3">
      <c r="A10313" s="1" t="s">
        <v>18038</v>
      </c>
      <c r="B10313" s="1" t="str">
        <f>"Merthyr Tydfil &amp; District Naturalists Society"</f>
        <v>Merthyr Tydfil &amp; District Naturalists Society</v>
      </c>
      <c r="C10313" s="1" t="s">
        <v>18039</v>
      </c>
      <c r="D10313" s="1" t="s">
        <v>18040</v>
      </c>
      <c r="F10313" s="1" t="s">
        <v>556</v>
      </c>
      <c r="H10313" s="1" t="s">
        <v>18041</v>
      </c>
      <c r="I10313" s="1" t="s">
        <v>1872</v>
      </c>
      <c r="J10313" s="1" t="s">
        <v>67</v>
      </c>
      <c r="K10313" s="1" t="s">
        <v>14</v>
      </c>
      <c r="M10313" s="2">
        <v>41808</v>
      </c>
      <c r="N10313" s="1" t="s">
        <v>8</v>
      </c>
      <c r="O10313" s="1" t="s">
        <v>68</v>
      </c>
    </row>
    <row r="10314" spans="1:15" ht="43.2" x14ac:dyDescent="0.3">
      <c r="A10314" s="1" t="s">
        <v>18042</v>
      </c>
      <c r="B10314" s="1" t="str">
        <f>"Prime Fuelling Systems Ltd."</f>
        <v>Prime Fuelling Systems Ltd.</v>
      </c>
      <c r="C10314" s="1" t="s">
        <v>18043</v>
      </c>
      <c r="D10314" s="1" t="s">
        <v>1051</v>
      </c>
      <c r="F10314" s="1" t="s">
        <v>359</v>
      </c>
      <c r="H10314" s="1" t="s">
        <v>5787</v>
      </c>
      <c r="I10314" s="1" t="s">
        <v>19</v>
      </c>
      <c r="J10314" s="1" t="s">
        <v>67</v>
      </c>
      <c r="K10314" s="1" t="s">
        <v>14</v>
      </c>
      <c r="M10314" s="2">
        <v>41808</v>
      </c>
      <c r="N10314" s="1" t="s">
        <v>8</v>
      </c>
      <c r="O10314" s="1" t="s">
        <v>68</v>
      </c>
    </row>
    <row r="10315" spans="1:15" ht="43.2" x14ac:dyDescent="0.3">
      <c r="A10315" s="1" t="s">
        <v>18560</v>
      </c>
      <c r="B10315" s="1" t="str">
        <f>"Aldo Vecchio"</f>
        <v>Aldo Vecchio</v>
      </c>
      <c r="C10315" s="1" t="s">
        <v>18561</v>
      </c>
      <c r="F10315" s="1" t="s">
        <v>3242</v>
      </c>
      <c r="H10315" s="1" t="s">
        <v>18562</v>
      </c>
      <c r="I10315" s="1" t="s">
        <v>5</v>
      </c>
      <c r="J10315" s="1" t="s">
        <v>67</v>
      </c>
      <c r="K10315" s="1" t="s">
        <v>14</v>
      </c>
      <c r="M10315" s="2">
        <v>41808</v>
      </c>
      <c r="N10315" s="1" t="s">
        <v>8</v>
      </c>
      <c r="O10315" s="1" t="s">
        <v>68</v>
      </c>
    </row>
    <row r="10316" spans="1:15" ht="43.2" x14ac:dyDescent="0.3">
      <c r="A10316" s="1" t="s">
        <v>18022</v>
      </c>
      <c r="B10316" s="1" t="str">
        <f>"Precision Engineer Ltd "</f>
        <v xml:space="preserve">Precision Engineer Ltd </v>
      </c>
      <c r="C10316" s="1" t="s">
        <v>18023</v>
      </c>
      <c r="F10316" s="1" t="s">
        <v>18024</v>
      </c>
      <c r="H10316" s="1" t="s">
        <v>18025</v>
      </c>
      <c r="I10316" s="1" t="s">
        <v>19</v>
      </c>
      <c r="J10316" s="1" t="s">
        <v>67</v>
      </c>
      <c r="K10316" s="1" t="s">
        <v>14</v>
      </c>
      <c r="M10316" s="2">
        <v>41807</v>
      </c>
      <c r="N10316" s="1" t="s">
        <v>8</v>
      </c>
      <c r="O10316" s="1" t="s">
        <v>68</v>
      </c>
    </row>
    <row r="10317" spans="1:15" ht="43.2" x14ac:dyDescent="0.3">
      <c r="A10317" s="1" t="s">
        <v>18026</v>
      </c>
      <c r="B10317" s="1" t="str">
        <f>"s &amp; s Telka"</f>
        <v>s &amp; s Telka</v>
      </c>
      <c r="C10317" s="1" t="s">
        <v>18027</v>
      </c>
      <c r="F10317" s="1" t="s">
        <v>18028</v>
      </c>
      <c r="H10317" s="1" t="s">
        <v>18029</v>
      </c>
      <c r="I10317" s="1" t="s">
        <v>125</v>
      </c>
      <c r="J10317" s="1" t="s">
        <v>67</v>
      </c>
      <c r="K10317" s="1" t="s">
        <v>14</v>
      </c>
      <c r="M10317" s="2">
        <v>41807</v>
      </c>
      <c r="N10317" s="1" t="s">
        <v>8</v>
      </c>
      <c r="O10317" s="1" t="s">
        <v>68</v>
      </c>
    </row>
    <row r="10318" spans="1:15" ht="43.2" x14ac:dyDescent="0.3">
      <c r="A10318" s="1" t="s">
        <v>18030</v>
      </c>
      <c r="B10318" s="1" t="str">
        <f>"Thorncroft Recycling Waste Ltd"</f>
        <v>Thorncroft Recycling Waste Ltd</v>
      </c>
      <c r="C10318" s="1" t="s">
        <v>18031</v>
      </c>
      <c r="D10318" s="1" t="s">
        <v>1174</v>
      </c>
      <c r="F10318" s="1" t="s">
        <v>1058</v>
      </c>
      <c r="H10318" s="1" t="s">
        <v>3341</v>
      </c>
      <c r="I10318" s="1" t="s">
        <v>19</v>
      </c>
      <c r="J10318" s="1" t="s">
        <v>67</v>
      </c>
      <c r="K10318" s="1" t="s">
        <v>14</v>
      </c>
      <c r="M10318" s="2">
        <v>41807</v>
      </c>
      <c r="N10318" s="1" t="s">
        <v>8</v>
      </c>
      <c r="O10318" s="1" t="s">
        <v>68</v>
      </c>
    </row>
    <row r="10319" spans="1:15" ht="43.2" x14ac:dyDescent="0.3">
      <c r="A10319" s="1" t="s">
        <v>29683</v>
      </c>
      <c r="B10319" s="1" t="str">
        <f>"Anthony Williams"</f>
        <v>Anthony Williams</v>
      </c>
      <c r="C10319" s="1" t="s">
        <v>29684</v>
      </c>
      <c r="F10319" s="1" t="s">
        <v>706</v>
      </c>
      <c r="H10319" s="1" t="s">
        <v>29685</v>
      </c>
      <c r="I10319" s="1" t="s">
        <v>5</v>
      </c>
      <c r="J10319" s="1" t="s">
        <v>67</v>
      </c>
      <c r="K10319" s="1" t="s">
        <v>14</v>
      </c>
      <c r="M10319" s="2">
        <v>41807</v>
      </c>
      <c r="N10319" s="1" t="s">
        <v>8</v>
      </c>
      <c r="O10319" s="1" t="s">
        <v>68</v>
      </c>
    </row>
    <row r="10320" spans="1:15" ht="43.2" x14ac:dyDescent="0.3">
      <c r="A10320" s="1" t="s">
        <v>29686</v>
      </c>
      <c r="B10320" s="1" t="str">
        <f>"Richard Thornton"</f>
        <v>Richard Thornton</v>
      </c>
      <c r="C10320" s="1" t="s">
        <v>29687</v>
      </c>
      <c r="D10320" s="1" t="s">
        <v>29688</v>
      </c>
      <c r="F10320" s="1" t="s">
        <v>922</v>
      </c>
      <c r="H10320" s="1" t="s">
        <v>29689</v>
      </c>
      <c r="I10320" s="1" t="s">
        <v>5</v>
      </c>
      <c r="J10320" s="1" t="s">
        <v>67</v>
      </c>
      <c r="K10320" s="1" t="s">
        <v>14</v>
      </c>
      <c r="M10320" s="2">
        <v>41807</v>
      </c>
      <c r="N10320" s="1" t="s">
        <v>8</v>
      </c>
      <c r="O10320" s="1" t="s">
        <v>68</v>
      </c>
    </row>
    <row r="10321" spans="1:15" ht="43.2" x14ac:dyDescent="0.3">
      <c r="A10321" s="1" t="s">
        <v>29690</v>
      </c>
      <c r="B10321" s="1" t="str">
        <f>"George STOKES"</f>
        <v>George STOKES</v>
      </c>
      <c r="C10321" s="1" t="s">
        <v>29691</v>
      </c>
      <c r="D10321" s="1" t="s">
        <v>29692</v>
      </c>
      <c r="F10321" s="1" t="s">
        <v>5463</v>
      </c>
      <c r="H10321" s="1" t="s">
        <v>29693</v>
      </c>
      <c r="I10321" s="1" t="s">
        <v>5</v>
      </c>
      <c r="J10321" s="1" t="s">
        <v>67</v>
      </c>
      <c r="K10321" s="1" t="s">
        <v>14</v>
      </c>
      <c r="M10321" s="2">
        <v>41807</v>
      </c>
      <c r="N10321" s="1" t="s">
        <v>8</v>
      </c>
      <c r="O10321" s="1" t="s">
        <v>68</v>
      </c>
    </row>
    <row r="10322" spans="1:15" ht="43.2" x14ac:dyDescent="0.3">
      <c r="A10322" s="1" t="s">
        <v>29694</v>
      </c>
      <c r="B10322" s="1" t="str">
        <f>"George STOKES"</f>
        <v>George STOKES</v>
      </c>
      <c r="C10322" s="1" t="s">
        <v>29691</v>
      </c>
      <c r="D10322" s="1" t="s">
        <v>29692</v>
      </c>
      <c r="F10322" s="1" t="s">
        <v>5463</v>
      </c>
      <c r="H10322" s="1" t="s">
        <v>29693</v>
      </c>
      <c r="I10322" s="1" t="s">
        <v>5</v>
      </c>
      <c r="J10322" s="1" t="s">
        <v>67</v>
      </c>
      <c r="K10322" s="1" t="s">
        <v>14</v>
      </c>
      <c r="M10322" s="2">
        <v>41807</v>
      </c>
      <c r="N10322" s="1" t="s">
        <v>8</v>
      </c>
      <c r="O10322" s="1" t="s">
        <v>68</v>
      </c>
    </row>
    <row r="10323" spans="1:15" ht="43.2" x14ac:dyDescent="0.3">
      <c r="A10323" s="1" t="s">
        <v>29695</v>
      </c>
      <c r="B10323" s="1" t="str">
        <f>"Kristy  Probert"</f>
        <v>Kristy  Probert</v>
      </c>
      <c r="C10323" s="1" t="s">
        <v>29696</v>
      </c>
      <c r="D10323" s="1" t="s">
        <v>29697</v>
      </c>
      <c r="F10323" s="1" t="s">
        <v>3691</v>
      </c>
      <c r="H10323" s="1" t="s">
        <v>29698</v>
      </c>
      <c r="I10323" s="1" t="s">
        <v>5</v>
      </c>
      <c r="J10323" s="1" t="s">
        <v>67</v>
      </c>
      <c r="K10323" s="1" t="s">
        <v>14</v>
      </c>
      <c r="M10323" s="2">
        <v>41807</v>
      </c>
      <c r="N10323" s="1" t="s">
        <v>8</v>
      </c>
      <c r="O10323" s="1" t="s">
        <v>68</v>
      </c>
    </row>
    <row r="10324" spans="1:15" ht="43.2" x14ac:dyDescent="0.3">
      <c r="A10324" s="1" t="s">
        <v>29699</v>
      </c>
      <c r="B10324" s="1" t="str">
        <f>"Neil Bevan"</f>
        <v>Neil Bevan</v>
      </c>
      <c r="C10324" s="1" t="s">
        <v>29700</v>
      </c>
      <c r="D10324" s="1" t="s">
        <v>972</v>
      </c>
      <c r="F10324" s="1" t="s">
        <v>179</v>
      </c>
      <c r="H10324" s="1" t="s">
        <v>973</v>
      </c>
      <c r="I10324" s="1" t="s">
        <v>5</v>
      </c>
      <c r="J10324" s="1" t="s">
        <v>67</v>
      </c>
      <c r="K10324" s="1" t="s">
        <v>14</v>
      </c>
      <c r="M10324" s="2">
        <v>41807</v>
      </c>
      <c r="N10324" s="1" t="s">
        <v>8</v>
      </c>
      <c r="O10324" s="1" t="s">
        <v>68</v>
      </c>
    </row>
    <row r="10325" spans="1:15" ht="43.2" x14ac:dyDescent="0.3">
      <c r="A10325" s="1" t="s">
        <v>29701</v>
      </c>
      <c r="B10325" s="1" t="str">
        <f>"Michael Lambert"</f>
        <v>Michael Lambert</v>
      </c>
      <c r="C10325" s="1" t="s">
        <v>29702</v>
      </c>
      <c r="F10325" s="1" t="s">
        <v>1239</v>
      </c>
      <c r="H10325" s="1" t="s">
        <v>29703</v>
      </c>
      <c r="I10325" s="1" t="s">
        <v>5</v>
      </c>
      <c r="J10325" s="1" t="s">
        <v>67</v>
      </c>
      <c r="K10325" s="1" t="s">
        <v>14</v>
      </c>
      <c r="M10325" s="2">
        <v>41807</v>
      </c>
      <c r="N10325" s="1" t="s">
        <v>8</v>
      </c>
      <c r="O10325" s="1" t="s">
        <v>68</v>
      </c>
    </row>
    <row r="10326" spans="1:15" ht="43.2" x14ac:dyDescent="0.3">
      <c r="A10326" s="1" t="s">
        <v>29704</v>
      </c>
      <c r="B10326" s="1" t="str">
        <f>"anthony western"</f>
        <v>anthony western</v>
      </c>
      <c r="C10326" s="1" t="s">
        <v>29705</v>
      </c>
      <c r="F10326" s="1" t="s">
        <v>5963</v>
      </c>
      <c r="H10326" s="1" t="s">
        <v>29706</v>
      </c>
      <c r="I10326" s="1" t="s">
        <v>5</v>
      </c>
      <c r="J10326" s="1" t="s">
        <v>67</v>
      </c>
      <c r="K10326" s="1" t="s">
        <v>14</v>
      </c>
      <c r="M10326" s="2">
        <v>41807</v>
      </c>
      <c r="N10326" s="1" t="s">
        <v>8</v>
      </c>
      <c r="O10326" s="1" t="s">
        <v>68</v>
      </c>
    </row>
    <row r="10327" spans="1:15" ht="43.2" x14ac:dyDescent="0.3">
      <c r="A10327" s="1" t="s">
        <v>29707</v>
      </c>
      <c r="B10327" s="1" t="str">
        <f>"Mark Sullivan"</f>
        <v>Mark Sullivan</v>
      </c>
      <c r="C10327" s="1" t="s">
        <v>29708</v>
      </c>
      <c r="F10327" s="1" t="s">
        <v>37</v>
      </c>
      <c r="H10327" s="1" t="s">
        <v>29709</v>
      </c>
      <c r="I10327" s="1" t="s">
        <v>5</v>
      </c>
      <c r="J10327" s="1" t="s">
        <v>67</v>
      </c>
      <c r="K10327" s="1" t="s">
        <v>14</v>
      </c>
      <c r="M10327" s="2">
        <v>41807</v>
      </c>
      <c r="N10327" s="1" t="s">
        <v>8</v>
      </c>
      <c r="O10327" s="1" t="s">
        <v>68</v>
      </c>
    </row>
    <row r="10328" spans="1:15" ht="43.2" x14ac:dyDescent="0.3">
      <c r="A10328" s="1" t="s">
        <v>16982</v>
      </c>
      <c r="B10328" s="1" t="str">
        <f>"GABI ARSELAN"</f>
        <v>GABI ARSELAN</v>
      </c>
      <c r="C10328" s="1" t="s">
        <v>16983</v>
      </c>
      <c r="D10328" s="1" t="s">
        <v>16984</v>
      </c>
      <c r="F10328" s="1" t="s">
        <v>5904</v>
      </c>
      <c r="H10328" s="1" t="s">
        <v>16985</v>
      </c>
      <c r="I10328" s="1" t="s">
        <v>125</v>
      </c>
      <c r="J10328" s="1" t="s">
        <v>67</v>
      </c>
      <c r="K10328" s="1" t="s">
        <v>14</v>
      </c>
      <c r="M10328" s="2">
        <v>41806</v>
      </c>
      <c r="N10328" s="1" t="s">
        <v>8</v>
      </c>
      <c r="O10328" s="1" t="s">
        <v>68</v>
      </c>
    </row>
    <row r="10329" spans="1:15" ht="43.2" x14ac:dyDescent="0.3">
      <c r="A10329" s="1" t="s">
        <v>16986</v>
      </c>
      <c r="B10329" s="1" t="str">
        <f>"The Royal Mint"</f>
        <v>The Royal Mint</v>
      </c>
      <c r="C10329" s="1" t="s">
        <v>16987</v>
      </c>
      <c r="D10329" s="1" t="s">
        <v>16988</v>
      </c>
      <c r="F10329" s="1" t="s">
        <v>767</v>
      </c>
      <c r="H10329" s="1" t="s">
        <v>16989</v>
      </c>
      <c r="I10329" s="1" t="s">
        <v>188</v>
      </c>
      <c r="J10329" s="1" t="s">
        <v>67</v>
      </c>
      <c r="K10329" s="1" t="s">
        <v>14</v>
      </c>
      <c r="M10329" s="2">
        <v>41806</v>
      </c>
      <c r="N10329" s="1" t="s">
        <v>8</v>
      </c>
      <c r="O10329" s="1" t="s">
        <v>68</v>
      </c>
    </row>
    <row r="10330" spans="1:15" ht="43.2" x14ac:dyDescent="0.3">
      <c r="A10330" s="1" t="s">
        <v>28950</v>
      </c>
      <c r="B10330" s="1" t="str">
        <f>"Julian Thomas"</f>
        <v>Julian Thomas</v>
      </c>
      <c r="C10330" s="1" t="s">
        <v>28951</v>
      </c>
      <c r="F10330" s="1" t="s">
        <v>19380</v>
      </c>
      <c r="H10330" s="1" t="s">
        <v>28952</v>
      </c>
      <c r="I10330" s="1" t="s">
        <v>5</v>
      </c>
      <c r="J10330" s="1" t="s">
        <v>67</v>
      </c>
      <c r="K10330" s="1" t="s">
        <v>14</v>
      </c>
      <c r="M10330" s="2">
        <v>41806</v>
      </c>
      <c r="N10330" s="1" t="s">
        <v>8</v>
      </c>
      <c r="O10330" s="1" t="s">
        <v>68</v>
      </c>
    </row>
    <row r="10331" spans="1:15" ht="43.2" x14ac:dyDescent="0.3">
      <c r="A10331" s="1" t="s">
        <v>28953</v>
      </c>
      <c r="B10331" s="1" t="str">
        <f>"Geraint Archer"</f>
        <v>Geraint Archer</v>
      </c>
      <c r="C10331" s="1" t="s">
        <v>28954</v>
      </c>
      <c r="F10331" s="1" t="s">
        <v>28955</v>
      </c>
      <c r="H10331" s="1" t="s">
        <v>28956</v>
      </c>
      <c r="I10331" s="1" t="s">
        <v>5</v>
      </c>
      <c r="J10331" s="1" t="s">
        <v>67</v>
      </c>
      <c r="K10331" s="1" t="s">
        <v>14</v>
      </c>
      <c r="M10331" s="2">
        <v>41806</v>
      </c>
      <c r="N10331" s="1" t="s">
        <v>8</v>
      </c>
      <c r="O10331" s="1" t="s">
        <v>68</v>
      </c>
    </row>
    <row r="10332" spans="1:15" ht="43.2" x14ac:dyDescent="0.3">
      <c r="A10332" s="1" t="s">
        <v>16979</v>
      </c>
      <c r="B10332" s="1" t="str">
        <f>"H. Edwards &amp; Partners"</f>
        <v>H. Edwards &amp; Partners</v>
      </c>
      <c r="C10332" s="1" t="s">
        <v>16980</v>
      </c>
      <c r="D10332" s="1" t="s">
        <v>1097</v>
      </c>
      <c r="F10332" s="1" t="s">
        <v>2915</v>
      </c>
      <c r="H10332" s="1" t="s">
        <v>16981</v>
      </c>
      <c r="I10332" s="1" t="s">
        <v>125</v>
      </c>
      <c r="J10332" s="1" t="s">
        <v>67</v>
      </c>
      <c r="K10332" s="1" t="s">
        <v>14</v>
      </c>
      <c r="M10332" s="2">
        <v>41805</v>
      </c>
      <c r="N10332" s="1" t="s">
        <v>8</v>
      </c>
      <c r="O10332" s="1" t="s">
        <v>68</v>
      </c>
    </row>
    <row r="10333" spans="1:15" ht="43.2" x14ac:dyDescent="0.3">
      <c r="A10333" s="1" t="s">
        <v>16976</v>
      </c>
      <c r="B10333" s="1" t="str">
        <f>"Mid Wales Incineration Ltd"</f>
        <v>Mid Wales Incineration Ltd</v>
      </c>
      <c r="C10333" s="1" t="s">
        <v>16977</v>
      </c>
      <c r="F10333" s="1" t="s">
        <v>798</v>
      </c>
      <c r="H10333" s="1" t="s">
        <v>13879</v>
      </c>
      <c r="I10333" s="1" t="s">
        <v>19</v>
      </c>
      <c r="J10333" s="1" t="s">
        <v>67</v>
      </c>
      <c r="K10333" s="1" t="s">
        <v>14</v>
      </c>
      <c r="M10333" s="2">
        <v>41803</v>
      </c>
      <c r="N10333" s="1" t="s">
        <v>8</v>
      </c>
      <c r="O10333" s="1" t="s">
        <v>68</v>
      </c>
    </row>
    <row r="10334" spans="1:15" ht="43.2" x14ac:dyDescent="0.3">
      <c r="A10334" s="1" t="s">
        <v>16978</v>
      </c>
      <c r="B10334" s="1" t="str">
        <f>"Mid Wales Incineration Ltd"</f>
        <v>Mid Wales Incineration Ltd</v>
      </c>
      <c r="C10334" s="1" t="s">
        <v>16977</v>
      </c>
      <c r="F10334" s="1" t="s">
        <v>798</v>
      </c>
      <c r="H10334" s="1" t="s">
        <v>13879</v>
      </c>
      <c r="I10334" s="1" t="s">
        <v>19</v>
      </c>
      <c r="J10334" s="1" t="s">
        <v>67</v>
      </c>
      <c r="K10334" s="1" t="s">
        <v>14</v>
      </c>
      <c r="M10334" s="2">
        <v>41803</v>
      </c>
      <c r="N10334" s="1" t="s">
        <v>8</v>
      </c>
      <c r="O10334" s="1" t="s">
        <v>68</v>
      </c>
    </row>
    <row r="10335" spans="1:15" ht="43.2" x14ac:dyDescent="0.3">
      <c r="A10335" s="1" t="s">
        <v>28946</v>
      </c>
      <c r="B10335" s="1" t="str">
        <f>"Harpinder Dhillon"</f>
        <v>Harpinder Dhillon</v>
      </c>
      <c r="C10335" s="1" t="s">
        <v>28947</v>
      </c>
      <c r="F10335" s="1" t="s">
        <v>28948</v>
      </c>
      <c r="H10335" s="1" t="s">
        <v>28949</v>
      </c>
      <c r="I10335" s="1" t="s">
        <v>5</v>
      </c>
      <c r="J10335" s="1" t="s">
        <v>67</v>
      </c>
      <c r="K10335" s="1" t="s">
        <v>14</v>
      </c>
      <c r="M10335" s="2">
        <v>41803</v>
      </c>
      <c r="N10335" s="1" t="s">
        <v>8</v>
      </c>
      <c r="O10335" s="1" t="s">
        <v>68</v>
      </c>
    </row>
    <row r="10336" spans="1:15" ht="43.2" x14ac:dyDescent="0.3">
      <c r="A10336" s="1" t="s">
        <v>16969</v>
      </c>
      <c r="B10336" s="1" t="str">
        <f>"The Old School Tea Room"</f>
        <v>The Old School Tea Room</v>
      </c>
      <c r="C10336" s="1" t="s">
        <v>16970</v>
      </c>
      <c r="D10336" s="1" t="s">
        <v>16971</v>
      </c>
      <c r="F10336" s="1" t="s">
        <v>1206</v>
      </c>
      <c r="H10336" s="1" t="s">
        <v>16972</v>
      </c>
      <c r="I10336" s="1" t="s">
        <v>125</v>
      </c>
      <c r="J10336" s="1" t="s">
        <v>67</v>
      </c>
      <c r="K10336" s="1" t="s">
        <v>14</v>
      </c>
      <c r="M10336" s="2">
        <v>41802</v>
      </c>
      <c r="N10336" s="1" t="s">
        <v>8</v>
      </c>
      <c r="O10336" s="1" t="s">
        <v>68</v>
      </c>
    </row>
    <row r="10337" spans="1:15" ht="43.2" x14ac:dyDescent="0.3">
      <c r="A10337" s="1" t="s">
        <v>16973</v>
      </c>
      <c r="B10337" s="1" t="str">
        <f>"Aberconwy Car &amp; Van Hire Ltd"</f>
        <v>Aberconwy Car &amp; Van Hire Ltd</v>
      </c>
      <c r="C10337" s="1" t="s">
        <v>16974</v>
      </c>
      <c r="F10337" s="1" t="s">
        <v>11124</v>
      </c>
      <c r="H10337" s="1" t="s">
        <v>16975</v>
      </c>
      <c r="I10337" s="1" t="s">
        <v>19</v>
      </c>
      <c r="J10337" s="1" t="s">
        <v>67</v>
      </c>
      <c r="K10337" s="1" t="s">
        <v>14</v>
      </c>
      <c r="M10337" s="2">
        <v>41802</v>
      </c>
      <c r="N10337" s="1" t="s">
        <v>8</v>
      </c>
      <c r="O10337" s="1" t="s">
        <v>68</v>
      </c>
    </row>
    <row r="10338" spans="1:15" ht="43.2" x14ac:dyDescent="0.3">
      <c r="A10338" s="1" t="s">
        <v>28933</v>
      </c>
      <c r="B10338" s="1" t="str">
        <f>"Chris Holbrook"</f>
        <v>Chris Holbrook</v>
      </c>
      <c r="C10338" s="1" t="s">
        <v>28934</v>
      </c>
      <c r="F10338" s="1" t="s">
        <v>1638</v>
      </c>
      <c r="H10338" s="1" t="s">
        <v>28935</v>
      </c>
      <c r="I10338" s="1" t="s">
        <v>5</v>
      </c>
      <c r="J10338" s="1" t="s">
        <v>67</v>
      </c>
      <c r="K10338" s="1" t="s">
        <v>14</v>
      </c>
      <c r="M10338" s="2">
        <v>41802</v>
      </c>
      <c r="N10338" s="1" t="s">
        <v>8</v>
      </c>
      <c r="O10338" s="1" t="s">
        <v>68</v>
      </c>
    </row>
    <row r="10339" spans="1:15" ht="43.2" x14ac:dyDescent="0.3">
      <c r="A10339" s="1" t="s">
        <v>28936</v>
      </c>
      <c r="B10339" s="1" t="str">
        <f>"Mark Blissitt"</f>
        <v>Mark Blissitt</v>
      </c>
      <c r="C10339" s="1" t="s">
        <v>28937</v>
      </c>
      <c r="F10339" s="1" t="s">
        <v>358</v>
      </c>
      <c r="H10339" s="1" t="s">
        <v>28938</v>
      </c>
      <c r="I10339" s="1" t="s">
        <v>5</v>
      </c>
      <c r="J10339" s="1" t="s">
        <v>67</v>
      </c>
      <c r="K10339" s="1" t="s">
        <v>14</v>
      </c>
      <c r="M10339" s="2">
        <v>41802</v>
      </c>
      <c r="N10339" s="1" t="s">
        <v>8</v>
      </c>
      <c r="O10339" s="1" t="s">
        <v>68</v>
      </c>
    </row>
    <row r="10340" spans="1:15" ht="43.2" x14ac:dyDescent="0.3">
      <c r="A10340" s="1" t="s">
        <v>28939</v>
      </c>
      <c r="B10340" s="1" t="str">
        <f>"WILLIAM  BARRIE GRIFFITHS"</f>
        <v>WILLIAM  BARRIE GRIFFITHS</v>
      </c>
      <c r="C10340" s="1" t="s">
        <v>28940</v>
      </c>
      <c r="F10340" s="1" t="s">
        <v>28941</v>
      </c>
      <c r="H10340" s="1" t="s">
        <v>28942</v>
      </c>
      <c r="I10340" s="1" t="s">
        <v>5</v>
      </c>
      <c r="J10340" s="1" t="s">
        <v>67</v>
      </c>
      <c r="K10340" s="1" t="s">
        <v>14</v>
      </c>
      <c r="M10340" s="2">
        <v>41802</v>
      </c>
      <c r="N10340" s="1" t="s">
        <v>8</v>
      </c>
      <c r="O10340" s="1" t="s">
        <v>68</v>
      </c>
    </row>
    <row r="10341" spans="1:15" ht="43.2" x14ac:dyDescent="0.3">
      <c r="A10341" s="1" t="s">
        <v>28943</v>
      </c>
      <c r="B10341" s="1" t="str">
        <f>"James Williams"</f>
        <v>James Williams</v>
      </c>
      <c r="C10341" s="1" t="s">
        <v>28944</v>
      </c>
      <c r="D10341" s="1" t="s">
        <v>2204</v>
      </c>
      <c r="F10341" s="1" t="s">
        <v>123</v>
      </c>
      <c r="H10341" s="1" t="s">
        <v>28945</v>
      </c>
      <c r="I10341" s="1" t="s">
        <v>5</v>
      </c>
      <c r="J10341" s="1" t="s">
        <v>67</v>
      </c>
      <c r="K10341" s="1" t="s">
        <v>14</v>
      </c>
      <c r="M10341" s="2">
        <v>41802</v>
      </c>
      <c r="N10341" s="1" t="s">
        <v>8</v>
      </c>
      <c r="O10341" s="1" t="s">
        <v>68</v>
      </c>
    </row>
    <row r="10342" spans="1:15" ht="43.2" x14ac:dyDescent="0.3">
      <c r="A10342" s="1" t="s">
        <v>16013</v>
      </c>
      <c r="B10342" s="1" t="str">
        <f>"Second Circle Furniture"</f>
        <v>Second Circle Furniture</v>
      </c>
      <c r="C10342" s="1" t="s">
        <v>16014</v>
      </c>
      <c r="D10342" s="1" t="s">
        <v>2596</v>
      </c>
      <c r="F10342" s="1" t="s">
        <v>532</v>
      </c>
      <c r="H10342" s="1" t="s">
        <v>16015</v>
      </c>
      <c r="I10342" s="1" t="s">
        <v>19</v>
      </c>
      <c r="J10342" s="1" t="s">
        <v>67</v>
      </c>
      <c r="K10342" s="1" t="s">
        <v>14</v>
      </c>
      <c r="M10342" s="2">
        <v>41801</v>
      </c>
      <c r="N10342" s="1" t="s">
        <v>8</v>
      </c>
      <c r="O10342" s="1" t="s">
        <v>68</v>
      </c>
    </row>
    <row r="10343" spans="1:15" ht="43.2" x14ac:dyDescent="0.3">
      <c r="A10343" s="1" t="s">
        <v>16965</v>
      </c>
      <c r="B10343" s="1" t="str">
        <f>"Plantagenet House Restaurant"</f>
        <v>Plantagenet House Restaurant</v>
      </c>
      <c r="C10343" s="1" t="s">
        <v>16966</v>
      </c>
      <c r="F10343" s="1" t="s">
        <v>1063</v>
      </c>
      <c r="H10343" s="1" t="s">
        <v>16967</v>
      </c>
      <c r="I10343" s="1" t="s">
        <v>125</v>
      </c>
      <c r="J10343" s="1" t="s">
        <v>67</v>
      </c>
      <c r="K10343" s="1" t="s">
        <v>14</v>
      </c>
      <c r="M10343" s="2">
        <v>41801</v>
      </c>
      <c r="N10343" s="1" t="s">
        <v>8</v>
      </c>
      <c r="O10343" s="1" t="s">
        <v>68</v>
      </c>
    </row>
    <row r="10344" spans="1:15" ht="43.2" x14ac:dyDescent="0.3">
      <c r="A10344" s="1" t="s">
        <v>16968</v>
      </c>
      <c r="B10344" s="1" t="str">
        <f>"Plantagenet House Restaurant"</f>
        <v>Plantagenet House Restaurant</v>
      </c>
      <c r="C10344" s="1" t="s">
        <v>16966</v>
      </c>
      <c r="F10344" s="1" t="s">
        <v>1063</v>
      </c>
      <c r="H10344" s="1" t="s">
        <v>16967</v>
      </c>
      <c r="I10344" s="1" t="s">
        <v>125</v>
      </c>
      <c r="J10344" s="1" t="s">
        <v>67</v>
      </c>
      <c r="K10344" s="1" t="s">
        <v>14</v>
      </c>
      <c r="M10344" s="2">
        <v>41801</v>
      </c>
      <c r="N10344" s="1" t="s">
        <v>8</v>
      </c>
      <c r="O10344" s="1" t="s">
        <v>68</v>
      </c>
    </row>
    <row r="10345" spans="1:15" ht="43.2" x14ac:dyDescent="0.3">
      <c r="A10345" s="1" t="s">
        <v>28166</v>
      </c>
      <c r="B10345" s="1" t="str">
        <f>"Frankie Daly"</f>
        <v>Frankie Daly</v>
      </c>
      <c r="C10345" s="1" t="s">
        <v>28167</v>
      </c>
      <c r="D10345" s="1" t="s">
        <v>5734</v>
      </c>
      <c r="F10345" s="1" t="s">
        <v>28168</v>
      </c>
      <c r="H10345" s="1" t="s">
        <v>5735</v>
      </c>
      <c r="I10345" s="1" t="s">
        <v>5</v>
      </c>
      <c r="J10345" s="1" t="s">
        <v>67</v>
      </c>
      <c r="K10345" s="1" t="s">
        <v>14</v>
      </c>
      <c r="M10345" s="2">
        <v>41801</v>
      </c>
      <c r="N10345" s="1" t="s">
        <v>8</v>
      </c>
      <c r="O10345" s="1" t="s">
        <v>68</v>
      </c>
    </row>
    <row r="10346" spans="1:15" ht="43.2" x14ac:dyDescent="0.3">
      <c r="A10346" s="1" t="s">
        <v>16010</v>
      </c>
      <c r="B10346" s="1" t="str">
        <f>"W R Davies"</f>
        <v>W R Davies</v>
      </c>
      <c r="C10346" s="1" t="s">
        <v>16011</v>
      </c>
      <c r="F10346" s="1" t="s">
        <v>678</v>
      </c>
      <c r="H10346" s="1" t="s">
        <v>16012</v>
      </c>
      <c r="I10346" s="1" t="s">
        <v>19</v>
      </c>
      <c r="J10346" s="1" t="s">
        <v>67</v>
      </c>
      <c r="K10346" s="1" t="s">
        <v>14</v>
      </c>
      <c r="M10346" s="2">
        <v>41800</v>
      </c>
      <c r="N10346" s="1" t="s">
        <v>8</v>
      </c>
      <c r="O10346" s="1" t="s">
        <v>68</v>
      </c>
    </row>
    <row r="10347" spans="1:15" ht="43.2" x14ac:dyDescent="0.3">
      <c r="A10347" s="1" t="s">
        <v>28162</v>
      </c>
      <c r="B10347" s="1" t="str">
        <f>"Ian Dale"</f>
        <v>Ian Dale</v>
      </c>
      <c r="C10347" s="1" t="s">
        <v>28163</v>
      </c>
      <c r="F10347" s="1" t="s">
        <v>28164</v>
      </c>
      <c r="H10347" s="1" t="s">
        <v>28165</v>
      </c>
      <c r="I10347" s="1" t="s">
        <v>5</v>
      </c>
      <c r="J10347" s="1" t="s">
        <v>67</v>
      </c>
      <c r="K10347" s="1" t="s">
        <v>14</v>
      </c>
      <c r="M10347" s="2">
        <v>41800</v>
      </c>
      <c r="N10347" s="1" t="s">
        <v>8</v>
      </c>
      <c r="O10347" s="1" t="s">
        <v>68</v>
      </c>
    </row>
    <row r="10348" spans="1:15" ht="43.2" x14ac:dyDescent="0.3">
      <c r="A10348" s="1" t="s">
        <v>16007</v>
      </c>
      <c r="B10348" s="1" t="str">
        <f>"Dyfed Auto Electric Ltd"</f>
        <v>Dyfed Auto Electric Ltd</v>
      </c>
      <c r="C10348" s="1" t="s">
        <v>16008</v>
      </c>
      <c r="F10348" s="1" t="s">
        <v>42</v>
      </c>
      <c r="H10348" s="1" t="s">
        <v>16009</v>
      </c>
      <c r="I10348" s="1" t="s">
        <v>19</v>
      </c>
      <c r="J10348" s="1" t="s">
        <v>67</v>
      </c>
      <c r="K10348" s="1" t="s">
        <v>14</v>
      </c>
      <c r="M10348" s="2">
        <v>41799</v>
      </c>
      <c r="N10348" s="1" t="s">
        <v>8</v>
      </c>
      <c r="O10348" s="1" t="s">
        <v>68</v>
      </c>
    </row>
    <row r="10349" spans="1:15" ht="43.2" x14ac:dyDescent="0.3">
      <c r="A10349" s="1" t="s">
        <v>28156</v>
      </c>
      <c r="B10349" s="1" t="str">
        <f>"Joe Tango"</f>
        <v>Joe Tango</v>
      </c>
      <c r="C10349" s="1" t="s">
        <v>28157</v>
      </c>
      <c r="F10349" s="1" t="s">
        <v>72</v>
      </c>
      <c r="H10349" s="1" t="s">
        <v>23375</v>
      </c>
      <c r="I10349" s="1" t="s">
        <v>5</v>
      </c>
      <c r="J10349" s="1" t="s">
        <v>67</v>
      </c>
      <c r="K10349" s="1" t="s">
        <v>14</v>
      </c>
      <c r="M10349" s="2">
        <v>41798</v>
      </c>
      <c r="N10349" s="1" t="s">
        <v>8</v>
      </c>
      <c r="O10349" s="1" t="s">
        <v>68</v>
      </c>
    </row>
    <row r="10350" spans="1:15" ht="43.2" x14ac:dyDescent="0.3">
      <c r="A10350" s="1" t="s">
        <v>28158</v>
      </c>
      <c r="B10350" s="1" t="str">
        <f>"Joe Tango"</f>
        <v>Joe Tango</v>
      </c>
      <c r="C10350" s="1" t="s">
        <v>28157</v>
      </c>
      <c r="F10350" s="1" t="s">
        <v>72</v>
      </c>
      <c r="H10350" s="1" t="s">
        <v>23375</v>
      </c>
      <c r="I10350" s="1" t="s">
        <v>5</v>
      </c>
      <c r="J10350" s="1" t="s">
        <v>67</v>
      </c>
      <c r="K10350" s="1" t="s">
        <v>14</v>
      </c>
      <c r="M10350" s="2">
        <v>41798</v>
      </c>
      <c r="N10350" s="1" t="s">
        <v>8</v>
      </c>
      <c r="O10350" s="1" t="s">
        <v>68</v>
      </c>
    </row>
    <row r="10351" spans="1:15" ht="43.2" x14ac:dyDescent="0.3">
      <c r="A10351" s="1" t="s">
        <v>28159</v>
      </c>
      <c r="B10351" s="1" t="str">
        <f>"MERVYN DAVIES"</f>
        <v>MERVYN DAVIES</v>
      </c>
      <c r="C10351" s="1" t="s">
        <v>28160</v>
      </c>
      <c r="F10351" s="1" t="s">
        <v>10504</v>
      </c>
      <c r="H10351" s="1" t="s">
        <v>28161</v>
      </c>
      <c r="I10351" s="1" t="s">
        <v>5</v>
      </c>
      <c r="J10351" s="1" t="s">
        <v>67</v>
      </c>
      <c r="K10351" s="1" t="s">
        <v>14</v>
      </c>
      <c r="M10351" s="2">
        <v>41798</v>
      </c>
      <c r="N10351" s="1" t="s">
        <v>8</v>
      </c>
      <c r="O10351" s="1" t="s">
        <v>68</v>
      </c>
    </row>
    <row r="10352" spans="1:15" ht="43.2" x14ac:dyDescent="0.3">
      <c r="A10352" s="1" t="s">
        <v>16003</v>
      </c>
      <c r="B10352" s="1" t="str">
        <f>"Bailey construction loughor ltd"</f>
        <v>Bailey construction loughor ltd</v>
      </c>
      <c r="C10352" s="1" t="s">
        <v>16004</v>
      </c>
      <c r="D10352" s="1" t="s">
        <v>16005</v>
      </c>
      <c r="F10352" s="1" t="s">
        <v>1525</v>
      </c>
      <c r="H10352" s="1" t="s">
        <v>16006</v>
      </c>
      <c r="I10352" s="1" t="s">
        <v>19</v>
      </c>
      <c r="J10352" s="1" t="s">
        <v>67</v>
      </c>
      <c r="K10352" s="1" t="s">
        <v>14</v>
      </c>
      <c r="M10352" s="2">
        <v>41797</v>
      </c>
      <c r="N10352" s="1" t="s">
        <v>8</v>
      </c>
      <c r="O10352" s="1" t="s">
        <v>68</v>
      </c>
    </row>
    <row r="10353" spans="1:15" ht="43.2" x14ac:dyDescent="0.3">
      <c r="A10353" s="1" t="s">
        <v>16000</v>
      </c>
      <c r="B10353" s="1" t="str">
        <f>"REjuvinATE-hgs"</f>
        <v>REjuvinATE-hgs</v>
      </c>
      <c r="C10353" s="1" t="s">
        <v>16001</v>
      </c>
      <c r="F10353" s="1" t="s">
        <v>4645</v>
      </c>
      <c r="H10353" s="1" t="s">
        <v>16002</v>
      </c>
      <c r="I10353" s="1" t="s">
        <v>125</v>
      </c>
      <c r="J10353" s="1" t="s">
        <v>67</v>
      </c>
      <c r="K10353" s="1" t="s">
        <v>14</v>
      </c>
      <c r="M10353" s="2">
        <v>41796</v>
      </c>
      <c r="N10353" s="1" t="s">
        <v>8</v>
      </c>
      <c r="O10353" s="1" t="s">
        <v>68</v>
      </c>
    </row>
    <row r="10354" spans="1:15" ht="43.2" x14ac:dyDescent="0.3">
      <c r="A10354" s="1" t="s">
        <v>28153</v>
      </c>
      <c r="B10354" s="1" t="str">
        <f>"N Jones"</f>
        <v>N Jones</v>
      </c>
      <c r="C10354" s="1" t="s">
        <v>28154</v>
      </c>
      <c r="D10354" s="1" t="s">
        <v>16018</v>
      </c>
      <c r="F10354" s="1" t="s">
        <v>16018</v>
      </c>
      <c r="H10354" s="1" t="s">
        <v>28155</v>
      </c>
      <c r="I10354" s="1" t="s">
        <v>5</v>
      </c>
      <c r="J10354" s="1" t="s">
        <v>67</v>
      </c>
      <c r="K10354" s="1" t="s">
        <v>14</v>
      </c>
      <c r="M10354" s="2">
        <v>41796</v>
      </c>
      <c r="N10354" s="1" t="s">
        <v>8</v>
      </c>
      <c r="O10354" s="1" t="s">
        <v>68</v>
      </c>
    </row>
    <row r="10355" spans="1:15" ht="43.2" x14ac:dyDescent="0.3">
      <c r="A10355" s="1" t="s">
        <v>15998</v>
      </c>
      <c r="B10355" s="1" t="str">
        <f>"11th Hour Events Ltd"</f>
        <v>11th Hour Events Ltd</v>
      </c>
      <c r="C10355" s="1" t="s">
        <v>15999</v>
      </c>
      <c r="D10355" s="1" t="s">
        <v>7643</v>
      </c>
      <c r="F10355" s="1" t="s">
        <v>123</v>
      </c>
      <c r="H10355" s="1" t="s">
        <v>7002</v>
      </c>
      <c r="I10355" s="1" t="s">
        <v>19</v>
      </c>
      <c r="J10355" s="1" t="s">
        <v>67</v>
      </c>
      <c r="K10355" s="1" t="s">
        <v>14</v>
      </c>
      <c r="M10355" s="2">
        <v>41795</v>
      </c>
      <c r="N10355" s="1" t="s">
        <v>8</v>
      </c>
      <c r="O10355" s="1" t="s">
        <v>68</v>
      </c>
    </row>
    <row r="10356" spans="1:15" ht="43.2" x14ac:dyDescent="0.3">
      <c r="A10356" s="1" t="s">
        <v>15995</v>
      </c>
      <c r="B10356" s="1" t="str">
        <f>"Elliots Hill Care Ltd"</f>
        <v>Elliots Hill Care Ltd</v>
      </c>
      <c r="C10356" s="1" t="s">
        <v>15996</v>
      </c>
      <c r="D10356" s="1" t="s">
        <v>1776</v>
      </c>
      <c r="F10356" s="1" t="s">
        <v>3691</v>
      </c>
      <c r="H10356" s="1" t="s">
        <v>15997</v>
      </c>
      <c r="I10356" s="1" t="s">
        <v>19</v>
      </c>
      <c r="J10356" s="1" t="s">
        <v>67</v>
      </c>
      <c r="K10356" s="1" t="s">
        <v>14</v>
      </c>
      <c r="M10356" s="2">
        <v>41794</v>
      </c>
      <c r="N10356" s="1" t="s">
        <v>8</v>
      </c>
      <c r="O10356" s="1" t="s">
        <v>68</v>
      </c>
    </row>
    <row r="10357" spans="1:15" ht="43.2" x14ac:dyDescent="0.3">
      <c r="A10357" s="1" t="s">
        <v>27381</v>
      </c>
      <c r="B10357" s="1" t="str">
        <f>"George Rashbrook"</f>
        <v>George Rashbrook</v>
      </c>
      <c r="C10357" s="1" t="s">
        <v>27382</v>
      </c>
      <c r="F10357" s="1" t="s">
        <v>666</v>
      </c>
      <c r="H10357" s="1" t="s">
        <v>27383</v>
      </c>
      <c r="I10357" s="1" t="s">
        <v>5</v>
      </c>
      <c r="J10357" s="1" t="s">
        <v>67</v>
      </c>
      <c r="K10357" s="1" t="s">
        <v>14</v>
      </c>
      <c r="M10357" s="2">
        <v>41794</v>
      </c>
      <c r="N10357" s="1" t="s">
        <v>8</v>
      </c>
      <c r="O10357" s="1" t="s">
        <v>68</v>
      </c>
    </row>
    <row r="10358" spans="1:15" ht="43.2" x14ac:dyDescent="0.3">
      <c r="A10358" s="1" t="s">
        <v>28150</v>
      </c>
      <c r="B10358" s="1" t="str">
        <f>"Peter Morgan"</f>
        <v>Peter Morgan</v>
      </c>
      <c r="C10358" s="1" t="s">
        <v>28151</v>
      </c>
      <c r="F10358" s="1" t="s">
        <v>1556</v>
      </c>
      <c r="H10358" s="1" t="s">
        <v>28152</v>
      </c>
      <c r="I10358" s="1" t="s">
        <v>5</v>
      </c>
      <c r="J10358" s="1" t="s">
        <v>67</v>
      </c>
      <c r="K10358" s="1" t="s">
        <v>14</v>
      </c>
      <c r="M10358" s="2">
        <v>41794</v>
      </c>
      <c r="N10358" s="1" t="s">
        <v>8</v>
      </c>
      <c r="O10358" s="1" t="s">
        <v>68</v>
      </c>
    </row>
    <row r="10359" spans="1:15" ht="43.2" x14ac:dyDescent="0.3">
      <c r="A10359" s="1" t="s">
        <v>15024</v>
      </c>
      <c r="B10359" s="1" t="str">
        <f>"Brace's Bakery Ltd."</f>
        <v>Brace's Bakery Ltd.</v>
      </c>
      <c r="C10359" s="1" t="s">
        <v>15025</v>
      </c>
      <c r="F10359" s="1" t="s">
        <v>389</v>
      </c>
      <c r="H10359" s="1" t="s">
        <v>8070</v>
      </c>
      <c r="I10359" s="1" t="s">
        <v>19</v>
      </c>
      <c r="J10359" s="1" t="s">
        <v>67</v>
      </c>
      <c r="K10359" s="1" t="s">
        <v>14</v>
      </c>
      <c r="M10359" s="2">
        <v>41793</v>
      </c>
      <c r="N10359" s="1" t="s">
        <v>8</v>
      </c>
      <c r="O10359" s="1" t="s">
        <v>68</v>
      </c>
    </row>
    <row r="10360" spans="1:15" ht="43.2" x14ac:dyDescent="0.3">
      <c r="A10360" s="1" t="s">
        <v>15026</v>
      </c>
      <c r="B10360" s="1" t="str">
        <f>"Xwavia Ltd"</f>
        <v>Xwavia Ltd</v>
      </c>
      <c r="C10360" s="1" t="s">
        <v>15027</v>
      </c>
      <c r="F10360" s="1" t="s">
        <v>2459</v>
      </c>
      <c r="H10360" s="1" t="s">
        <v>15028</v>
      </c>
      <c r="I10360" s="1" t="s">
        <v>19</v>
      </c>
      <c r="J10360" s="1" t="s">
        <v>67</v>
      </c>
      <c r="K10360" s="1" t="s">
        <v>14</v>
      </c>
      <c r="M10360" s="2">
        <v>41793</v>
      </c>
      <c r="N10360" s="1" t="s">
        <v>8</v>
      </c>
      <c r="O10360" s="1" t="s">
        <v>68</v>
      </c>
    </row>
    <row r="10361" spans="1:15" ht="43.2" x14ac:dyDescent="0.3">
      <c r="A10361" s="1" t="s">
        <v>15029</v>
      </c>
      <c r="B10361" s="1" t="str">
        <f>"Emmaus South Wales"</f>
        <v>Emmaus South Wales</v>
      </c>
      <c r="C10361" s="1" t="s">
        <v>15030</v>
      </c>
      <c r="F10361" s="1" t="s">
        <v>179</v>
      </c>
      <c r="H10361" s="1" t="s">
        <v>15031</v>
      </c>
      <c r="I10361" s="1" t="s">
        <v>1872</v>
      </c>
      <c r="J10361" s="1" t="s">
        <v>67</v>
      </c>
      <c r="K10361" s="1" t="s">
        <v>14</v>
      </c>
      <c r="M10361" s="2">
        <v>41793</v>
      </c>
      <c r="N10361" s="1" t="s">
        <v>8</v>
      </c>
      <c r="O10361" s="1" t="s">
        <v>68</v>
      </c>
    </row>
    <row r="10362" spans="1:15" ht="43.2" x14ac:dyDescent="0.3">
      <c r="A10362" s="1" t="s">
        <v>15032</v>
      </c>
      <c r="B10362" s="1" t="str">
        <f>"GREENFIELD GARAGE (COLWYN BAY)LTD"</f>
        <v>GREENFIELD GARAGE (COLWYN BAY)LTD</v>
      </c>
      <c r="C10362" s="1" t="s">
        <v>15033</v>
      </c>
      <c r="F10362" s="1" t="s">
        <v>3602</v>
      </c>
      <c r="H10362" s="1" t="s">
        <v>15034</v>
      </c>
      <c r="I10362" s="1" t="s">
        <v>19</v>
      </c>
      <c r="J10362" s="1" t="s">
        <v>67</v>
      </c>
      <c r="K10362" s="1" t="s">
        <v>14</v>
      </c>
      <c r="M10362" s="2">
        <v>41793</v>
      </c>
      <c r="N10362" s="1" t="s">
        <v>8</v>
      </c>
      <c r="O10362" s="1" t="s">
        <v>68</v>
      </c>
    </row>
    <row r="10363" spans="1:15" ht="43.2" x14ac:dyDescent="0.3">
      <c r="A10363" s="1" t="s">
        <v>15035</v>
      </c>
      <c r="B10363" s="1" t="str">
        <f>"jaromir strzala"</f>
        <v>jaromir strzala</v>
      </c>
      <c r="C10363" s="1" t="s">
        <v>15036</v>
      </c>
      <c r="F10363" s="1" t="s">
        <v>15037</v>
      </c>
      <c r="H10363" s="1" t="s">
        <v>15038</v>
      </c>
      <c r="I10363" s="1" t="s">
        <v>188</v>
      </c>
      <c r="J10363" s="1" t="s">
        <v>67</v>
      </c>
      <c r="K10363" s="1" t="s">
        <v>14</v>
      </c>
      <c r="M10363" s="2">
        <v>41793</v>
      </c>
      <c r="N10363" s="1" t="s">
        <v>8</v>
      </c>
      <c r="O10363" s="1" t="s">
        <v>68</v>
      </c>
    </row>
    <row r="10364" spans="1:15" ht="43.2" x14ac:dyDescent="0.3">
      <c r="A10364" s="1" t="s">
        <v>15022</v>
      </c>
      <c r="B10364" s="1" t="str">
        <f>"Cafe Inglenook"</f>
        <v>Cafe Inglenook</v>
      </c>
      <c r="C10364" s="1" t="s">
        <v>15023</v>
      </c>
      <c r="F10364" s="1" t="s">
        <v>162</v>
      </c>
      <c r="H10364" s="1" t="s">
        <v>9525</v>
      </c>
      <c r="I10364" s="1" t="s">
        <v>125</v>
      </c>
      <c r="J10364" s="1" t="s">
        <v>67</v>
      </c>
      <c r="K10364" s="1" t="s">
        <v>14</v>
      </c>
      <c r="M10364" s="2">
        <v>41792</v>
      </c>
      <c r="N10364" s="1" t="s">
        <v>8</v>
      </c>
      <c r="O10364" s="1" t="s">
        <v>68</v>
      </c>
    </row>
    <row r="10365" spans="1:15" ht="43.2" x14ac:dyDescent="0.3">
      <c r="A10365" s="1" t="s">
        <v>27366</v>
      </c>
      <c r="B10365" s="1" t="str">
        <f>"dean curtis"</f>
        <v>dean curtis</v>
      </c>
      <c r="C10365" s="1" t="s">
        <v>27367</v>
      </c>
      <c r="D10365" s="1" t="s">
        <v>16005</v>
      </c>
      <c r="F10365" s="1" t="s">
        <v>1525</v>
      </c>
      <c r="H10365" s="1" t="s">
        <v>27368</v>
      </c>
      <c r="I10365" s="1" t="s">
        <v>5</v>
      </c>
      <c r="J10365" s="1" t="s">
        <v>67</v>
      </c>
      <c r="K10365" s="1" t="s">
        <v>14</v>
      </c>
      <c r="M10365" s="2">
        <v>41792</v>
      </c>
      <c r="N10365" s="1" t="s">
        <v>8</v>
      </c>
      <c r="O10365" s="1" t="s">
        <v>68</v>
      </c>
    </row>
    <row r="10366" spans="1:15" ht="43.2" x14ac:dyDescent="0.3">
      <c r="A10366" s="1" t="s">
        <v>27369</v>
      </c>
      <c r="B10366" s="1" t="str">
        <f>"Stuart Yendle"</f>
        <v>Stuart Yendle</v>
      </c>
      <c r="C10366" s="1" t="s">
        <v>27370</v>
      </c>
      <c r="F10366" s="1" t="s">
        <v>22540</v>
      </c>
      <c r="H10366" s="1" t="s">
        <v>27371</v>
      </c>
      <c r="I10366" s="1" t="s">
        <v>5</v>
      </c>
      <c r="J10366" s="1" t="s">
        <v>67</v>
      </c>
      <c r="K10366" s="1" t="s">
        <v>14</v>
      </c>
      <c r="M10366" s="2">
        <v>41792</v>
      </c>
      <c r="N10366" s="1" t="s">
        <v>8</v>
      </c>
      <c r="O10366" s="1" t="s">
        <v>68</v>
      </c>
    </row>
    <row r="10367" spans="1:15" ht="43.2" x14ac:dyDescent="0.3">
      <c r="A10367" s="1" t="s">
        <v>27372</v>
      </c>
      <c r="B10367" s="1" t="str">
        <f>"Stuart Yendle"</f>
        <v>Stuart Yendle</v>
      </c>
      <c r="C10367" s="1" t="s">
        <v>27370</v>
      </c>
      <c r="F10367" s="1" t="s">
        <v>22540</v>
      </c>
      <c r="H10367" s="1" t="s">
        <v>27371</v>
      </c>
      <c r="I10367" s="1" t="s">
        <v>5</v>
      </c>
      <c r="J10367" s="1" t="s">
        <v>67</v>
      </c>
      <c r="K10367" s="1" t="s">
        <v>14</v>
      </c>
      <c r="M10367" s="2">
        <v>41792</v>
      </c>
      <c r="N10367" s="1" t="s">
        <v>8</v>
      </c>
      <c r="O10367" s="1" t="s">
        <v>68</v>
      </c>
    </row>
    <row r="10368" spans="1:15" ht="43.2" x14ac:dyDescent="0.3">
      <c r="A10368" s="1" t="s">
        <v>27373</v>
      </c>
      <c r="B10368" s="1" t="str">
        <f>"MARK rogers"</f>
        <v>MARK rogers</v>
      </c>
      <c r="C10368" s="1" t="s">
        <v>27374</v>
      </c>
      <c r="F10368" s="1" t="s">
        <v>5546</v>
      </c>
      <c r="H10368" s="1" t="s">
        <v>27375</v>
      </c>
      <c r="I10368" s="1" t="s">
        <v>5</v>
      </c>
      <c r="J10368" s="1" t="s">
        <v>67</v>
      </c>
      <c r="K10368" s="1" t="s">
        <v>14</v>
      </c>
      <c r="M10368" s="2">
        <v>41792</v>
      </c>
      <c r="N10368" s="1" t="s">
        <v>8</v>
      </c>
      <c r="O10368" s="1" t="s">
        <v>68</v>
      </c>
    </row>
    <row r="10369" spans="1:15" ht="43.2" x14ac:dyDescent="0.3">
      <c r="A10369" s="1" t="s">
        <v>27376</v>
      </c>
      <c r="B10369" s="1" t="str">
        <f>"william dyfed"</f>
        <v>william dyfed</v>
      </c>
      <c r="C10369" s="1" t="s">
        <v>27377</v>
      </c>
      <c r="D10369" s="1" t="s">
        <v>27378</v>
      </c>
      <c r="F10369" s="1" t="s">
        <v>27379</v>
      </c>
      <c r="H10369" s="1" t="s">
        <v>27380</v>
      </c>
      <c r="I10369" s="1" t="s">
        <v>5</v>
      </c>
      <c r="J10369" s="1" t="s">
        <v>67</v>
      </c>
      <c r="K10369" s="1" t="s">
        <v>14</v>
      </c>
      <c r="M10369" s="2">
        <v>41792</v>
      </c>
      <c r="N10369" s="1" t="s">
        <v>8</v>
      </c>
      <c r="O10369" s="1" t="s">
        <v>68</v>
      </c>
    </row>
    <row r="10370" spans="1:15" ht="43.2" x14ac:dyDescent="0.3">
      <c r="A10370" s="1" t="s">
        <v>27363</v>
      </c>
      <c r="B10370" s="1" t="str">
        <f>"James Templey"</f>
        <v>James Templey</v>
      </c>
      <c r="C10370" s="1" t="s">
        <v>27364</v>
      </c>
      <c r="D10370" s="1" t="s">
        <v>5891</v>
      </c>
      <c r="F10370" s="1" t="s">
        <v>64</v>
      </c>
      <c r="H10370" s="1" t="s">
        <v>27365</v>
      </c>
      <c r="I10370" s="1" t="s">
        <v>5</v>
      </c>
      <c r="J10370" s="1" t="s">
        <v>67</v>
      </c>
      <c r="K10370" s="1" t="s">
        <v>14</v>
      </c>
      <c r="M10370" s="2">
        <v>41791</v>
      </c>
      <c r="N10370" s="1" t="s">
        <v>8</v>
      </c>
      <c r="O10370" s="1" t="s">
        <v>68</v>
      </c>
    </row>
    <row r="10371" spans="1:15" ht="43.2" x14ac:dyDescent="0.3">
      <c r="A10371" s="1" t="s">
        <v>12157</v>
      </c>
      <c r="B10371" s="1" t="str">
        <f>"Hendre Glyn biomass ltd"</f>
        <v>Hendre Glyn biomass ltd</v>
      </c>
      <c r="C10371" s="1" t="s">
        <v>12158</v>
      </c>
      <c r="F10371" s="1" t="s">
        <v>230</v>
      </c>
      <c r="H10371" s="1" t="s">
        <v>12159</v>
      </c>
      <c r="I10371" s="1" t="s">
        <v>19</v>
      </c>
      <c r="J10371" s="1" t="s">
        <v>67</v>
      </c>
      <c r="K10371" s="1" t="s">
        <v>14</v>
      </c>
      <c r="M10371" s="2">
        <v>41789</v>
      </c>
      <c r="N10371" s="1" t="s">
        <v>8</v>
      </c>
      <c r="O10371" s="1" t="s">
        <v>68</v>
      </c>
    </row>
    <row r="10372" spans="1:15" ht="43.2" x14ac:dyDescent="0.3">
      <c r="A10372" s="1" t="s">
        <v>25051</v>
      </c>
      <c r="B10372" s="1" t="str">
        <f>"Adrian Jones"</f>
        <v>Adrian Jones</v>
      </c>
      <c r="C10372" s="1" t="s">
        <v>25052</v>
      </c>
      <c r="F10372" s="1" t="s">
        <v>665</v>
      </c>
      <c r="H10372" s="1" t="s">
        <v>25053</v>
      </c>
      <c r="I10372" s="1" t="s">
        <v>5</v>
      </c>
      <c r="J10372" s="1" t="s">
        <v>67</v>
      </c>
      <c r="K10372" s="1" t="s">
        <v>14</v>
      </c>
      <c r="M10372" s="2">
        <v>41789</v>
      </c>
      <c r="N10372" s="1" t="s">
        <v>8</v>
      </c>
      <c r="O10372" s="1" t="s">
        <v>68</v>
      </c>
    </row>
    <row r="10373" spans="1:15" ht="43.2" x14ac:dyDescent="0.3">
      <c r="A10373" s="1" t="s">
        <v>11143</v>
      </c>
      <c r="B10373" s="1" t="str">
        <f>"cardiff soft play ltd"</f>
        <v>cardiff soft play ltd</v>
      </c>
      <c r="C10373" s="1" t="s">
        <v>11144</v>
      </c>
      <c r="D10373" s="1" t="s">
        <v>11145</v>
      </c>
      <c r="F10373" s="1" t="s">
        <v>5963</v>
      </c>
      <c r="H10373" s="1" t="s">
        <v>11146</v>
      </c>
      <c r="I10373" s="1" t="s">
        <v>19</v>
      </c>
      <c r="J10373" s="1" t="s">
        <v>67</v>
      </c>
      <c r="K10373" s="1" t="s">
        <v>14</v>
      </c>
      <c r="M10373" s="2">
        <v>41788</v>
      </c>
      <c r="N10373" s="1" t="s">
        <v>8</v>
      </c>
      <c r="O10373" s="1" t="s">
        <v>68</v>
      </c>
    </row>
    <row r="10374" spans="1:15" ht="43.2" x14ac:dyDescent="0.3">
      <c r="A10374" s="1" t="s">
        <v>12156</v>
      </c>
      <c r="B10374" s="1" t="str">
        <f>"cardiff soft play ltd"</f>
        <v>cardiff soft play ltd</v>
      </c>
      <c r="C10374" s="1" t="s">
        <v>11144</v>
      </c>
      <c r="D10374" s="1" t="s">
        <v>11145</v>
      </c>
      <c r="F10374" s="1" t="s">
        <v>5963</v>
      </c>
      <c r="H10374" s="1" t="s">
        <v>11146</v>
      </c>
      <c r="I10374" s="1" t="s">
        <v>19</v>
      </c>
      <c r="J10374" s="1" t="s">
        <v>67</v>
      </c>
      <c r="K10374" s="1" t="s">
        <v>14</v>
      </c>
      <c r="M10374" s="2">
        <v>41788</v>
      </c>
      <c r="N10374" s="1" t="s">
        <v>8</v>
      </c>
      <c r="O10374" s="1" t="s">
        <v>68</v>
      </c>
    </row>
    <row r="10375" spans="1:15" ht="43.2" x14ac:dyDescent="0.3">
      <c r="A10375" s="1" t="s">
        <v>11139</v>
      </c>
      <c r="B10375" s="1" t="str">
        <f>"scrap metal"</f>
        <v>scrap metal</v>
      </c>
      <c r="C10375" s="1" t="s">
        <v>11140</v>
      </c>
      <c r="F10375" s="1" t="s">
        <v>11141</v>
      </c>
      <c r="H10375" s="1" t="s">
        <v>11142</v>
      </c>
      <c r="I10375" s="1" t="s">
        <v>125</v>
      </c>
      <c r="J10375" s="1" t="s">
        <v>67</v>
      </c>
      <c r="K10375" s="1" t="s">
        <v>14</v>
      </c>
      <c r="M10375" s="2">
        <v>41787</v>
      </c>
      <c r="N10375" s="1" t="s">
        <v>8</v>
      </c>
      <c r="O10375" s="1" t="s">
        <v>68</v>
      </c>
    </row>
    <row r="10376" spans="1:15" ht="43.2" x14ac:dyDescent="0.3">
      <c r="A10376" s="1" t="s">
        <v>24209</v>
      </c>
      <c r="B10376" s="1" t="str">
        <f>"Carolyn Morgan"</f>
        <v>Carolyn Morgan</v>
      </c>
      <c r="C10376" s="1" t="s">
        <v>24210</v>
      </c>
      <c r="D10376" s="1" t="s">
        <v>2483</v>
      </c>
      <c r="F10376" s="1" t="s">
        <v>1991</v>
      </c>
      <c r="H10376" s="1" t="s">
        <v>24211</v>
      </c>
      <c r="I10376" s="1" t="s">
        <v>5</v>
      </c>
      <c r="J10376" s="1" t="s">
        <v>67</v>
      </c>
      <c r="K10376" s="1" t="s">
        <v>14</v>
      </c>
      <c r="M10376" s="2">
        <v>41787</v>
      </c>
      <c r="N10376" s="1" t="s">
        <v>8</v>
      </c>
      <c r="O10376" s="1" t="s">
        <v>68</v>
      </c>
    </row>
    <row r="10377" spans="1:15" ht="43.2" x14ac:dyDescent="0.3">
      <c r="A10377" s="1" t="s">
        <v>24198</v>
      </c>
      <c r="B10377" s="1" t="str">
        <f>"John  McCarthy"</f>
        <v>John  McCarthy</v>
      </c>
      <c r="C10377" s="1" t="s">
        <v>24199</v>
      </c>
      <c r="F10377" s="1" t="s">
        <v>123</v>
      </c>
      <c r="H10377" s="1" t="s">
        <v>15984</v>
      </c>
      <c r="I10377" s="1" t="s">
        <v>5</v>
      </c>
      <c r="J10377" s="1" t="s">
        <v>67</v>
      </c>
      <c r="K10377" s="1" t="s">
        <v>14</v>
      </c>
      <c r="M10377" s="2">
        <v>41786</v>
      </c>
      <c r="N10377" s="1" t="s">
        <v>8</v>
      </c>
      <c r="O10377" s="1" t="s">
        <v>68</v>
      </c>
    </row>
    <row r="10378" spans="1:15" ht="43.2" x14ac:dyDescent="0.3">
      <c r="A10378" s="1" t="s">
        <v>24200</v>
      </c>
      <c r="B10378" s="1" t="str">
        <f>"Gareth Jones"</f>
        <v>Gareth Jones</v>
      </c>
      <c r="C10378" s="1" t="s">
        <v>24201</v>
      </c>
      <c r="D10378" s="1" t="s">
        <v>2656</v>
      </c>
      <c r="F10378" s="1" t="s">
        <v>123</v>
      </c>
      <c r="H10378" s="1" t="s">
        <v>24202</v>
      </c>
      <c r="I10378" s="1" t="s">
        <v>5</v>
      </c>
      <c r="J10378" s="1" t="s">
        <v>67</v>
      </c>
      <c r="K10378" s="1" t="s">
        <v>14</v>
      </c>
      <c r="M10378" s="2">
        <v>41786</v>
      </c>
      <c r="N10378" s="1" t="s">
        <v>8</v>
      </c>
      <c r="O10378" s="1" t="s">
        <v>68</v>
      </c>
    </row>
    <row r="10379" spans="1:15" ht="43.2" x14ac:dyDescent="0.3">
      <c r="A10379" s="1" t="s">
        <v>24203</v>
      </c>
      <c r="B10379" s="1" t="str">
        <f>"Steven Walker"</f>
        <v>Steven Walker</v>
      </c>
      <c r="C10379" s="1" t="s">
        <v>24204</v>
      </c>
      <c r="D10379" s="1" t="s">
        <v>7260</v>
      </c>
      <c r="F10379" s="1" t="s">
        <v>123</v>
      </c>
      <c r="H10379" s="1" t="s">
        <v>24205</v>
      </c>
      <c r="I10379" s="1" t="s">
        <v>5</v>
      </c>
      <c r="J10379" s="1" t="s">
        <v>67</v>
      </c>
      <c r="K10379" s="1" t="s">
        <v>14</v>
      </c>
      <c r="M10379" s="2">
        <v>41786</v>
      </c>
      <c r="N10379" s="1" t="s">
        <v>8</v>
      </c>
      <c r="O10379" s="1" t="s">
        <v>68</v>
      </c>
    </row>
    <row r="10380" spans="1:15" ht="43.2" x14ac:dyDescent="0.3">
      <c r="A10380" s="1" t="s">
        <v>24206</v>
      </c>
      <c r="B10380" s="1" t="str">
        <f>"Roy Evans"</f>
        <v>Roy Evans</v>
      </c>
      <c r="C10380" s="1" t="s">
        <v>24207</v>
      </c>
      <c r="D10380" s="1" t="s">
        <v>1986</v>
      </c>
      <c r="F10380" s="1" t="s">
        <v>162</v>
      </c>
      <c r="H10380" s="1" t="s">
        <v>24208</v>
      </c>
      <c r="I10380" s="1" t="s">
        <v>5</v>
      </c>
      <c r="J10380" s="1" t="s">
        <v>67</v>
      </c>
      <c r="K10380" s="1" t="s">
        <v>14</v>
      </c>
      <c r="M10380" s="2">
        <v>41786</v>
      </c>
      <c r="N10380" s="1" t="s">
        <v>8</v>
      </c>
      <c r="O10380" s="1" t="s">
        <v>68</v>
      </c>
    </row>
    <row r="10381" spans="1:15" ht="43.2" x14ac:dyDescent="0.3">
      <c r="A10381" s="1" t="s">
        <v>24194</v>
      </c>
      <c r="B10381" s="1" t="str">
        <f>"donald powell"</f>
        <v>donald powell</v>
      </c>
      <c r="C10381" s="1" t="s">
        <v>24195</v>
      </c>
      <c r="F10381" s="1" t="s">
        <v>24196</v>
      </c>
      <c r="H10381" s="1" t="s">
        <v>24197</v>
      </c>
      <c r="I10381" s="1" t="s">
        <v>5</v>
      </c>
      <c r="J10381" s="1" t="s">
        <v>67</v>
      </c>
      <c r="K10381" s="1" t="s">
        <v>14</v>
      </c>
      <c r="M10381" s="2">
        <v>41785</v>
      </c>
      <c r="N10381" s="1" t="s">
        <v>8</v>
      </c>
      <c r="O10381" s="1" t="s">
        <v>68</v>
      </c>
    </row>
    <row r="10382" spans="1:15" ht="43.2" x14ac:dyDescent="0.3">
      <c r="A10382" s="1" t="s">
        <v>11135</v>
      </c>
      <c r="B10382" s="1" t="str">
        <f>"m&amp;g utility contracts ltd"</f>
        <v>m&amp;g utility contracts ltd</v>
      </c>
      <c r="C10382" s="1" t="s">
        <v>11136</v>
      </c>
      <c r="F10382" s="1" t="s">
        <v>11137</v>
      </c>
      <c r="H10382" s="1" t="s">
        <v>11138</v>
      </c>
      <c r="I10382" s="1" t="s">
        <v>19</v>
      </c>
      <c r="J10382" s="1" t="s">
        <v>67</v>
      </c>
      <c r="K10382" s="1" t="s">
        <v>14</v>
      </c>
      <c r="M10382" s="2">
        <v>41783</v>
      </c>
      <c r="N10382" s="1" t="s">
        <v>8</v>
      </c>
      <c r="O10382" s="1" t="s">
        <v>68</v>
      </c>
    </row>
    <row r="10383" spans="1:15" ht="43.2" x14ac:dyDescent="0.3">
      <c r="A10383" s="1" t="s">
        <v>24186</v>
      </c>
      <c r="B10383" s="1" t="str">
        <f>"Mark Thomas"</f>
        <v>Mark Thomas</v>
      </c>
      <c r="C10383" s="1" t="s">
        <v>24187</v>
      </c>
      <c r="D10383" s="1" t="s">
        <v>24188</v>
      </c>
      <c r="F10383" s="1" t="s">
        <v>64</v>
      </c>
      <c r="H10383" s="1" t="s">
        <v>24189</v>
      </c>
      <c r="I10383" s="1" t="s">
        <v>5</v>
      </c>
      <c r="J10383" s="1" t="s">
        <v>67</v>
      </c>
      <c r="K10383" s="1" t="s">
        <v>14</v>
      </c>
      <c r="M10383" s="2">
        <v>41782</v>
      </c>
      <c r="N10383" s="1" t="s">
        <v>8</v>
      </c>
      <c r="O10383" s="1" t="s">
        <v>68</v>
      </c>
    </row>
    <row r="10384" spans="1:15" ht="43.2" x14ac:dyDescent="0.3">
      <c r="A10384" s="1" t="s">
        <v>24190</v>
      </c>
      <c r="B10384" s="1" t="str">
        <f>"Jamie Phillips"</f>
        <v>Jamie Phillips</v>
      </c>
      <c r="C10384" s="1" t="s">
        <v>24191</v>
      </c>
      <c r="D10384" s="1" t="s">
        <v>24192</v>
      </c>
      <c r="F10384" s="1" t="s">
        <v>11137</v>
      </c>
      <c r="H10384" s="1" t="s">
        <v>24193</v>
      </c>
      <c r="I10384" s="1" t="s">
        <v>5</v>
      </c>
      <c r="J10384" s="1" t="s">
        <v>67</v>
      </c>
      <c r="K10384" s="1" t="s">
        <v>14</v>
      </c>
      <c r="M10384" s="2">
        <v>41782</v>
      </c>
      <c r="N10384" s="1" t="s">
        <v>8</v>
      </c>
      <c r="O10384" s="1" t="s">
        <v>68</v>
      </c>
    </row>
    <row r="10385" spans="1:15" ht="43.2" x14ac:dyDescent="0.3">
      <c r="A10385" s="1" t="s">
        <v>10086</v>
      </c>
      <c r="B10385" s="1" t="str">
        <f>"Newtown Decorating Centre Ltd"</f>
        <v>Newtown Decorating Centre Ltd</v>
      </c>
      <c r="C10385" s="1" t="s">
        <v>10087</v>
      </c>
      <c r="F10385" s="1" t="s">
        <v>3465</v>
      </c>
      <c r="H10385" s="1" t="s">
        <v>1374</v>
      </c>
      <c r="I10385" s="1" t="s">
        <v>19</v>
      </c>
      <c r="J10385" s="1" t="s">
        <v>67</v>
      </c>
      <c r="K10385" s="1" t="s">
        <v>14</v>
      </c>
      <c r="M10385" s="2">
        <v>41781</v>
      </c>
      <c r="N10385" s="1" t="s">
        <v>8</v>
      </c>
      <c r="O10385" s="1" t="s">
        <v>68</v>
      </c>
    </row>
    <row r="10386" spans="1:15" ht="43.2" x14ac:dyDescent="0.3">
      <c r="A10386" s="1" t="s">
        <v>10088</v>
      </c>
      <c r="B10386" s="1" t="str">
        <f>"D A Sykes Groundwork and Excavation Ltd"</f>
        <v>D A Sykes Groundwork and Excavation Ltd</v>
      </c>
      <c r="C10386" s="1" t="s">
        <v>10089</v>
      </c>
      <c r="D10386" s="1" t="s">
        <v>10090</v>
      </c>
      <c r="F10386" s="1" t="s">
        <v>10091</v>
      </c>
      <c r="H10386" s="1" t="s">
        <v>10092</v>
      </c>
      <c r="I10386" s="1" t="s">
        <v>19</v>
      </c>
      <c r="J10386" s="1" t="s">
        <v>67</v>
      </c>
      <c r="K10386" s="1" t="s">
        <v>14</v>
      </c>
      <c r="M10386" s="2">
        <v>41781</v>
      </c>
      <c r="N10386" s="1" t="s">
        <v>8</v>
      </c>
      <c r="O10386" s="1" t="s">
        <v>68</v>
      </c>
    </row>
    <row r="10387" spans="1:15" ht="43.2" x14ac:dyDescent="0.3">
      <c r="A10387" s="1" t="s">
        <v>10093</v>
      </c>
      <c r="B10387" s="1" t="str">
        <f>"Teify Forge Ltd"</f>
        <v>Teify Forge Ltd</v>
      </c>
      <c r="C10387" s="1" t="s">
        <v>10094</v>
      </c>
      <c r="D10387" s="1" t="s">
        <v>1385</v>
      </c>
      <c r="F10387" s="1" t="s">
        <v>1983</v>
      </c>
      <c r="H10387" s="1" t="s">
        <v>10095</v>
      </c>
      <c r="I10387" s="1" t="s">
        <v>19</v>
      </c>
      <c r="J10387" s="1" t="s">
        <v>67</v>
      </c>
      <c r="K10387" s="1" t="s">
        <v>14</v>
      </c>
      <c r="M10387" s="2">
        <v>41781</v>
      </c>
      <c r="N10387" s="1" t="s">
        <v>8</v>
      </c>
      <c r="O10387" s="1" t="s">
        <v>68</v>
      </c>
    </row>
    <row r="10388" spans="1:15" ht="43.2" x14ac:dyDescent="0.3">
      <c r="A10388" s="1" t="s">
        <v>23331</v>
      </c>
      <c r="B10388" s="1" t="str">
        <f>"Nicholas Franklin"</f>
        <v>Nicholas Franklin</v>
      </c>
      <c r="C10388" s="1" t="s">
        <v>23332</v>
      </c>
      <c r="F10388" s="1" t="s">
        <v>532</v>
      </c>
      <c r="H10388" s="1" t="s">
        <v>23333</v>
      </c>
      <c r="I10388" s="1" t="s">
        <v>5</v>
      </c>
      <c r="J10388" s="1" t="s">
        <v>67</v>
      </c>
      <c r="K10388" s="1" t="s">
        <v>14</v>
      </c>
      <c r="M10388" s="2">
        <v>41781</v>
      </c>
      <c r="N10388" s="1" t="s">
        <v>8</v>
      </c>
      <c r="O10388" s="1" t="s">
        <v>68</v>
      </c>
    </row>
    <row r="10389" spans="1:15" ht="43.2" x14ac:dyDescent="0.3">
      <c r="A10389" s="1" t="s">
        <v>24174</v>
      </c>
      <c r="B10389" s="1" t="str">
        <f>"Alex Matthews"</f>
        <v>Alex Matthews</v>
      </c>
      <c r="C10389" s="1" t="s">
        <v>24175</v>
      </c>
      <c r="F10389" s="1" t="s">
        <v>24176</v>
      </c>
      <c r="H10389" s="1" t="s">
        <v>24177</v>
      </c>
      <c r="I10389" s="1" t="s">
        <v>5</v>
      </c>
      <c r="J10389" s="1" t="s">
        <v>67</v>
      </c>
      <c r="K10389" s="1" t="s">
        <v>14</v>
      </c>
      <c r="M10389" s="2">
        <v>41781</v>
      </c>
      <c r="N10389" s="1" t="s">
        <v>8</v>
      </c>
      <c r="O10389" s="1" t="s">
        <v>68</v>
      </c>
    </row>
    <row r="10390" spans="1:15" ht="43.2" x14ac:dyDescent="0.3">
      <c r="A10390" s="1" t="s">
        <v>24178</v>
      </c>
      <c r="B10390" s="1" t="str">
        <f>"stephen riella"</f>
        <v>stephen riella</v>
      </c>
      <c r="C10390" s="1" t="s">
        <v>24179</v>
      </c>
      <c r="D10390" s="1" t="s">
        <v>24180</v>
      </c>
      <c r="F10390" s="1" t="s">
        <v>5963</v>
      </c>
      <c r="H10390" s="1" t="s">
        <v>24181</v>
      </c>
      <c r="I10390" s="1" t="s">
        <v>5</v>
      </c>
      <c r="J10390" s="1" t="s">
        <v>67</v>
      </c>
      <c r="K10390" s="1" t="s">
        <v>14</v>
      </c>
      <c r="M10390" s="2">
        <v>41781</v>
      </c>
      <c r="N10390" s="1" t="s">
        <v>8</v>
      </c>
      <c r="O10390" s="1" t="s">
        <v>68</v>
      </c>
    </row>
    <row r="10391" spans="1:15" ht="43.2" x14ac:dyDescent="0.3">
      <c r="A10391" s="1" t="s">
        <v>24182</v>
      </c>
      <c r="B10391" s="1" t="str">
        <f>"Anthony Bowley"</f>
        <v>Anthony Bowley</v>
      </c>
      <c r="C10391" s="1" t="s">
        <v>24183</v>
      </c>
      <c r="F10391" s="1" t="s">
        <v>24184</v>
      </c>
      <c r="H10391" s="1" t="s">
        <v>24185</v>
      </c>
      <c r="I10391" s="1" t="s">
        <v>5</v>
      </c>
      <c r="J10391" s="1" t="s">
        <v>67</v>
      </c>
      <c r="K10391" s="1" t="s">
        <v>14</v>
      </c>
      <c r="M10391" s="2">
        <v>41781</v>
      </c>
      <c r="N10391" s="1" t="s">
        <v>8</v>
      </c>
      <c r="O10391" s="1" t="s">
        <v>68</v>
      </c>
    </row>
    <row r="10392" spans="1:15" ht="43.2" x14ac:dyDescent="0.3">
      <c r="A10392" s="1" t="s">
        <v>10077</v>
      </c>
      <c r="B10392" s="1" t="str">
        <f>"G and P Stores Ltd"</f>
        <v>G and P Stores Ltd</v>
      </c>
      <c r="C10392" s="1" t="s">
        <v>10078</v>
      </c>
      <c r="F10392" s="1" t="s">
        <v>3242</v>
      </c>
      <c r="H10392" s="1" t="s">
        <v>10079</v>
      </c>
      <c r="I10392" s="1" t="s">
        <v>19</v>
      </c>
      <c r="J10392" s="1" t="s">
        <v>67</v>
      </c>
      <c r="K10392" s="1" t="s">
        <v>14</v>
      </c>
      <c r="M10392" s="2">
        <v>41780</v>
      </c>
      <c r="N10392" s="1" t="s">
        <v>8</v>
      </c>
      <c r="O10392" s="1" t="s">
        <v>68</v>
      </c>
    </row>
    <row r="10393" spans="1:15" ht="43.2" x14ac:dyDescent="0.3">
      <c r="A10393" s="1" t="s">
        <v>10080</v>
      </c>
      <c r="B10393" s="1" t="str">
        <f>"The Clever Baggers"</f>
        <v>The Clever Baggers</v>
      </c>
      <c r="C10393" s="1" t="s">
        <v>10081</v>
      </c>
      <c r="F10393" s="1" t="s">
        <v>2459</v>
      </c>
      <c r="H10393" s="1" t="s">
        <v>777</v>
      </c>
      <c r="I10393" s="1" t="s">
        <v>19</v>
      </c>
      <c r="J10393" s="1" t="s">
        <v>67</v>
      </c>
      <c r="K10393" s="1" t="s">
        <v>14</v>
      </c>
      <c r="M10393" s="2">
        <v>41780</v>
      </c>
      <c r="N10393" s="1" t="s">
        <v>8</v>
      </c>
      <c r="O10393" s="1" t="s">
        <v>68</v>
      </c>
    </row>
    <row r="10394" spans="1:15" ht="43.2" x14ac:dyDescent="0.3">
      <c r="A10394" s="1" t="s">
        <v>10082</v>
      </c>
      <c r="B10394" s="1" t="str">
        <f>"Mars-Jones Ltd"</f>
        <v>Mars-Jones Ltd</v>
      </c>
      <c r="C10394" s="1" t="s">
        <v>10083</v>
      </c>
      <c r="F10394" s="1" t="s">
        <v>73</v>
      </c>
      <c r="H10394" s="1" t="s">
        <v>5614</v>
      </c>
      <c r="I10394" s="1" t="s">
        <v>19</v>
      </c>
      <c r="J10394" s="1" t="s">
        <v>67</v>
      </c>
      <c r="K10394" s="1" t="s">
        <v>14</v>
      </c>
      <c r="M10394" s="2">
        <v>41780</v>
      </c>
      <c r="N10394" s="1" t="s">
        <v>8</v>
      </c>
      <c r="O10394" s="1" t="s">
        <v>68</v>
      </c>
    </row>
    <row r="10395" spans="1:15" ht="43.2" x14ac:dyDescent="0.3">
      <c r="A10395" s="1" t="s">
        <v>10084</v>
      </c>
      <c r="B10395" s="1" t="str">
        <f>"Parker Hannifin"</f>
        <v>Parker Hannifin</v>
      </c>
      <c r="C10395" s="1" t="s">
        <v>10085</v>
      </c>
      <c r="F10395" s="1" t="s">
        <v>746</v>
      </c>
      <c r="H10395" s="1" t="s">
        <v>1791</v>
      </c>
      <c r="I10395" s="1" t="s">
        <v>19</v>
      </c>
      <c r="J10395" s="1" t="s">
        <v>67</v>
      </c>
      <c r="K10395" s="1" t="s">
        <v>14</v>
      </c>
      <c r="M10395" s="2">
        <v>41780</v>
      </c>
      <c r="N10395" s="1" t="s">
        <v>8</v>
      </c>
      <c r="O10395" s="1" t="s">
        <v>68</v>
      </c>
    </row>
    <row r="10396" spans="1:15" ht="43.2" x14ac:dyDescent="0.3">
      <c r="A10396" s="1" t="s">
        <v>23327</v>
      </c>
      <c r="B10396" s="1" t="str">
        <f>"YOUSIF SHAKUNA"</f>
        <v>YOUSIF SHAKUNA</v>
      </c>
      <c r="C10396" s="1" t="s">
        <v>23328</v>
      </c>
      <c r="F10396" s="1" t="s">
        <v>23329</v>
      </c>
      <c r="H10396" s="1" t="s">
        <v>23330</v>
      </c>
      <c r="I10396" s="1" t="s">
        <v>5</v>
      </c>
      <c r="J10396" s="1" t="s">
        <v>67</v>
      </c>
      <c r="K10396" s="1" t="s">
        <v>14</v>
      </c>
      <c r="M10396" s="2">
        <v>41780</v>
      </c>
      <c r="N10396" s="1" t="s">
        <v>8</v>
      </c>
      <c r="O10396" s="1" t="s">
        <v>68</v>
      </c>
    </row>
    <row r="10397" spans="1:15" ht="43.2" x14ac:dyDescent="0.3">
      <c r="A10397" s="1" t="s">
        <v>8949</v>
      </c>
      <c r="B10397" s="1" t="str">
        <f>"Gaia's Garden Ltd."</f>
        <v>Gaia's Garden Ltd.</v>
      </c>
      <c r="C10397" s="1" t="s">
        <v>8950</v>
      </c>
      <c r="F10397" s="1" t="s">
        <v>123</v>
      </c>
      <c r="H10397" s="1" t="s">
        <v>8951</v>
      </c>
      <c r="I10397" s="1" t="s">
        <v>19</v>
      </c>
      <c r="J10397" s="1" t="s">
        <v>67</v>
      </c>
      <c r="K10397" s="1" t="s">
        <v>14</v>
      </c>
      <c r="M10397" s="2">
        <v>41779</v>
      </c>
      <c r="N10397" s="1" t="s">
        <v>8</v>
      </c>
      <c r="O10397" s="1" t="s">
        <v>68</v>
      </c>
    </row>
    <row r="10398" spans="1:15" ht="43.2" x14ac:dyDescent="0.3">
      <c r="A10398" s="1" t="s">
        <v>8952</v>
      </c>
      <c r="B10398" s="1" t="str">
        <f>"Pembroke 21C Community Interest Company"</f>
        <v>Pembroke 21C Community Interest Company</v>
      </c>
      <c r="C10398" s="1" t="s">
        <v>8953</v>
      </c>
      <c r="D10398" s="1" t="s">
        <v>8954</v>
      </c>
      <c r="F10398" s="1" t="s">
        <v>491</v>
      </c>
      <c r="H10398" s="1" t="s">
        <v>8955</v>
      </c>
      <c r="I10398" s="1" t="s">
        <v>19</v>
      </c>
      <c r="J10398" s="1" t="s">
        <v>67</v>
      </c>
      <c r="K10398" s="1" t="s">
        <v>14</v>
      </c>
      <c r="M10398" s="2">
        <v>41779</v>
      </c>
      <c r="N10398" s="1" t="s">
        <v>8</v>
      </c>
      <c r="O10398" s="1" t="s">
        <v>68</v>
      </c>
    </row>
    <row r="10399" spans="1:15" ht="43.2" x14ac:dyDescent="0.3">
      <c r="A10399" s="1" t="s">
        <v>10068</v>
      </c>
      <c r="B10399" s="1" t="str">
        <f>"HIGH COURT ENFORCEMENT GROUP LTD"</f>
        <v>HIGH COURT ENFORCEMENT GROUP LTD</v>
      </c>
      <c r="C10399" s="1" t="s">
        <v>10069</v>
      </c>
      <c r="F10399" s="1" t="s">
        <v>64</v>
      </c>
      <c r="H10399" s="1" t="s">
        <v>8863</v>
      </c>
      <c r="I10399" s="1" t="s">
        <v>19</v>
      </c>
      <c r="J10399" s="1" t="s">
        <v>67</v>
      </c>
      <c r="K10399" s="1" t="s">
        <v>14</v>
      </c>
      <c r="M10399" s="2">
        <v>41779</v>
      </c>
      <c r="N10399" s="1" t="s">
        <v>8</v>
      </c>
      <c r="O10399" s="1" t="s">
        <v>68</v>
      </c>
    </row>
    <row r="10400" spans="1:15" ht="43.2" x14ac:dyDescent="0.3">
      <c r="A10400" s="1" t="s">
        <v>10070</v>
      </c>
      <c r="B10400" s="1" t="str">
        <f>"HIGH COURT ENFORCEMENT GROUP LTD"</f>
        <v>HIGH COURT ENFORCEMENT GROUP LTD</v>
      </c>
      <c r="C10400" s="1" t="s">
        <v>10071</v>
      </c>
      <c r="F10400" s="1" t="s">
        <v>10072</v>
      </c>
      <c r="H10400" s="1" t="s">
        <v>10073</v>
      </c>
      <c r="I10400" s="1" t="s">
        <v>19</v>
      </c>
      <c r="J10400" s="1" t="s">
        <v>67</v>
      </c>
      <c r="K10400" s="1" t="s">
        <v>14</v>
      </c>
      <c r="M10400" s="2">
        <v>41779</v>
      </c>
      <c r="N10400" s="1" t="s">
        <v>8</v>
      </c>
      <c r="O10400" s="1" t="s">
        <v>68</v>
      </c>
    </row>
    <row r="10401" spans="1:15" ht="43.2" x14ac:dyDescent="0.3">
      <c r="A10401" s="1" t="s">
        <v>10074</v>
      </c>
      <c r="B10401" s="1" t="str">
        <f>"Window world South Wales Ltd"</f>
        <v>Window world South Wales Ltd</v>
      </c>
      <c r="C10401" s="1" t="s">
        <v>10075</v>
      </c>
      <c r="D10401" s="1" t="s">
        <v>10076</v>
      </c>
      <c r="F10401" s="1" t="s">
        <v>733</v>
      </c>
      <c r="H10401" s="1" t="s">
        <v>9024</v>
      </c>
      <c r="I10401" s="1" t="s">
        <v>19</v>
      </c>
      <c r="J10401" s="1" t="s">
        <v>67</v>
      </c>
      <c r="K10401" s="1" t="s">
        <v>14</v>
      </c>
      <c r="M10401" s="2">
        <v>41779</v>
      </c>
      <c r="N10401" s="1" t="s">
        <v>8</v>
      </c>
      <c r="O10401" s="1" t="s">
        <v>68</v>
      </c>
    </row>
    <row r="10402" spans="1:15" ht="43.2" x14ac:dyDescent="0.3">
      <c r="A10402" s="1" t="s">
        <v>22609</v>
      </c>
      <c r="B10402" s="1" t="str">
        <f>"John  Evans"</f>
        <v>John  Evans</v>
      </c>
      <c r="C10402" s="1" t="s">
        <v>22610</v>
      </c>
      <c r="F10402" s="1" t="s">
        <v>3465</v>
      </c>
      <c r="H10402" s="1" t="s">
        <v>8911</v>
      </c>
      <c r="I10402" s="1" t="s">
        <v>5</v>
      </c>
      <c r="J10402" s="1" t="s">
        <v>67</v>
      </c>
      <c r="K10402" s="1" t="s">
        <v>14</v>
      </c>
      <c r="M10402" s="2">
        <v>41779</v>
      </c>
      <c r="N10402" s="1" t="s">
        <v>8</v>
      </c>
      <c r="O10402" s="1" t="s">
        <v>68</v>
      </c>
    </row>
    <row r="10403" spans="1:15" ht="43.2" x14ac:dyDescent="0.3">
      <c r="A10403" s="1" t="s">
        <v>22611</v>
      </c>
      <c r="B10403" s="1" t="str">
        <f>"John  Evans"</f>
        <v>John  Evans</v>
      </c>
      <c r="C10403" s="1" t="s">
        <v>22610</v>
      </c>
      <c r="F10403" s="1" t="s">
        <v>3465</v>
      </c>
      <c r="H10403" s="1" t="s">
        <v>8911</v>
      </c>
      <c r="I10403" s="1" t="s">
        <v>5</v>
      </c>
      <c r="J10403" s="1" t="s">
        <v>67</v>
      </c>
      <c r="K10403" s="1" t="s">
        <v>14</v>
      </c>
      <c r="M10403" s="2">
        <v>41779</v>
      </c>
      <c r="N10403" s="1" t="s">
        <v>8</v>
      </c>
      <c r="O10403" s="1" t="s">
        <v>68</v>
      </c>
    </row>
    <row r="10404" spans="1:15" ht="43.2" x14ac:dyDescent="0.3">
      <c r="A10404" s="1" t="s">
        <v>23319</v>
      </c>
      <c r="B10404" s="1" t="str">
        <f>"Martyn Blewett"</f>
        <v>Martyn Blewett</v>
      </c>
      <c r="C10404" s="1" t="s">
        <v>23320</v>
      </c>
      <c r="D10404" s="1" t="s">
        <v>13961</v>
      </c>
      <c r="F10404" s="1" t="s">
        <v>666</v>
      </c>
      <c r="H10404" s="1" t="s">
        <v>20213</v>
      </c>
      <c r="I10404" s="1" t="s">
        <v>5</v>
      </c>
      <c r="J10404" s="1" t="s">
        <v>67</v>
      </c>
      <c r="K10404" s="1" t="s">
        <v>14</v>
      </c>
      <c r="M10404" s="2">
        <v>41779</v>
      </c>
      <c r="N10404" s="1" t="s">
        <v>8</v>
      </c>
      <c r="O10404" s="1" t="s">
        <v>68</v>
      </c>
    </row>
    <row r="10405" spans="1:15" ht="43.2" x14ac:dyDescent="0.3">
      <c r="A10405" s="1" t="s">
        <v>23321</v>
      </c>
      <c r="B10405" s="1" t="str">
        <f>"Sohail Tabrizi"</f>
        <v>Sohail Tabrizi</v>
      </c>
      <c r="C10405" s="1" t="s">
        <v>23322</v>
      </c>
      <c r="F10405" s="1" t="s">
        <v>123</v>
      </c>
      <c r="H10405" s="1" t="s">
        <v>1508</v>
      </c>
      <c r="I10405" s="1" t="s">
        <v>5</v>
      </c>
      <c r="J10405" s="1" t="s">
        <v>67</v>
      </c>
      <c r="K10405" s="1" t="s">
        <v>14</v>
      </c>
      <c r="M10405" s="2">
        <v>41779</v>
      </c>
      <c r="N10405" s="1" t="s">
        <v>8</v>
      </c>
      <c r="O10405" s="1" t="s">
        <v>68</v>
      </c>
    </row>
    <row r="10406" spans="1:15" ht="43.2" x14ac:dyDescent="0.3">
      <c r="A10406" s="1" t="s">
        <v>23323</v>
      </c>
      <c r="B10406" s="1" t="str">
        <f>"david leighton Davies"</f>
        <v>david leighton Davies</v>
      </c>
      <c r="C10406" s="1" t="s">
        <v>23324</v>
      </c>
      <c r="D10406" s="1" t="s">
        <v>23325</v>
      </c>
      <c r="F10406" s="1" t="s">
        <v>7609</v>
      </c>
      <c r="H10406" s="1" t="s">
        <v>23326</v>
      </c>
      <c r="I10406" s="1" t="s">
        <v>5</v>
      </c>
      <c r="J10406" s="1" t="s">
        <v>67</v>
      </c>
      <c r="K10406" s="1" t="s">
        <v>14</v>
      </c>
      <c r="M10406" s="2">
        <v>41779</v>
      </c>
      <c r="N10406" s="1" t="s">
        <v>8</v>
      </c>
      <c r="O10406" s="1" t="s">
        <v>68</v>
      </c>
    </row>
    <row r="10407" spans="1:15" ht="43.2" x14ac:dyDescent="0.3">
      <c r="A10407" s="1" t="s">
        <v>8945</v>
      </c>
      <c r="B10407" s="1" t="str">
        <f>"pennar stores"</f>
        <v>pennar stores</v>
      </c>
      <c r="C10407" s="1" t="s">
        <v>8946</v>
      </c>
      <c r="F10407" s="1" t="s">
        <v>8947</v>
      </c>
      <c r="H10407" s="1" t="s">
        <v>8948</v>
      </c>
      <c r="I10407" s="1" t="s">
        <v>125</v>
      </c>
      <c r="J10407" s="1" t="s">
        <v>67</v>
      </c>
      <c r="K10407" s="1" t="s">
        <v>14</v>
      </c>
      <c r="M10407" s="2">
        <v>41778</v>
      </c>
      <c r="N10407" s="1" t="s">
        <v>8</v>
      </c>
      <c r="O10407" s="1" t="s">
        <v>68</v>
      </c>
    </row>
    <row r="10408" spans="1:15" ht="43.2" x14ac:dyDescent="0.3">
      <c r="A10408" s="1" t="s">
        <v>22599</v>
      </c>
      <c r="B10408" s="1" t="str">
        <f>"JONATHAN TANNER"</f>
        <v>JONATHAN TANNER</v>
      </c>
      <c r="C10408" s="1" t="s">
        <v>22600</v>
      </c>
      <c r="D10408" s="1" t="s">
        <v>6116</v>
      </c>
      <c r="F10408" s="1" t="s">
        <v>888</v>
      </c>
      <c r="H10408" s="1" t="s">
        <v>22601</v>
      </c>
      <c r="I10408" s="1" t="s">
        <v>5</v>
      </c>
      <c r="J10408" s="1" t="s">
        <v>67</v>
      </c>
      <c r="K10408" s="1" t="s">
        <v>14</v>
      </c>
      <c r="M10408" s="2">
        <v>41778</v>
      </c>
      <c r="N10408" s="1" t="s">
        <v>8</v>
      </c>
      <c r="O10408" s="1" t="s">
        <v>68</v>
      </c>
    </row>
    <row r="10409" spans="1:15" ht="43.2" x14ac:dyDescent="0.3">
      <c r="A10409" s="1" t="s">
        <v>22602</v>
      </c>
      <c r="B10409" s="1" t="str">
        <f>"David Rees"</f>
        <v>David Rees</v>
      </c>
      <c r="C10409" s="1" t="s">
        <v>22603</v>
      </c>
      <c r="D10409" s="1" t="s">
        <v>64</v>
      </c>
      <c r="F10409" s="1" t="s">
        <v>64</v>
      </c>
      <c r="H10409" s="1" t="s">
        <v>22604</v>
      </c>
      <c r="I10409" s="1" t="s">
        <v>5</v>
      </c>
      <c r="J10409" s="1" t="s">
        <v>67</v>
      </c>
      <c r="K10409" s="1" t="s">
        <v>14</v>
      </c>
      <c r="M10409" s="2">
        <v>41778</v>
      </c>
      <c r="N10409" s="1" t="s">
        <v>8</v>
      </c>
      <c r="O10409" s="1" t="s">
        <v>68</v>
      </c>
    </row>
    <row r="10410" spans="1:15" ht="43.2" x14ac:dyDescent="0.3">
      <c r="A10410" s="1" t="s">
        <v>22605</v>
      </c>
      <c r="B10410" s="1" t="str">
        <f>"Philip Griffith"</f>
        <v>Philip Griffith</v>
      </c>
      <c r="C10410" s="1" t="s">
        <v>22606</v>
      </c>
      <c r="D10410" s="1" t="s">
        <v>22607</v>
      </c>
      <c r="F10410" s="1" t="s">
        <v>710</v>
      </c>
      <c r="H10410" s="1" t="s">
        <v>22608</v>
      </c>
      <c r="I10410" s="1" t="s">
        <v>5</v>
      </c>
      <c r="J10410" s="1" t="s">
        <v>67</v>
      </c>
      <c r="K10410" s="1" t="s">
        <v>14</v>
      </c>
      <c r="M10410" s="2">
        <v>41778</v>
      </c>
      <c r="N10410" s="1" t="s">
        <v>8</v>
      </c>
      <c r="O10410" s="1" t="s">
        <v>68</v>
      </c>
    </row>
    <row r="10411" spans="1:15" ht="43.2" x14ac:dyDescent="0.3">
      <c r="A10411" s="1" t="s">
        <v>8939</v>
      </c>
      <c r="B10411" s="1" t="str">
        <f>"Bro Myrddin Housing Association"</f>
        <v>Bro Myrddin Housing Association</v>
      </c>
      <c r="C10411" s="1" t="s">
        <v>8940</v>
      </c>
      <c r="D10411" s="1" t="s">
        <v>95</v>
      </c>
      <c r="F10411" s="1" t="s">
        <v>56</v>
      </c>
      <c r="H10411" s="1" t="s">
        <v>1270</v>
      </c>
      <c r="I10411" s="1" t="s">
        <v>1872</v>
      </c>
      <c r="J10411" s="1" t="s">
        <v>67</v>
      </c>
      <c r="K10411" s="1" t="s">
        <v>14</v>
      </c>
      <c r="M10411" s="2">
        <v>41775</v>
      </c>
      <c r="N10411" s="1" t="s">
        <v>8</v>
      </c>
      <c r="O10411" s="1" t="s">
        <v>68</v>
      </c>
    </row>
    <row r="10412" spans="1:15" ht="43.2" x14ac:dyDescent="0.3">
      <c r="A10412" s="1" t="s">
        <v>8941</v>
      </c>
      <c r="B10412" s="1" t="str">
        <f>"Cylch Meithrin Llanfair Caereinion"</f>
        <v>Cylch Meithrin Llanfair Caereinion</v>
      </c>
      <c r="C10412" s="1" t="s">
        <v>8942</v>
      </c>
      <c r="F10412" s="1" t="s">
        <v>8943</v>
      </c>
      <c r="H10412" s="1" t="s">
        <v>8944</v>
      </c>
      <c r="I10412" s="1" t="s">
        <v>188</v>
      </c>
      <c r="J10412" s="1" t="s">
        <v>67</v>
      </c>
      <c r="K10412" s="1" t="s">
        <v>14</v>
      </c>
      <c r="M10412" s="2">
        <v>41775</v>
      </c>
      <c r="N10412" s="1" t="s">
        <v>8</v>
      </c>
      <c r="O10412" s="1" t="s">
        <v>68</v>
      </c>
    </row>
    <row r="10413" spans="1:15" ht="43.2" x14ac:dyDescent="0.3">
      <c r="A10413" s="1" t="s">
        <v>22595</v>
      </c>
      <c r="B10413" s="1" t="str">
        <f>"peter hackett"</f>
        <v>peter hackett</v>
      </c>
      <c r="C10413" s="1" t="s">
        <v>22596</v>
      </c>
      <c r="F10413" s="1" t="s">
        <v>22597</v>
      </c>
      <c r="H10413" s="1" t="s">
        <v>22598</v>
      </c>
      <c r="I10413" s="1" t="s">
        <v>5</v>
      </c>
      <c r="J10413" s="1" t="s">
        <v>67</v>
      </c>
      <c r="K10413" s="1" t="s">
        <v>14</v>
      </c>
      <c r="M10413" s="2">
        <v>41775</v>
      </c>
      <c r="N10413" s="1" t="s">
        <v>8</v>
      </c>
      <c r="O10413" s="1" t="s">
        <v>68</v>
      </c>
    </row>
    <row r="10414" spans="1:15" ht="43.2" x14ac:dyDescent="0.3">
      <c r="A10414" s="1" t="s">
        <v>22589</v>
      </c>
      <c r="B10414" s="1" t="str">
        <f>"tracy webb"</f>
        <v>tracy webb</v>
      </c>
      <c r="C10414" s="1" t="s">
        <v>22590</v>
      </c>
      <c r="D10414" s="1" t="s">
        <v>7609</v>
      </c>
      <c r="F10414" s="1" t="s">
        <v>11430</v>
      </c>
      <c r="H10414" s="1" t="s">
        <v>22591</v>
      </c>
      <c r="I10414" s="1" t="s">
        <v>5</v>
      </c>
      <c r="J10414" s="1" t="s">
        <v>67</v>
      </c>
      <c r="K10414" s="1" t="s">
        <v>14</v>
      </c>
      <c r="M10414" s="2">
        <v>41774</v>
      </c>
      <c r="N10414" s="1" t="s">
        <v>8</v>
      </c>
      <c r="O10414" s="1" t="s">
        <v>68</v>
      </c>
    </row>
    <row r="10415" spans="1:15" ht="43.2" x14ac:dyDescent="0.3">
      <c r="A10415" s="1" t="s">
        <v>22592</v>
      </c>
      <c r="B10415" s="1" t="str">
        <f>"Jamie Evans"</f>
        <v>Jamie Evans</v>
      </c>
      <c r="C10415" s="1" t="s">
        <v>22593</v>
      </c>
      <c r="D10415" s="1" t="s">
        <v>5891</v>
      </c>
      <c r="F10415" s="1" t="s">
        <v>64</v>
      </c>
      <c r="H10415" s="1" t="s">
        <v>22594</v>
      </c>
      <c r="I10415" s="1" t="s">
        <v>5</v>
      </c>
      <c r="J10415" s="1" t="s">
        <v>67</v>
      </c>
      <c r="K10415" s="1" t="s">
        <v>14</v>
      </c>
      <c r="M10415" s="2">
        <v>41774</v>
      </c>
      <c r="N10415" s="1" t="s">
        <v>8</v>
      </c>
      <c r="O10415" s="1" t="s">
        <v>68</v>
      </c>
    </row>
    <row r="10416" spans="1:15" ht="43.2" x14ac:dyDescent="0.3">
      <c r="A10416" s="1" t="s">
        <v>7765</v>
      </c>
      <c r="B10416" s="1" t="str">
        <f>"Celtic Plumbing and Heating Ltd"</f>
        <v>Celtic Plumbing and Heating Ltd</v>
      </c>
      <c r="C10416" s="1" t="s">
        <v>7766</v>
      </c>
      <c r="F10416" s="1" t="s">
        <v>123</v>
      </c>
      <c r="H10416" s="1" t="s">
        <v>7767</v>
      </c>
      <c r="I10416" s="1" t="s">
        <v>19</v>
      </c>
      <c r="J10416" s="1" t="s">
        <v>67</v>
      </c>
      <c r="K10416" s="1" t="s">
        <v>14</v>
      </c>
      <c r="M10416" s="2">
        <v>41773</v>
      </c>
      <c r="N10416" s="1" t="s">
        <v>8</v>
      </c>
      <c r="O10416" s="1" t="s">
        <v>68</v>
      </c>
    </row>
    <row r="10417" spans="1:15" ht="43.2" x14ac:dyDescent="0.3">
      <c r="A10417" s="1" t="s">
        <v>7768</v>
      </c>
      <c r="B10417" s="1" t="str">
        <f>"coleg y cymoedd"</f>
        <v>coleg y cymoedd</v>
      </c>
      <c r="C10417" s="1" t="s">
        <v>7769</v>
      </c>
      <c r="F10417" s="1" t="s">
        <v>364</v>
      </c>
      <c r="H10417" s="1" t="s">
        <v>7770</v>
      </c>
      <c r="I10417" s="1" t="s">
        <v>188</v>
      </c>
      <c r="J10417" s="1" t="s">
        <v>67</v>
      </c>
      <c r="K10417" s="1" t="s">
        <v>14</v>
      </c>
      <c r="M10417" s="2">
        <v>41773</v>
      </c>
      <c r="N10417" s="1" t="s">
        <v>8</v>
      </c>
      <c r="O10417" s="1" t="s">
        <v>68</v>
      </c>
    </row>
    <row r="10418" spans="1:15" ht="43.2" x14ac:dyDescent="0.3">
      <c r="A10418" s="1" t="s">
        <v>21763</v>
      </c>
      <c r="B10418" s="1" t="str">
        <f>"Anthony Langa"</f>
        <v>Anthony Langa</v>
      </c>
      <c r="C10418" s="1" t="s">
        <v>21764</v>
      </c>
      <c r="D10418" s="1" t="s">
        <v>21765</v>
      </c>
      <c r="F10418" s="1" t="s">
        <v>532</v>
      </c>
      <c r="H10418" s="1" t="s">
        <v>21766</v>
      </c>
      <c r="I10418" s="1" t="s">
        <v>5</v>
      </c>
      <c r="J10418" s="1" t="s">
        <v>67</v>
      </c>
      <c r="K10418" s="1" t="s">
        <v>14</v>
      </c>
      <c r="M10418" s="2">
        <v>41773</v>
      </c>
      <c r="N10418" s="1" t="s">
        <v>8</v>
      </c>
      <c r="O10418" s="1" t="s">
        <v>68</v>
      </c>
    </row>
    <row r="10419" spans="1:15" ht="43.2" x14ac:dyDescent="0.3">
      <c r="A10419" s="1" t="s">
        <v>21767</v>
      </c>
      <c r="B10419" s="1" t="str">
        <f>"Timothy Pugh"</f>
        <v>Timothy Pugh</v>
      </c>
      <c r="C10419" s="1" t="s">
        <v>21768</v>
      </c>
      <c r="F10419" s="1" t="s">
        <v>3336</v>
      </c>
      <c r="H10419" s="1" t="s">
        <v>21769</v>
      </c>
      <c r="I10419" s="1" t="s">
        <v>5</v>
      </c>
      <c r="J10419" s="1" t="s">
        <v>67</v>
      </c>
      <c r="K10419" s="1" t="s">
        <v>14</v>
      </c>
      <c r="M10419" s="2">
        <v>41773</v>
      </c>
      <c r="N10419" s="1" t="s">
        <v>8</v>
      </c>
      <c r="O10419" s="1" t="s">
        <v>68</v>
      </c>
    </row>
    <row r="10420" spans="1:15" ht="43.2" x14ac:dyDescent="0.3">
      <c r="A10420" s="1" t="s">
        <v>7754</v>
      </c>
      <c r="B10420" s="1" t="str">
        <f>"Artemis FMC Ltd"</f>
        <v>Artemis FMC Ltd</v>
      </c>
      <c r="C10420" s="1" t="s">
        <v>7755</v>
      </c>
      <c r="D10420" s="1" t="s">
        <v>42</v>
      </c>
      <c r="F10420" s="1" t="s">
        <v>666</v>
      </c>
      <c r="H10420" s="1" t="s">
        <v>4600</v>
      </c>
      <c r="I10420" s="1" t="s">
        <v>19</v>
      </c>
      <c r="J10420" s="1" t="s">
        <v>67</v>
      </c>
      <c r="K10420" s="1" t="s">
        <v>14</v>
      </c>
      <c r="M10420" s="2">
        <v>41772</v>
      </c>
      <c r="N10420" s="1" t="s">
        <v>8</v>
      </c>
      <c r="O10420" s="1" t="s">
        <v>68</v>
      </c>
    </row>
    <row r="10421" spans="1:15" ht="43.2" x14ac:dyDescent="0.3">
      <c r="A10421" s="1" t="s">
        <v>7756</v>
      </c>
      <c r="B10421" s="1" t="str">
        <f>"H &amp;M Carpentry Construction Ltd"</f>
        <v>H &amp;M Carpentry Construction Ltd</v>
      </c>
      <c r="C10421" s="1" t="s">
        <v>7757</v>
      </c>
      <c r="D10421" s="1" t="s">
        <v>6536</v>
      </c>
      <c r="F10421" s="1" t="s">
        <v>1351</v>
      </c>
      <c r="H10421" s="1" t="s">
        <v>7758</v>
      </c>
      <c r="I10421" s="1" t="s">
        <v>19</v>
      </c>
      <c r="J10421" s="1" t="s">
        <v>67</v>
      </c>
      <c r="K10421" s="1" t="s">
        <v>14</v>
      </c>
      <c r="M10421" s="2">
        <v>41772</v>
      </c>
      <c r="N10421" s="1" t="s">
        <v>8</v>
      </c>
      <c r="O10421" s="1" t="s">
        <v>68</v>
      </c>
    </row>
    <row r="10422" spans="1:15" ht="43.2" x14ac:dyDescent="0.3">
      <c r="A10422" s="1" t="s">
        <v>7759</v>
      </c>
      <c r="B10422" s="1" t="str">
        <f>"Cardiff University"</f>
        <v>Cardiff University</v>
      </c>
      <c r="C10422" s="1" t="s">
        <v>7760</v>
      </c>
      <c r="D10422" s="1" t="s">
        <v>7761</v>
      </c>
      <c r="F10422" s="1" t="s">
        <v>123</v>
      </c>
      <c r="H10422" s="1" t="s">
        <v>7762</v>
      </c>
      <c r="I10422" s="1" t="s">
        <v>188</v>
      </c>
      <c r="J10422" s="1" t="s">
        <v>67</v>
      </c>
      <c r="K10422" s="1" t="s">
        <v>14</v>
      </c>
      <c r="M10422" s="2">
        <v>41772</v>
      </c>
      <c r="N10422" s="1" t="s">
        <v>8</v>
      </c>
      <c r="O10422" s="1" t="s">
        <v>68</v>
      </c>
    </row>
    <row r="10423" spans="1:15" ht="43.2" x14ac:dyDescent="0.3">
      <c r="A10423" s="1" t="s">
        <v>7763</v>
      </c>
      <c r="B10423" s="1" t="str">
        <f>"CFR Roofing Ltd"</f>
        <v>CFR Roofing Ltd</v>
      </c>
      <c r="C10423" s="1" t="s">
        <v>7764</v>
      </c>
      <c r="D10423" s="1" t="s">
        <v>781</v>
      </c>
      <c r="F10423" s="1" t="s">
        <v>782</v>
      </c>
      <c r="H10423" s="1" t="s">
        <v>4030</v>
      </c>
      <c r="I10423" s="1" t="s">
        <v>19</v>
      </c>
      <c r="J10423" s="1" t="s">
        <v>67</v>
      </c>
      <c r="K10423" s="1" t="s">
        <v>14</v>
      </c>
      <c r="M10423" s="2">
        <v>41772</v>
      </c>
      <c r="N10423" s="1" t="s">
        <v>8</v>
      </c>
      <c r="O10423" s="1" t="s">
        <v>68</v>
      </c>
    </row>
    <row r="10424" spans="1:15" ht="43.2" x14ac:dyDescent="0.3">
      <c r="A10424" s="1" t="s">
        <v>21758</v>
      </c>
      <c r="B10424" s="1" t="str">
        <f>"Jim Scott"</f>
        <v>Jim Scott</v>
      </c>
      <c r="C10424" s="1" t="s">
        <v>21759</v>
      </c>
      <c r="F10424" s="1" t="s">
        <v>5227</v>
      </c>
      <c r="H10424" s="1" t="s">
        <v>21760</v>
      </c>
      <c r="I10424" s="1" t="s">
        <v>5</v>
      </c>
      <c r="J10424" s="1" t="s">
        <v>67</v>
      </c>
      <c r="K10424" s="1" t="s">
        <v>14</v>
      </c>
      <c r="M10424" s="2">
        <v>41772</v>
      </c>
      <c r="N10424" s="1" t="s">
        <v>8</v>
      </c>
      <c r="O10424" s="1" t="s">
        <v>68</v>
      </c>
    </row>
    <row r="10425" spans="1:15" ht="43.2" x14ac:dyDescent="0.3">
      <c r="A10425" s="1" t="s">
        <v>21761</v>
      </c>
      <c r="B10425" s="1" t="str">
        <f>"Pauline Taylor"</f>
        <v>Pauline Taylor</v>
      </c>
      <c r="C10425" s="1" t="s">
        <v>21762</v>
      </c>
      <c r="D10425" s="1" t="s">
        <v>3465</v>
      </c>
      <c r="F10425" s="1" t="s">
        <v>162</v>
      </c>
      <c r="H10425" s="1" t="s">
        <v>5467</v>
      </c>
      <c r="I10425" s="1" t="s">
        <v>5</v>
      </c>
      <c r="J10425" s="1" t="s">
        <v>67</v>
      </c>
      <c r="K10425" s="1" t="s">
        <v>14</v>
      </c>
      <c r="M10425" s="2">
        <v>41772</v>
      </c>
      <c r="N10425" s="1" t="s">
        <v>8</v>
      </c>
      <c r="O10425" s="1" t="s">
        <v>68</v>
      </c>
    </row>
    <row r="10426" spans="1:15" ht="43.2" x14ac:dyDescent="0.3">
      <c r="A10426" s="1" t="s">
        <v>6711</v>
      </c>
      <c r="B10426" s="1" t="str">
        <f>"MARTIN PEARCE LIMITED"</f>
        <v>MARTIN PEARCE LIMITED</v>
      </c>
      <c r="C10426" s="1" t="s">
        <v>6712</v>
      </c>
      <c r="F10426" s="1" t="s">
        <v>6713</v>
      </c>
      <c r="H10426" s="1" t="s">
        <v>6714</v>
      </c>
      <c r="I10426" s="1" t="s">
        <v>19</v>
      </c>
      <c r="J10426" s="1" t="s">
        <v>67</v>
      </c>
      <c r="K10426" s="1" t="s">
        <v>14</v>
      </c>
      <c r="M10426" s="2">
        <v>41771</v>
      </c>
      <c r="N10426" s="1" t="s">
        <v>8</v>
      </c>
      <c r="O10426" s="1" t="s">
        <v>68</v>
      </c>
    </row>
    <row r="10427" spans="1:15" ht="43.2" x14ac:dyDescent="0.3">
      <c r="A10427" s="1" t="s">
        <v>6715</v>
      </c>
      <c r="B10427" s="1" t="str">
        <f>"CHS Contract services"</f>
        <v>CHS Contract services</v>
      </c>
      <c r="C10427" s="1" t="s">
        <v>6716</v>
      </c>
      <c r="D10427" s="1" t="s">
        <v>6717</v>
      </c>
      <c r="F10427" s="1" t="s">
        <v>1642</v>
      </c>
      <c r="H10427" s="1" t="s">
        <v>6718</v>
      </c>
      <c r="I10427" s="1" t="s">
        <v>19</v>
      </c>
      <c r="J10427" s="1" t="s">
        <v>67</v>
      </c>
      <c r="K10427" s="1" t="s">
        <v>14</v>
      </c>
      <c r="M10427" s="2">
        <v>41771</v>
      </c>
      <c r="N10427" s="1" t="s">
        <v>8</v>
      </c>
      <c r="O10427" s="1" t="s">
        <v>68</v>
      </c>
    </row>
    <row r="10428" spans="1:15" ht="43.2" x14ac:dyDescent="0.3">
      <c r="A10428" s="1" t="s">
        <v>7751</v>
      </c>
      <c r="B10428" s="1" t="str">
        <f>"quest"</f>
        <v>quest</v>
      </c>
      <c r="C10428" s="1" t="s">
        <v>7752</v>
      </c>
      <c r="F10428" s="1" t="s">
        <v>4596</v>
      </c>
      <c r="H10428" s="1" t="s">
        <v>7753</v>
      </c>
      <c r="I10428" s="1" t="s">
        <v>125</v>
      </c>
      <c r="J10428" s="1" t="s">
        <v>67</v>
      </c>
      <c r="K10428" s="1" t="s">
        <v>14</v>
      </c>
      <c r="M10428" s="2">
        <v>41771</v>
      </c>
      <c r="N10428" s="1" t="s">
        <v>8</v>
      </c>
      <c r="O10428" s="1" t="s">
        <v>68</v>
      </c>
    </row>
    <row r="10429" spans="1:15" ht="43.2" x14ac:dyDescent="0.3">
      <c r="A10429" s="1" t="s">
        <v>21749</v>
      </c>
      <c r="B10429" s="1" t="str">
        <f>"Les Parslow"</f>
        <v>Les Parslow</v>
      </c>
      <c r="C10429" s="1" t="s">
        <v>21750</v>
      </c>
      <c r="D10429" s="1" t="s">
        <v>564</v>
      </c>
      <c r="F10429" s="1" t="s">
        <v>179</v>
      </c>
      <c r="H10429" s="1" t="s">
        <v>21751</v>
      </c>
      <c r="I10429" s="1" t="s">
        <v>5</v>
      </c>
      <c r="J10429" s="1" t="s">
        <v>67</v>
      </c>
      <c r="K10429" s="1" t="s">
        <v>14</v>
      </c>
      <c r="M10429" s="2">
        <v>41771</v>
      </c>
      <c r="N10429" s="1" t="s">
        <v>8</v>
      </c>
      <c r="O10429" s="1" t="s">
        <v>68</v>
      </c>
    </row>
    <row r="10430" spans="1:15" ht="43.2" x14ac:dyDescent="0.3">
      <c r="A10430" s="1" t="s">
        <v>21752</v>
      </c>
      <c r="B10430" s="1" t="str">
        <f>"RHYS ROBERTS"</f>
        <v>RHYS ROBERTS</v>
      </c>
      <c r="C10430" s="1" t="s">
        <v>21753</v>
      </c>
      <c r="D10430" s="1" t="s">
        <v>1493</v>
      </c>
      <c r="F10430" s="1" t="s">
        <v>13897</v>
      </c>
      <c r="H10430" s="1" t="s">
        <v>21754</v>
      </c>
      <c r="I10430" s="1" t="s">
        <v>5</v>
      </c>
      <c r="J10430" s="1" t="s">
        <v>67</v>
      </c>
      <c r="K10430" s="1" t="s">
        <v>14</v>
      </c>
      <c r="M10430" s="2">
        <v>41771</v>
      </c>
      <c r="N10430" s="1" t="s">
        <v>8</v>
      </c>
      <c r="O10430" s="1" t="s">
        <v>68</v>
      </c>
    </row>
    <row r="10431" spans="1:15" ht="43.2" x14ac:dyDescent="0.3">
      <c r="A10431" s="1" t="s">
        <v>21755</v>
      </c>
      <c r="B10431" s="1" t="str">
        <f>"Phil crocker"</f>
        <v>Phil crocker</v>
      </c>
      <c r="C10431" s="1" t="s">
        <v>21756</v>
      </c>
      <c r="D10431" s="1" t="s">
        <v>424</v>
      </c>
      <c r="F10431" s="1" t="s">
        <v>64</v>
      </c>
      <c r="H10431" s="1" t="s">
        <v>21757</v>
      </c>
      <c r="I10431" s="1" t="s">
        <v>5</v>
      </c>
      <c r="J10431" s="1" t="s">
        <v>67</v>
      </c>
      <c r="K10431" s="1" t="s">
        <v>14</v>
      </c>
      <c r="M10431" s="2">
        <v>41771</v>
      </c>
      <c r="N10431" s="1" t="s">
        <v>8</v>
      </c>
      <c r="O10431" s="1" t="s">
        <v>68</v>
      </c>
    </row>
    <row r="10432" spans="1:15" ht="43.2" x14ac:dyDescent="0.3">
      <c r="A10432" s="1" t="s">
        <v>21018</v>
      </c>
      <c r="B10432" s="1" t="str">
        <f>"Lee Burton"</f>
        <v>Lee Burton</v>
      </c>
      <c r="C10432" s="1" t="s">
        <v>21019</v>
      </c>
      <c r="F10432" s="1" t="s">
        <v>9838</v>
      </c>
      <c r="H10432" s="1" t="s">
        <v>21020</v>
      </c>
      <c r="I10432" s="1" t="s">
        <v>5</v>
      </c>
      <c r="J10432" s="1" t="s">
        <v>67</v>
      </c>
      <c r="K10432" s="1" t="s">
        <v>14</v>
      </c>
      <c r="M10432" s="2">
        <v>41770</v>
      </c>
      <c r="N10432" s="1" t="s">
        <v>8</v>
      </c>
      <c r="O10432" s="1" t="s">
        <v>68</v>
      </c>
    </row>
    <row r="10433" spans="1:15" ht="43.2" x14ac:dyDescent="0.3">
      <c r="A10433" s="1" t="s">
        <v>21014</v>
      </c>
      <c r="B10433" s="1" t="str">
        <f>"Ewan Jones"</f>
        <v>Ewan Jones</v>
      </c>
      <c r="C10433" s="1" t="s">
        <v>21015</v>
      </c>
      <c r="D10433" s="1" t="s">
        <v>21016</v>
      </c>
      <c r="F10433" s="1" t="s">
        <v>345</v>
      </c>
      <c r="H10433" s="1" t="s">
        <v>21017</v>
      </c>
      <c r="I10433" s="1" t="s">
        <v>5</v>
      </c>
      <c r="J10433" s="1" t="s">
        <v>67</v>
      </c>
      <c r="K10433" s="1" t="s">
        <v>14</v>
      </c>
      <c r="M10433" s="2">
        <v>41769</v>
      </c>
      <c r="N10433" s="1" t="s">
        <v>8</v>
      </c>
      <c r="O10433" s="1" t="s">
        <v>68</v>
      </c>
    </row>
    <row r="10434" spans="1:15" ht="43.2" x14ac:dyDescent="0.3">
      <c r="A10434" s="1" t="s">
        <v>6694</v>
      </c>
      <c r="B10434" s="1" t="str">
        <f>"Ascot Kitchens &amp; Bedrooms Ltd "</f>
        <v xml:space="preserve">Ascot Kitchens &amp; Bedrooms Ltd </v>
      </c>
      <c r="C10434" s="1" t="s">
        <v>6695</v>
      </c>
      <c r="D10434" s="1" t="s">
        <v>1350</v>
      </c>
      <c r="F10434" s="1" t="s">
        <v>1351</v>
      </c>
      <c r="H10434" s="1" t="s">
        <v>6696</v>
      </c>
      <c r="I10434" s="1" t="s">
        <v>19</v>
      </c>
      <c r="J10434" s="1" t="s">
        <v>67</v>
      </c>
      <c r="K10434" s="1" t="s">
        <v>14</v>
      </c>
      <c r="M10434" s="2">
        <v>41768</v>
      </c>
      <c r="N10434" s="1" t="s">
        <v>8</v>
      </c>
      <c r="O10434" s="1" t="s">
        <v>68</v>
      </c>
    </row>
    <row r="10435" spans="1:15" ht="43.2" x14ac:dyDescent="0.3">
      <c r="A10435" s="1" t="s">
        <v>6697</v>
      </c>
      <c r="B10435" s="1" t="str">
        <f>"ecomputers uk ltd"</f>
        <v>ecomputers uk ltd</v>
      </c>
      <c r="C10435" s="1" t="s">
        <v>6698</v>
      </c>
      <c r="D10435" s="1" t="s">
        <v>6699</v>
      </c>
      <c r="F10435" s="1" t="s">
        <v>1525</v>
      </c>
      <c r="H10435" s="1" t="s">
        <v>6700</v>
      </c>
      <c r="I10435" s="1" t="s">
        <v>19</v>
      </c>
      <c r="J10435" s="1" t="s">
        <v>67</v>
      </c>
      <c r="K10435" s="1" t="s">
        <v>14</v>
      </c>
      <c r="M10435" s="2">
        <v>41768</v>
      </c>
      <c r="N10435" s="1" t="s">
        <v>8</v>
      </c>
      <c r="O10435" s="1" t="s">
        <v>68</v>
      </c>
    </row>
    <row r="10436" spans="1:15" ht="43.2" x14ac:dyDescent="0.3">
      <c r="A10436" s="1" t="s">
        <v>6701</v>
      </c>
      <c r="B10436" s="1" t="str">
        <f>"mod squad ltd"</f>
        <v>mod squad ltd</v>
      </c>
      <c r="C10436" s="1" t="s">
        <v>6702</v>
      </c>
      <c r="D10436" s="1" t="s">
        <v>6699</v>
      </c>
      <c r="F10436" s="1" t="s">
        <v>1525</v>
      </c>
      <c r="H10436" s="1" t="s">
        <v>6703</v>
      </c>
      <c r="I10436" s="1" t="s">
        <v>19</v>
      </c>
      <c r="J10436" s="1" t="s">
        <v>67</v>
      </c>
      <c r="K10436" s="1" t="s">
        <v>14</v>
      </c>
      <c r="M10436" s="2">
        <v>41768</v>
      </c>
      <c r="N10436" s="1" t="s">
        <v>8</v>
      </c>
      <c r="O10436" s="1" t="s">
        <v>68</v>
      </c>
    </row>
    <row r="10437" spans="1:15" ht="43.2" x14ac:dyDescent="0.3">
      <c r="A10437" s="1" t="s">
        <v>6704</v>
      </c>
      <c r="B10437" s="1" t="str">
        <f>"CGC Trading Limited"</f>
        <v>CGC Trading Limited</v>
      </c>
      <c r="C10437" s="1" t="s">
        <v>6705</v>
      </c>
      <c r="F10437" s="1" t="s">
        <v>37</v>
      </c>
      <c r="H10437" s="1" t="s">
        <v>6706</v>
      </c>
      <c r="I10437" s="1" t="s">
        <v>1872</v>
      </c>
      <c r="J10437" s="1" t="s">
        <v>67</v>
      </c>
      <c r="K10437" s="1" t="s">
        <v>14</v>
      </c>
      <c r="M10437" s="2">
        <v>41768</v>
      </c>
      <c r="N10437" s="1" t="s">
        <v>8</v>
      </c>
      <c r="O10437" s="1" t="s">
        <v>68</v>
      </c>
    </row>
    <row r="10438" spans="1:15" ht="43.2" x14ac:dyDescent="0.3">
      <c r="A10438" s="1" t="s">
        <v>6707</v>
      </c>
      <c r="B10438" s="1" t="str">
        <f>"CGC Trading Limited"</f>
        <v>CGC Trading Limited</v>
      </c>
      <c r="C10438" s="1" t="s">
        <v>6705</v>
      </c>
      <c r="F10438" s="1" t="s">
        <v>37</v>
      </c>
      <c r="H10438" s="1" t="s">
        <v>6706</v>
      </c>
      <c r="I10438" s="1" t="s">
        <v>19</v>
      </c>
      <c r="J10438" s="1" t="s">
        <v>67</v>
      </c>
      <c r="K10438" s="1" t="s">
        <v>14</v>
      </c>
      <c r="M10438" s="2">
        <v>41768</v>
      </c>
      <c r="N10438" s="1" t="s">
        <v>8</v>
      </c>
      <c r="O10438" s="1" t="s">
        <v>68</v>
      </c>
    </row>
    <row r="10439" spans="1:15" ht="43.2" x14ac:dyDescent="0.3">
      <c r="A10439" s="1" t="s">
        <v>6708</v>
      </c>
      <c r="B10439" s="1" t="str">
        <f>"Karn Construction Ltd"</f>
        <v>Karn Construction Ltd</v>
      </c>
      <c r="C10439" s="1" t="s">
        <v>6709</v>
      </c>
      <c r="F10439" s="1" t="s">
        <v>1776</v>
      </c>
      <c r="H10439" s="1" t="s">
        <v>6710</v>
      </c>
      <c r="I10439" s="1" t="s">
        <v>19</v>
      </c>
      <c r="J10439" s="1" t="s">
        <v>67</v>
      </c>
      <c r="K10439" s="1" t="s">
        <v>14</v>
      </c>
      <c r="M10439" s="2">
        <v>41768</v>
      </c>
      <c r="N10439" s="1" t="s">
        <v>8</v>
      </c>
      <c r="O10439" s="1" t="s">
        <v>68</v>
      </c>
    </row>
    <row r="10440" spans="1:15" ht="43.2" x14ac:dyDescent="0.3">
      <c r="A10440" s="1" t="s">
        <v>21003</v>
      </c>
      <c r="B10440" s="1" t="str">
        <f>"Brian Attwell"</f>
        <v>Brian Attwell</v>
      </c>
      <c r="C10440" s="1" t="s">
        <v>21004</v>
      </c>
      <c r="F10440" s="1" t="s">
        <v>21005</v>
      </c>
      <c r="H10440" s="1" t="s">
        <v>21006</v>
      </c>
      <c r="I10440" s="1" t="s">
        <v>5</v>
      </c>
      <c r="J10440" s="1" t="s">
        <v>67</v>
      </c>
      <c r="K10440" s="1" t="s">
        <v>14</v>
      </c>
      <c r="M10440" s="2">
        <v>41768</v>
      </c>
      <c r="N10440" s="1" t="s">
        <v>8</v>
      </c>
      <c r="O10440" s="1" t="s">
        <v>68</v>
      </c>
    </row>
    <row r="10441" spans="1:15" ht="43.2" x14ac:dyDescent="0.3">
      <c r="A10441" s="1" t="s">
        <v>21007</v>
      </c>
      <c r="B10441" s="1" t="str">
        <f>"Allan Evans"</f>
        <v>Allan Evans</v>
      </c>
      <c r="C10441" s="1" t="s">
        <v>21008</v>
      </c>
      <c r="D10441" s="1" t="s">
        <v>3052</v>
      </c>
      <c r="F10441" s="1" t="s">
        <v>21009</v>
      </c>
      <c r="H10441" s="1" t="s">
        <v>21010</v>
      </c>
      <c r="I10441" s="1" t="s">
        <v>5</v>
      </c>
      <c r="J10441" s="1" t="s">
        <v>67</v>
      </c>
      <c r="K10441" s="1" t="s">
        <v>14</v>
      </c>
      <c r="M10441" s="2">
        <v>41768</v>
      </c>
      <c r="N10441" s="1" t="s">
        <v>8</v>
      </c>
      <c r="O10441" s="1" t="s">
        <v>68</v>
      </c>
    </row>
    <row r="10442" spans="1:15" ht="43.2" x14ac:dyDescent="0.3">
      <c r="A10442" s="1" t="s">
        <v>21011</v>
      </c>
      <c r="B10442" s="1" t="str">
        <f>"ambrose Lamb"</f>
        <v>ambrose Lamb</v>
      </c>
      <c r="C10442" s="1" t="s">
        <v>21012</v>
      </c>
      <c r="D10442" s="1" t="s">
        <v>19643</v>
      </c>
      <c r="F10442" s="1" t="s">
        <v>1525</v>
      </c>
      <c r="H10442" s="1" t="s">
        <v>21013</v>
      </c>
      <c r="I10442" s="1" t="s">
        <v>5</v>
      </c>
      <c r="J10442" s="1" t="s">
        <v>67</v>
      </c>
      <c r="K10442" s="1" t="s">
        <v>14</v>
      </c>
      <c r="M10442" s="2">
        <v>41768</v>
      </c>
      <c r="N10442" s="1" t="s">
        <v>8</v>
      </c>
      <c r="O10442" s="1" t="s">
        <v>68</v>
      </c>
    </row>
    <row r="10443" spans="1:15" ht="43.2" x14ac:dyDescent="0.3">
      <c r="A10443" s="1" t="s">
        <v>6691</v>
      </c>
      <c r="B10443" s="1" t="str">
        <f>"Bridgend College"</f>
        <v>Bridgend College</v>
      </c>
      <c r="C10443" s="1" t="s">
        <v>6692</v>
      </c>
      <c r="F10443" s="1" t="s">
        <v>179</v>
      </c>
      <c r="H10443" s="1" t="s">
        <v>6693</v>
      </c>
      <c r="I10443" s="1" t="s">
        <v>188</v>
      </c>
      <c r="J10443" s="1" t="s">
        <v>67</v>
      </c>
      <c r="K10443" s="1" t="s">
        <v>14</v>
      </c>
      <c r="M10443" s="2">
        <v>41767</v>
      </c>
      <c r="N10443" s="1" t="s">
        <v>8</v>
      </c>
      <c r="O10443" s="1" t="s">
        <v>68</v>
      </c>
    </row>
    <row r="10444" spans="1:15" ht="43.2" x14ac:dyDescent="0.3">
      <c r="A10444" s="1" t="s">
        <v>20997</v>
      </c>
      <c r="B10444" s="1" t="str">
        <f>"Robin Beare"</f>
        <v>Robin Beare</v>
      </c>
      <c r="C10444" s="1" t="s">
        <v>20998</v>
      </c>
      <c r="D10444" s="1" t="s">
        <v>20999</v>
      </c>
      <c r="F10444" s="1" t="s">
        <v>3242</v>
      </c>
      <c r="H10444" s="1" t="s">
        <v>7048</v>
      </c>
      <c r="I10444" s="1" t="s">
        <v>5</v>
      </c>
      <c r="J10444" s="1" t="s">
        <v>67</v>
      </c>
      <c r="K10444" s="1" t="s">
        <v>14</v>
      </c>
      <c r="M10444" s="2">
        <v>41767</v>
      </c>
      <c r="N10444" s="1" t="s">
        <v>8</v>
      </c>
      <c r="O10444" s="1" t="s">
        <v>68</v>
      </c>
    </row>
    <row r="10445" spans="1:15" ht="43.2" x14ac:dyDescent="0.3">
      <c r="A10445" s="1" t="s">
        <v>21000</v>
      </c>
      <c r="B10445" s="1" t="str">
        <f>"Steven Roberts"</f>
        <v>Steven Roberts</v>
      </c>
      <c r="C10445" s="1" t="s">
        <v>21001</v>
      </c>
      <c r="D10445" s="1" t="s">
        <v>869</v>
      </c>
      <c r="F10445" s="1" t="s">
        <v>532</v>
      </c>
      <c r="H10445" s="1" t="s">
        <v>21002</v>
      </c>
      <c r="I10445" s="1" t="s">
        <v>5</v>
      </c>
      <c r="J10445" s="1" t="s">
        <v>67</v>
      </c>
      <c r="K10445" s="1" t="s">
        <v>14</v>
      </c>
      <c r="M10445" s="2">
        <v>41767</v>
      </c>
      <c r="N10445" s="1" t="s">
        <v>8</v>
      </c>
      <c r="O10445" s="1" t="s">
        <v>68</v>
      </c>
    </row>
    <row r="10446" spans="1:15" ht="43.2" x14ac:dyDescent="0.3">
      <c r="A10446" s="1" t="s">
        <v>5483</v>
      </c>
      <c r="B10446" s="1" t="str">
        <f>"mike saunders motors ltd"</f>
        <v>mike saunders motors ltd</v>
      </c>
      <c r="C10446" s="1" t="s">
        <v>5484</v>
      </c>
      <c r="F10446" s="1" t="s">
        <v>4596</v>
      </c>
      <c r="H10446" s="1" t="s">
        <v>5485</v>
      </c>
      <c r="I10446" s="1" t="s">
        <v>19</v>
      </c>
      <c r="J10446" s="1" t="s">
        <v>67</v>
      </c>
      <c r="K10446" s="1" t="s">
        <v>14</v>
      </c>
      <c r="M10446" s="2">
        <v>41765</v>
      </c>
      <c r="N10446" s="1" t="s">
        <v>8</v>
      </c>
      <c r="O10446" s="1" t="s">
        <v>68</v>
      </c>
    </row>
    <row r="10447" spans="1:15" ht="43.2" x14ac:dyDescent="0.3">
      <c r="A10447" s="1" t="s">
        <v>5486</v>
      </c>
      <c r="B10447" s="1" t="str">
        <f>"Cware Crug-Yr-Eryr Quarry"</f>
        <v>Cware Crug-Yr-Eryr Quarry</v>
      </c>
      <c r="C10447" s="1" t="s">
        <v>5487</v>
      </c>
      <c r="F10447" s="1" t="s">
        <v>2961</v>
      </c>
      <c r="H10447" s="1" t="s">
        <v>5488</v>
      </c>
      <c r="I10447" s="1" t="s">
        <v>19</v>
      </c>
      <c r="J10447" s="1" t="s">
        <v>67</v>
      </c>
      <c r="K10447" s="1" t="s">
        <v>14</v>
      </c>
      <c r="M10447" s="2">
        <v>41765</v>
      </c>
      <c r="N10447" s="1" t="s">
        <v>8</v>
      </c>
      <c r="O10447" s="1" t="s">
        <v>68</v>
      </c>
    </row>
    <row r="10448" spans="1:15" ht="43.2" x14ac:dyDescent="0.3">
      <c r="A10448" s="1" t="s">
        <v>20207</v>
      </c>
      <c r="B10448" s="1" t="str">
        <f>"Robert Holdaway"</f>
        <v>Robert Holdaway</v>
      </c>
      <c r="C10448" s="1" t="s">
        <v>20208</v>
      </c>
      <c r="F10448" s="1" t="s">
        <v>556</v>
      </c>
      <c r="H10448" s="1" t="s">
        <v>20209</v>
      </c>
      <c r="I10448" s="1" t="s">
        <v>5</v>
      </c>
      <c r="J10448" s="1" t="s">
        <v>67</v>
      </c>
      <c r="K10448" s="1" t="s">
        <v>14</v>
      </c>
      <c r="M10448" s="2">
        <v>41765</v>
      </c>
      <c r="N10448" s="1" t="s">
        <v>8</v>
      </c>
      <c r="O10448" s="1" t="s">
        <v>68</v>
      </c>
    </row>
    <row r="10449" spans="1:15" ht="43.2" x14ac:dyDescent="0.3">
      <c r="A10449" s="1" t="s">
        <v>20210</v>
      </c>
      <c r="B10449" s="1" t="str">
        <f>"Philip Mattey"</f>
        <v>Philip Mattey</v>
      </c>
      <c r="C10449" s="1" t="s">
        <v>20211</v>
      </c>
      <c r="D10449" s="1" t="s">
        <v>354</v>
      </c>
      <c r="F10449" s="1" t="s">
        <v>20212</v>
      </c>
      <c r="H10449" s="1" t="s">
        <v>20213</v>
      </c>
      <c r="I10449" s="1" t="s">
        <v>5</v>
      </c>
      <c r="J10449" s="1" t="s">
        <v>67</v>
      </c>
      <c r="K10449" s="1" t="s">
        <v>14</v>
      </c>
      <c r="M10449" s="2">
        <v>41765</v>
      </c>
      <c r="N10449" s="1" t="s">
        <v>8</v>
      </c>
      <c r="O10449" s="1" t="s">
        <v>68</v>
      </c>
    </row>
    <row r="10450" spans="1:15" ht="43.2" x14ac:dyDescent="0.3">
      <c r="A10450" s="1" t="s">
        <v>20205</v>
      </c>
      <c r="B10450" s="1" t="str">
        <f>"John Davies"</f>
        <v>John Davies</v>
      </c>
      <c r="C10450" s="1" t="s">
        <v>20206</v>
      </c>
      <c r="F10450" s="1" t="s">
        <v>3336</v>
      </c>
      <c r="H10450" s="1" t="s">
        <v>15282</v>
      </c>
      <c r="I10450" s="1" t="s">
        <v>5</v>
      </c>
      <c r="J10450" s="1" t="s">
        <v>67</v>
      </c>
      <c r="K10450" s="1" t="s">
        <v>14</v>
      </c>
      <c r="M10450" s="2">
        <v>41764</v>
      </c>
      <c r="N10450" s="1" t="s">
        <v>8</v>
      </c>
      <c r="O10450" s="1" t="s">
        <v>68</v>
      </c>
    </row>
    <row r="10451" spans="1:15" ht="43.2" x14ac:dyDescent="0.3">
      <c r="A10451" s="1" t="s">
        <v>20202</v>
      </c>
      <c r="B10451" s="1" t="str">
        <f>"gordon hubbard"</f>
        <v>gordon hubbard</v>
      </c>
      <c r="C10451" s="1" t="s">
        <v>20203</v>
      </c>
      <c r="F10451" s="1" t="s">
        <v>5963</v>
      </c>
      <c r="H10451" s="1" t="s">
        <v>20204</v>
      </c>
      <c r="I10451" s="1" t="s">
        <v>5</v>
      </c>
      <c r="J10451" s="1" t="s">
        <v>67</v>
      </c>
      <c r="K10451" s="1" t="s">
        <v>14</v>
      </c>
      <c r="M10451" s="2">
        <v>41763</v>
      </c>
      <c r="N10451" s="1" t="s">
        <v>8</v>
      </c>
      <c r="O10451" s="1" t="s">
        <v>68</v>
      </c>
    </row>
    <row r="10452" spans="1:15" ht="43.2" x14ac:dyDescent="0.3">
      <c r="A10452" s="1" t="s">
        <v>5472</v>
      </c>
      <c r="B10452" s="1" t="str">
        <f>"ATG SITE SERVICES LTD"</f>
        <v>ATG SITE SERVICES LTD</v>
      </c>
      <c r="C10452" s="1" t="s">
        <v>5473</v>
      </c>
      <c r="D10452" s="1" t="s">
        <v>5474</v>
      </c>
      <c r="F10452" s="1" t="s">
        <v>4635</v>
      </c>
      <c r="H10452" s="1" t="s">
        <v>5475</v>
      </c>
      <c r="I10452" s="1" t="s">
        <v>19</v>
      </c>
      <c r="J10452" s="1" t="s">
        <v>67</v>
      </c>
      <c r="K10452" s="1" t="s">
        <v>14</v>
      </c>
      <c r="M10452" s="2">
        <v>41760</v>
      </c>
      <c r="N10452" s="1" t="s">
        <v>8</v>
      </c>
      <c r="O10452" s="1" t="s">
        <v>68</v>
      </c>
    </row>
    <row r="10453" spans="1:15" ht="43.2" x14ac:dyDescent="0.3">
      <c r="A10453" s="1" t="s">
        <v>5476</v>
      </c>
      <c r="B10453" s="1" t="str">
        <f>"Gwalia House Ltd"</f>
        <v>Gwalia House Ltd</v>
      </c>
      <c r="C10453" s="1" t="s">
        <v>5477</v>
      </c>
      <c r="D10453" s="1" t="s">
        <v>374</v>
      </c>
      <c r="F10453" s="1" t="s">
        <v>359</v>
      </c>
      <c r="H10453" s="1" t="s">
        <v>5478</v>
      </c>
      <c r="I10453" s="1" t="s">
        <v>19</v>
      </c>
      <c r="J10453" s="1" t="s">
        <v>67</v>
      </c>
      <c r="K10453" s="1" t="s">
        <v>14</v>
      </c>
      <c r="M10453" s="2">
        <v>41760</v>
      </c>
      <c r="N10453" s="1" t="s">
        <v>8</v>
      </c>
      <c r="O10453" s="1" t="s">
        <v>68</v>
      </c>
    </row>
    <row r="10454" spans="1:15" ht="43.2" x14ac:dyDescent="0.3">
      <c r="A10454" s="1" t="s">
        <v>5479</v>
      </c>
      <c r="B10454" s="1" t="str">
        <f>"RSPCA"</f>
        <v>RSPCA</v>
      </c>
      <c r="C10454" s="1" t="s">
        <v>5480</v>
      </c>
      <c r="F10454" s="1" t="s">
        <v>5481</v>
      </c>
      <c r="H10454" s="1" t="s">
        <v>5482</v>
      </c>
      <c r="I10454" s="1" t="s">
        <v>1872</v>
      </c>
      <c r="J10454" s="1" t="s">
        <v>67</v>
      </c>
      <c r="K10454" s="1" t="s">
        <v>14</v>
      </c>
      <c r="M10454" s="2">
        <v>41760</v>
      </c>
      <c r="N10454" s="1" t="s">
        <v>8</v>
      </c>
      <c r="O10454" s="1" t="s">
        <v>68</v>
      </c>
    </row>
    <row r="10455" spans="1:15" ht="43.2" x14ac:dyDescent="0.3">
      <c r="A10455" s="1" t="s">
        <v>20193</v>
      </c>
      <c r="B10455" s="1" t="str">
        <f>"Senol Ozkan"</f>
        <v>Senol Ozkan</v>
      </c>
      <c r="C10455" s="1" t="s">
        <v>20194</v>
      </c>
      <c r="F10455" s="1" t="s">
        <v>16018</v>
      </c>
      <c r="H10455" s="1" t="s">
        <v>20195</v>
      </c>
      <c r="I10455" s="1" t="s">
        <v>5</v>
      </c>
      <c r="J10455" s="1" t="s">
        <v>67</v>
      </c>
      <c r="K10455" s="1" t="s">
        <v>14</v>
      </c>
      <c r="M10455" s="2">
        <v>41760</v>
      </c>
      <c r="N10455" s="1" t="s">
        <v>8</v>
      </c>
      <c r="O10455" s="1" t="s">
        <v>68</v>
      </c>
    </row>
    <row r="10456" spans="1:15" ht="43.2" x14ac:dyDescent="0.3">
      <c r="A10456" s="1" t="s">
        <v>20196</v>
      </c>
      <c r="B10456" s="1" t="str">
        <f>"Meurig Thomas"</f>
        <v>Meurig Thomas</v>
      </c>
      <c r="C10456" s="1" t="s">
        <v>20197</v>
      </c>
      <c r="D10456" s="1" t="s">
        <v>1021</v>
      </c>
      <c r="F10456" s="1" t="s">
        <v>666</v>
      </c>
      <c r="H10456" s="1" t="s">
        <v>20198</v>
      </c>
      <c r="I10456" s="1" t="s">
        <v>5</v>
      </c>
      <c r="J10456" s="1" t="s">
        <v>67</v>
      </c>
      <c r="K10456" s="1" t="s">
        <v>14</v>
      </c>
      <c r="M10456" s="2">
        <v>41760</v>
      </c>
      <c r="N10456" s="1" t="s">
        <v>8</v>
      </c>
      <c r="O10456" s="1" t="s">
        <v>68</v>
      </c>
    </row>
    <row r="10457" spans="1:15" ht="43.2" x14ac:dyDescent="0.3">
      <c r="A10457" s="1" t="s">
        <v>20199</v>
      </c>
      <c r="B10457" s="1" t="str">
        <f>"Teifion Drinkwater"</f>
        <v>Teifion Drinkwater</v>
      </c>
      <c r="C10457" s="1" t="s">
        <v>20200</v>
      </c>
      <c r="D10457" s="1" t="s">
        <v>1350</v>
      </c>
      <c r="F10457" s="1" t="s">
        <v>1351</v>
      </c>
      <c r="H10457" s="1" t="s">
        <v>20201</v>
      </c>
      <c r="I10457" s="1" t="s">
        <v>5</v>
      </c>
      <c r="J10457" s="1" t="s">
        <v>67</v>
      </c>
      <c r="K10457" s="1" t="s">
        <v>14</v>
      </c>
      <c r="M10457" s="2">
        <v>41760</v>
      </c>
      <c r="N10457" s="1" t="s">
        <v>8</v>
      </c>
      <c r="O10457" s="1" t="s">
        <v>68</v>
      </c>
    </row>
    <row r="10458" spans="1:15" ht="43.2" x14ac:dyDescent="0.3">
      <c r="A10458" s="1" t="s">
        <v>4395</v>
      </c>
      <c r="B10458" s="1" t="str">
        <f>"Modplan Ltd"</f>
        <v>Modplan Ltd</v>
      </c>
      <c r="C10458" s="1" t="s">
        <v>4396</v>
      </c>
      <c r="F10458" s="1" t="s">
        <v>546</v>
      </c>
      <c r="H10458" s="1" t="s">
        <v>4397</v>
      </c>
      <c r="I10458" s="1" t="s">
        <v>19</v>
      </c>
      <c r="J10458" s="1" t="s">
        <v>67</v>
      </c>
      <c r="K10458" s="1" t="s">
        <v>14</v>
      </c>
      <c r="M10458" s="2">
        <v>41759</v>
      </c>
      <c r="N10458" s="1" t="s">
        <v>8</v>
      </c>
      <c r="O10458" s="1" t="s">
        <v>68</v>
      </c>
    </row>
    <row r="10459" spans="1:15" ht="43.2" x14ac:dyDescent="0.3">
      <c r="A10459" s="1" t="s">
        <v>5465</v>
      </c>
      <c r="B10459" s="1" t="str">
        <f>"Wynnstay Hotel"</f>
        <v>Wynnstay Hotel</v>
      </c>
      <c r="C10459" s="1" t="s">
        <v>5466</v>
      </c>
      <c r="D10459" s="1" t="s">
        <v>3465</v>
      </c>
      <c r="F10459" s="1" t="s">
        <v>162</v>
      </c>
      <c r="H10459" s="1" t="s">
        <v>5467</v>
      </c>
      <c r="I10459" s="1" t="s">
        <v>19</v>
      </c>
      <c r="J10459" s="1" t="s">
        <v>67</v>
      </c>
      <c r="K10459" s="1" t="s">
        <v>14</v>
      </c>
      <c r="M10459" s="2">
        <v>41759</v>
      </c>
      <c r="N10459" s="1" t="s">
        <v>8</v>
      </c>
      <c r="O10459" s="1" t="s">
        <v>68</v>
      </c>
    </row>
    <row r="10460" spans="1:15" ht="43.2" x14ac:dyDescent="0.3">
      <c r="A10460" s="1" t="s">
        <v>5468</v>
      </c>
      <c r="B10460" s="1" t="str">
        <f>"JD Refrigeration Ltd"</f>
        <v>JD Refrigeration Ltd</v>
      </c>
      <c r="C10460" s="1" t="s">
        <v>5469</v>
      </c>
      <c r="D10460" s="1" t="s">
        <v>5470</v>
      </c>
      <c r="F10460" s="1" t="s">
        <v>358</v>
      </c>
      <c r="H10460" s="1" t="s">
        <v>5471</v>
      </c>
      <c r="I10460" s="1" t="s">
        <v>19</v>
      </c>
      <c r="J10460" s="1" t="s">
        <v>67</v>
      </c>
      <c r="K10460" s="1" t="s">
        <v>14</v>
      </c>
      <c r="M10460" s="2">
        <v>41759</v>
      </c>
      <c r="N10460" s="1" t="s">
        <v>8</v>
      </c>
      <c r="O10460" s="1" t="s">
        <v>68</v>
      </c>
    </row>
    <row r="10461" spans="1:15" ht="43.2" x14ac:dyDescent="0.3">
      <c r="A10461" s="1" t="s">
        <v>19406</v>
      </c>
      <c r="B10461" s="1" t="str">
        <f>"Ron Rogers"</f>
        <v>Ron Rogers</v>
      </c>
      <c r="C10461" s="1" t="s">
        <v>19407</v>
      </c>
      <c r="D10461" s="1" t="s">
        <v>19408</v>
      </c>
      <c r="F10461" s="1" t="s">
        <v>19409</v>
      </c>
      <c r="H10461" s="1" t="s">
        <v>19410</v>
      </c>
      <c r="I10461" s="1" t="s">
        <v>5</v>
      </c>
      <c r="J10461" s="1" t="s">
        <v>67</v>
      </c>
      <c r="K10461" s="1" t="s">
        <v>14</v>
      </c>
      <c r="M10461" s="2">
        <v>41759</v>
      </c>
      <c r="N10461" s="1" t="s">
        <v>8</v>
      </c>
      <c r="O10461" s="1" t="s">
        <v>68</v>
      </c>
    </row>
    <row r="10462" spans="1:15" ht="43.2" x14ac:dyDescent="0.3">
      <c r="A10462" s="1" t="s">
        <v>19411</v>
      </c>
      <c r="B10462" s="1" t="str">
        <f>"Vernon Schiebe"</f>
        <v>Vernon Schiebe</v>
      </c>
      <c r="C10462" s="1" t="s">
        <v>19412</v>
      </c>
      <c r="D10462" s="1" t="s">
        <v>1206</v>
      </c>
      <c r="F10462" s="1" t="s">
        <v>162</v>
      </c>
      <c r="H10462" s="1" t="s">
        <v>19413</v>
      </c>
      <c r="I10462" s="1" t="s">
        <v>5</v>
      </c>
      <c r="J10462" s="1" t="s">
        <v>67</v>
      </c>
      <c r="K10462" s="1" t="s">
        <v>14</v>
      </c>
      <c r="M10462" s="2">
        <v>41759</v>
      </c>
      <c r="N10462" s="1" t="s">
        <v>8</v>
      </c>
      <c r="O10462" s="1" t="s">
        <v>68</v>
      </c>
    </row>
    <row r="10463" spans="1:15" ht="43.2" x14ac:dyDescent="0.3">
      <c r="A10463" s="1" t="s">
        <v>20190</v>
      </c>
      <c r="B10463" s="1" t="str">
        <f>"Kevin Spencer"</f>
        <v>Kevin Spencer</v>
      </c>
      <c r="C10463" s="1" t="s">
        <v>20191</v>
      </c>
      <c r="D10463" s="1" t="s">
        <v>9213</v>
      </c>
      <c r="F10463" s="1" t="s">
        <v>140</v>
      </c>
      <c r="H10463" s="1" t="s">
        <v>20192</v>
      </c>
      <c r="I10463" s="1" t="s">
        <v>5</v>
      </c>
      <c r="J10463" s="1" t="s">
        <v>67</v>
      </c>
      <c r="K10463" s="1" t="s">
        <v>14</v>
      </c>
      <c r="M10463" s="2">
        <v>41759</v>
      </c>
      <c r="N10463" s="1" t="s">
        <v>8</v>
      </c>
      <c r="O10463" s="1" t="s">
        <v>68</v>
      </c>
    </row>
    <row r="10464" spans="1:15" ht="43.2" x14ac:dyDescent="0.3">
      <c r="A10464" s="1" t="s">
        <v>19402</v>
      </c>
      <c r="B10464" s="1" t="str">
        <f>"Ian Price"</f>
        <v>Ian Price</v>
      </c>
      <c r="C10464" s="1" t="s">
        <v>19403</v>
      </c>
      <c r="D10464" s="1" t="s">
        <v>19404</v>
      </c>
      <c r="F10464" s="1" t="s">
        <v>1776</v>
      </c>
      <c r="H10464" s="1" t="s">
        <v>19405</v>
      </c>
      <c r="I10464" s="1" t="s">
        <v>5</v>
      </c>
      <c r="J10464" s="1" t="s">
        <v>67</v>
      </c>
      <c r="K10464" s="1" t="s">
        <v>14</v>
      </c>
      <c r="M10464" s="2">
        <v>41758</v>
      </c>
      <c r="N10464" s="1" t="s">
        <v>8</v>
      </c>
      <c r="O10464" s="1" t="s">
        <v>68</v>
      </c>
    </row>
    <row r="10465" spans="1:15" ht="43.2" x14ac:dyDescent="0.3">
      <c r="A10465" s="1" t="s">
        <v>4388</v>
      </c>
      <c r="B10465" s="1" t="str">
        <f>"abergele mobility"</f>
        <v>abergele mobility</v>
      </c>
      <c r="C10465" s="1" t="s">
        <v>4389</v>
      </c>
      <c r="F10465" s="1" t="s">
        <v>4390</v>
      </c>
      <c r="H10465" s="1" t="s">
        <v>4391</v>
      </c>
      <c r="I10465" s="1" t="s">
        <v>19</v>
      </c>
      <c r="J10465" s="1" t="s">
        <v>67</v>
      </c>
      <c r="K10465" s="1" t="s">
        <v>14</v>
      </c>
      <c r="M10465" s="2">
        <v>41757</v>
      </c>
      <c r="N10465" s="1" t="s">
        <v>8</v>
      </c>
      <c r="O10465" s="1" t="s">
        <v>68</v>
      </c>
    </row>
    <row r="10466" spans="1:15" ht="43.2" x14ac:dyDescent="0.3">
      <c r="A10466" s="1" t="s">
        <v>4392</v>
      </c>
      <c r="B10466" s="1" t="str">
        <f>"Plas Pencelli Outdoor Education Centre"</f>
        <v>Plas Pencelli Outdoor Education Centre</v>
      </c>
      <c r="C10466" s="1" t="s">
        <v>4393</v>
      </c>
      <c r="F10466" s="1" t="s">
        <v>1206</v>
      </c>
      <c r="H10466" s="1" t="s">
        <v>4394</v>
      </c>
      <c r="I10466" s="1" t="s">
        <v>188</v>
      </c>
      <c r="J10466" s="1" t="s">
        <v>67</v>
      </c>
      <c r="K10466" s="1" t="s">
        <v>14</v>
      </c>
      <c r="M10466" s="2">
        <v>41757</v>
      </c>
      <c r="N10466" s="1" t="s">
        <v>8</v>
      </c>
      <c r="O10466" s="1" t="s">
        <v>68</v>
      </c>
    </row>
    <row r="10467" spans="1:15" ht="43.2" x14ac:dyDescent="0.3">
      <c r="A10467" s="1" t="s">
        <v>19396</v>
      </c>
      <c r="B10467" s="1" t="str">
        <f>"Darran Hughes"</f>
        <v>Darran Hughes</v>
      </c>
      <c r="C10467" s="1" t="s">
        <v>19397</v>
      </c>
      <c r="F10467" s="1" t="s">
        <v>64</v>
      </c>
      <c r="H10467" s="1" t="s">
        <v>19398</v>
      </c>
      <c r="I10467" s="1" t="s">
        <v>5</v>
      </c>
      <c r="J10467" s="1" t="s">
        <v>67</v>
      </c>
      <c r="K10467" s="1" t="s">
        <v>14</v>
      </c>
      <c r="M10467" s="2">
        <v>41757</v>
      </c>
      <c r="N10467" s="1" t="s">
        <v>8</v>
      </c>
      <c r="O10467" s="1" t="s">
        <v>68</v>
      </c>
    </row>
    <row r="10468" spans="1:15" ht="43.2" x14ac:dyDescent="0.3">
      <c r="A10468" s="1" t="s">
        <v>19399</v>
      </c>
      <c r="B10468" s="1" t="str">
        <f>"Timothy Badman"</f>
        <v>Timothy Badman</v>
      </c>
      <c r="C10468" s="1" t="s">
        <v>19400</v>
      </c>
      <c r="D10468" s="1" t="s">
        <v>1042</v>
      </c>
      <c r="F10468" s="1" t="s">
        <v>123</v>
      </c>
      <c r="H10468" s="1" t="s">
        <v>19401</v>
      </c>
      <c r="I10468" s="1" t="s">
        <v>5</v>
      </c>
      <c r="J10468" s="1" t="s">
        <v>67</v>
      </c>
      <c r="K10468" s="1" t="s">
        <v>14</v>
      </c>
      <c r="M10468" s="2">
        <v>41757</v>
      </c>
      <c r="N10468" s="1" t="s">
        <v>8</v>
      </c>
      <c r="O10468" s="1" t="s">
        <v>68</v>
      </c>
    </row>
    <row r="10469" spans="1:15" ht="43.2" x14ac:dyDescent="0.3">
      <c r="A10469" s="1" t="s">
        <v>19392</v>
      </c>
      <c r="B10469" s="1" t="str">
        <f>"Andrew Skyrme"</f>
        <v>Andrew Skyrme</v>
      </c>
      <c r="C10469" s="1" t="s">
        <v>19393</v>
      </c>
      <c r="D10469" s="1" t="s">
        <v>19394</v>
      </c>
      <c r="F10469" s="1" t="s">
        <v>1206</v>
      </c>
      <c r="H10469" s="1" t="s">
        <v>19395</v>
      </c>
      <c r="I10469" s="1" t="s">
        <v>5</v>
      </c>
      <c r="J10469" s="1" t="s">
        <v>67</v>
      </c>
      <c r="K10469" s="1" t="s">
        <v>14</v>
      </c>
      <c r="M10469" s="2">
        <v>41755</v>
      </c>
      <c r="N10469" s="1" t="s">
        <v>8</v>
      </c>
      <c r="O10469" s="1" t="s">
        <v>68</v>
      </c>
    </row>
    <row r="10470" spans="1:15" ht="43.2" x14ac:dyDescent="0.3">
      <c r="A10470" s="1" t="s">
        <v>4380</v>
      </c>
      <c r="B10470" s="1" t="str">
        <f>"PSL Group Ltd"</f>
        <v>PSL Group Ltd</v>
      </c>
      <c r="C10470" s="1" t="s">
        <v>4381</v>
      </c>
      <c r="F10470" s="1" t="s">
        <v>4382</v>
      </c>
      <c r="H10470" s="1" t="s">
        <v>4383</v>
      </c>
      <c r="I10470" s="1" t="s">
        <v>19</v>
      </c>
      <c r="J10470" s="1" t="s">
        <v>67</v>
      </c>
      <c r="K10470" s="1" t="s">
        <v>14</v>
      </c>
      <c r="M10470" s="2">
        <v>41754</v>
      </c>
      <c r="N10470" s="1" t="s">
        <v>8</v>
      </c>
      <c r="O10470" s="1" t="s">
        <v>68</v>
      </c>
    </row>
    <row r="10471" spans="1:15" ht="43.2" x14ac:dyDescent="0.3">
      <c r="A10471" s="1" t="s">
        <v>4384</v>
      </c>
      <c r="B10471" s="1" t="str">
        <f>"Williamston Nursing Home Ltd"</f>
        <v>Williamston Nursing Home Ltd</v>
      </c>
      <c r="C10471" s="1" t="s">
        <v>4385</v>
      </c>
      <c r="D10471" s="1" t="s">
        <v>4386</v>
      </c>
      <c r="F10471" s="1" t="s">
        <v>3691</v>
      </c>
      <c r="H10471" s="1" t="s">
        <v>4387</v>
      </c>
      <c r="I10471" s="1" t="s">
        <v>19</v>
      </c>
      <c r="J10471" s="1" t="s">
        <v>67</v>
      </c>
      <c r="K10471" s="1" t="s">
        <v>14</v>
      </c>
      <c r="M10471" s="2">
        <v>41754</v>
      </c>
      <c r="N10471" s="1" t="s">
        <v>8</v>
      </c>
      <c r="O10471" s="1" t="s">
        <v>68</v>
      </c>
    </row>
    <row r="10472" spans="1:15" ht="43.2" x14ac:dyDescent="0.3">
      <c r="A10472" s="1" t="s">
        <v>19388</v>
      </c>
      <c r="B10472" s="1" t="str">
        <f>"neil purnell"</f>
        <v>neil purnell</v>
      </c>
      <c r="C10472" s="1" t="s">
        <v>19389</v>
      </c>
      <c r="D10472" s="1" t="s">
        <v>19390</v>
      </c>
      <c r="F10472" s="1" t="s">
        <v>5149</v>
      </c>
      <c r="H10472" s="1" t="s">
        <v>19391</v>
      </c>
      <c r="I10472" s="1" t="s">
        <v>5</v>
      </c>
      <c r="J10472" s="1" t="s">
        <v>67</v>
      </c>
      <c r="K10472" s="1" t="s">
        <v>14</v>
      </c>
      <c r="M10472" s="2">
        <v>41752</v>
      </c>
      <c r="N10472" s="1" t="s">
        <v>8</v>
      </c>
      <c r="O10472" s="1" t="s">
        <v>68</v>
      </c>
    </row>
    <row r="10473" spans="1:15" ht="43.2" x14ac:dyDescent="0.3">
      <c r="A10473" s="1" t="s">
        <v>3249</v>
      </c>
      <c r="B10473" s="1" t="str">
        <f>"Split Willow"</f>
        <v>Split Willow</v>
      </c>
      <c r="C10473" s="1" t="s">
        <v>3250</v>
      </c>
      <c r="D10473" s="1" t="s">
        <v>3251</v>
      </c>
      <c r="F10473" s="1" t="s">
        <v>359</v>
      </c>
      <c r="H10473" s="1" t="s">
        <v>3252</v>
      </c>
      <c r="I10473" s="1" t="s">
        <v>125</v>
      </c>
      <c r="J10473" s="1" t="s">
        <v>67</v>
      </c>
      <c r="K10473" s="1" t="s">
        <v>14</v>
      </c>
      <c r="M10473" s="2">
        <v>41751</v>
      </c>
      <c r="N10473" s="1" t="s">
        <v>8</v>
      </c>
      <c r="O10473" s="1" t="s">
        <v>68</v>
      </c>
    </row>
    <row r="10474" spans="1:15" ht="43.2" x14ac:dyDescent="0.3">
      <c r="A10474" s="1" t="s">
        <v>4376</v>
      </c>
      <c r="B10474" s="1" t="str">
        <f>"M&amp;S Services Newtown Ltd"</f>
        <v>M&amp;S Services Newtown Ltd</v>
      </c>
      <c r="C10474" s="1" t="s">
        <v>4377</v>
      </c>
      <c r="D10474" s="1" t="s">
        <v>4378</v>
      </c>
      <c r="F10474" s="1" t="s">
        <v>3465</v>
      </c>
      <c r="H10474" s="1" t="s">
        <v>4379</v>
      </c>
      <c r="I10474" s="1" t="s">
        <v>19</v>
      </c>
      <c r="J10474" s="1" t="s">
        <v>67</v>
      </c>
      <c r="K10474" s="1" t="s">
        <v>14</v>
      </c>
      <c r="M10474" s="2">
        <v>41751</v>
      </c>
      <c r="N10474" s="1" t="s">
        <v>8</v>
      </c>
      <c r="O10474" s="1" t="s">
        <v>68</v>
      </c>
    </row>
    <row r="10475" spans="1:15" ht="43.2" x14ac:dyDescent="0.3">
      <c r="A10475" s="1" t="s">
        <v>19382</v>
      </c>
      <c r="B10475" s="1" t="str">
        <f>"william roberts"</f>
        <v>william roberts</v>
      </c>
      <c r="C10475" s="1" t="s">
        <v>19383</v>
      </c>
      <c r="F10475" s="1" t="s">
        <v>18640</v>
      </c>
      <c r="H10475" s="1" t="s">
        <v>19384</v>
      </c>
      <c r="I10475" s="1" t="s">
        <v>5</v>
      </c>
      <c r="J10475" s="1" t="s">
        <v>67</v>
      </c>
      <c r="K10475" s="1" t="s">
        <v>14</v>
      </c>
      <c r="M10475" s="2">
        <v>41751</v>
      </c>
      <c r="N10475" s="1" t="s">
        <v>8</v>
      </c>
      <c r="O10475" s="1" t="s">
        <v>68</v>
      </c>
    </row>
    <row r="10476" spans="1:15" ht="43.2" x14ac:dyDescent="0.3">
      <c r="A10476" s="1" t="s">
        <v>19385</v>
      </c>
      <c r="B10476" s="1" t="str">
        <f>"Simon Davies"</f>
        <v>Simon Davies</v>
      </c>
      <c r="C10476" s="1" t="s">
        <v>19386</v>
      </c>
      <c r="F10476" s="1" t="s">
        <v>42</v>
      </c>
      <c r="H10476" s="1" t="s">
        <v>19387</v>
      </c>
      <c r="I10476" s="1" t="s">
        <v>5</v>
      </c>
      <c r="J10476" s="1" t="s">
        <v>67</v>
      </c>
      <c r="K10476" s="1" t="s">
        <v>14</v>
      </c>
      <c r="M10476" s="2">
        <v>41751</v>
      </c>
      <c r="N10476" s="1" t="s">
        <v>8</v>
      </c>
      <c r="O10476" s="1" t="s">
        <v>68</v>
      </c>
    </row>
    <row r="10477" spans="1:15" ht="43.2" x14ac:dyDescent="0.3">
      <c r="A10477" s="1" t="s">
        <v>3244</v>
      </c>
      <c r="B10477" s="1" t="str">
        <f>"WILLOW TREE GARDENING &amp; LANDSCAPING"</f>
        <v>WILLOW TREE GARDENING &amp; LANDSCAPING</v>
      </c>
      <c r="C10477" s="1" t="s">
        <v>3245</v>
      </c>
      <c r="D10477" s="1" t="s">
        <v>3246</v>
      </c>
      <c r="F10477" s="1" t="s">
        <v>3247</v>
      </c>
      <c r="H10477" s="1" t="s">
        <v>3248</v>
      </c>
      <c r="I10477" s="1" t="s">
        <v>125</v>
      </c>
      <c r="J10477" s="1" t="s">
        <v>67</v>
      </c>
      <c r="K10477" s="1" t="s">
        <v>14</v>
      </c>
      <c r="M10477" s="2">
        <v>41749</v>
      </c>
      <c r="N10477" s="1" t="s">
        <v>8</v>
      </c>
      <c r="O10477" s="1" t="s">
        <v>68</v>
      </c>
    </row>
    <row r="10478" spans="1:15" ht="43.2" x14ac:dyDescent="0.3">
      <c r="A10478" s="1" t="s">
        <v>3228</v>
      </c>
      <c r="B10478" s="1" t="str">
        <f>"college guest house"</f>
        <v>college guest house</v>
      </c>
      <c r="C10478" s="1" t="s">
        <v>3229</v>
      </c>
      <c r="F10478" s="1" t="s">
        <v>1776</v>
      </c>
      <c r="H10478" s="1" t="s">
        <v>3230</v>
      </c>
      <c r="I10478" s="1" t="s">
        <v>125</v>
      </c>
      <c r="J10478" s="1" t="s">
        <v>67</v>
      </c>
      <c r="K10478" s="1" t="s">
        <v>14</v>
      </c>
      <c r="M10478" s="2">
        <v>41746</v>
      </c>
      <c r="N10478" s="1" t="s">
        <v>8</v>
      </c>
      <c r="O10478" s="1" t="s">
        <v>68</v>
      </c>
    </row>
    <row r="10479" spans="1:15" ht="43.2" x14ac:dyDescent="0.3">
      <c r="A10479" s="1" t="s">
        <v>3231</v>
      </c>
      <c r="B10479" s="1" t="str">
        <f>"Thorpe Design &amp; Technologies Ltd"</f>
        <v>Thorpe Design &amp; Technologies Ltd</v>
      </c>
      <c r="C10479" s="1" t="s">
        <v>3232</v>
      </c>
      <c r="D10479" s="1" t="s">
        <v>3233</v>
      </c>
      <c r="F10479" s="1" t="s">
        <v>476</v>
      </c>
      <c r="H10479" s="1" t="s">
        <v>3234</v>
      </c>
      <c r="I10479" s="1" t="s">
        <v>19</v>
      </c>
      <c r="J10479" s="1" t="s">
        <v>67</v>
      </c>
      <c r="K10479" s="1" t="s">
        <v>14</v>
      </c>
      <c r="M10479" s="2">
        <v>41746</v>
      </c>
      <c r="N10479" s="1" t="s">
        <v>8</v>
      </c>
      <c r="O10479" s="1" t="s">
        <v>68</v>
      </c>
    </row>
    <row r="10480" spans="1:15" ht="43.2" x14ac:dyDescent="0.3">
      <c r="A10480" s="1" t="s">
        <v>3235</v>
      </c>
      <c r="B10480" s="1" t="str">
        <f>"Richard Yorke Ltd"</f>
        <v>Richard Yorke Ltd</v>
      </c>
      <c r="C10480" s="1" t="s">
        <v>3236</v>
      </c>
      <c r="F10480" s="1" t="s">
        <v>3237</v>
      </c>
      <c r="H10480" s="1" t="s">
        <v>3238</v>
      </c>
      <c r="I10480" s="1" t="s">
        <v>19</v>
      </c>
      <c r="J10480" s="1" t="s">
        <v>67</v>
      </c>
      <c r="K10480" s="1" t="s">
        <v>14</v>
      </c>
      <c r="M10480" s="2">
        <v>41746</v>
      </c>
      <c r="N10480" s="1" t="s">
        <v>8</v>
      </c>
      <c r="O10480" s="1" t="s">
        <v>68</v>
      </c>
    </row>
    <row r="10481" spans="1:15" ht="43.2" x14ac:dyDescent="0.3">
      <c r="A10481" s="1" t="s">
        <v>3239</v>
      </c>
      <c r="B10481" s="1" t="str">
        <f>"The Orchard"</f>
        <v>The Orchard</v>
      </c>
      <c r="C10481" s="1" t="s">
        <v>3240</v>
      </c>
      <c r="D10481" s="1" t="s">
        <v>3241</v>
      </c>
      <c r="F10481" s="1" t="s">
        <v>3242</v>
      </c>
      <c r="H10481" s="1" t="s">
        <v>3243</v>
      </c>
      <c r="I10481" s="1" t="s">
        <v>19</v>
      </c>
      <c r="J10481" s="1" t="s">
        <v>67</v>
      </c>
      <c r="K10481" s="1" t="s">
        <v>14</v>
      </c>
      <c r="M10481" s="2">
        <v>41746</v>
      </c>
      <c r="N10481" s="1" t="s">
        <v>8</v>
      </c>
      <c r="O10481" s="1" t="s">
        <v>68</v>
      </c>
    </row>
    <row r="10482" spans="1:15" ht="43.2" x14ac:dyDescent="0.3">
      <c r="A10482" s="1" t="s">
        <v>18551</v>
      </c>
      <c r="B10482" s="1" t="str">
        <f>"Dale Barfoot"</f>
        <v>Dale Barfoot</v>
      </c>
      <c r="C10482" s="1" t="s">
        <v>18552</v>
      </c>
      <c r="D10482" s="1" t="s">
        <v>18553</v>
      </c>
      <c r="F10482" s="1" t="s">
        <v>1525</v>
      </c>
      <c r="H10482" s="1" t="s">
        <v>18554</v>
      </c>
      <c r="I10482" s="1" t="s">
        <v>5</v>
      </c>
      <c r="J10482" s="1" t="s">
        <v>67</v>
      </c>
      <c r="K10482" s="1" t="s">
        <v>14</v>
      </c>
      <c r="M10482" s="2">
        <v>41746</v>
      </c>
      <c r="N10482" s="1" t="s">
        <v>8</v>
      </c>
      <c r="O10482" s="1" t="s">
        <v>68</v>
      </c>
    </row>
    <row r="10483" spans="1:15" ht="43.2" x14ac:dyDescent="0.3">
      <c r="A10483" s="1" t="s">
        <v>18555</v>
      </c>
      <c r="B10483" s="1" t="str">
        <f>"Richard Price"</f>
        <v>Richard Price</v>
      </c>
      <c r="C10483" s="1" t="s">
        <v>18556</v>
      </c>
      <c r="D10483" s="1" t="s">
        <v>18557</v>
      </c>
      <c r="F10483" s="1" t="s">
        <v>3691</v>
      </c>
      <c r="H10483" s="1" t="s">
        <v>18558</v>
      </c>
      <c r="I10483" s="1" t="s">
        <v>5</v>
      </c>
      <c r="J10483" s="1" t="s">
        <v>67</v>
      </c>
      <c r="K10483" s="1" t="s">
        <v>14</v>
      </c>
      <c r="M10483" s="2">
        <v>41746</v>
      </c>
      <c r="N10483" s="1" t="s">
        <v>8</v>
      </c>
      <c r="O10483" s="1" t="s">
        <v>68</v>
      </c>
    </row>
    <row r="10484" spans="1:15" ht="43.2" x14ac:dyDescent="0.3">
      <c r="A10484" s="1" t="s">
        <v>18559</v>
      </c>
      <c r="B10484" s="1" t="str">
        <f>"Richard Price"</f>
        <v>Richard Price</v>
      </c>
      <c r="C10484" s="1" t="s">
        <v>18556</v>
      </c>
      <c r="D10484" s="1" t="s">
        <v>18557</v>
      </c>
      <c r="F10484" s="1" t="s">
        <v>3691</v>
      </c>
      <c r="H10484" s="1" t="s">
        <v>18558</v>
      </c>
      <c r="I10484" s="1" t="s">
        <v>5</v>
      </c>
      <c r="J10484" s="1" t="s">
        <v>67</v>
      </c>
      <c r="K10484" s="1" t="s">
        <v>14</v>
      </c>
      <c r="M10484" s="2">
        <v>41746</v>
      </c>
      <c r="N10484" s="1" t="s">
        <v>8</v>
      </c>
      <c r="O10484" s="1" t="s">
        <v>68</v>
      </c>
    </row>
    <row r="10485" spans="1:15" ht="43.2" x14ac:dyDescent="0.3">
      <c r="A10485" s="1" t="s">
        <v>3225</v>
      </c>
      <c r="B10485" s="1" t="str">
        <f>"A.G.H.ENTERPRISE"</f>
        <v>A.G.H.ENTERPRISE</v>
      </c>
      <c r="C10485" s="1" t="s">
        <v>3226</v>
      </c>
      <c r="F10485" s="1" t="s">
        <v>156</v>
      </c>
      <c r="H10485" s="1" t="s">
        <v>3227</v>
      </c>
      <c r="I10485" s="1" t="s">
        <v>1872</v>
      </c>
      <c r="J10485" s="1" t="s">
        <v>67</v>
      </c>
      <c r="K10485" s="1" t="s">
        <v>14</v>
      </c>
      <c r="M10485" s="2">
        <v>41745</v>
      </c>
      <c r="N10485" s="1" t="s">
        <v>8</v>
      </c>
      <c r="O10485" s="1" t="s">
        <v>68</v>
      </c>
    </row>
    <row r="10486" spans="1:15" ht="43.2" x14ac:dyDescent="0.3">
      <c r="A10486" s="1" t="s">
        <v>18538</v>
      </c>
      <c r="B10486" s="1" t="str">
        <f>"Graham Clements"</f>
        <v>Graham Clements</v>
      </c>
      <c r="C10486" s="1" t="s">
        <v>18539</v>
      </c>
      <c r="D10486" s="1" t="s">
        <v>18540</v>
      </c>
      <c r="F10486" s="1" t="s">
        <v>6747</v>
      </c>
      <c r="H10486" s="1" t="s">
        <v>18541</v>
      </c>
      <c r="I10486" s="1" t="s">
        <v>5</v>
      </c>
      <c r="J10486" s="1" t="s">
        <v>67</v>
      </c>
      <c r="K10486" s="1" t="s">
        <v>14</v>
      </c>
      <c r="M10486" s="2">
        <v>41745</v>
      </c>
      <c r="N10486" s="1" t="s">
        <v>8</v>
      </c>
      <c r="O10486" s="1" t="s">
        <v>68</v>
      </c>
    </row>
    <row r="10487" spans="1:15" ht="43.2" x14ac:dyDescent="0.3">
      <c r="A10487" s="1" t="s">
        <v>18542</v>
      </c>
      <c r="B10487" s="1" t="str">
        <f>"Wayne Spear"</f>
        <v>Wayne Spear</v>
      </c>
      <c r="C10487" s="1" t="s">
        <v>18543</v>
      </c>
      <c r="D10487" s="1" t="s">
        <v>18544</v>
      </c>
      <c r="F10487" s="1" t="s">
        <v>123</v>
      </c>
      <c r="H10487" s="1" t="s">
        <v>17782</v>
      </c>
      <c r="I10487" s="1" t="s">
        <v>5</v>
      </c>
      <c r="J10487" s="1" t="s">
        <v>67</v>
      </c>
      <c r="K10487" s="1" t="s">
        <v>14</v>
      </c>
      <c r="M10487" s="2">
        <v>41745</v>
      </c>
      <c r="N10487" s="1" t="s">
        <v>8</v>
      </c>
      <c r="O10487" s="1" t="s">
        <v>68</v>
      </c>
    </row>
    <row r="10488" spans="1:15" ht="43.2" x14ac:dyDescent="0.3">
      <c r="A10488" s="1" t="s">
        <v>18545</v>
      </c>
      <c r="B10488" s="1" t="str">
        <f>"Pauline Wilson"</f>
        <v>Pauline Wilson</v>
      </c>
      <c r="C10488" s="1" t="s">
        <v>18546</v>
      </c>
      <c r="D10488" s="1" t="s">
        <v>8869</v>
      </c>
      <c r="F10488" s="1" t="s">
        <v>358</v>
      </c>
      <c r="H10488" s="1" t="s">
        <v>18547</v>
      </c>
      <c r="I10488" s="1" t="s">
        <v>5</v>
      </c>
      <c r="J10488" s="1" t="s">
        <v>67</v>
      </c>
      <c r="K10488" s="1" t="s">
        <v>14</v>
      </c>
      <c r="M10488" s="2">
        <v>41745</v>
      </c>
      <c r="N10488" s="1" t="s">
        <v>8</v>
      </c>
      <c r="O10488" s="1" t="s">
        <v>68</v>
      </c>
    </row>
    <row r="10489" spans="1:15" ht="43.2" x14ac:dyDescent="0.3">
      <c r="A10489" s="1" t="s">
        <v>18548</v>
      </c>
      <c r="B10489" s="1" t="str">
        <f>"Richard Smith"</f>
        <v>Richard Smith</v>
      </c>
      <c r="C10489" s="1" t="s">
        <v>18549</v>
      </c>
      <c r="D10489" s="1" t="s">
        <v>2152</v>
      </c>
      <c r="F10489" s="1" t="s">
        <v>123</v>
      </c>
      <c r="H10489" s="1" t="s">
        <v>18550</v>
      </c>
      <c r="I10489" s="1" t="s">
        <v>5</v>
      </c>
      <c r="J10489" s="1" t="s">
        <v>67</v>
      </c>
      <c r="K10489" s="1" t="s">
        <v>14</v>
      </c>
      <c r="M10489" s="2">
        <v>41745</v>
      </c>
      <c r="N10489" s="1" t="s">
        <v>8</v>
      </c>
      <c r="O10489" s="1" t="s">
        <v>68</v>
      </c>
    </row>
    <row r="10490" spans="1:15" ht="43.2" x14ac:dyDescent="0.3">
      <c r="A10490" s="1" t="s">
        <v>29680</v>
      </c>
      <c r="B10490" s="1" t="str">
        <f>"Antonio Manfredino"</f>
        <v>Antonio Manfredino</v>
      </c>
      <c r="C10490" s="1" t="s">
        <v>29681</v>
      </c>
      <c r="F10490" s="1" t="s">
        <v>3242</v>
      </c>
      <c r="H10490" s="1" t="s">
        <v>29682</v>
      </c>
      <c r="I10490" s="1" t="s">
        <v>5</v>
      </c>
      <c r="J10490" s="1" t="s">
        <v>67</v>
      </c>
      <c r="K10490" s="1" t="s">
        <v>14</v>
      </c>
      <c r="M10490" s="2">
        <v>41745</v>
      </c>
      <c r="N10490" s="1" t="s">
        <v>8</v>
      </c>
      <c r="O10490" s="1" t="s">
        <v>68</v>
      </c>
    </row>
    <row r="10491" spans="1:15" ht="43.2" x14ac:dyDescent="0.3">
      <c r="A10491" s="1" t="s">
        <v>16941</v>
      </c>
      <c r="B10491" s="1" t="str">
        <f>"Coed Isaf Nursing Home"</f>
        <v>Coed Isaf Nursing Home</v>
      </c>
      <c r="C10491" s="1" t="s">
        <v>16942</v>
      </c>
      <c r="D10491" s="1" t="s">
        <v>16526</v>
      </c>
      <c r="F10491" s="1" t="s">
        <v>3242</v>
      </c>
      <c r="H10491" s="1" t="s">
        <v>16943</v>
      </c>
      <c r="I10491" s="1" t="s">
        <v>19</v>
      </c>
      <c r="J10491" s="1" t="s">
        <v>67</v>
      </c>
      <c r="K10491" s="1" t="s">
        <v>14</v>
      </c>
      <c r="M10491" s="2">
        <v>41744</v>
      </c>
      <c r="N10491" s="1" t="s">
        <v>8</v>
      </c>
      <c r="O10491" s="1" t="s">
        <v>68</v>
      </c>
    </row>
    <row r="10492" spans="1:15" ht="43.2" x14ac:dyDescent="0.3">
      <c r="A10492" s="1" t="s">
        <v>16944</v>
      </c>
      <c r="B10492" s="1" t="str">
        <f>"Coed Isaf Nursing Home"</f>
        <v>Coed Isaf Nursing Home</v>
      </c>
      <c r="C10492" s="1" t="s">
        <v>16942</v>
      </c>
      <c r="D10492" s="1" t="s">
        <v>16526</v>
      </c>
      <c r="F10492" s="1" t="s">
        <v>3242</v>
      </c>
      <c r="H10492" s="1" t="s">
        <v>16943</v>
      </c>
      <c r="I10492" s="1" t="s">
        <v>19</v>
      </c>
      <c r="J10492" s="1" t="s">
        <v>67</v>
      </c>
      <c r="K10492" s="1" t="s">
        <v>14</v>
      </c>
      <c r="M10492" s="2">
        <v>41744</v>
      </c>
      <c r="N10492" s="1" t="s">
        <v>8</v>
      </c>
      <c r="O10492" s="1" t="s">
        <v>68</v>
      </c>
    </row>
    <row r="10493" spans="1:15" ht="43.2" x14ac:dyDescent="0.3">
      <c r="A10493" s="1" t="s">
        <v>16945</v>
      </c>
      <c r="B10493" s="1" t="str">
        <f>"Gwynedd Forklifts Ltd"</f>
        <v>Gwynedd Forklifts Ltd</v>
      </c>
      <c r="C10493" s="1" t="s">
        <v>16946</v>
      </c>
      <c r="D10493" s="1" t="s">
        <v>16947</v>
      </c>
      <c r="F10493" s="1" t="s">
        <v>359</v>
      </c>
      <c r="H10493" s="1" t="s">
        <v>5968</v>
      </c>
      <c r="I10493" s="1" t="s">
        <v>19</v>
      </c>
      <c r="J10493" s="1" t="s">
        <v>67</v>
      </c>
      <c r="K10493" s="1" t="s">
        <v>14</v>
      </c>
      <c r="M10493" s="2">
        <v>41744</v>
      </c>
      <c r="N10493" s="1" t="s">
        <v>8</v>
      </c>
      <c r="O10493" s="1" t="s">
        <v>68</v>
      </c>
    </row>
    <row r="10494" spans="1:15" ht="43.2" x14ac:dyDescent="0.3">
      <c r="A10494" s="1" t="s">
        <v>16948</v>
      </c>
      <c r="B10494" s="1" t="str">
        <f>"Vale of Glamorgan Pest Control"</f>
        <v>Vale of Glamorgan Pest Control</v>
      </c>
      <c r="C10494" s="1" t="s">
        <v>16949</v>
      </c>
      <c r="D10494" s="1" t="s">
        <v>1442</v>
      </c>
      <c r="F10494" s="1" t="s">
        <v>706</v>
      </c>
      <c r="H10494" s="1" t="s">
        <v>16950</v>
      </c>
      <c r="I10494" s="1" t="s">
        <v>188</v>
      </c>
      <c r="J10494" s="1" t="s">
        <v>67</v>
      </c>
      <c r="K10494" s="1" t="s">
        <v>14</v>
      </c>
      <c r="M10494" s="2">
        <v>41744</v>
      </c>
      <c r="N10494" s="1" t="s">
        <v>8</v>
      </c>
      <c r="O10494" s="1" t="s">
        <v>68</v>
      </c>
    </row>
    <row r="10495" spans="1:15" ht="43.2" x14ac:dyDescent="0.3">
      <c r="A10495" s="1" t="s">
        <v>16951</v>
      </c>
      <c r="B10495" s="1" t="str">
        <f>"Curre and Langibby Hunts"</f>
        <v>Curre and Langibby Hunts</v>
      </c>
      <c r="C10495" s="1" t="s">
        <v>16952</v>
      </c>
      <c r="D10495" s="1" t="s">
        <v>243</v>
      </c>
      <c r="F10495" s="1" t="s">
        <v>1642</v>
      </c>
      <c r="H10495" s="1" t="s">
        <v>16953</v>
      </c>
      <c r="I10495" s="1" t="s">
        <v>125</v>
      </c>
      <c r="J10495" s="1" t="s">
        <v>67</v>
      </c>
      <c r="K10495" s="1" t="s">
        <v>14</v>
      </c>
      <c r="M10495" s="2">
        <v>41744</v>
      </c>
      <c r="N10495" s="1" t="s">
        <v>8</v>
      </c>
      <c r="O10495" s="1" t="s">
        <v>68</v>
      </c>
    </row>
    <row r="10496" spans="1:15" ht="43.2" x14ac:dyDescent="0.3">
      <c r="A10496" s="1" t="s">
        <v>16954</v>
      </c>
      <c r="B10496" s="1" t="str">
        <f>"Cynon Taf Community Housing"</f>
        <v>Cynon Taf Community Housing</v>
      </c>
      <c r="C10496" s="1" t="s">
        <v>16955</v>
      </c>
      <c r="F10496" s="1" t="s">
        <v>487</v>
      </c>
      <c r="H10496" s="1" t="s">
        <v>11615</v>
      </c>
      <c r="I10496" s="1" t="s">
        <v>1872</v>
      </c>
      <c r="J10496" s="1" t="s">
        <v>67</v>
      </c>
      <c r="K10496" s="1" t="s">
        <v>14</v>
      </c>
      <c r="M10496" s="2">
        <v>41744</v>
      </c>
      <c r="N10496" s="1" t="s">
        <v>8</v>
      </c>
      <c r="O10496" s="1" t="s">
        <v>68</v>
      </c>
    </row>
    <row r="10497" spans="1:15" ht="43.2" x14ac:dyDescent="0.3">
      <c r="A10497" s="1" t="s">
        <v>16956</v>
      </c>
      <c r="B10497" s="1" t="str">
        <f>"Aneurin Bevan University Health Board "</f>
        <v xml:space="preserve">Aneurin Bevan University Health Board </v>
      </c>
      <c r="C10497" s="1" t="s">
        <v>16957</v>
      </c>
      <c r="D10497" s="1" t="s">
        <v>16958</v>
      </c>
      <c r="F10497" s="1" t="s">
        <v>2773</v>
      </c>
      <c r="H10497" s="1" t="s">
        <v>16959</v>
      </c>
      <c r="I10497" s="1" t="s">
        <v>188</v>
      </c>
      <c r="J10497" s="1" t="s">
        <v>67</v>
      </c>
      <c r="K10497" s="1" t="s">
        <v>14</v>
      </c>
      <c r="M10497" s="2">
        <v>41744</v>
      </c>
      <c r="N10497" s="1" t="s">
        <v>8</v>
      </c>
      <c r="O10497" s="1" t="s">
        <v>68</v>
      </c>
    </row>
    <row r="10498" spans="1:15" ht="43.2" x14ac:dyDescent="0.3">
      <c r="A10498" s="1" t="s">
        <v>16960</v>
      </c>
      <c r="B10498" s="1" t="str">
        <f>"Hydro Hire"</f>
        <v>Hydro Hire</v>
      </c>
      <c r="C10498" s="1" t="s">
        <v>16961</v>
      </c>
      <c r="F10498" s="1" t="s">
        <v>955</v>
      </c>
      <c r="H10498" s="1" t="s">
        <v>2704</v>
      </c>
      <c r="I10498" s="1" t="s">
        <v>19</v>
      </c>
      <c r="J10498" s="1" t="s">
        <v>67</v>
      </c>
      <c r="K10498" s="1" t="s">
        <v>14</v>
      </c>
      <c r="M10498" s="2">
        <v>41744</v>
      </c>
      <c r="N10498" s="1" t="s">
        <v>8</v>
      </c>
      <c r="O10498" s="1" t="s">
        <v>68</v>
      </c>
    </row>
    <row r="10499" spans="1:15" ht="43.2" x14ac:dyDescent="0.3">
      <c r="A10499" s="1" t="s">
        <v>16962</v>
      </c>
      <c r="B10499" s="1" t="str">
        <f>"K and T Stores"</f>
        <v>K and T Stores</v>
      </c>
      <c r="C10499" s="1" t="s">
        <v>16963</v>
      </c>
      <c r="F10499" s="1" t="s">
        <v>123</v>
      </c>
      <c r="H10499" s="1" t="s">
        <v>16964</v>
      </c>
      <c r="I10499" s="1" t="s">
        <v>125</v>
      </c>
      <c r="J10499" s="1" t="s">
        <v>67</v>
      </c>
      <c r="K10499" s="1" t="s">
        <v>14</v>
      </c>
      <c r="M10499" s="2">
        <v>41744</v>
      </c>
      <c r="N10499" s="1" t="s">
        <v>8</v>
      </c>
      <c r="O10499" s="1" t="s">
        <v>68</v>
      </c>
    </row>
    <row r="10500" spans="1:15" ht="43.2" x14ac:dyDescent="0.3">
      <c r="A10500" s="1" t="s">
        <v>17990</v>
      </c>
      <c r="B10500" s="1" t="str">
        <f>"Hafod Water Ltd"</f>
        <v>Hafod Water Ltd</v>
      </c>
      <c r="C10500" s="1" t="s">
        <v>17991</v>
      </c>
      <c r="F10500" s="1" t="s">
        <v>666</v>
      </c>
      <c r="H10500" s="1" t="s">
        <v>17992</v>
      </c>
      <c r="I10500" s="1" t="s">
        <v>19</v>
      </c>
      <c r="J10500" s="1" t="s">
        <v>67</v>
      </c>
      <c r="K10500" s="1" t="s">
        <v>14</v>
      </c>
      <c r="M10500" s="2">
        <v>41744</v>
      </c>
      <c r="N10500" s="1" t="s">
        <v>8</v>
      </c>
      <c r="O10500" s="1" t="s">
        <v>68</v>
      </c>
    </row>
    <row r="10501" spans="1:15" ht="43.2" x14ac:dyDescent="0.3">
      <c r="A10501" s="1" t="s">
        <v>17993</v>
      </c>
      <c r="B10501" s="1" t="str">
        <f>"CH DH and AM Royal"</f>
        <v>CH DH and AM Royal</v>
      </c>
      <c r="C10501" s="1" t="s">
        <v>17994</v>
      </c>
      <c r="F10501" s="1" t="s">
        <v>666</v>
      </c>
      <c r="H10501" s="1" t="s">
        <v>17992</v>
      </c>
      <c r="I10501" s="1" t="s">
        <v>125</v>
      </c>
      <c r="J10501" s="1" t="s">
        <v>67</v>
      </c>
      <c r="K10501" s="1" t="s">
        <v>14</v>
      </c>
      <c r="M10501" s="2">
        <v>41744</v>
      </c>
      <c r="N10501" s="1" t="s">
        <v>8</v>
      </c>
      <c r="O10501" s="1" t="s">
        <v>68</v>
      </c>
    </row>
    <row r="10502" spans="1:15" ht="43.2" x14ac:dyDescent="0.3">
      <c r="A10502" s="1" t="s">
        <v>17995</v>
      </c>
      <c r="B10502" s="1" t="str">
        <f>"Llanwrtyd Community Transport Ltd"</f>
        <v>Llanwrtyd Community Transport Ltd</v>
      </c>
      <c r="C10502" s="1" t="s">
        <v>17996</v>
      </c>
      <c r="D10502" s="1" t="s">
        <v>17997</v>
      </c>
      <c r="F10502" s="1" t="s">
        <v>5409</v>
      </c>
      <c r="H10502" s="1" t="s">
        <v>17998</v>
      </c>
      <c r="I10502" s="1" t="s">
        <v>19</v>
      </c>
      <c r="J10502" s="1" t="s">
        <v>67</v>
      </c>
      <c r="K10502" s="1" t="s">
        <v>14</v>
      </c>
      <c r="M10502" s="2">
        <v>41744</v>
      </c>
      <c r="N10502" s="1" t="s">
        <v>8</v>
      </c>
      <c r="O10502" s="1" t="s">
        <v>68</v>
      </c>
    </row>
    <row r="10503" spans="1:15" ht="43.2" x14ac:dyDescent="0.3">
      <c r="A10503" s="1" t="s">
        <v>17999</v>
      </c>
      <c r="B10503" s="1" t="str">
        <f>"Williamson Technical Services Ltd"</f>
        <v>Williamson Technical Services Ltd</v>
      </c>
      <c r="C10503" s="1" t="s">
        <v>18000</v>
      </c>
      <c r="F10503" s="1" t="s">
        <v>374</v>
      </c>
      <c r="H10503" s="1" t="s">
        <v>17190</v>
      </c>
      <c r="I10503" s="1" t="s">
        <v>19</v>
      </c>
      <c r="J10503" s="1" t="s">
        <v>67</v>
      </c>
      <c r="K10503" s="1" t="s">
        <v>14</v>
      </c>
      <c r="M10503" s="2">
        <v>41744</v>
      </c>
      <c r="N10503" s="1" t="s">
        <v>8</v>
      </c>
      <c r="O10503" s="1" t="s">
        <v>68</v>
      </c>
    </row>
    <row r="10504" spans="1:15" ht="43.2" x14ac:dyDescent="0.3">
      <c r="A10504" s="1" t="s">
        <v>18001</v>
      </c>
      <c r="B10504" s="1" t="str">
        <f>"Oftech Wind Ltd"</f>
        <v>Oftech Wind Ltd</v>
      </c>
      <c r="C10504" s="1" t="s">
        <v>18002</v>
      </c>
      <c r="D10504" s="1" t="s">
        <v>18003</v>
      </c>
      <c r="F10504" s="1" t="s">
        <v>374</v>
      </c>
      <c r="G10504" s="1" t="s">
        <v>359</v>
      </c>
      <c r="H10504" s="1" t="s">
        <v>18004</v>
      </c>
      <c r="I10504" s="1" t="s">
        <v>19</v>
      </c>
      <c r="J10504" s="1" t="s">
        <v>67</v>
      </c>
      <c r="K10504" s="1" t="s">
        <v>14</v>
      </c>
      <c r="M10504" s="2">
        <v>41744</v>
      </c>
      <c r="N10504" s="1" t="s">
        <v>8</v>
      </c>
      <c r="O10504" s="1" t="s">
        <v>68</v>
      </c>
    </row>
    <row r="10505" spans="1:15" ht="43.2" x14ac:dyDescent="0.3">
      <c r="A10505" s="1" t="s">
        <v>18005</v>
      </c>
      <c r="B10505" s="1" t="str">
        <f>"PGB Limited"</f>
        <v>PGB Limited</v>
      </c>
      <c r="C10505" s="1" t="s">
        <v>18006</v>
      </c>
      <c r="D10505" s="1" t="s">
        <v>18007</v>
      </c>
      <c r="F10505" s="1" t="s">
        <v>1676</v>
      </c>
      <c r="H10505" s="1" t="s">
        <v>1677</v>
      </c>
      <c r="I10505" s="1" t="s">
        <v>19</v>
      </c>
      <c r="J10505" s="1" t="s">
        <v>67</v>
      </c>
      <c r="K10505" s="1" t="s">
        <v>14</v>
      </c>
      <c r="M10505" s="2">
        <v>41744</v>
      </c>
      <c r="N10505" s="1" t="s">
        <v>8</v>
      </c>
      <c r="O10505" s="1" t="s">
        <v>68</v>
      </c>
    </row>
    <row r="10506" spans="1:15" ht="43.2" x14ac:dyDescent="0.3">
      <c r="A10506" s="1" t="s">
        <v>18008</v>
      </c>
      <c r="B10506" s="1" t="str">
        <f>"Opey and Charles Jones"</f>
        <v>Opey and Charles Jones</v>
      </c>
      <c r="C10506" s="1" t="s">
        <v>18009</v>
      </c>
      <c r="D10506" s="1" t="s">
        <v>564</v>
      </c>
      <c r="F10506" s="1" t="s">
        <v>179</v>
      </c>
      <c r="H10506" s="1" t="s">
        <v>565</v>
      </c>
      <c r="I10506" s="1" t="s">
        <v>125</v>
      </c>
      <c r="J10506" s="1" t="s">
        <v>67</v>
      </c>
      <c r="K10506" s="1" t="s">
        <v>14</v>
      </c>
      <c r="M10506" s="2">
        <v>41744</v>
      </c>
      <c r="N10506" s="1" t="s">
        <v>8</v>
      </c>
      <c r="O10506" s="1" t="s">
        <v>68</v>
      </c>
    </row>
    <row r="10507" spans="1:15" ht="43.2" x14ac:dyDescent="0.3">
      <c r="A10507" s="1" t="s">
        <v>18010</v>
      </c>
      <c r="B10507" s="1" t="str">
        <f>"Cowindale Feeds Ltd"</f>
        <v>Cowindale Feeds Ltd</v>
      </c>
      <c r="C10507" s="1" t="s">
        <v>18011</v>
      </c>
      <c r="D10507" s="1" t="s">
        <v>18012</v>
      </c>
      <c r="F10507" s="1" t="s">
        <v>56</v>
      </c>
      <c r="H10507" s="1" t="s">
        <v>18013</v>
      </c>
      <c r="I10507" s="1" t="s">
        <v>19</v>
      </c>
      <c r="J10507" s="1" t="s">
        <v>67</v>
      </c>
      <c r="K10507" s="1" t="s">
        <v>14</v>
      </c>
      <c r="M10507" s="2">
        <v>41744</v>
      </c>
      <c r="N10507" s="1" t="s">
        <v>8</v>
      </c>
      <c r="O10507" s="1" t="s">
        <v>68</v>
      </c>
    </row>
    <row r="10508" spans="1:15" ht="43.2" x14ac:dyDescent="0.3">
      <c r="A10508" s="1" t="s">
        <v>18014</v>
      </c>
      <c r="B10508" s="1" t="str">
        <f>"Conwy Care and Repair Ltd"</f>
        <v>Conwy Care and Repair Ltd</v>
      </c>
      <c r="C10508" s="1" t="s">
        <v>18015</v>
      </c>
      <c r="D10508" s="1" t="s">
        <v>18016</v>
      </c>
      <c r="F10508" s="1" t="s">
        <v>359</v>
      </c>
      <c r="H10508" s="1" t="s">
        <v>18017</v>
      </c>
      <c r="I10508" s="1" t="s">
        <v>1872</v>
      </c>
      <c r="J10508" s="1" t="s">
        <v>67</v>
      </c>
      <c r="K10508" s="1" t="s">
        <v>14</v>
      </c>
      <c r="M10508" s="2">
        <v>41744</v>
      </c>
      <c r="N10508" s="1" t="s">
        <v>8</v>
      </c>
      <c r="O10508" s="1" t="s">
        <v>68</v>
      </c>
    </row>
    <row r="10509" spans="1:15" ht="43.2" x14ac:dyDescent="0.3">
      <c r="A10509" s="1" t="s">
        <v>18018</v>
      </c>
      <c r="B10509" s="1" t="str">
        <f>"Trinity Developments wales Ltd"</f>
        <v>Trinity Developments wales Ltd</v>
      </c>
      <c r="C10509" s="1" t="s">
        <v>18019</v>
      </c>
      <c r="F10509" s="1" t="s">
        <v>18020</v>
      </c>
      <c r="H10509" s="1" t="s">
        <v>18021</v>
      </c>
      <c r="I10509" s="1" t="s">
        <v>19</v>
      </c>
      <c r="J10509" s="1" t="s">
        <v>67</v>
      </c>
      <c r="K10509" s="1" t="s">
        <v>14</v>
      </c>
      <c r="M10509" s="2">
        <v>41744</v>
      </c>
      <c r="N10509" s="1" t="s">
        <v>8</v>
      </c>
      <c r="O10509" s="1" t="s">
        <v>68</v>
      </c>
    </row>
    <row r="10510" spans="1:15" ht="43.2" x14ac:dyDescent="0.3">
      <c r="A10510" s="1" t="s">
        <v>28921</v>
      </c>
      <c r="B10510" s="1" t="str">
        <f>"Carolyn Cookson"</f>
        <v>Carolyn Cookson</v>
      </c>
      <c r="C10510" s="1" t="s">
        <v>28922</v>
      </c>
      <c r="D10510" s="1" t="s">
        <v>16232</v>
      </c>
      <c r="F10510" s="1" t="s">
        <v>9838</v>
      </c>
      <c r="H10510" s="1" t="s">
        <v>28923</v>
      </c>
      <c r="I10510" s="1" t="s">
        <v>5</v>
      </c>
      <c r="J10510" s="1" t="s">
        <v>67</v>
      </c>
      <c r="K10510" s="1" t="s">
        <v>14</v>
      </c>
      <c r="M10510" s="2">
        <v>41744</v>
      </c>
      <c r="N10510" s="1" t="s">
        <v>8</v>
      </c>
      <c r="O10510" s="1" t="s">
        <v>68</v>
      </c>
    </row>
    <row r="10511" spans="1:15" ht="43.2" x14ac:dyDescent="0.3">
      <c r="A10511" s="1" t="s">
        <v>28924</v>
      </c>
      <c r="B10511" s="1" t="str">
        <f>"Alison Ingram"</f>
        <v>Alison Ingram</v>
      </c>
      <c r="C10511" s="1" t="s">
        <v>28925</v>
      </c>
      <c r="D10511" s="1" t="s">
        <v>3465</v>
      </c>
      <c r="F10511" s="1" t="s">
        <v>162</v>
      </c>
      <c r="H10511" s="1" t="s">
        <v>28926</v>
      </c>
      <c r="I10511" s="1" t="s">
        <v>5</v>
      </c>
      <c r="J10511" s="1" t="s">
        <v>67</v>
      </c>
      <c r="K10511" s="1" t="s">
        <v>14</v>
      </c>
      <c r="M10511" s="2">
        <v>41744</v>
      </c>
      <c r="N10511" s="1" t="s">
        <v>8</v>
      </c>
      <c r="O10511" s="1" t="s">
        <v>68</v>
      </c>
    </row>
    <row r="10512" spans="1:15" ht="43.2" x14ac:dyDescent="0.3">
      <c r="A10512" s="1" t="s">
        <v>28927</v>
      </c>
      <c r="B10512" s="1" t="str">
        <f>"Joshua Davies"</f>
        <v>Joshua Davies</v>
      </c>
      <c r="C10512" s="1" t="s">
        <v>28928</v>
      </c>
      <c r="D10512" s="1" t="s">
        <v>42</v>
      </c>
      <c r="F10512" s="1" t="s">
        <v>666</v>
      </c>
      <c r="H10512" s="1" t="s">
        <v>28929</v>
      </c>
      <c r="I10512" s="1" t="s">
        <v>5</v>
      </c>
      <c r="J10512" s="1" t="s">
        <v>67</v>
      </c>
      <c r="K10512" s="1" t="s">
        <v>14</v>
      </c>
      <c r="M10512" s="2">
        <v>41744</v>
      </c>
      <c r="N10512" s="1" t="s">
        <v>8</v>
      </c>
      <c r="O10512" s="1" t="s">
        <v>68</v>
      </c>
    </row>
    <row r="10513" spans="1:15" ht="43.2" x14ac:dyDescent="0.3">
      <c r="A10513" s="1" t="s">
        <v>28930</v>
      </c>
      <c r="B10513" s="1" t="str">
        <f>"Matthew Harris"</f>
        <v>Matthew Harris</v>
      </c>
      <c r="C10513" s="1" t="s">
        <v>28931</v>
      </c>
      <c r="F10513" s="1" t="s">
        <v>64</v>
      </c>
      <c r="H10513" s="1" t="s">
        <v>28932</v>
      </c>
      <c r="I10513" s="1" t="s">
        <v>5</v>
      </c>
      <c r="J10513" s="1" t="s">
        <v>67</v>
      </c>
      <c r="K10513" s="1" t="s">
        <v>14</v>
      </c>
      <c r="M10513" s="2">
        <v>41744</v>
      </c>
      <c r="N10513" s="1" t="s">
        <v>8</v>
      </c>
      <c r="O10513" s="1" t="s">
        <v>68</v>
      </c>
    </row>
    <row r="10514" spans="1:15" ht="43.2" x14ac:dyDescent="0.3">
      <c r="A10514" s="1" t="s">
        <v>29666</v>
      </c>
      <c r="B10514" s="1" t="str">
        <f>"Michael Howells"</f>
        <v>Michael Howells</v>
      </c>
      <c r="C10514" s="1" t="s">
        <v>29667</v>
      </c>
      <c r="D10514" s="1" t="s">
        <v>29668</v>
      </c>
      <c r="F10514" s="1" t="s">
        <v>666</v>
      </c>
      <c r="H10514" s="1" t="s">
        <v>29669</v>
      </c>
      <c r="I10514" s="1" t="s">
        <v>5</v>
      </c>
      <c r="J10514" s="1" t="s">
        <v>67</v>
      </c>
      <c r="K10514" s="1" t="s">
        <v>14</v>
      </c>
      <c r="M10514" s="2">
        <v>41744</v>
      </c>
      <c r="N10514" s="1" t="s">
        <v>8</v>
      </c>
      <c r="O10514" s="1" t="s">
        <v>68</v>
      </c>
    </row>
    <row r="10515" spans="1:15" ht="43.2" x14ac:dyDescent="0.3">
      <c r="A10515" s="1" t="s">
        <v>29670</v>
      </c>
      <c r="B10515" s="1" t="str">
        <f>"Tahir Majid"</f>
        <v>Tahir Majid</v>
      </c>
      <c r="C10515" s="1" t="s">
        <v>29671</v>
      </c>
      <c r="D10515" s="1" t="s">
        <v>6777</v>
      </c>
      <c r="F10515" s="1" t="s">
        <v>123</v>
      </c>
      <c r="H10515" s="1" t="s">
        <v>24810</v>
      </c>
      <c r="I10515" s="1" t="s">
        <v>5</v>
      </c>
      <c r="J10515" s="1" t="s">
        <v>67</v>
      </c>
      <c r="K10515" s="1" t="s">
        <v>14</v>
      </c>
      <c r="M10515" s="2">
        <v>41744</v>
      </c>
      <c r="N10515" s="1" t="s">
        <v>8</v>
      </c>
      <c r="O10515" s="1" t="s">
        <v>68</v>
      </c>
    </row>
    <row r="10516" spans="1:15" ht="43.2" x14ac:dyDescent="0.3">
      <c r="A10516" s="1" t="s">
        <v>29672</v>
      </c>
      <c r="B10516" s="1" t="str">
        <f>"Michael Rees"</f>
        <v>Michael Rees</v>
      </c>
      <c r="C10516" s="1" t="s">
        <v>29673</v>
      </c>
      <c r="D10516" s="1" t="s">
        <v>29674</v>
      </c>
      <c r="F10516" s="1" t="s">
        <v>1486</v>
      </c>
      <c r="H10516" s="1" t="s">
        <v>29675</v>
      </c>
      <c r="I10516" s="1" t="s">
        <v>5</v>
      </c>
      <c r="J10516" s="1" t="s">
        <v>67</v>
      </c>
      <c r="K10516" s="1" t="s">
        <v>14</v>
      </c>
      <c r="M10516" s="2">
        <v>41744</v>
      </c>
      <c r="N10516" s="1" t="s">
        <v>8</v>
      </c>
      <c r="O10516" s="1" t="s">
        <v>68</v>
      </c>
    </row>
    <row r="10517" spans="1:15" ht="43.2" x14ac:dyDescent="0.3">
      <c r="A10517" s="1" t="s">
        <v>29676</v>
      </c>
      <c r="B10517" s="1" t="str">
        <f>"David McMullen"</f>
        <v>David McMullen</v>
      </c>
      <c r="C10517" s="1" t="s">
        <v>29677</v>
      </c>
      <c r="D10517" s="1" t="s">
        <v>29678</v>
      </c>
      <c r="F10517" s="1" t="s">
        <v>123</v>
      </c>
      <c r="H10517" s="1" t="s">
        <v>29679</v>
      </c>
      <c r="I10517" s="1" t="s">
        <v>5</v>
      </c>
      <c r="J10517" s="1" t="s">
        <v>67</v>
      </c>
      <c r="K10517" s="1" t="s">
        <v>14</v>
      </c>
      <c r="M10517" s="2">
        <v>41744</v>
      </c>
      <c r="N10517" s="1" t="s">
        <v>8</v>
      </c>
      <c r="O10517" s="1" t="s">
        <v>68</v>
      </c>
    </row>
    <row r="10518" spans="1:15" ht="43.2" x14ac:dyDescent="0.3">
      <c r="A10518" s="1" t="s">
        <v>15017</v>
      </c>
      <c r="B10518" s="1" t="str">
        <f>"Cresta"</f>
        <v>Cresta</v>
      </c>
      <c r="C10518" s="1" t="s">
        <v>15018</v>
      </c>
      <c r="F10518" s="1" t="s">
        <v>2686</v>
      </c>
      <c r="H10518" s="1" t="s">
        <v>15019</v>
      </c>
      <c r="I10518" s="1" t="s">
        <v>125</v>
      </c>
      <c r="J10518" s="1" t="s">
        <v>67</v>
      </c>
      <c r="K10518" s="1" t="s">
        <v>14</v>
      </c>
      <c r="M10518" s="2">
        <v>41743</v>
      </c>
      <c r="N10518" s="1" t="s">
        <v>8</v>
      </c>
      <c r="O10518" s="1" t="s">
        <v>68</v>
      </c>
    </row>
    <row r="10519" spans="1:15" ht="43.2" x14ac:dyDescent="0.3">
      <c r="A10519" s="1" t="s">
        <v>15020</v>
      </c>
      <c r="B10519" s="1" t="str">
        <f>"Tregynon Post Offices and Stores"</f>
        <v>Tregynon Post Offices and Stores</v>
      </c>
      <c r="C10519" s="1" t="s">
        <v>15021</v>
      </c>
      <c r="D10519" s="1" t="s">
        <v>3465</v>
      </c>
      <c r="F10519" s="1" t="s">
        <v>162</v>
      </c>
      <c r="H10519" s="1" t="s">
        <v>12205</v>
      </c>
      <c r="I10519" s="1" t="s">
        <v>125</v>
      </c>
      <c r="J10519" s="1" t="s">
        <v>67</v>
      </c>
      <c r="K10519" s="1" t="s">
        <v>14</v>
      </c>
      <c r="M10519" s="2">
        <v>41743</v>
      </c>
      <c r="N10519" s="1" t="s">
        <v>8</v>
      </c>
      <c r="O10519" s="1" t="s">
        <v>68</v>
      </c>
    </row>
    <row r="10520" spans="1:15" ht="43.2" x14ac:dyDescent="0.3">
      <c r="A10520" s="1" t="s">
        <v>15978</v>
      </c>
      <c r="B10520" s="1" t="str">
        <f>"Centre for Ecology and Hydrology"</f>
        <v>Centre for Ecology and Hydrology</v>
      </c>
      <c r="C10520" s="1" t="s">
        <v>15979</v>
      </c>
      <c r="D10520" s="1" t="s">
        <v>1321</v>
      </c>
      <c r="F10520" s="1" t="s">
        <v>3</v>
      </c>
      <c r="H10520" s="1" t="s">
        <v>15980</v>
      </c>
      <c r="I10520" s="1" t="s">
        <v>188</v>
      </c>
      <c r="J10520" s="1" t="s">
        <v>67</v>
      </c>
      <c r="K10520" s="1" t="s">
        <v>14</v>
      </c>
      <c r="M10520" s="2">
        <v>41743</v>
      </c>
      <c r="N10520" s="1" t="s">
        <v>8</v>
      </c>
      <c r="O10520" s="1" t="s">
        <v>68</v>
      </c>
    </row>
    <row r="10521" spans="1:15" ht="43.2" x14ac:dyDescent="0.3">
      <c r="A10521" s="1" t="s">
        <v>15981</v>
      </c>
      <c r="B10521" s="1" t="str">
        <f>"Gareth Roberts &amp; Co."</f>
        <v>Gareth Roberts &amp; Co.</v>
      </c>
      <c r="C10521" s="1" t="s">
        <v>10774</v>
      </c>
      <c r="F10521" s="1" t="s">
        <v>1169</v>
      </c>
      <c r="H10521" s="1" t="s">
        <v>10775</v>
      </c>
      <c r="I10521" s="1" t="s">
        <v>125</v>
      </c>
      <c r="J10521" s="1" t="s">
        <v>67</v>
      </c>
      <c r="K10521" s="1" t="s">
        <v>14</v>
      </c>
      <c r="M10521" s="2">
        <v>41743</v>
      </c>
      <c r="N10521" s="1" t="s">
        <v>8</v>
      </c>
      <c r="O10521" s="1" t="s">
        <v>68</v>
      </c>
    </row>
    <row r="10522" spans="1:15" ht="43.2" x14ac:dyDescent="0.3">
      <c r="A10522" s="1" t="s">
        <v>15982</v>
      </c>
      <c r="B10522" s="1" t="str">
        <f>"Charly Trade"</f>
        <v>Charly Trade</v>
      </c>
      <c r="C10522" s="1" t="s">
        <v>15983</v>
      </c>
      <c r="F10522" s="1" t="s">
        <v>123</v>
      </c>
      <c r="H10522" s="1" t="s">
        <v>15984</v>
      </c>
      <c r="I10522" s="1" t="s">
        <v>19</v>
      </c>
      <c r="J10522" s="1" t="s">
        <v>67</v>
      </c>
      <c r="K10522" s="1" t="s">
        <v>14</v>
      </c>
      <c r="M10522" s="2">
        <v>41743</v>
      </c>
      <c r="N10522" s="1" t="s">
        <v>8</v>
      </c>
      <c r="O10522" s="1" t="s">
        <v>68</v>
      </c>
    </row>
    <row r="10523" spans="1:15" ht="43.2" x14ac:dyDescent="0.3">
      <c r="A10523" s="1" t="s">
        <v>15985</v>
      </c>
      <c r="B10523" s="1" t="str">
        <f>"Cardiff Council - Storey Arms Centre"</f>
        <v>Cardiff Council - Storey Arms Centre</v>
      </c>
      <c r="C10523" s="1" t="s">
        <v>15986</v>
      </c>
      <c r="D10523" s="1" t="s">
        <v>1206</v>
      </c>
      <c r="F10523" s="1" t="s">
        <v>162</v>
      </c>
      <c r="H10523" s="1" t="s">
        <v>15987</v>
      </c>
      <c r="I10523" s="1" t="s">
        <v>188</v>
      </c>
      <c r="J10523" s="1" t="s">
        <v>67</v>
      </c>
      <c r="K10523" s="1" t="s">
        <v>14</v>
      </c>
      <c r="M10523" s="2">
        <v>41743</v>
      </c>
      <c r="N10523" s="1" t="s">
        <v>8</v>
      </c>
      <c r="O10523" s="1" t="s">
        <v>68</v>
      </c>
    </row>
    <row r="10524" spans="1:15" ht="43.2" x14ac:dyDescent="0.3">
      <c r="A10524" s="1" t="s">
        <v>15988</v>
      </c>
      <c r="B10524" s="1" t="str">
        <f>"mr andrew cater mr peter oliver"</f>
        <v>mr andrew cater mr peter oliver</v>
      </c>
      <c r="C10524" s="1" t="s">
        <v>15989</v>
      </c>
      <c r="D10524" s="1" t="s">
        <v>7609</v>
      </c>
      <c r="F10524" s="1" t="s">
        <v>15990</v>
      </c>
      <c r="H10524" s="1" t="s">
        <v>15991</v>
      </c>
      <c r="I10524" s="1" t="s">
        <v>125</v>
      </c>
      <c r="J10524" s="1" t="s">
        <v>67</v>
      </c>
      <c r="K10524" s="1" t="s">
        <v>14</v>
      </c>
      <c r="M10524" s="2">
        <v>41743</v>
      </c>
      <c r="N10524" s="1" t="s">
        <v>8</v>
      </c>
      <c r="O10524" s="1" t="s">
        <v>68</v>
      </c>
    </row>
    <row r="10525" spans="1:15" ht="43.2" x14ac:dyDescent="0.3">
      <c r="A10525" s="1" t="s">
        <v>15992</v>
      </c>
      <c r="B10525" s="1" t="str">
        <f>"K and C Yarward Ltd"</f>
        <v>K and C Yarward Ltd</v>
      </c>
      <c r="C10525" s="1" t="s">
        <v>15993</v>
      </c>
      <c r="F10525" s="1" t="s">
        <v>2459</v>
      </c>
      <c r="H10525" s="1" t="s">
        <v>15994</v>
      </c>
      <c r="I10525" s="1" t="s">
        <v>19</v>
      </c>
      <c r="J10525" s="1" t="s">
        <v>67</v>
      </c>
      <c r="K10525" s="1" t="s">
        <v>14</v>
      </c>
      <c r="M10525" s="2">
        <v>41743</v>
      </c>
      <c r="N10525" s="1" t="s">
        <v>8</v>
      </c>
      <c r="O10525" s="1" t="s">
        <v>68</v>
      </c>
    </row>
    <row r="10526" spans="1:15" ht="43.2" x14ac:dyDescent="0.3">
      <c r="A10526" s="1" t="s">
        <v>16939</v>
      </c>
      <c r="B10526" s="1" t="str">
        <f>"Ostech Wind Ltd"</f>
        <v>Ostech Wind Ltd</v>
      </c>
      <c r="C10526" s="1" t="s">
        <v>16940</v>
      </c>
      <c r="D10526" s="1" t="s">
        <v>476</v>
      </c>
      <c r="F10526" s="1" t="s">
        <v>922</v>
      </c>
      <c r="H10526" s="1" t="s">
        <v>8030</v>
      </c>
      <c r="I10526" s="1" t="s">
        <v>19</v>
      </c>
      <c r="J10526" s="1" t="s">
        <v>67</v>
      </c>
      <c r="K10526" s="1" t="s">
        <v>14</v>
      </c>
      <c r="M10526" s="2">
        <v>41743</v>
      </c>
      <c r="N10526" s="1" t="s">
        <v>8</v>
      </c>
      <c r="O10526" s="1" t="s">
        <v>68</v>
      </c>
    </row>
    <row r="10527" spans="1:15" ht="43.2" x14ac:dyDescent="0.3">
      <c r="A10527" s="1" t="s">
        <v>27359</v>
      </c>
      <c r="B10527" s="1" t="str">
        <f>"Royston Gooding"</f>
        <v>Royston Gooding</v>
      </c>
      <c r="C10527" s="1" t="s">
        <v>27360</v>
      </c>
      <c r="D10527" s="1" t="s">
        <v>27361</v>
      </c>
      <c r="F10527" s="1" t="s">
        <v>56</v>
      </c>
      <c r="H10527" s="1" t="s">
        <v>27362</v>
      </c>
      <c r="I10527" s="1" t="s">
        <v>5</v>
      </c>
      <c r="J10527" s="1" t="s">
        <v>67</v>
      </c>
      <c r="K10527" s="1" t="s">
        <v>14</v>
      </c>
      <c r="M10527" s="2">
        <v>41743</v>
      </c>
      <c r="N10527" s="1" t="s">
        <v>8</v>
      </c>
      <c r="O10527" s="1" t="s">
        <v>68</v>
      </c>
    </row>
    <row r="10528" spans="1:15" ht="43.2" x14ac:dyDescent="0.3">
      <c r="A10528" s="1" t="s">
        <v>28124</v>
      </c>
      <c r="B10528" s="1" t="str">
        <f>"Gordon Davies"</f>
        <v>Gordon Davies</v>
      </c>
      <c r="C10528" s="1" t="s">
        <v>28125</v>
      </c>
      <c r="D10528" s="1" t="s">
        <v>28126</v>
      </c>
      <c r="F10528" s="1" t="s">
        <v>2459</v>
      </c>
      <c r="H10528" s="1" t="s">
        <v>28127</v>
      </c>
      <c r="I10528" s="1" t="s">
        <v>5</v>
      </c>
      <c r="J10528" s="1" t="s">
        <v>67</v>
      </c>
      <c r="K10528" s="1" t="s">
        <v>14</v>
      </c>
      <c r="M10528" s="2">
        <v>41743</v>
      </c>
      <c r="N10528" s="1" t="s">
        <v>8</v>
      </c>
      <c r="O10528" s="1" t="s">
        <v>68</v>
      </c>
    </row>
    <row r="10529" spans="1:15" ht="43.2" x14ac:dyDescent="0.3">
      <c r="A10529" s="1" t="s">
        <v>28128</v>
      </c>
      <c r="B10529" s="1" t="str">
        <f>"Berwyn Rowlands"</f>
        <v>Berwyn Rowlands</v>
      </c>
      <c r="C10529" s="1" t="s">
        <v>28129</v>
      </c>
      <c r="F10529" s="1" t="s">
        <v>6084</v>
      </c>
      <c r="H10529" s="1" t="s">
        <v>28130</v>
      </c>
      <c r="I10529" s="1" t="s">
        <v>5</v>
      </c>
      <c r="J10529" s="1" t="s">
        <v>67</v>
      </c>
      <c r="K10529" s="1" t="s">
        <v>14</v>
      </c>
      <c r="M10529" s="2">
        <v>41743</v>
      </c>
      <c r="N10529" s="1" t="s">
        <v>8</v>
      </c>
      <c r="O10529" s="1" t="s">
        <v>68</v>
      </c>
    </row>
    <row r="10530" spans="1:15" ht="43.2" x14ac:dyDescent="0.3">
      <c r="A10530" s="1" t="s">
        <v>28131</v>
      </c>
      <c r="B10530" s="1" t="str">
        <f>"Tariq Ismail"</f>
        <v>Tariq Ismail</v>
      </c>
      <c r="C10530" s="1" t="s">
        <v>28132</v>
      </c>
      <c r="F10530" s="1" t="s">
        <v>123</v>
      </c>
      <c r="H10530" s="1" t="s">
        <v>28133</v>
      </c>
      <c r="I10530" s="1" t="s">
        <v>5</v>
      </c>
      <c r="J10530" s="1" t="s">
        <v>67</v>
      </c>
      <c r="K10530" s="1" t="s">
        <v>14</v>
      </c>
      <c r="M10530" s="2">
        <v>41743</v>
      </c>
      <c r="N10530" s="1" t="s">
        <v>8</v>
      </c>
      <c r="O10530" s="1" t="s">
        <v>68</v>
      </c>
    </row>
    <row r="10531" spans="1:15" ht="43.2" x14ac:dyDescent="0.3">
      <c r="A10531" s="1" t="s">
        <v>28134</v>
      </c>
      <c r="B10531" s="1" t="str">
        <f>"David Jones"</f>
        <v>David Jones</v>
      </c>
      <c r="C10531" s="1" t="s">
        <v>28135</v>
      </c>
      <c r="D10531" s="1" t="s">
        <v>28136</v>
      </c>
      <c r="F10531" s="1" t="s">
        <v>359</v>
      </c>
      <c r="H10531" s="1" t="s">
        <v>28137</v>
      </c>
      <c r="I10531" s="1" t="s">
        <v>5</v>
      </c>
      <c r="J10531" s="1" t="s">
        <v>67</v>
      </c>
      <c r="K10531" s="1" t="s">
        <v>14</v>
      </c>
      <c r="M10531" s="2">
        <v>41743</v>
      </c>
      <c r="N10531" s="1" t="s">
        <v>8</v>
      </c>
      <c r="O10531" s="1" t="s">
        <v>68</v>
      </c>
    </row>
    <row r="10532" spans="1:15" ht="43.2" x14ac:dyDescent="0.3">
      <c r="A10532" s="1" t="s">
        <v>28138</v>
      </c>
      <c r="B10532" s="1" t="str">
        <f>"Julia Robson"</f>
        <v>Julia Robson</v>
      </c>
      <c r="C10532" s="1" t="s">
        <v>28139</v>
      </c>
      <c r="F10532" s="1" t="s">
        <v>162</v>
      </c>
      <c r="H10532" s="1" t="s">
        <v>28140</v>
      </c>
      <c r="I10532" s="1" t="s">
        <v>5</v>
      </c>
      <c r="J10532" s="1" t="s">
        <v>67</v>
      </c>
      <c r="K10532" s="1" t="s">
        <v>14</v>
      </c>
      <c r="M10532" s="2">
        <v>41743</v>
      </c>
      <c r="N10532" s="1" t="s">
        <v>8</v>
      </c>
      <c r="O10532" s="1" t="s">
        <v>68</v>
      </c>
    </row>
    <row r="10533" spans="1:15" ht="43.2" x14ac:dyDescent="0.3">
      <c r="A10533" s="1" t="s">
        <v>28141</v>
      </c>
      <c r="B10533" s="1" t="str">
        <f>"Rhian hARRIS"</f>
        <v>Rhian hARRIS</v>
      </c>
      <c r="C10533" s="1" t="s">
        <v>28142</v>
      </c>
      <c r="F10533" s="1" t="s">
        <v>123</v>
      </c>
      <c r="H10533" s="1" t="s">
        <v>28143</v>
      </c>
      <c r="I10533" s="1" t="s">
        <v>5</v>
      </c>
      <c r="J10533" s="1" t="s">
        <v>67</v>
      </c>
      <c r="K10533" s="1" t="s">
        <v>14</v>
      </c>
      <c r="M10533" s="2">
        <v>41743</v>
      </c>
      <c r="N10533" s="1" t="s">
        <v>8</v>
      </c>
      <c r="O10533" s="1" t="s">
        <v>68</v>
      </c>
    </row>
    <row r="10534" spans="1:15" ht="43.2" x14ac:dyDescent="0.3">
      <c r="A10534" s="1" t="s">
        <v>28144</v>
      </c>
      <c r="B10534" s="1" t="str">
        <f>"Frederik Evans"</f>
        <v>Frederik Evans</v>
      </c>
      <c r="C10534" s="1" t="s">
        <v>28145</v>
      </c>
      <c r="D10534" s="1" t="s">
        <v>4867</v>
      </c>
      <c r="F10534" s="1" t="s">
        <v>211</v>
      </c>
      <c r="H10534" s="1" t="s">
        <v>20180</v>
      </c>
      <c r="I10534" s="1" t="s">
        <v>5</v>
      </c>
      <c r="J10534" s="1" t="s">
        <v>67</v>
      </c>
      <c r="K10534" s="1" t="s">
        <v>14</v>
      </c>
      <c r="M10534" s="2">
        <v>41743</v>
      </c>
      <c r="N10534" s="1" t="s">
        <v>8</v>
      </c>
      <c r="O10534" s="1" t="s">
        <v>68</v>
      </c>
    </row>
    <row r="10535" spans="1:15" ht="43.2" x14ac:dyDescent="0.3">
      <c r="A10535" s="1" t="s">
        <v>28146</v>
      </c>
      <c r="B10535" s="1" t="str">
        <f>"Alan Otteson"</f>
        <v>Alan Otteson</v>
      </c>
      <c r="C10535" s="1" t="s">
        <v>28147</v>
      </c>
      <c r="D10535" s="1" t="s">
        <v>28148</v>
      </c>
      <c r="F10535" s="1" t="s">
        <v>64</v>
      </c>
      <c r="H10535" s="1" t="s">
        <v>28149</v>
      </c>
      <c r="I10535" s="1" t="s">
        <v>5</v>
      </c>
      <c r="J10535" s="1" t="s">
        <v>67</v>
      </c>
      <c r="K10535" s="1" t="s">
        <v>14</v>
      </c>
      <c r="M10535" s="2">
        <v>41743</v>
      </c>
      <c r="N10535" s="1" t="s">
        <v>8</v>
      </c>
      <c r="O10535" s="1" t="s">
        <v>68</v>
      </c>
    </row>
    <row r="10536" spans="1:15" ht="43.2" x14ac:dyDescent="0.3">
      <c r="A10536" s="1" t="s">
        <v>28914</v>
      </c>
      <c r="B10536" s="1" t="str">
        <f>"Kevin Jones"</f>
        <v>Kevin Jones</v>
      </c>
      <c r="C10536" s="1" t="s">
        <v>28915</v>
      </c>
      <c r="D10536" s="1" t="s">
        <v>28916</v>
      </c>
      <c r="F10536" s="1" t="s">
        <v>532</v>
      </c>
      <c r="H10536" s="1" t="s">
        <v>14279</v>
      </c>
      <c r="I10536" s="1" t="s">
        <v>5</v>
      </c>
      <c r="J10536" s="1" t="s">
        <v>67</v>
      </c>
      <c r="K10536" s="1" t="s">
        <v>14</v>
      </c>
      <c r="M10536" s="2">
        <v>41743</v>
      </c>
      <c r="N10536" s="1" t="s">
        <v>8</v>
      </c>
      <c r="O10536" s="1" t="s">
        <v>68</v>
      </c>
    </row>
    <row r="10537" spans="1:15" ht="43.2" x14ac:dyDescent="0.3">
      <c r="A10537" s="1" t="s">
        <v>28917</v>
      </c>
      <c r="B10537" s="1" t="str">
        <f>"Richard Perry"</f>
        <v>Richard Perry</v>
      </c>
      <c r="C10537" s="1" t="s">
        <v>28918</v>
      </c>
      <c r="D10537" s="1" t="s">
        <v>28919</v>
      </c>
      <c r="F10537" s="1" t="s">
        <v>1617</v>
      </c>
      <c r="H10537" s="1" t="s">
        <v>28920</v>
      </c>
      <c r="I10537" s="1" t="s">
        <v>5</v>
      </c>
      <c r="J10537" s="1" t="s">
        <v>67</v>
      </c>
      <c r="K10537" s="1" t="s">
        <v>14</v>
      </c>
      <c r="M10537" s="2">
        <v>41743</v>
      </c>
      <c r="N10537" s="1" t="s">
        <v>8</v>
      </c>
      <c r="O10537" s="1" t="s">
        <v>68</v>
      </c>
    </row>
    <row r="10538" spans="1:15" ht="43.2" x14ac:dyDescent="0.3">
      <c r="A10538" s="1" t="s">
        <v>27356</v>
      </c>
      <c r="B10538" s="1" t="str">
        <f>"Clive McGready"</f>
        <v>Clive McGready</v>
      </c>
      <c r="C10538" s="1" t="s">
        <v>27357</v>
      </c>
      <c r="D10538" s="1" t="s">
        <v>12233</v>
      </c>
      <c r="F10538" s="1" t="s">
        <v>64</v>
      </c>
      <c r="H10538" s="1" t="s">
        <v>27358</v>
      </c>
      <c r="I10538" s="1" t="s">
        <v>5</v>
      </c>
      <c r="J10538" s="1" t="s">
        <v>67</v>
      </c>
      <c r="K10538" s="1" t="s">
        <v>14</v>
      </c>
      <c r="M10538" s="2">
        <v>41742</v>
      </c>
      <c r="N10538" s="1" t="s">
        <v>8</v>
      </c>
      <c r="O10538" s="1" t="s">
        <v>68</v>
      </c>
    </row>
    <row r="10539" spans="1:15" ht="43.2" x14ac:dyDescent="0.3">
      <c r="A10539" s="1" t="s">
        <v>15014</v>
      </c>
      <c r="B10539" s="1" t="str">
        <f>"Trannon Caravan Park"</f>
        <v>Trannon Caravan Park</v>
      </c>
      <c r="C10539" s="1" t="s">
        <v>15015</v>
      </c>
      <c r="D10539" s="1" t="s">
        <v>3142</v>
      </c>
      <c r="F10539" s="1" t="s">
        <v>162</v>
      </c>
      <c r="H10539" s="1" t="s">
        <v>15016</v>
      </c>
      <c r="I10539" s="1" t="s">
        <v>125</v>
      </c>
      <c r="J10539" s="1" t="s">
        <v>67</v>
      </c>
      <c r="K10539" s="1" t="s">
        <v>14</v>
      </c>
      <c r="M10539" s="2">
        <v>41741</v>
      </c>
      <c r="N10539" s="1" t="s">
        <v>8</v>
      </c>
      <c r="O10539" s="1" t="s">
        <v>68</v>
      </c>
    </row>
    <row r="10540" spans="1:15" ht="43.2" x14ac:dyDescent="0.3">
      <c r="A10540" s="1" t="s">
        <v>14156</v>
      </c>
      <c r="B10540" s="1" t="str">
        <f>"Mid Wales Housing Association"</f>
        <v>Mid Wales Housing Association</v>
      </c>
      <c r="C10540" s="1" t="s">
        <v>14157</v>
      </c>
      <c r="F10540" s="1" t="s">
        <v>3465</v>
      </c>
      <c r="H10540" s="1" t="s">
        <v>14158</v>
      </c>
      <c r="I10540" s="1" t="s">
        <v>1872</v>
      </c>
      <c r="J10540" s="1" t="s">
        <v>67</v>
      </c>
      <c r="K10540" s="1" t="s">
        <v>14</v>
      </c>
      <c r="M10540" s="2">
        <v>41740</v>
      </c>
      <c r="N10540" s="1" t="s">
        <v>8</v>
      </c>
      <c r="O10540" s="1" t="s">
        <v>68</v>
      </c>
    </row>
    <row r="10541" spans="1:15" ht="43.2" x14ac:dyDescent="0.3">
      <c r="A10541" s="1" t="s">
        <v>14159</v>
      </c>
      <c r="B10541" s="1" t="str">
        <f>"G and H Hardinges Ltd"</f>
        <v>G and H Hardinges Ltd</v>
      </c>
      <c r="C10541" s="1" t="s">
        <v>14160</v>
      </c>
      <c r="F10541" s="1" t="s">
        <v>72</v>
      </c>
      <c r="H10541" s="1" t="s">
        <v>14161</v>
      </c>
      <c r="I10541" s="1" t="s">
        <v>19</v>
      </c>
      <c r="J10541" s="1" t="s">
        <v>67</v>
      </c>
      <c r="K10541" s="1" t="s">
        <v>14</v>
      </c>
      <c r="M10541" s="2">
        <v>41740</v>
      </c>
      <c r="N10541" s="1" t="s">
        <v>8</v>
      </c>
      <c r="O10541" s="1" t="s">
        <v>68</v>
      </c>
    </row>
    <row r="10542" spans="1:15" ht="43.2" x14ac:dyDescent="0.3">
      <c r="A10542" s="1" t="s">
        <v>14162</v>
      </c>
      <c r="B10542" s="1" t="str">
        <f>"Cefnllys Charity Shop"</f>
        <v>Cefnllys Charity Shop</v>
      </c>
      <c r="C10542" s="1" t="s">
        <v>14163</v>
      </c>
      <c r="D10542" s="1" t="s">
        <v>798</v>
      </c>
      <c r="F10542" s="1" t="s">
        <v>162</v>
      </c>
      <c r="H10542" s="1" t="s">
        <v>14164</v>
      </c>
      <c r="I10542" s="1" t="s">
        <v>1872</v>
      </c>
      <c r="J10542" s="1" t="s">
        <v>67</v>
      </c>
      <c r="K10542" s="1" t="s">
        <v>14</v>
      </c>
      <c r="M10542" s="2">
        <v>41740</v>
      </c>
      <c r="N10542" s="1" t="s">
        <v>8</v>
      </c>
      <c r="O10542" s="1" t="s">
        <v>68</v>
      </c>
    </row>
    <row r="10543" spans="1:15" ht="43.2" x14ac:dyDescent="0.3">
      <c r="A10543" s="1" t="s">
        <v>15002</v>
      </c>
      <c r="B10543" s="1" t="str">
        <f>"G. B Garden &amp; Grounds"</f>
        <v>G. B Garden &amp; Grounds</v>
      </c>
      <c r="C10543" s="1" t="s">
        <v>15003</v>
      </c>
      <c r="F10543" s="1" t="s">
        <v>123</v>
      </c>
      <c r="H10543" s="1" t="s">
        <v>15004</v>
      </c>
      <c r="I10543" s="1" t="s">
        <v>125</v>
      </c>
      <c r="J10543" s="1" t="s">
        <v>67</v>
      </c>
      <c r="K10543" s="1" t="s">
        <v>14</v>
      </c>
      <c r="M10543" s="2">
        <v>41740</v>
      </c>
      <c r="N10543" s="1" t="s">
        <v>8</v>
      </c>
      <c r="O10543" s="1" t="s">
        <v>68</v>
      </c>
    </row>
    <row r="10544" spans="1:15" ht="43.2" x14ac:dyDescent="0.3">
      <c r="A10544" s="1" t="s">
        <v>15005</v>
      </c>
      <c r="B10544" s="1" t="str">
        <f>"Fairley Arpriculture"</f>
        <v>Fairley Arpriculture</v>
      </c>
      <c r="C10544" s="1" t="s">
        <v>15006</v>
      </c>
      <c r="D10544" s="1" t="s">
        <v>15007</v>
      </c>
      <c r="F10544" s="1" t="s">
        <v>3</v>
      </c>
      <c r="H10544" s="1" t="s">
        <v>15008</v>
      </c>
      <c r="I10544" s="1" t="s">
        <v>19</v>
      </c>
      <c r="J10544" s="1" t="s">
        <v>67</v>
      </c>
      <c r="K10544" s="1" t="s">
        <v>14</v>
      </c>
      <c r="M10544" s="2">
        <v>41740</v>
      </c>
      <c r="N10544" s="1" t="s">
        <v>8</v>
      </c>
      <c r="O10544" s="1" t="s">
        <v>68</v>
      </c>
    </row>
    <row r="10545" spans="1:15" ht="43.2" x14ac:dyDescent="0.3">
      <c r="A10545" s="1" t="s">
        <v>15009</v>
      </c>
      <c r="B10545" s="1" t="str">
        <f>"Fairley Arpriculture"</f>
        <v>Fairley Arpriculture</v>
      </c>
      <c r="C10545" s="1" t="s">
        <v>15006</v>
      </c>
      <c r="D10545" s="1" t="s">
        <v>15007</v>
      </c>
      <c r="F10545" s="1" t="s">
        <v>3</v>
      </c>
      <c r="H10545" s="1" t="s">
        <v>15008</v>
      </c>
      <c r="I10545" s="1" t="s">
        <v>19</v>
      </c>
      <c r="J10545" s="1" t="s">
        <v>67</v>
      </c>
      <c r="K10545" s="1" t="s">
        <v>14</v>
      </c>
      <c r="M10545" s="2">
        <v>41740</v>
      </c>
      <c r="N10545" s="1" t="s">
        <v>8</v>
      </c>
      <c r="O10545" s="1" t="s">
        <v>68</v>
      </c>
    </row>
    <row r="10546" spans="1:15" ht="43.2" x14ac:dyDescent="0.3">
      <c r="A10546" s="1" t="s">
        <v>15010</v>
      </c>
      <c r="B10546" s="1" t="str">
        <f>"Fairley Arpriculture"</f>
        <v>Fairley Arpriculture</v>
      </c>
      <c r="C10546" s="1" t="s">
        <v>15006</v>
      </c>
      <c r="D10546" s="1" t="s">
        <v>15007</v>
      </c>
      <c r="F10546" s="1" t="s">
        <v>3</v>
      </c>
      <c r="H10546" s="1" t="s">
        <v>15008</v>
      </c>
      <c r="I10546" s="1" t="s">
        <v>19</v>
      </c>
      <c r="J10546" s="1" t="s">
        <v>67</v>
      </c>
      <c r="K10546" s="1" t="s">
        <v>14</v>
      </c>
      <c r="M10546" s="2">
        <v>41740</v>
      </c>
      <c r="N10546" s="1" t="s">
        <v>8</v>
      </c>
      <c r="O10546" s="1" t="s">
        <v>68</v>
      </c>
    </row>
    <row r="10547" spans="1:15" ht="43.2" x14ac:dyDescent="0.3">
      <c r="A10547" s="1" t="s">
        <v>15011</v>
      </c>
      <c r="B10547" s="1" t="str">
        <f>"Fair Haven Care Home"</f>
        <v>Fair Haven Care Home</v>
      </c>
      <c r="C10547" s="1" t="s">
        <v>15012</v>
      </c>
      <c r="F10547" s="1" t="s">
        <v>358</v>
      </c>
      <c r="H10547" s="1" t="s">
        <v>15013</v>
      </c>
      <c r="I10547" s="1" t="s">
        <v>19</v>
      </c>
      <c r="J10547" s="1" t="s">
        <v>67</v>
      </c>
      <c r="K10547" s="1" t="s">
        <v>14</v>
      </c>
      <c r="M10547" s="2">
        <v>41740</v>
      </c>
      <c r="N10547" s="1" t="s">
        <v>8</v>
      </c>
      <c r="O10547" s="1" t="s">
        <v>68</v>
      </c>
    </row>
    <row r="10548" spans="1:15" ht="43.2" x14ac:dyDescent="0.3">
      <c r="A10548" s="1" t="s">
        <v>26515</v>
      </c>
      <c r="B10548" s="1" t="str">
        <f>"Martyn Blewett"</f>
        <v>Martyn Blewett</v>
      </c>
      <c r="C10548" s="1" t="s">
        <v>26516</v>
      </c>
      <c r="D10548" s="1" t="s">
        <v>13961</v>
      </c>
      <c r="F10548" s="1" t="s">
        <v>354</v>
      </c>
      <c r="H10548" s="1" t="s">
        <v>26517</v>
      </c>
      <c r="I10548" s="1" t="s">
        <v>5</v>
      </c>
      <c r="J10548" s="1" t="s">
        <v>67</v>
      </c>
      <c r="K10548" s="1" t="s">
        <v>14</v>
      </c>
      <c r="M10548" s="2">
        <v>41740</v>
      </c>
      <c r="N10548" s="1" t="s">
        <v>8</v>
      </c>
      <c r="O10548" s="1" t="s">
        <v>68</v>
      </c>
    </row>
    <row r="10549" spans="1:15" ht="43.2" x14ac:dyDescent="0.3">
      <c r="A10549" s="1" t="s">
        <v>26518</v>
      </c>
      <c r="B10549" s="1" t="str">
        <f>"Adnan Latif"</f>
        <v>Adnan Latif</v>
      </c>
      <c r="C10549" s="1" t="s">
        <v>26519</v>
      </c>
      <c r="D10549" s="1" t="s">
        <v>424</v>
      </c>
      <c r="F10549" s="1" t="s">
        <v>64</v>
      </c>
      <c r="H10549" s="1" t="s">
        <v>26520</v>
      </c>
      <c r="I10549" s="1" t="s">
        <v>5</v>
      </c>
      <c r="J10549" s="1" t="s">
        <v>67</v>
      </c>
      <c r="K10549" s="1" t="s">
        <v>14</v>
      </c>
      <c r="M10549" s="2">
        <v>41740</v>
      </c>
      <c r="N10549" s="1" t="s">
        <v>8</v>
      </c>
      <c r="O10549" s="1" t="s">
        <v>68</v>
      </c>
    </row>
    <row r="10550" spans="1:15" ht="43.2" x14ac:dyDescent="0.3">
      <c r="A10550" s="1" t="s">
        <v>26521</v>
      </c>
      <c r="B10550" s="1" t="str">
        <f>"steven Greenow"</f>
        <v>steven Greenow</v>
      </c>
      <c r="C10550" s="1" t="s">
        <v>26522</v>
      </c>
      <c r="F10550" s="1" t="s">
        <v>3336</v>
      </c>
      <c r="H10550" s="1" t="s">
        <v>26523</v>
      </c>
      <c r="I10550" s="1" t="s">
        <v>5</v>
      </c>
      <c r="J10550" s="1" t="s">
        <v>67</v>
      </c>
      <c r="K10550" s="1" t="s">
        <v>14</v>
      </c>
      <c r="M10550" s="2">
        <v>41740</v>
      </c>
      <c r="N10550" s="1" t="s">
        <v>8</v>
      </c>
      <c r="O10550" s="1" t="s">
        <v>68</v>
      </c>
    </row>
    <row r="10551" spans="1:15" ht="43.2" x14ac:dyDescent="0.3">
      <c r="A10551" s="1" t="s">
        <v>26524</v>
      </c>
      <c r="B10551" s="1" t="str">
        <f>"Nick Jones"</f>
        <v>Nick Jones</v>
      </c>
      <c r="C10551" s="1" t="s">
        <v>26525</v>
      </c>
      <c r="D10551" s="1" t="s">
        <v>2459</v>
      </c>
      <c r="F10551" s="1" t="s">
        <v>162</v>
      </c>
      <c r="H10551" s="1" t="s">
        <v>26526</v>
      </c>
      <c r="I10551" s="1" t="s">
        <v>5</v>
      </c>
      <c r="J10551" s="1" t="s">
        <v>67</v>
      </c>
      <c r="K10551" s="1" t="s">
        <v>14</v>
      </c>
      <c r="M10551" s="2">
        <v>41740</v>
      </c>
      <c r="N10551" s="1" t="s">
        <v>8</v>
      </c>
      <c r="O10551" s="1" t="s">
        <v>68</v>
      </c>
    </row>
    <row r="10552" spans="1:15" ht="43.2" x14ac:dyDescent="0.3">
      <c r="A10552" s="1" t="s">
        <v>26527</v>
      </c>
      <c r="B10552" s="1" t="str">
        <f>"Mark Stephen"</f>
        <v>Mark Stephen</v>
      </c>
      <c r="C10552" s="1" t="s">
        <v>26528</v>
      </c>
      <c r="D10552" s="1" t="s">
        <v>20458</v>
      </c>
      <c r="F10552" s="1" t="s">
        <v>42</v>
      </c>
      <c r="H10552" s="1" t="s">
        <v>26529</v>
      </c>
      <c r="I10552" s="1" t="s">
        <v>5</v>
      </c>
      <c r="J10552" s="1" t="s">
        <v>67</v>
      </c>
      <c r="K10552" s="1" t="s">
        <v>14</v>
      </c>
      <c r="M10552" s="2">
        <v>41740</v>
      </c>
      <c r="N10552" s="1" t="s">
        <v>8</v>
      </c>
      <c r="O10552" s="1" t="s">
        <v>68</v>
      </c>
    </row>
    <row r="10553" spans="1:15" ht="43.2" x14ac:dyDescent="0.3">
      <c r="A10553" s="1" t="s">
        <v>26530</v>
      </c>
      <c r="B10553" s="1" t="str">
        <f>"Catherine Protheroe"</f>
        <v>Catherine Protheroe</v>
      </c>
      <c r="C10553" s="1" t="s">
        <v>26531</v>
      </c>
      <c r="D10553" s="1" t="s">
        <v>26532</v>
      </c>
      <c r="F10553" s="1" t="s">
        <v>64</v>
      </c>
      <c r="H10553" s="1" t="s">
        <v>26533</v>
      </c>
      <c r="I10553" s="1" t="s">
        <v>5</v>
      </c>
      <c r="J10553" s="1" t="s">
        <v>67</v>
      </c>
      <c r="K10553" s="1" t="s">
        <v>14</v>
      </c>
      <c r="M10553" s="2">
        <v>41740</v>
      </c>
      <c r="N10553" s="1" t="s">
        <v>8</v>
      </c>
      <c r="O10553" s="1" t="s">
        <v>68</v>
      </c>
    </row>
    <row r="10554" spans="1:15" ht="43.2" x14ac:dyDescent="0.3">
      <c r="A10554" s="1" t="s">
        <v>26534</v>
      </c>
      <c r="B10554" s="1" t="str">
        <f>"Pheone Husson"</f>
        <v>Pheone Husson</v>
      </c>
      <c r="C10554" s="1" t="s">
        <v>26535</v>
      </c>
      <c r="F10554" s="1" t="s">
        <v>798</v>
      </c>
      <c r="H10554" s="1" t="s">
        <v>147</v>
      </c>
      <c r="I10554" s="1" t="s">
        <v>5</v>
      </c>
      <c r="J10554" s="1" t="s">
        <v>67</v>
      </c>
      <c r="K10554" s="1" t="s">
        <v>14</v>
      </c>
      <c r="M10554" s="2">
        <v>41740</v>
      </c>
      <c r="N10554" s="1" t="s">
        <v>8</v>
      </c>
      <c r="O10554" s="1" t="s">
        <v>68</v>
      </c>
    </row>
    <row r="10555" spans="1:15" ht="43.2" x14ac:dyDescent="0.3">
      <c r="A10555" s="1" t="s">
        <v>27337</v>
      </c>
      <c r="B10555" s="1" t="str">
        <f>"Daniel Zimmer"</f>
        <v>Daniel Zimmer</v>
      </c>
      <c r="C10555" s="1" t="s">
        <v>27338</v>
      </c>
      <c r="F10555" s="1" t="s">
        <v>1206</v>
      </c>
      <c r="H10555" s="1" t="s">
        <v>21879</v>
      </c>
      <c r="I10555" s="1" t="s">
        <v>5</v>
      </c>
      <c r="J10555" s="1" t="s">
        <v>67</v>
      </c>
      <c r="K10555" s="1" t="s">
        <v>14</v>
      </c>
      <c r="M10555" s="2">
        <v>41740</v>
      </c>
      <c r="N10555" s="1" t="s">
        <v>8</v>
      </c>
      <c r="O10555" s="1" t="s">
        <v>68</v>
      </c>
    </row>
    <row r="10556" spans="1:15" ht="43.2" x14ac:dyDescent="0.3">
      <c r="A10556" s="1" t="s">
        <v>27339</v>
      </c>
      <c r="B10556" s="1" t="str">
        <f>"Simon Wood"</f>
        <v>Simon Wood</v>
      </c>
      <c r="C10556" s="1" t="s">
        <v>27340</v>
      </c>
      <c r="F10556" s="1" t="s">
        <v>162</v>
      </c>
      <c r="H10556" s="1" t="s">
        <v>27341</v>
      </c>
      <c r="I10556" s="1" t="s">
        <v>5</v>
      </c>
      <c r="J10556" s="1" t="s">
        <v>67</v>
      </c>
      <c r="K10556" s="1" t="s">
        <v>14</v>
      </c>
      <c r="M10556" s="2">
        <v>41740</v>
      </c>
      <c r="N10556" s="1" t="s">
        <v>8</v>
      </c>
      <c r="O10556" s="1" t="s">
        <v>68</v>
      </c>
    </row>
    <row r="10557" spans="1:15" ht="43.2" x14ac:dyDescent="0.3">
      <c r="A10557" s="1" t="s">
        <v>27342</v>
      </c>
      <c r="B10557" s="1" t="str">
        <f>"John Mitchell"</f>
        <v>John Mitchell</v>
      </c>
      <c r="C10557" s="1" t="s">
        <v>27343</v>
      </c>
      <c r="D10557" s="1" t="s">
        <v>27344</v>
      </c>
      <c r="F10557" s="1" t="s">
        <v>64</v>
      </c>
      <c r="H10557" s="1" t="s">
        <v>27345</v>
      </c>
      <c r="I10557" s="1" t="s">
        <v>5</v>
      </c>
      <c r="J10557" s="1" t="s">
        <v>67</v>
      </c>
      <c r="K10557" s="1" t="s">
        <v>14</v>
      </c>
      <c r="M10557" s="2">
        <v>41740</v>
      </c>
      <c r="N10557" s="1" t="s">
        <v>8</v>
      </c>
      <c r="O10557" s="1" t="s">
        <v>68</v>
      </c>
    </row>
    <row r="10558" spans="1:15" ht="43.2" x14ac:dyDescent="0.3">
      <c r="A10558" s="1" t="s">
        <v>27346</v>
      </c>
      <c r="B10558" s="1" t="str">
        <f>"Patricia Morris"</f>
        <v>Patricia Morris</v>
      </c>
      <c r="C10558" s="1" t="s">
        <v>27347</v>
      </c>
      <c r="F10558" s="1" t="s">
        <v>27348</v>
      </c>
      <c r="H10558" s="1" t="s">
        <v>27349</v>
      </c>
      <c r="I10558" s="1" t="s">
        <v>5</v>
      </c>
      <c r="J10558" s="1" t="s">
        <v>67</v>
      </c>
      <c r="K10558" s="1" t="s">
        <v>14</v>
      </c>
      <c r="M10558" s="2">
        <v>41740</v>
      </c>
      <c r="N10558" s="1" t="s">
        <v>8</v>
      </c>
      <c r="O10558" s="1" t="s">
        <v>68</v>
      </c>
    </row>
    <row r="10559" spans="1:15" ht="43.2" x14ac:dyDescent="0.3">
      <c r="A10559" s="1" t="s">
        <v>27350</v>
      </c>
      <c r="B10559" s="1" t="str">
        <f>"Mark Edwards"</f>
        <v>Mark Edwards</v>
      </c>
      <c r="C10559" s="1" t="s">
        <v>27351</v>
      </c>
      <c r="D10559" s="1" t="s">
        <v>10122</v>
      </c>
      <c r="F10559" s="1" t="s">
        <v>1240</v>
      </c>
      <c r="H10559" s="1" t="s">
        <v>27352</v>
      </c>
      <c r="I10559" s="1" t="s">
        <v>5</v>
      </c>
      <c r="J10559" s="1" t="s">
        <v>67</v>
      </c>
      <c r="K10559" s="1" t="s">
        <v>14</v>
      </c>
      <c r="M10559" s="2">
        <v>41740</v>
      </c>
      <c r="N10559" s="1" t="s">
        <v>8</v>
      </c>
      <c r="O10559" s="1" t="s">
        <v>68</v>
      </c>
    </row>
    <row r="10560" spans="1:15" ht="43.2" x14ac:dyDescent="0.3">
      <c r="A10560" s="1" t="s">
        <v>27353</v>
      </c>
      <c r="B10560" s="1" t="str">
        <f>"Richard Mason"</f>
        <v>Richard Mason</v>
      </c>
      <c r="C10560" s="1" t="s">
        <v>27354</v>
      </c>
      <c r="D10560" s="1" t="s">
        <v>491</v>
      </c>
      <c r="F10560" s="1" t="s">
        <v>3691</v>
      </c>
      <c r="H10560" s="1" t="s">
        <v>27355</v>
      </c>
      <c r="I10560" s="1" t="s">
        <v>5</v>
      </c>
      <c r="J10560" s="1" t="s">
        <v>67</v>
      </c>
      <c r="K10560" s="1" t="s">
        <v>14</v>
      </c>
      <c r="M10560" s="2">
        <v>41740</v>
      </c>
      <c r="N10560" s="1" t="s">
        <v>8</v>
      </c>
      <c r="O10560" s="1" t="s">
        <v>68</v>
      </c>
    </row>
    <row r="10561" spans="1:15" ht="43.2" x14ac:dyDescent="0.3">
      <c r="A10561" s="1" t="s">
        <v>12152</v>
      </c>
      <c r="B10561" s="1" t="str">
        <f>"Enfys Engineering"</f>
        <v>Enfys Engineering</v>
      </c>
      <c r="C10561" s="1" t="s">
        <v>12153</v>
      </c>
      <c r="D10561" s="1" t="s">
        <v>12154</v>
      </c>
      <c r="F10561" s="1" t="s">
        <v>359</v>
      </c>
      <c r="H10561" s="1" t="s">
        <v>12155</v>
      </c>
      <c r="I10561" s="1" t="s">
        <v>19</v>
      </c>
      <c r="J10561" s="1" t="s">
        <v>67</v>
      </c>
      <c r="K10561" s="1" t="s">
        <v>14</v>
      </c>
      <c r="M10561" s="2">
        <v>41739</v>
      </c>
      <c r="N10561" s="1" t="s">
        <v>8</v>
      </c>
      <c r="O10561" s="1" t="s">
        <v>68</v>
      </c>
    </row>
    <row r="10562" spans="1:15" ht="43.2" x14ac:dyDescent="0.3">
      <c r="A10562" s="1" t="s">
        <v>13172</v>
      </c>
      <c r="B10562" s="1" t="str">
        <f>"McCartneys LLP"</f>
        <v>McCartneys LLP</v>
      </c>
      <c r="C10562" s="1" t="s">
        <v>13173</v>
      </c>
      <c r="F10562" s="1" t="s">
        <v>3337</v>
      </c>
      <c r="H10562" s="1" t="s">
        <v>11782</v>
      </c>
      <c r="I10562" s="1" t="s">
        <v>125</v>
      </c>
      <c r="J10562" s="1" t="s">
        <v>67</v>
      </c>
      <c r="K10562" s="1" t="s">
        <v>14</v>
      </c>
      <c r="M10562" s="2">
        <v>41739</v>
      </c>
      <c r="N10562" s="1" t="s">
        <v>8</v>
      </c>
      <c r="O10562" s="1" t="s">
        <v>68</v>
      </c>
    </row>
    <row r="10563" spans="1:15" ht="43.2" x14ac:dyDescent="0.3">
      <c r="A10563" s="1" t="s">
        <v>13174</v>
      </c>
      <c r="B10563" s="1" t="str">
        <f>"fabric house"</f>
        <v>fabric house</v>
      </c>
      <c r="C10563" s="1" t="s">
        <v>13175</v>
      </c>
      <c r="F10563" s="1" t="s">
        <v>13176</v>
      </c>
      <c r="H10563" s="1" t="s">
        <v>13177</v>
      </c>
      <c r="I10563" s="1" t="s">
        <v>125</v>
      </c>
      <c r="J10563" s="1" t="s">
        <v>67</v>
      </c>
      <c r="K10563" s="1" t="s">
        <v>14</v>
      </c>
      <c r="M10563" s="2">
        <v>41739</v>
      </c>
      <c r="N10563" s="1" t="s">
        <v>8</v>
      </c>
      <c r="O10563" s="1" t="s">
        <v>68</v>
      </c>
    </row>
    <row r="10564" spans="1:15" ht="43.2" x14ac:dyDescent="0.3">
      <c r="A10564" s="1" t="s">
        <v>13178</v>
      </c>
      <c r="B10564" s="1" t="str">
        <f>"Roundhouse"</f>
        <v>Roundhouse</v>
      </c>
      <c r="C10564" s="1" t="s">
        <v>13179</v>
      </c>
      <c r="F10564" s="1" t="s">
        <v>64</v>
      </c>
      <c r="H10564" s="1" t="s">
        <v>11021</v>
      </c>
      <c r="I10564" s="1" t="s">
        <v>19</v>
      </c>
      <c r="J10564" s="1" t="s">
        <v>67</v>
      </c>
      <c r="K10564" s="1" t="s">
        <v>14</v>
      </c>
      <c r="M10564" s="2">
        <v>41739</v>
      </c>
      <c r="N10564" s="1" t="s">
        <v>8</v>
      </c>
      <c r="O10564" s="1" t="s">
        <v>68</v>
      </c>
    </row>
    <row r="10565" spans="1:15" ht="43.2" x14ac:dyDescent="0.3">
      <c r="A10565" s="1" t="s">
        <v>13180</v>
      </c>
      <c r="B10565" s="1" t="str">
        <f>"Ground Force Trevethin"</f>
        <v>Ground Force Trevethin</v>
      </c>
      <c r="C10565" s="1" t="s">
        <v>13181</v>
      </c>
      <c r="D10565" s="1" t="s">
        <v>3988</v>
      </c>
      <c r="F10565" s="1" t="s">
        <v>1058</v>
      </c>
      <c r="H10565" s="1" t="s">
        <v>13182</v>
      </c>
      <c r="I10565" s="1" t="s">
        <v>19</v>
      </c>
      <c r="J10565" s="1" t="s">
        <v>67</v>
      </c>
      <c r="K10565" s="1" t="s">
        <v>14</v>
      </c>
      <c r="M10565" s="2">
        <v>41739</v>
      </c>
      <c r="N10565" s="1" t="s">
        <v>8</v>
      </c>
      <c r="O10565" s="1" t="s">
        <v>68</v>
      </c>
    </row>
    <row r="10566" spans="1:15" ht="43.2" x14ac:dyDescent="0.3">
      <c r="A10566" s="1" t="s">
        <v>13183</v>
      </c>
      <c r="B10566" s="1" t="str">
        <f>"White Lion"</f>
        <v>White Lion</v>
      </c>
      <c r="C10566" s="1" t="s">
        <v>13184</v>
      </c>
      <c r="D10566" s="1" t="s">
        <v>13185</v>
      </c>
      <c r="F10566" s="1" t="s">
        <v>13186</v>
      </c>
      <c r="H10566" s="1" t="s">
        <v>13187</v>
      </c>
      <c r="I10566" s="1" t="s">
        <v>188</v>
      </c>
      <c r="J10566" s="1" t="s">
        <v>67</v>
      </c>
      <c r="K10566" s="1" t="s">
        <v>14</v>
      </c>
      <c r="M10566" s="2">
        <v>41739</v>
      </c>
      <c r="N10566" s="1" t="s">
        <v>8</v>
      </c>
      <c r="O10566" s="1" t="s">
        <v>68</v>
      </c>
    </row>
    <row r="10567" spans="1:15" ht="43.2" x14ac:dyDescent="0.3">
      <c r="A10567" s="1" t="s">
        <v>13188</v>
      </c>
      <c r="B10567" s="1" t="str">
        <f>"Brecon Advice Centre"</f>
        <v>Brecon Advice Centre</v>
      </c>
      <c r="C10567" s="1" t="s">
        <v>13189</v>
      </c>
      <c r="D10567" s="1" t="s">
        <v>1206</v>
      </c>
      <c r="F10567" s="1" t="s">
        <v>162</v>
      </c>
      <c r="H10567" s="1" t="s">
        <v>13190</v>
      </c>
      <c r="I10567" s="1" t="s">
        <v>125</v>
      </c>
      <c r="J10567" s="1" t="s">
        <v>67</v>
      </c>
      <c r="K10567" s="1" t="s">
        <v>14</v>
      </c>
      <c r="M10567" s="2">
        <v>41739</v>
      </c>
      <c r="N10567" s="1" t="s">
        <v>8</v>
      </c>
      <c r="O10567" s="1" t="s">
        <v>68</v>
      </c>
    </row>
    <row r="10568" spans="1:15" ht="43.2" x14ac:dyDescent="0.3">
      <c r="A10568" s="1" t="s">
        <v>13191</v>
      </c>
      <c r="B10568" s="1" t="str">
        <f>"The Kendrick"</f>
        <v>The Kendrick</v>
      </c>
      <c r="C10568" s="1" t="s">
        <v>13192</v>
      </c>
      <c r="F10568" s="1" t="s">
        <v>3242</v>
      </c>
      <c r="H10568" s="1" t="s">
        <v>8888</v>
      </c>
      <c r="I10568" s="1" t="s">
        <v>125</v>
      </c>
      <c r="J10568" s="1" t="s">
        <v>67</v>
      </c>
      <c r="K10568" s="1" t="s">
        <v>14</v>
      </c>
      <c r="M10568" s="2">
        <v>41739</v>
      </c>
      <c r="N10568" s="1" t="s">
        <v>8</v>
      </c>
      <c r="O10568" s="1" t="s">
        <v>68</v>
      </c>
    </row>
    <row r="10569" spans="1:15" ht="43.2" x14ac:dyDescent="0.3">
      <c r="A10569" s="1" t="s">
        <v>13193</v>
      </c>
      <c r="B10569" s="1" t="str">
        <f>"Gas Services Wales Ltd"</f>
        <v>Gas Services Wales Ltd</v>
      </c>
      <c r="C10569" s="1" t="s">
        <v>13194</v>
      </c>
      <c r="D10569" s="1" t="s">
        <v>13195</v>
      </c>
      <c r="F10569" s="1" t="s">
        <v>64</v>
      </c>
      <c r="H10569" s="1" t="s">
        <v>13196</v>
      </c>
      <c r="I10569" s="1" t="s">
        <v>19</v>
      </c>
      <c r="J10569" s="1" t="s">
        <v>67</v>
      </c>
      <c r="K10569" s="1" t="s">
        <v>14</v>
      </c>
      <c r="M10569" s="2">
        <v>41739</v>
      </c>
      <c r="N10569" s="1" t="s">
        <v>8</v>
      </c>
      <c r="O10569" s="1" t="s">
        <v>68</v>
      </c>
    </row>
    <row r="10570" spans="1:15" ht="43.2" x14ac:dyDescent="0.3">
      <c r="A10570" s="1" t="s">
        <v>13197</v>
      </c>
      <c r="B10570" s="1" t="str">
        <f>"D and S Bamford Ltd"</f>
        <v>D and S Bamford Ltd</v>
      </c>
      <c r="C10570" s="1" t="s">
        <v>4360</v>
      </c>
      <c r="D10570" s="1" t="s">
        <v>2859</v>
      </c>
      <c r="F10570" s="1" t="s">
        <v>162</v>
      </c>
      <c r="H10570" s="1" t="s">
        <v>4361</v>
      </c>
      <c r="I10570" s="1" t="s">
        <v>19</v>
      </c>
      <c r="J10570" s="1" t="s">
        <v>67</v>
      </c>
      <c r="K10570" s="1" t="s">
        <v>14</v>
      </c>
      <c r="M10570" s="2">
        <v>41739</v>
      </c>
      <c r="N10570" s="1" t="s">
        <v>8</v>
      </c>
      <c r="O10570" s="1" t="s">
        <v>68</v>
      </c>
    </row>
    <row r="10571" spans="1:15" ht="43.2" x14ac:dyDescent="0.3">
      <c r="A10571" s="1" t="s">
        <v>14149</v>
      </c>
      <c r="B10571" s="1" t="str">
        <f>"Highrogue 2010 Ltd"</f>
        <v>Highrogue 2010 Ltd</v>
      </c>
      <c r="C10571" s="1" t="s">
        <v>14150</v>
      </c>
      <c r="D10571" s="1" t="s">
        <v>5827</v>
      </c>
      <c r="F10571" s="1" t="s">
        <v>720</v>
      </c>
      <c r="H10571" s="1" t="s">
        <v>10353</v>
      </c>
      <c r="I10571" s="1" t="s">
        <v>19</v>
      </c>
      <c r="J10571" s="1" t="s">
        <v>67</v>
      </c>
      <c r="K10571" s="1" t="s">
        <v>14</v>
      </c>
      <c r="M10571" s="2">
        <v>41739</v>
      </c>
      <c r="N10571" s="1" t="s">
        <v>8</v>
      </c>
      <c r="O10571" s="1" t="s">
        <v>68</v>
      </c>
    </row>
    <row r="10572" spans="1:15" ht="43.2" x14ac:dyDescent="0.3">
      <c r="A10572" s="1" t="s">
        <v>14151</v>
      </c>
      <c r="B10572" s="1" t="str">
        <f>"Grwp Gwawa Cyf"</f>
        <v>Grwp Gwawa Cyf</v>
      </c>
      <c r="C10572" s="1" t="s">
        <v>14152</v>
      </c>
      <c r="F10572" s="1" t="s">
        <v>64</v>
      </c>
      <c r="H10572" s="1" t="s">
        <v>14153</v>
      </c>
      <c r="I10572" s="1" t="s">
        <v>125</v>
      </c>
      <c r="J10572" s="1" t="s">
        <v>67</v>
      </c>
      <c r="K10572" s="1" t="s">
        <v>14</v>
      </c>
      <c r="M10572" s="2">
        <v>41739</v>
      </c>
      <c r="N10572" s="1" t="s">
        <v>8</v>
      </c>
      <c r="O10572" s="1" t="s">
        <v>68</v>
      </c>
    </row>
    <row r="10573" spans="1:15" ht="43.2" x14ac:dyDescent="0.3">
      <c r="A10573" s="1" t="s">
        <v>14154</v>
      </c>
      <c r="B10573" s="1" t="str">
        <f>"La Dolce Vita Italia Ltd"</f>
        <v>La Dolce Vita Italia Ltd</v>
      </c>
      <c r="C10573" s="1" t="s">
        <v>14155</v>
      </c>
      <c r="F10573" s="1" t="s">
        <v>4436</v>
      </c>
      <c r="H10573" s="1" t="s">
        <v>6455</v>
      </c>
      <c r="I10573" s="1" t="s">
        <v>19</v>
      </c>
      <c r="J10573" s="1" t="s">
        <v>67</v>
      </c>
      <c r="K10573" s="1" t="s">
        <v>14</v>
      </c>
      <c r="M10573" s="2">
        <v>41739</v>
      </c>
      <c r="N10573" s="1" t="s">
        <v>8</v>
      </c>
      <c r="O10573" s="1" t="s">
        <v>68</v>
      </c>
    </row>
    <row r="10574" spans="1:15" ht="43.2" x14ac:dyDescent="0.3">
      <c r="A10574" s="1" t="s">
        <v>25765</v>
      </c>
      <c r="B10574" s="1" t="str">
        <f>"Angelo Colarusso"</f>
        <v>Angelo Colarusso</v>
      </c>
      <c r="C10574" s="1" t="s">
        <v>25766</v>
      </c>
      <c r="F10574" s="1" t="s">
        <v>42</v>
      </c>
      <c r="H10574" s="1" t="s">
        <v>25767</v>
      </c>
      <c r="I10574" s="1" t="s">
        <v>5</v>
      </c>
      <c r="J10574" s="1" t="s">
        <v>67</v>
      </c>
      <c r="K10574" s="1" t="s">
        <v>14</v>
      </c>
      <c r="M10574" s="2">
        <v>41739</v>
      </c>
      <c r="N10574" s="1" t="s">
        <v>8</v>
      </c>
      <c r="O10574" s="1" t="s">
        <v>68</v>
      </c>
    </row>
    <row r="10575" spans="1:15" ht="43.2" x14ac:dyDescent="0.3">
      <c r="A10575" s="1" t="s">
        <v>25768</v>
      </c>
      <c r="B10575" s="1" t="str">
        <f>"Brian Ellis"</f>
        <v>Brian Ellis</v>
      </c>
      <c r="C10575" s="1" t="s">
        <v>25769</v>
      </c>
      <c r="F10575" s="1" t="s">
        <v>162</v>
      </c>
      <c r="H10575" s="1" t="s">
        <v>25770</v>
      </c>
      <c r="I10575" s="1" t="s">
        <v>5</v>
      </c>
      <c r="J10575" s="1" t="s">
        <v>67</v>
      </c>
      <c r="K10575" s="1" t="s">
        <v>14</v>
      </c>
      <c r="M10575" s="2">
        <v>41739</v>
      </c>
      <c r="N10575" s="1" t="s">
        <v>8</v>
      </c>
      <c r="O10575" s="1" t="s">
        <v>68</v>
      </c>
    </row>
    <row r="10576" spans="1:15" ht="43.2" x14ac:dyDescent="0.3">
      <c r="A10576" s="1" t="s">
        <v>25771</v>
      </c>
      <c r="B10576" s="1" t="str">
        <f>"Peter Mayall"</f>
        <v>Peter Mayall</v>
      </c>
      <c r="C10576" s="1" t="s">
        <v>25772</v>
      </c>
      <c r="D10576" s="1" t="s">
        <v>3336</v>
      </c>
      <c r="F10576" s="1" t="s">
        <v>3337</v>
      </c>
      <c r="H10576" s="1" t="s">
        <v>3338</v>
      </c>
      <c r="I10576" s="1" t="s">
        <v>5</v>
      </c>
      <c r="J10576" s="1" t="s">
        <v>67</v>
      </c>
      <c r="K10576" s="1" t="s">
        <v>14</v>
      </c>
      <c r="M10576" s="2">
        <v>41739</v>
      </c>
      <c r="N10576" s="1" t="s">
        <v>8</v>
      </c>
      <c r="O10576" s="1" t="s">
        <v>68</v>
      </c>
    </row>
    <row r="10577" spans="1:15" ht="43.2" x14ac:dyDescent="0.3">
      <c r="A10577" s="1" t="s">
        <v>25773</v>
      </c>
      <c r="B10577" s="1" t="str">
        <f>"nigel campfield"</f>
        <v>nigel campfield</v>
      </c>
      <c r="C10577" s="1" t="s">
        <v>25774</v>
      </c>
      <c r="D10577" s="1" t="s">
        <v>16005</v>
      </c>
      <c r="F10577" s="1" t="s">
        <v>1525</v>
      </c>
      <c r="H10577" s="1" t="s">
        <v>25775</v>
      </c>
      <c r="I10577" s="1" t="s">
        <v>5</v>
      </c>
      <c r="J10577" s="1" t="s">
        <v>67</v>
      </c>
      <c r="K10577" s="1" t="s">
        <v>14</v>
      </c>
      <c r="M10577" s="2">
        <v>41739</v>
      </c>
      <c r="N10577" s="1" t="s">
        <v>8</v>
      </c>
      <c r="O10577" s="1" t="s">
        <v>68</v>
      </c>
    </row>
    <row r="10578" spans="1:15" ht="43.2" x14ac:dyDescent="0.3">
      <c r="A10578" s="1" t="s">
        <v>25776</v>
      </c>
      <c r="B10578" s="1" t="str">
        <f>"Mark Wood"</f>
        <v>Mark Wood</v>
      </c>
      <c r="C10578" s="1" t="s">
        <v>25777</v>
      </c>
      <c r="D10578" s="1" t="s">
        <v>2</v>
      </c>
      <c r="F10578" s="1" t="s">
        <v>3</v>
      </c>
      <c r="H10578" s="1" t="s">
        <v>25778</v>
      </c>
      <c r="I10578" s="1" t="s">
        <v>5</v>
      </c>
      <c r="J10578" s="1" t="s">
        <v>67</v>
      </c>
      <c r="K10578" s="1" t="s">
        <v>14</v>
      </c>
      <c r="M10578" s="2">
        <v>41739</v>
      </c>
      <c r="N10578" s="1" t="s">
        <v>8</v>
      </c>
      <c r="O10578" s="1" t="s">
        <v>68</v>
      </c>
    </row>
    <row r="10579" spans="1:15" ht="43.2" x14ac:dyDescent="0.3">
      <c r="A10579" s="1" t="s">
        <v>25779</v>
      </c>
      <c r="B10579" s="1" t="str">
        <f>"Hugh Quan"</f>
        <v>Hugh Quan</v>
      </c>
      <c r="C10579" s="1" t="s">
        <v>25780</v>
      </c>
      <c r="D10579" s="1" t="s">
        <v>25781</v>
      </c>
      <c r="F10579" s="1" t="s">
        <v>7961</v>
      </c>
      <c r="H10579" s="1" t="s">
        <v>25782</v>
      </c>
      <c r="I10579" s="1" t="s">
        <v>5</v>
      </c>
      <c r="J10579" s="1" t="s">
        <v>67</v>
      </c>
      <c r="K10579" s="1" t="s">
        <v>14</v>
      </c>
      <c r="M10579" s="2">
        <v>41739</v>
      </c>
      <c r="N10579" s="1" t="s">
        <v>8</v>
      </c>
      <c r="O10579" s="1" t="s">
        <v>68</v>
      </c>
    </row>
    <row r="10580" spans="1:15" ht="43.2" x14ac:dyDescent="0.3">
      <c r="A10580" s="1" t="s">
        <v>25783</v>
      </c>
      <c r="B10580" s="1" t="str">
        <f>"Manoj Makwana"</f>
        <v>Manoj Makwana</v>
      </c>
      <c r="C10580" s="1" t="s">
        <v>25784</v>
      </c>
      <c r="D10580" s="1" t="s">
        <v>8834</v>
      </c>
      <c r="F10580" s="1" t="s">
        <v>123</v>
      </c>
      <c r="H10580" s="1" t="s">
        <v>25785</v>
      </c>
      <c r="I10580" s="1" t="s">
        <v>5</v>
      </c>
      <c r="J10580" s="1" t="s">
        <v>67</v>
      </c>
      <c r="K10580" s="1" t="s">
        <v>14</v>
      </c>
      <c r="M10580" s="2">
        <v>41739</v>
      </c>
      <c r="N10580" s="1" t="s">
        <v>8</v>
      </c>
      <c r="O10580" s="1" t="s">
        <v>68</v>
      </c>
    </row>
    <row r="10581" spans="1:15" ht="43.2" x14ac:dyDescent="0.3">
      <c r="A10581" s="1" t="s">
        <v>26506</v>
      </c>
      <c r="B10581" s="1" t="str">
        <f>"Raja Sultan"</f>
        <v>Raja Sultan</v>
      </c>
      <c r="C10581" s="1" t="s">
        <v>26507</v>
      </c>
      <c r="F10581" s="1" t="s">
        <v>123</v>
      </c>
      <c r="H10581" s="1" t="s">
        <v>26508</v>
      </c>
      <c r="I10581" s="1" t="s">
        <v>5</v>
      </c>
      <c r="J10581" s="1" t="s">
        <v>67</v>
      </c>
      <c r="K10581" s="1" t="s">
        <v>14</v>
      </c>
      <c r="M10581" s="2">
        <v>41739</v>
      </c>
      <c r="N10581" s="1" t="s">
        <v>8</v>
      </c>
      <c r="O10581" s="1" t="s">
        <v>68</v>
      </c>
    </row>
    <row r="10582" spans="1:15" ht="43.2" x14ac:dyDescent="0.3">
      <c r="A10582" s="1" t="s">
        <v>26509</v>
      </c>
      <c r="B10582" s="1" t="str">
        <f>"Richard Bailie"</f>
        <v>Richard Bailie</v>
      </c>
      <c r="C10582" s="1" t="s">
        <v>26510</v>
      </c>
      <c r="D10582" s="1" t="s">
        <v>5506</v>
      </c>
      <c r="F10582" s="1" t="s">
        <v>162</v>
      </c>
      <c r="H10582" s="1" t="s">
        <v>26511</v>
      </c>
      <c r="I10582" s="1" t="s">
        <v>5</v>
      </c>
      <c r="J10582" s="1" t="s">
        <v>67</v>
      </c>
      <c r="K10582" s="1" t="s">
        <v>14</v>
      </c>
      <c r="M10582" s="2">
        <v>41739</v>
      </c>
      <c r="N10582" s="1" t="s">
        <v>8</v>
      </c>
      <c r="O10582" s="1" t="s">
        <v>68</v>
      </c>
    </row>
    <row r="10583" spans="1:15" ht="43.2" x14ac:dyDescent="0.3">
      <c r="A10583" s="1" t="s">
        <v>26512</v>
      </c>
      <c r="B10583" s="1" t="str">
        <f>"John Metcalf"</f>
        <v>John Metcalf</v>
      </c>
      <c r="C10583" s="1" t="s">
        <v>26513</v>
      </c>
      <c r="D10583" s="1" t="s">
        <v>20969</v>
      </c>
      <c r="F10583" s="1" t="s">
        <v>2459</v>
      </c>
      <c r="H10583" s="1" t="s">
        <v>26514</v>
      </c>
      <c r="I10583" s="1" t="s">
        <v>5</v>
      </c>
      <c r="J10583" s="1" t="s">
        <v>67</v>
      </c>
      <c r="K10583" s="1" t="s">
        <v>14</v>
      </c>
      <c r="M10583" s="2">
        <v>41739</v>
      </c>
      <c r="N10583" s="1" t="s">
        <v>8</v>
      </c>
      <c r="O10583" s="1" t="s">
        <v>68</v>
      </c>
    </row>
    <row r="10584" spans="1:15" ht="43.2" x14ac:dyDescent="0.3">
      <c r="A10584" s="1" t="s">
        <v>11122</v>
      </c>
      <c r="B10584" s="1" t="str">
        <f>"B W Ryder &amp; Co Ltd"</f>
        <v>B W Ryder &amp; Co Ltd</v>
      </c>
      <c r="C10584" s="1" t="s">
        <v>11123</v>
      </c>
      <c r="F10584" s="1" t="s">
        <v>11124</v>
      </c>
      <c r="H10584" s="1" t="s">
        <v>8884</v>
      </c>
      <c r="I10584" s="1" t="s">
        <v>19</v>
      </c>
      <c r="J10584" s="1" t="s">
        <v>67</v>
      </c>
      <c r="K10584" s="1" t="s">
        <v>14</v>
      </c>
      <c r="M10584" s="2">
        <v>41738</v>
      </c>
      <c r="N10584" s="1" t="s">
        <v>8</v>
      </c>
      <c r="O10584" s="1" t="s">
        <v>68</v>
      </c>
    </row>
    <row r="10585" spans="1:15" ht="43.2" x14ac:dyDescent="0.3">
      <c r="A10585" s="1" t="s">
        <v>11125</v>
      </c>
      <c r="B10585" s="1" t="str">
        <f>"St Mary's Bakery Ltd"</f>
        <v>St Mary's Bakery Ltd</v>
      </c>
      <c r="C10585" s="1" t="s">
        <v>11126</v>
      </c>
      <c r="D10585" s="1" t="s">
        <v>1206</v>
      </c>
      <c r="F10585" s="1" t="s">
        <v>162</v>
      </c>
      <c r="H10585" s="1" t="s">
        <v>11127</v>
      </c>
      <c r="I10585" s="1" t="s">
        <v>19</v>
      </c>
      <c r="J10585" s="1" t="s">
        <v>67</v>
      </c>
      <c r="K10585" s="1" t="s">
        <v>14</v>
      </c>
      <c r="M10585" s="2">
        <v>41738</v>
      </c>
      <c r="N10585" s="1" t="s">
        <v>8</v>
      </c>
      <c r="O10585" s="1" t="s">
        <v>68</v>
      </c>
    </row>
    <row r="10586" spans="1:15" ht="43.2" x14ac:dyDescent="0.3">
      <c r="A10586" s="1" t="s">
        <v>11128</v>
      </c>
      <c r="B10586" s="1" t="str">
        <f>"Emark Ltd"</f>
        <v>Emark Ltd</v>
      </c>
      <c r="C10586" s="1" t="s">
        <v>11129</v>
      </c>
      <c r="D10586" s="1" t="s">
        <v>11130</v>
      </c>
      <c r="F10586" s="1" t="s">
        <v>665</v>
      </c>
      <c r="H10586" s="1" t="s">
        <v>11131</v>
      </c>
      <c r="I10586" s="1" t="s">
        <v>19</v>
      </c>
      <c r="J10586" s="1" t="s">
        <v>67</v>
      </c>
      <c r="K10586" s="1" t="s">
        <v>14</v>
      </c>
      <c r="M10586" s="2">
        <v>41738</v>
      </c>
      <c r="N10586" s="1" t="s">
        <v>8</v>
      </c>
      <c r="O10586" s="1" t="s">
        <v>68</v>
      </c>
    </row>
    <row r="10587" spans="1:15" ht="43.2" x14ac:dyDescent="0.3">
      <c r="A10587" s="1" t="s">
        <v>11132</v>
      </c>
      <c r="B10587" s="1" t="str">
        <f>"Bryn Marl Ltd"</f>
        <v>Bryn Marl Ltd</v>
      </c>
      <c r="C10587" s="1" t="s">
        <v>11133</v>
      </c>
      <c r="D10587" s="1" t="s">
        <v>3052</v>
      </c>
      <c r="F10587" s="1" t="s">
        <v>359</v>
      </c>
      <c r="H10587" s="1" t="s">
        <v>11134</v>
      </c>
      <c r="I10587" s="1" t="s">
        <v>19</v>
      </c>
      <c r="J10587" s="1" t="s">
        <v>67</v>
      </c>
      <c r="K10587" s="1" t="s">
        <v>14</v>
      </c>
      <c r="M10587" s="2">
        <v>41738</v>
      </c>
      <c r="N10587" s="1" t="s">
        <v>8</v>
      </c>
      <c r="O10587" s="1" t="s">
        <v>68</v>
      </c>
    </row>
    <row r="10588" spans="1:15" ht="43.2" x14ac:dyDescent="0.3">
      <c r="A10588" s="1" t="s">
        <v>12132</v>
      </c>
      <c r="B10588" s="1" t="str">
        <f>"Abergele Blind Company"</f>
        <v>Abergele Blind Company</v>
      </c>
      <c r="C10588" s="1" t="s">
        <v>12133</v>
      </c>
      <c r="F10588" s="1" t="s">
        <v>374</v>
      </c>
      <c r="H10588" s="1" t="s">
        <v>12134</v>
      </c>
      <c r="I10588" s="1" t="s">
        <v>1872</v>
      </c>
      <c r="J10588" s="1" t="s">
        <v>67</v>
      </c>
      <c r="K10588" s="1" t="s">
        <v>14</v>
      </c>
      <c r="M10588" s="2">
        <v>41738</v>
      </c>
      <c r="N10588" s="1" t="s">
        <v>8</v>
      </c>
      <c r="O10588" s="1" t="s">
        <v>68</v>
      </c>
    </row>
    <row r="10589" spans="1:15" ht="43.2" x14ac:dyDescent="0.3">
      <c r="A10589" s="1" t="s">
        <v>12135</v>
      </c>
      <c r="B10589" s="1" t="str">
        <f>"Abergele Blind Company"</f>
        <v>Abergele Blind Company</v>
      </c>
      <c r="C10589" s="1" t="s">
        <v>12133</v>
      </c>
      <c r="F10589" s="1" t="s">
        <v>374</v>
      </c>
      <c r="H10589" s="1" t="s">
        <v>12134</v>
      </c>
      <c r="I10589" s="1" t="s">
        <v>1872</v>
      </c>
      <c r="J10589" s="1" t="s">
        <v>67</v>
      </c>
      <c r="K10589" s="1" t="s">
        <v>14</v>
      </c>
      <c r="M10589" s="2">
        <v>41738</v>
      </c>
      <c r="N10589" s="1" t="s">
        <v>8</v>
      </c>
      <c r="O10589" s="1" t="s">
        <v>68</v>
      </c>
    </row>
    <row r="10590" spans="1:15" ht="43.2" x14ac:dyDescent="0.3">
      <c r="A10590" s="1" t="s">
        <v>12136</v>
      </c>
      <c r="B10590" s="1" t="str">
        <f>"Jas Bars Ltd"</f>
        <v>Jas Bars Ltd</v>
      </c>
      <c r="C10590" s="1" t="s">
        <v>12137</v>
      </c>
      <c r="F10590" s="1" t="s">
        <v>491</v>
      </c>
      <c r="H10590" s="1" t="s">
        <v>12138</v>
      </c>
      <c r="I10590" s="1" t="s">
        <v>19</v>
      </c>
      <c r="J10590" s="1" t="s">
        <v>67</v>
      </c>
      <c r="K10590" s="1" t="s">
        <v>14</v>
      </c>
      <c r="M10590" s="2">
        <v>41738</v>
      </c>
      <c r="N10590" s="1" t="s">
        <v>8</v>
      </c>
      <c r="O10590" s="1" t="s">
        <v>68</v>
      </c>
    </row>
    <row r="10591" spans="1:15" ht="43.2" x14ac:dyDescent="0.3">
      <c r="A10591" s="1" t="s">
        <v>12139</v>
      </c>
      <c r="B10591" s="1" t="str">
        <f>"Tydfil Training Consornium"</f>
        <v>Tydfil Training Consornium</v>
      </c>
      <c r="C10591" s="1" t="s">
        <v>12140</v>
      </c>
      <c r="D10591" s="1" t="s">
        <v>798</v>
      </c>
      <c r="F10591" s="1" t="s">
        <v>162</v>
      </c>
      <c r="H10591" s="1" t="s">
        <v>799</v>
      </c>
      <c r="I10591" s="1" t="s">
        <v>188</v>
      </c>
      <c r="J10591" s="1" t="s">
        <v>67</v>
      </c>
      <c r="K10591" s="1" t="s">
        <v>14</v>
      </c>
      <c r="M10591" s="2">
        <v>41738</v>
      </c>
      <c r="N10591" s="1" t="s">
        <v>8</v>
      </c>
      <c r="O10591" s="1" t="s">
        <v>68</v>
      </c>
    </row>
    <row r="10592" spans="1:15" ht="43.2" x14ac:dyDescent="0.3">
      <c r="A10592" s="1" t="s">
        <v>12141</v>
      </c>
      <c r="B10592" s="1" t="str">
        <f>"Wye Valley Housing Ltd"</f>
        <v>Wye Valley Housing Ltd</v>
      </c>
      <c r="C10592" s="1" t="s">
        <v>12142</v>
      </c>
      <c r="F10592" s="1" t="s">
        <v>12143</v>
      </c>
      <c r="H10592" s="1" t="s">
        <v>12144</v>
      </c>
      <c r="I10592" s="1" t="s">
        <v>19</v>
      </c>
      <c r="J10592" s="1" t="s">
        <v>67</v>
      </c>
      <c r="K10592" s="1" t="s">
        <v>14</v>
      </c>
      <c r="M10592" s="2">
        <v>41738</v>
      </c>
      <c r="N10592" s="1" t="s">
        <v>8</v>
      </c>
      <c r="O10592" s="1" t="s">
        <v>68</v>
      </c>
    </row>
    <row r="10593" spans="1:15" ht="43.2" x14ac:dyDescent="0.3">
      <c r="A10593" s="1" t="s">
        <v>12145</v>
      </c>
      <c r="B10593" s="1" t="str">
        <f>"D and L Tilston"</f>
        <v>D and L Tilston</v>
      </c>
      <c r="C10593" s="1" t="s">
        <v>12146</v>
      </c>
      <c r="D10593" s="1" t="s">
        <v>802</v>
      </c>
      <c r="F10593" s="1" t="s">
        <v>532</v>
      </c>
      <c r="H10593" s="1" t="s">
        <v>12147</v>
      </c>
      <c r="I10593" s="1" t="s">
        <v>125</v>
      </c>
      <c r="J10593" s="1" t="s">
        <v>67</v>
      </c>
      <c r="K10593" s="1" t="s">
        <v>14</v>
      </c>
      <c r="M10593" s="2">
        <v>41738</v>
      </c>
      <c r="N10593" s="1" t="s">
        <v>8</v>
      </c>
      <c r="O10593" s="1" t="s">
        <v>68</v>
      </c>
    </row>
    <row r="10594" spans="1:15" ht="43.2" x14ac:dyDescent="0.3">
      <c r="A10594" s="1" t="s">
        <v>12148</v>
      </c>
      <c r="B10594" s="1" t="str">
        <f>"D and L Tilston"</f>
        <v>D and L Tilston</v>
      </c>
      <c r="C10594" s="1" t="s">
        <v>12146</v>
      </c>
      <c r="D10594" s="1" t="s">
        <v>802</v>
      </c>
      <c r="F10594" s="1" t="s">
        <v>532</v>
      </c>
      <c r="H10594" s="1" t="s">
        <v>12147</v>
      </c>
      <c r="I10594" s="1" t="s">
        <v>125</v>
      </c>
      <c r="J10594" s="1" t="s">
        <v>67</v>
      </c>
      <c r="K10594" s="1" t="s">
        <v>14</v>
      </c>
      <c r="M10594" s="2">
        <v>41738</v>
      </c>
      <c r="N10594" s="1" t="s">
        <v>8</v>
      </c>
      <c r="O10594" s="1" t="s">
        <v>68</v>
      </c>
    </row>
    <row r="10595" spans="1:15" ht="43.2" x14ac:dyDescent="0.3">
      <c r="A10595" s="1" t="s">
        <v>12149</v>
      </c>
      <c r="B10595" s="1" t="str">
        <f>"Powys County Council"</f>
        <v>Powys County Council</v>
      </c>
      <c r="C10595" s="1" t="s">
        <v>12150</v>
      </c>
      <c r="F10595" s="1" t="s">
        <v>161</v>
      </c>
      <c r="H10595" s="1" t="s">
        <v>12151</v>
      </c>
      <c r="I10595" s="1" t="s">
        <v>188</v>
      </c>
      <c r="J10595" s="1" t="s">
        <v>67</v>
      </c>
      <c r="K10595" s="1" t="s">
        <v>14</v>
      </c>
      <c r="M10595" s="2">
        <v>41738</v>
      </c>
      <c r="N10595" s="1" t="s">
        <v>8</v>
      </c>
      <c r="O10595" s="1" t="s">
        <v>68</v>
      </c>
    </row>
    <row r="10596" spans="1:15" ht="43.2" x14ac:dyDescent="0.3">
      <c r="A10596" s="1" t="s">
        <v>24164</v>
      </c>
      <c r="B10596" s="1" t="str">
        <f>"John Gill"</f>
        <v>John Gill</v>
      </c>
      <c r="C10596" s="1" t="s">
        <v>24165</v>
      </c>
      <c r="D10596" s="1" t="s">
        <v>2459</v>
      </c>
      <c r="F10596" s="1" t="s">
        <v>162</v>
      </c>
      <c r="H10596" s="1" t="s">
        <v>24166</v>
      </c>
      <c r="I10596" s="1" t="s">
        <v>5</v>
      </c>
      <c r="J10596" s="1" t="s">
        <v>67</v>
      </c>
      <c r="K10596" s="1" t="s">
        <v>14</v>
      </c>
      <c r="M10596" s="2">
        <v>41738</v>
      </c>
      <c r="N10596" s="1" t="s">
        <v>8</v>
      </c>
      <c r="O10596" s="1" t="s">
        <v>68</v>
      </c>
    </row>
    <row r="10597" spans="1:15" ht="43.2" x14ac:dyDescent="0.3">
      <c r="A10597" s="1" t="s">
        <v>24167</v>
      </c>
      <c r="B10597" s="1" t="str">
        <f>"Alfons Vanhees"</f>
        <v>Alfons Vanhees</v>
      </c>
      <c r="C10597" s="1" t="s">
        <v>24168</v>
      </c>
      <c r="D10597" s="1" t="s">
        <v>5409</v>
      </c>
      <c r="F10597" s="1" t="s">
        <v>162</v>
      </c>
      <c r="H10597" s="1" t="s">
        <v>24169</v>
      </c>
      <c r="I10597" s="1" t="s">
        <v>5</v>
      </c>
      <c r="J10597" s="1" t="s">
        <v>67</v>
      </c>
      <c r="K10597" s="1" t="s">
        <v>14</v>
      </c>
      <c r="M10597" s="2">
        <v>41738</v>
      </c>
      <c r="N10597" s="1" t="s">
        <v>8</v>
      </c>
      <c r="O10597" s="1" t="s">
        <v>68</v>
      </c>
    </row>
    <row r="10598" spans="1:15" ht="43.2" x14ac:dyDescent="0.3">
      <c r="A10598" s="1" t="s">
        <v>24170</v>
      </c>
      <c r="B10598" s="1" t="str">
        <f>"Margaret Brain"</f>
        <v>Margaret Brain</v>
      </c>
      <c r="C10598" s="1" t="s">
        <v>20556</v>
      </c>
      <c r="D10598" s="1" t="s">
        <v>761</v>
      </c>
      <c r="F10598" s="1" t="s">
        <v>64</v>
      </c>
      <c r="H10598" s="1" t="s">
        <v>20975</v>
      </c>
      <c r="I10598" s="1" t="s">
        <v>5</v>
      </c>
      <c r="J10598" s="1" t="s">
        <v>67</v>
      </c>
      <c r="K10598" s="1" t="s">
        <v>14</v>
      </c>
      <c r="M10598" s="2">
        <v>41738</v>
      </c>
      <c r="N10598" s="1" t="s">
        <v>8</v>
      </c>
      <c r="O10598" s="1" t="s">
        <v>68</v>
      </c>
    </row>
    <row r="10599" spans="1:15" ht="43.2" x14ac:dyDescent="0.3">
      <c r="A10599" s="1" t="s">
        <v>24171</v>
      </c>
      <c r="B10599" s="1" t="str">
        <f>"Philip Davies"</f>
        <v>Philip Davies</v>
      </c>
      <c r="C10599" s="1" t="s">
        <v>24172</v>
      </c>
      <c r="F10599" s="1" t="s">
        <v>720</v>
      </c>
      <c r="H10599" s="1" t="s">
        <v>24173</v>
      </c>
      <c r="I10599" s="1" t="s">
        <v>5</v>
      </c>
      <c r="J10599" s="1" t="s">
        <v>67</v>
      </c>
      <c r="K10599" s="1" t="s">
        <v>14</v>
      </c>
      <c r="M10599" s="2">
        <v>41738</v>
      </c>
      <c r="N10599" s="1" t="s">
        <v>8</v>
      </c>
      <c r="O10599" s="1" t="s">
        <v>68</v>
      </c>
    </row>
    <row r="10600" spans="1:15" ht="43.2" x14ac:dyDescent="0.3">
      <c r="A10600" s="1" t="s">
        <v>25030</v>
      </c>
      <c r="B10600" s="1" t="str">
        <f>"Gary Roberts"</f>
        <v>Gary Roberts</v>
      </c>
      <c r="C10600" s="1" t="s">
        <v>25031</v>
      </c>
      <c r="D10600" s="1" t="s">
        <v>20458</v>
      </c>
      <c r="F10600" s="1" t="s">
        <v>666</v>
      </c>
      <c r="H10600" s="1" t="s">
        <v>25032</v>
      </c>
      <c r="I10600" s="1" t="s">
        <v>5</v>
      </c>
      <c r="J10600" s="1" t="s">
        <v>67</v>
      </c>
      <c r="K10600" s="1" t="s">
        <v>14</v>
      </c>
      <c r="M10600" s="2">
        <v>41738</v>
      </c>
      <c r="N10600" s="1" t="s">
        <v>8</v>
      </c>
      <c r="O10600" s="1" t="s">
        <v>68</v>
      </c>
    </row>
    <row r="10601" spans="1:15" ht="43.2" x14ac:dyDescent="0.3">
      <c r="A10601" s="1" t="s">
        <v>25033</v>
      </c>
      <c r="B10601" s="1" t="str">
        <f>"Nigel Thomas"</f>
        <v>Nigel Thomas</v>
      </c>
      <c r="C10601" s="1" t="s">
        <v>25034</v>
      </c>
      <c r="D10601" s="1" t="s">
        <v>25035</v>
      </c>
      <c r="F10601" s="1" t="s">
        <v>56</v>
      </c>
      <c r="H10601" s="1" t="s">
        <v>25036</v>
      </c>
      <c r="I10601" s="1" t="s">
        <v>5</v>
      </c>
      <c r="J10601" s="1" t="s">
        <v>67</v>
      </c>
      <c r="K10601" s="1" t="s">
        <v>14</v>
      </c>
      <c r="M10601" s="2">
        <v>41738</v>
      </c>
      <c r="N10601" s="1" t="s">
        <v>8</v>
      </c>
      <c r="O10601" s="1" t="s">
        <v>68</v>
      </c>
    </row>
    <row r="10602" spans="1:15" ht="43.2" x14ac:dyDescent="0.3">
      <c r="A10602" s="1" t="s">
        <v>25037</v>
      </c>
      <c r="B10602" s="1" t="str">
        <f>"Fred Botton"</f>
        <v>Fred Botton</v>
      </c>
      <c r="C10602" s="1" t="s">
        <v>25038</v>
      </c>
      <c r="F10602" s="1" t="s">
        <v>25039</v>
      </c>
      <c r="H10602" s="1" t="s">
        <v>25040</v>
      </c>
      <c r="I10602" s="1" t="s">
        <v>5</v>
      </c>
      <c r="J10602" s="1" t="s">
        <v>67</v>
      </c>
      <c r="K10602" s="1" t="s">
        <v>14</v>
      </c>
      <c r="M10602" s="2">
        <v>41738</v>
      </c>
      <c r="N10602" s="1" t="s">
        <v>8</v>
      </c>
      <c r="O10602" s="1" t="s">
        <v>68</v>
      </c>
    </row>
    <row r="10603" spans="1:15" ht="43.2" x14ac:dyDescent="0.3">
      <c r="A10603" s="1" t="s">
        <v>25041</v>
      </c>
      <c r="B10603" s="1" t="str">
        <f>"Fred Botton"</f>
        <v>Fred Botton</v>
      </c>
      <c r="C10603" s="1" t="s">
        <v>25038</v>
      </c>
      <c r="F10603" s="1" t="s">
        <v>25039</v>
      </c>
      <c r="H10603" s="1" t="s">
        <v>25040</v>
      </c>
      <c r="I10603" s="1" t="s">
        <v>5</v>
      </c>
      <c r="J10603" s="1" t="s">
        <v>67</v>
      </c>
      <c r="K10603" s="1" t="s">
        <v>14</v>
      </c>
      <c r="M10603" s="2">
        <v>41738</v>
      </c>
      <c r="N10603" s="1" t="s">
        <v>8</v>
      </c>
      <c r="O10603" s="1" t="s">
        <v>68</v>
      </c>
    </row>
    <row r="10604" spans="1:15" ht="43.2" x14ac:dyDescent="0.3">
      <c r="A10604" s="1" t="s">
        <v>25042</v>
      </c>
      <c r="B10604" s="1" t="str">
        <f>"UMA KANTHABALAN"</f>
        <v>UMA KANTHABALAN</v>
      </c>
      <c r="C10604" s="1" t="s">
        <v>25043</v>
      </c>
      <c r="F10604" s="1" t="s">
        <v>1137</v>
      </c>
      <c r="H10604" s="1" t="s">
        <v>25044</v>
      </c>
      <c r="I10604" s="1" t="s">
        <v>5</v>
      </c>
      <c r="J10604" s="1" t="s">
        <v>67</v>
      </c>
      <c r="K10604" s="1" t="s">
        <v>14</v>
      </c>
      <c r="M10604" s="2">
        <v>41738</v>
      </c>
      <c r="N10604" s="1" t="s">
        <v>8</v>
      </c>
      <c r="O10604" s="1" t="s">
        <v>68</v>
      </c>
    </row>
    <row r="10605" spans="1:15" ht="43.2" x14ac:dyDescent="0.3">
      <c r="A10605" s="1" t="s">
        <v>25045</v>
      </c>
      <c r="B10605" s="1" t="str">
        <f>"Robert Owen"</f>
        <v>Robert Owen</v>
      </c>
      <c r="C10605" s="1" t="s">
        <v>25046</v>
      </c>
      <c r="D10605" s="1" t="s">
        <v>678</v>
      </c>
      <c r="F10605" s="1" t="s">
        <v>6084</v>
      </c>
      <c r="H10605" s="1" t="s">
        <v>25047</v>
      </c>
      <c r="I10605" s="1" t="s">
        <v>5</v>
      </c>
      <c r="J10605" s="1" t="s">
        <v>67</v>
      </c>
      <c r="K10605" s="1" t="s">
        <v>14</v>
      </c>
      <c r="M10605" s="2">
        <v>41738</v>
      </c>
      <c r="N10605" s="1" t="s">
        <v>8</v>
      </c>
      <c r="O10605" s="1" t="s">
        <v>68</v>
      </c>
    </row>
    <row r="10606" spans="1:15" ht="43.2" x14ac:dyDescent="0.3">
      <c r="A10606" s="1" t="s">
        <v>25048</v>
      </c>
      <c r="B10606" s="1" t="str">
        <f>"Alison Ingram"</f>
        <v>Alison Ingram</v>
      </c>
      <c r="C10606" s="1" t="s">
        <v>25049</v>
      </c>
      <c r="F10606" s="1" t="s">
        <v>3465</v>
      </c>
      <c r="H10606" s="1" t="s">
        <v>25050</v>
      </c>
      <c r="I10606" s="1" t="s">
        <v>5</v>
      </c>
      <c r="J10606" s="1" t="s">
        <v>67</v>
      </c>
      <c r="K10606" s="1" t="s">
        <v>14</v>
      </c>
      <c r="M10606" s="2">
        <v>41738</v>
      </c>
      <c r="N10606" s="1" t="s">
        <v>8</v>
      </c>
      <c r="O10606" s="1" t="s">
        <v>68</v>
      </c>
    </row>
    <row r="10607" spans="1:15" ht="43.2" x14ac:dyDescent="0.3">
      <c r="A10607" s="1" t="s">
        <v>7747</v>
      </c>
      <c r="B10607" s="1" t="str">
        <f>"Diana Downey"</f>
        <v>Diana Downey</v>
      </c>
      <c r="C10607" s="1" t="s">
        <v>7748</v>
      </c>
      <c r="F10607" s="1" t="s">
        <v>7749</v>
      </c>
      <c r="H10607" s="1" t="s">
        <v>7750</v>
      </c>
      <c r="I10607" s="1" t="s">
        <v>188</v>
      </c>
      <c r="J10607" s="1" t="s">
        <v>67</v>
      </c>
      <c r="K10607" s="1" t="s">
        <v>14</v>
      </c>
      <c r="M10607" s="2">
        <v>41737</v>
      </c>
      <c r="N10607" s="1" t="s">
        <v>8</v>
      </c>
      <c r="O10607" s="1" t="s">
        <v>68</v>
      </c>
    </row>
    <row r="10608" spans="1:15" ht="43.2" x14ac:dyDescent="0.3">
      <c r="A10608" s="1" t="s">
        <v>8909</v>
      </c>
      <c r="B10608" s="1" t="str">
        <f>"Montgomeryshire Family Crisis Centre"</f>
        <v>Montgomeryshire Family Crisis Centre</v>
      </c>
      <c r="C10608" s="1" t="s">
        <v>8910</v>
      </c>
      <c r="D10608" s="1" t="s">
        <v>2014</v>
      </c>
      <c r="F10608" s="1" t="s">
        <v>3465</v>
      </c>
      <c r="H10608" s="1" t="s">
        <v>8911</v>
      </c>
      <c r="I10608" s="1" t="s">
        <v>125</v>
      </c>
      <c r="J10608" s="1" t="s">
        <v>67</v>
      </c>
      <c r="K10608" s="1" t="s">
        <v>14</v>
      </c>
      <c r="M10608" s="2">
        <v>41737</v>
      </c>
      <c r="N10608" s="1" t="s">
        <v>8</v>
      </c>
      <c r="O10608" s="1" t="s">
        <v>68</v>
      </c>
    </row>
    <row r="10609" spans="1:15" ht="43.2" x14ac:dyDescent="0.3">
      <c r="A10609" s="1" t="s">
        <v>8912</v>
      </c>
      <c r="B10609" s="1" t="str">
        <f>"IDM Doors Ltd"</f>
        <v>IDM Doors Ltd</v>
      </c>
      <c r="C10609" s="1" t="s">
        <v>8913</v>
      </c>
      <c r="D10609" s="1" t="s">
        <v>156</v>
      </c>
      <c r="F10609" s="1" t="s">
        <v>1240</v>
      </c>
      <c r="H10609" s="1" t="s">
        <v>8914</v>
      </c>
      <c r="I10609" s="1" t="s">
        <v>19</v>
      </c>
      <c r="J10609" s="1" t="s">
        <v>67</v>
      </c>
      <c r="K10609" s="1" t="s">
        <v>14</v>
      </c>
      <c r="M10609" s="2">
        <v>41737</v>
      </c>
      <c r="N10609" s="1" t="s">
        <v>8</v>
      </c>
      <c r="O10609" s="1" t="s">
        <v>68</v>
      </c>
    </row>
    <row r="10610" spans="1:15" ht="43.2" x14ac:dyDescent="0.3">
      <c r="A10610" s="1" t="s">
        <v>8915</v>
      </c>
      <c r="B10610" s="1" t="str">
        <f>"High Pastures Nursing Home"</f>
        <v>High Pastures Nursing Home</v>
      </c>
      <c r="C10610" s="1" t="s">
        <v>8916</v>
      </c>
      <c r="D10610" s="1" t="s">
        <v>7222</v>
      </c>
      <c r="F10610" s="1" t="s">
        <v>359</v>
      </c>
      <c r="H10610" s="1" t="s">
        <v>6253</v>
      </c>
      <c r="I10610" s="1" t="s">
        <v>19</v>
      </c>
      <c r="J10610" s="1" t="s">
        <v>67</v>
      </c>
      <c r="K10610" s="1" t="s">
        <v>14</v>
      </c>
      <c r="M10610" s="2">
        <v>41737</v>
      </c>
      <c r="N10610" s="1" t="s">
        <v>8</v>
      </c>
      <c r="O10610" s="1" t="s">
        <v>68</v>
      </c>
    </row>
    <row r="10611" spans="1:15" ht="43.2" x14ac:dyDescent="0.3">
      <c r="A10611" s="1" t="s">
        <v>8917</v>
      </c>
      <c r="B10611" s="1" t="str">
        <f>"Triratna Sarana"</f>
        <v>Triratna Sarana</v>
      </c>
      <c r="C10611" s="1" t="s">
        <v>8918</v>
      </c>
      <c r="D10611" s="1" t="s">
        <v>1206</v>
      </c>
      <c r="F10611" s="1" t="s">
        <v>162</v>
      </c>
      <c r="H10611" s="1" t="s">
        <v>8919</v>
      </c>
      <c r="I10611" s="1" t="s">
        <v>125</v>
      </c>
      <c r="J10611" s="1" t="s">
        <v>67</v>
      </c>
      <c r="K10611" s="1" t="s">
        <v>14</v>
      </c>
      <c r="M10611" s="2">
        <v>41737</v>
      </c>
      <c r="N10611" s="1" t="s">
        <v>8</v>
      </c>
      <c r="O10611" s="1" t="s">
        <v>68</v>
      </c>
    </row>
    <row r="10612" spans="1:15" ht="43.2" x14ac:dyDescent="0.3">
      <c r="A10612" s="1" t="s">
        <v>8920</v>
      </c>
      <c r="B10612" s="1" t="str">
        <f>"Triumph Furniture Ltd"</f>
        <v>Triumph Furniture Ltd</v>
      </c>
      <c r="C10612" s="1" t="s">
        <v>8921</v>
      </c>
      <c r="F10612" s="1" t="s">
        <v>556</v>
      </c>
      <c r="H10612" s="1" t="s">
        <v>8922</v>
      </c>
      <c r="I10612" s="1" t="s">
        <v>19</v>
      </c>
      <c r="J10612" s="1" t="s">
        <v>67</v>
      </c>
      <c r="K10612" s="1" t="s">
        <v>14</v>
      </c>
      <c r="M10612" s="2">
        <v>41737</v>
      </c>
      <c r="N10612" s="1" t="s">
        <v>8</v>
      </c>
      <c r="O10612" s="1" t="s">
        <v>68</v>
      </c>
    </row>
    <row r="10613" spans="1:15" ht="43.2" x14ac:dyDescent="0.3">
      <c r="A10613" s="1" t="s">
        <v>8923</v>
      </c>
      <c r="B10613" s="1" t="str">
        <f>"Schaeffler UK Ltd"</f>
        <v>Schaeffler UK Ltd</v>
      </c>
      <c r="C10613" s="1" t="s">
        <v>8924</v>
      </c>
      <c r="D10613" s="1" t="s">
        <v>7441</v>
      </c>
      <c r="F10613" s="1" t="s">
        <v>2723</v>
      </c>
      <c r="H10613" s="1" t="s">
        <v>8925</v>
      </c>
      <c r="I10613" s="1" t="s">
        <v>19</v>
      </c>
      <c r="J10613" s="1" t="s">
        <v>67</v>
      </c>
      <c r="K10613" s="1" t="s">
        <v>14</v>
      </c>
      <c r="M10613" s="2">
        <v>41737</v>
      </c>
      <c r="N10613" s="1" t="s">
        <v>8</v>
      </c>
      <c r="O10613" s="1" t="s">
        <v>68</v>
      </c>
    </row>
    <row r="10614" spans="1:15" ht="43.2" x14ac:dyDescent="0.3">
      <c r="A10614" s="1" t="s">
        <v>8926</v>
      </c>
      <c r="B10614" s="1" t="str">
        <f>"CC Garden Design and Construction"</f>
        <v>CC Garden Design and Construction</v>
      </c>
      <c r="C10614" s="1" t="s">
        <v>8927</v>
      </c>
      <c r="F10614" s="1" t="s">
        <v>162</v>
      </c>
      <c r="H10614" s="1" t="s">
        <v>8928</v>
      </c>
      <c r="I10614" s="1" t="s">
        <v>19</v>
      </c>
      <c r="J10614" s="1" t="s">
        <v>67</v>
      </c>
      <c r="K10614" s="1" t="s">
        <v>14</v>
      </c>
      <c r="M10614" s="2">
        <v>41737</v>
      </c>
      <c r="N10614" s="1" t="s">
        <v>8</v>
      </c>
      <c r="O10614" s="1" t="s">
        <v>68</v>
      </c>
    </row>
    <row r="10615" spans="1:15" ht="43.2" x14ac:dyDescent="0.3">
      <c r="A10615" s="1" t="s">
        <v>8929</v>
      </c>
      <c r="B10615" s="1" t="str">
        <f>"Cash Hardware Stores"</f>
        <v>Cash Hardware Stores</v>
      </c>
      <c r="C10615" s="1" t="s">
        <v>8930</v>
      </c>
      <c r="D10615" s="1" t="s">
        <v>8931</v>
      </c>
      <c r="F10615" s="1" t="s">
        <v>64</v>
      </c>
      <c r="H10615" s="1" t="s">
        <v>8932</v>
      </c>
      <c r="I10615" s="1" t="s">
        <v>125</v>
      </c>
      <c r="J10615" s="1" t="s">
        <v>67</v>
      </c>
      <c r="K10615" s="1" t="s">
        <v>14</v>
      </c>
      <c r="M10615" s="2">
        <v>41737</v>
      </c>
      <c r="N10615" s="1" t="s">
        <v>8</v>
      </c>
      <c r="O10615" s="1" t="s">
        <v>68</v>
      </c>
    </row>
    <row r="10616" spans="1:15" ht="43.2" x14ac:dyDescent="0.3">
      <c r="A10616" s="1" t="s">
        <v>8933</v>
      </c>
      <c r="B10616" s="1" t="str">
        <f>"Blackmountain View Caravan Park"</f>
        <v>Blackmountain View Caravan Park</v>
      </c>
      <c r="C10616" s="1" t="s">
        <v>8934</v>
      </c>
      <c r="F10616" s="1" t="s">
        <v>3337</v>
      </c>
      <c r="H10616" s="1" t="s">
        <v>8935</v>
      </c>
      <c r="I10616" s="1" t="s">
        <v>125</v>
      </c>
      <c r="J10616" s="1" t="s">
        <v>67</v>
      </c>
      <c r="K10616" s="1" t="s">
        <v>14</v>
      </c>
      <c r="M10616" s="2">
        <v>41737</v>
      </c>
      <c r="N10616" s="1" t="s">
        <v>8</v>
      </c>
      <c r="O10616" s="1" t="s">
        <v>68</v>
      </c>
    </row>
    <row r="10617" spans="1:15" ht="43.2" x14ac:dyDescent="0.3">
      <c r="A10617" s="1" t="s">
        <v>8936</v>
      </c>
      <c r="B10617" s="1" t="str">
        <f>"Parry's Commercial Ltd"</f>
        <v>Parry's Commercial Ltd</v>
      </c>
      <c r="C10617" s="1" t="s">
        <v>8937</v>
      </c>
      <c r="D10617" s="1" t="s">
        <v>4070</v>
      </c>
      <c r="F10617" s="1" t="s">
        <v>358</v>
      </c>
      <c r="H10617" s="1" t="s">
        <v>8938</v>
      </c>
      <c r="I10617" s="1" t="s">
        <v>19</v>
      </c>
      <c r="J10617" s="1" t="s">
        <v>67</v>
      </c>
      <c r="K10617" s="1" t="s">
        <v>14</v>
      </c>
      <c r="M10617" s="2">
        <v>41737</v>
      </c>
      <c r="N10617" s="1" t="s">
        <v>8</v>
      </c>
      <c r="O10617" s="1" t="s">
        <v>68</v>
      </c>
    </row>
    <row r="10618" spans="1:15" ht="43.2" x14ac:dyDescent="0.3">
      <c r="A10618" s="1" t="s">
        <v>10039</v>
      </c>
      <c r="B10618" s="1" t="str">
        <f>"Blackmountain View Caravan Park"</f>
        <v>Blackmountain View Caravan Park</v>
      </c>
      <c r="C10618" s="1" t="s">
        <v>8934</v>
      </c>
      <c r="F10618" s="1" t="s">
        <v>3337</v>
      </c>
      <c r="H10618" s="1" t="s">
        <v>8935</v>
      </c>
      <c r="I10618" s="1" t="s">
        <v>125</v>
      </c>
      <c r="J10618" s="1" t="s">
        <v>67</v>
      </c>
      <c r="K10618" s="1" t="s">
        <v>14</v>
      </c>
      <c r="M10618" s="2">
        <v>41737</v>
      </c>
      <c r="N10618" s="1" t="s">
        <v>8</v>
      </c>
      <c r="O10618" s="1" t="s">
        <v>68</v>
      </c>
    </row>
    <row r="10619" spans="1:15" ht="43.2" x14ac:dyDescent="0.3">
      <c r="A10619" s="1" t="s">
        <v>10040</v>
      </c>
      <c r="B10619" s="1" t="str">
        <f>"Blackmountain View Caravan Park"</f>
        <v>Blackmountain View Caravan Park</v>
      </c>
      <c r="C10619" s="1" t="s">
        <v>8934</v>
      </c>
      <c r="F10619" s="1" t="s">
        <v>3337</v>
      </c>
      <c r="H10619" s="1" t="s">
        <v>8935</v>
      </c>
      <c r="I10619" s="1" t="s">
        <v>125</v>
      </c>
      <c r="J10619" s="1" t="s">
        <v>67</v>
      </c>
      <c r="K10619" s="1" t="s">
        <v>14</v>
      </c>
      <c r="M10619" s="2">
        <v>41737</v>
      </c>
      <c r="N10619" s="1" t="s">
        <v>8</v>
      </c>
      <c r="O10619" s="1" t="s">
        <v>68</v>
      </c>
    </row>
    <row r="10620" spans="1:15" ht="43.2" x14ac:dyDescent="0.3">
      <c r="A10620" s="1" t="s">
        <v>10041</v>
      </c>
      <c r="B10620" s="1" t="str">
        <f>"Marks Meats Ltd"</f>
        <v>Marks Meats Ltd</v>
      </c>
      <c r="C10620" s="1" t="s">
        <v>10042</v>
      </c>
      <c r="D10620" s="1" t="s">
        <v>381</v>
      </c>
      <c r="F10620" s="1" t="s">
        <v>380</v>
      </c>
      <c r="H10620" s="1" t="s">
        <v>10043</v>
      </c>
      <c r="I10620" s="1" t="s">
        <v>19</v>
      </c>
      <c r="J10620" s="1" t="s">
        <v>67</v>
      </c>
      <c r="K10620" s="1" t="s">
        <v>14</v>
      </c>
      <c r="M10620" s="2">
        <v>41737</v>
      </c>
      <c r="N10620" s="1" t="s">
        <v>8</v>
      </c>
      <c r="O10620" s="1" t="s">
        <v>68</v>
      </c>
    </row>
    <row r="10621" spans="1:15" ht="43.2" x14ac:dyDescent="0.3">
      <c r="A10621" s="1" t="s">
        <v>10044</v>
      </c>
      <c r="B10621" s="1" t="str">
        <f>"Ivey Place Hotels Ltd"</f>
        <v>Ivey Place Hotels Ltd</v>
      </c>
      <c r="C10621" s="1" t="s">
        <v>10045</v>
      </c>
      <c r="D10621" s="1" t="s">
        <v>424</v>
      </c>
      <c r="F10621" s="1" t="s">
        <v>64</v>
      </c>
      <c r="H10621" s="1" t="s">
        <v>10046</v>
      </c>
      <c r="I10621" s="1" t="s">
        <v>19</v>
      </c>
      <c r="J10621" s="1" t="s">
        <v>67</v>
      </c>
      <c r="K10621" s="1" t="s">
        <v>14</v>
      </c>
      <c r="M10621" s="2">
        <v>41737</v>
      </c>
      <c r="N10621" s="1" t="s">
        <v>8</v>
      </c>
      <c r="O10621" s="1" t="s">
        <v>68</v>
      </c>
    </row>
    <row r="10622" spans="1:15" ht="43.2" x14ac:dyDescent="0.3">
      <c r="A10622" s="1" t="s">
        <v>10047</v>
      </c>
      <c r="B10622" s="1" t="str">
        <f>"Shopwise"</f>
        <v>Shopwise</v>
      </c>
      <c r="C10622" s="1" t="s">
        <v>10048</v>
      </c>
      <c r="D10622" s="1" t="s">
        <v>2493</v>
      </c>
      <c r="F10622" s="1" t="s">
        <v>123</v>
      </c>
      <c r="H10622" s="1" t="s">
        <v>10049</v>
      </c>
      <c r="I10622" s="1" t="s">
        <v>125</v>
      </c>
      <c r="J10622" s="1" t="s">
        <v>67</v>
      </c>
      <c r="K10622" s="1" t="s">
        <v>14</v>
      </c>
      <c r="M10622" s="2">
        <v>41737</v>
      </c>
      <c r="N10622" s="1" t="s">
        <v>8</v>
      </c>
      <c r="O10622" s="1" t="s">
        <v>68</v>
      </c>
    </row>
    <row r="10623" spans="1:15" ht="43.2" x14ac:dyDescent="0.3">
      <c r="A10623" s="1" t="s">
        <v>10050</v>
      </c>
      <c r="B10623" s="1" t="str">
        <f>"Greenearth Hydro Ltd"</f>
        <v>Greenearth Hydro Ltd</v>
      </c>
      <c r="C10623" s="1" t="s">
        <v>10051</v>
      </c>
      <c r="D10623" s="1" t="s">
        <v>10052</v>
      </c>
      <c r="F10623" s="1" t="s">
        <v>10053</v>
      </c>
      <c r="G10623" s="1" t="s">
        <v>3</v>
      </c>
      <c r="H10623" s="1" t="s">
        <v>10054</v>
      </c>
      <c r="I10623" s="1" t="s">
        <v>19</v>
      </c>
      <c r="J10623" s="1" t="s">
        <v>67</v>
      </c>
      <c r="K10623" s="1" t="s">
        <v>14</v>
      </c>
      <c r="M10623" s="2">
        <v>41737</v>
      </c>
      <c r="N10623" s="1" t="s">
        <v>8</v>
      </c>
      <c r="O10623" s="1" t="s">
        <v>68</v>
      </c>
    </row>
    <row r="10624" spans="1:15" ht="43.2" x14ac:dyDescent="0.3">
      <c r="A10624" s="1" t="s">
        <v>10055</v>
      </c>
      <c r="B10624" s="1" t="str">
        <f>"Cardiff Community Housing Association"</f>
        <v>Cardiff Community Housing Association</v>
      </c>
      <c r="C10624" s="1" t="s">
        <v>6555</v>
      </c>
      <c r="F10624" s="1" t="s">
        <v>123</v>
      </c>
      <c r="H10624" s="1" t="s">
        <v>10056</v>
      </c>
      <c r="I10624" s="1" t="s">
        <v>1872</v>
      </c>
      <c r="J10624" s="1" t="s">
        <v>67</v>
      </c>
      <c r="K10624" s="1" t="s">
        <v>14</v>
      </c>
      <c r="M10624" s="2">
        <v>41737</v>
      </c>
      <c r="N10624" s="1" t="s">
        <v>8</v>
      </c>
      <c r="O10624" s="1" t="s">
        <v>68</v>
      </c>
    </row>
    <row r="10625" spans="1:15" ht="43.2" x14ac:dyDescent="0.3">
      <c r="A10625" s="1" t="s">
        <v>10057</v>
      </c>
      <c r="B10625" s="1" t="str">
        <f>"G and A Jones"</f>
        <v>G and A Jones</v>
      </c>
      <c r="C10625" s="1" t="s">
        <v>10058</v>
      </c>
      <c r="F10625" s="1" t="s">
        <v>798</v>
      </c>
      <c r="H10625" s="1" t="s">
        <v>10059</v>
      </c>
      <c r="I10625" s="1" t="s">
        <v>125</v>
      </c>
      <c r="J10625" s="1" t="s">
        <v>67</v>
      </c>
      <c r="K10625" s="1" t="s">
        <v>14</v>
      </c>
      <c r="M10625" s="2">
        <v>41737</v>
      </c>
      <c r="N10625" s="1" t="s">
        <v>8</v>
      </c>
      <c r="O10625" s="1" t="s">
        <v>68</v>
      </c>
    </row>
    <row r="10626" spans="1:15" ht="43.2" x14ac:dyDescent="0.3">
      <c r="A10626" s="1" t="s">
        <v>10060</v>
      </c>
      <c r="B10626" s="1" t="str">
        <f>"AC Roof Trusses Ltd"</f>
        <v>AC Roof Trusses Ltd</v>
      </c>
      <c r="C10626" s="1" t="s">
        <v>10061</v>
      </c>
      <c r="F10626" s="1" t="s">
        <v>162</v>
      </c>
      <c r="H10626" s="1" t="s">
        <v>8523</v>
      </c>
      <c r="I10626" s="1" t="s">
        <v>19</v>
      </c>
      <c r="J10626" s="1" t="s">
        <v>67</v>
      </c>
      <c r="K10626" s="1" t="s">
        <v>14</v>
      </c>
      <c r="M10626" s="2">
        <v>41737</v>
      </c>
      <c r="N10626" s="1" t="s">
        <v>8</v>
      </c>
      <c r="O10626" s="1" t="s">
        <v>68</v>
      </c>
    </row>
    <row r="10627" spans="1:15" ht="43.2" x14ac:dyDescent="0.3">
      <c r="A10627" s="1" t="s">
        <v>10062</v>
      </c>
      <c r="B10627" s="1" t="str">
        <f>"M&amp;M Medical Ltd"</f>
        <v>M&amp;M Medical Ltd</v>
      </c>
      <c r="C10627" s="1" t="s">
        <v>10063</v>
      </c>
      <c r="D10627" s="1" t="s">
        <v>10064</v>
      </c>
      <c r="F10627" s="1" t="s">
        <v>10065</v>
      </c>
      <c r="H10627" s="1" t="s">
        <v>6530</v>
      </c>
      <c r="I10627" s="1" t="s">
        <v>19</v>
      </c>
      <c r="J10627" s="1" t="s">
        <v>67</v>
      </c>
      <c r="K10627" s="1" t="s">
        <v>14</v>
      </c>
      <c r="M10627" s="2">
        <v>41737</v>
      </c>
      <c r="N10627" s="1" t="s">
        <v>8</v>
      </c>
      <c r="O10627" s="1" t="s">
        <v>68</v>
      </c>
    </row>
    <row r="10628" spans="1:15" ht="43.2" x14ac:dyDescent="0.3">
      <c r="A10628" s="1" t="s">
        <v>10066</v>
      </c>
      <c r="B10628" s="1" t="str">
        <f>"M&amp;M Medical Ltd"</f>
        <v>M&amp;M Medical Ltd</v>
      </c>
      <c r="C10628" s="1" t="s">
        <v>10063</v>
      </c>
      <c r="D10628" s="1" t="s">
        <v>10064</v>
      </c>
      <c r="F10628" s="1" t="s">
        <v>10065</v>
      </c>
      <c r="H10628" s="1" t="s">
        <v>6530</v>
      </c>
      <c r="I10628" s="1" t="s">
        <v>19</v>
      </c>
      <c r="J10628" s="1" t="s">
        <v>67</v>
      </c>
      <c r="K10628" s="1" t="s">
        <v>14</v>
      </c>
      <c r="M10628" s="2">
        <v>41737</v>
      </c>
      <c r="N10628" s="1" t="s">
        <v>8</v>
      </c>
      <c r="O10628" s="1" t="s">
        <v>68</v>
      </c>
    </row>
    <row r="10629" spans="1:15" ht="43.2" x14ac:dyDescent="0.3">
      <c r="A10629" s="1" t="s">
        <v>10067</v>
      </c>
      <c r="B10629" s="1" t="str">
        <f>"M&amp;M Medical Ltd"</f>
        <v>M&amp;M Medical Ltd</v>
      </c>
      <c r="C10629" s="1" t="s">
        <v>10063</v>
      </c>
      <c r="D10629" s="1" t="s">
        <v>10064</v>
      </c>
      <c r="F10629" s="1" t="s">
        <v>10065</v>
      </c>
      <c r="H10629" s="1" t="s">
        <v>6530</v>
      </c>
      <c r="I10629" s="1" t="s">
        <v>19</v>
      </c>
      <c r="J10629" s="1" t="s">
        <v>67</v>
      </c>
      <c r="K10629" s="1" t="s">
        <v>14</v>
      </c>
      <c r="M10629" s="2">
        <v>41737</v>
      </c>
      <c r="N10629" s="1" t="s">
        <v>8</v>
      </c>
      <c r="O10629" s="1" t="s">
        <v>68</v>
      </c>
    </row>
    <row r="10630" spans="1:15" ht="43.2" x14ac:dyDescent="0.3">
      <c r="A10630" s="1" t="s">
        <v>11119</v>
      </c>
      <c r="B10630" s="1" t="str">
        <f>"Parry Pentwyn Ltd"</f>
        <v>Parry Pentwyn Ltd</v>
      </c>
      <c r="C10630" s="1" t="s">
        <v>11120</v>
      </c>
      <c r="F10630" s="1" t="s">
        <v>3161</v>
      </c>
      <c r="H10630" s="1" t="s">
        <v>11121</v>
      </c>
      <c r="I10630" s="1" t="s">
        <v>19</v>
      </c>
      <c r="J10630" s="1" t="s">
        <v>67</v>
      </c>
      <c r="K10630" s="1" t="s">
        <v>14</v>
      </c>
      <c r="M10630" s="2">
        <v>41737</v>
      </c>
      <c r="N10630" s="1" t="s">
        <v>8</v>
      </c>
      <c r="O10630" s="1" t="s">
        <v>68</v>
      </c>
    </row>
    <row r="10631" spans="1:15" ht="43.2" x14ac:dyDescent="0.3">
      <c r="A10631" s="1" t="s">
        <v>21746</v>
      </c>
      <c r="B10631" s="1" t="str">
        <f>"Susan Moorhouse"</f>
        <v>Susan Moorhouse</v>
      </c>
      <c r="C10631" s="1" t="s">
        <v>21747</v>
      </c>
      <c r="F10631" s="1" t="s">
        <v>666</v>
      </c>
      <c r="H10631" s="1" t="s">
        <v>21748</v>
      </c>
      <c r="I10631" s="1" t="s">
        <v>5</v>
      </c>
      <c r="J10631" s="1" t="s">
        <v>67</v>
      </c>
      <c r="K10631" s="1" t="s">
        <v>14</v>
      </c>
      <c r="M10631" s="2">
        <v>41737</v>
      </c>
      <c r="N10631" s="1" t="s">
        <v>8</v>
      </c>
      <c r="O10631" s="1" t="s">
        <v>68</v>
      </c>
    </row>
    <row r="10632" spans="1:15" ht="43.2" x14ac:dyDescent="0.3">
      <c r="A10632" s="1" t="s">
        <v>22570</v>
      </c>
      <c r="B10632" s="1" t="str">
        <f>"Azeem Safdar"</f>
        <v>Azeem Safdar</v>
      </c>
      <c r="C10632" s="1" t="s">
        <v>22571</v>
      </c>
      <c r="D10632" s="1" t="s">
        <v>22572</v>
      </c>
      <c r="F10632" s="1" t="s">
        <v>706</v>
      </c>
      <c r="H10632" s="1" t="s">
        <v>22573</v>
      </c>
      <c r="I10632" s="1" t="s">
        <v>5</v>
      </c>
      <c r="J10632" s="1" t="s">
        <v>67</v>
      </c>
      <c r="K10632" s="1" t="s">
        <v>14</v>
      </c>
      <c r="M10632" s="2">
        <v>41737</v>
      </c>
      <c r="N10632" s="1" t="s">
        <v>8</v>
      </c>
      <c r="O10632" s="1" t="s">
        <v>68</v>
      </c>
    </row>
    <row r="10633" spans="1:15" ht="43.2" x14ac:dyDescent="0.3">
      <c r="A10633" s="1" t="s">
        <v>22574</v>
      </c>
      <c r="B10633" s="1" t="str">
        <f>"Anthony Moss-Davies"</f>
        <v>Anthony Moss-Davies</v>
      </c>
      <c r="C10633" s="1" t="s">
        <v>22575</v>
      </c>
      <c r="D10633" s="1" t="s">
        <v>22576</v>
      </c>
      <c r="F10633" s="1" t="s">
        <v>358</v>
      </c>
      <c r="H10633" s="1" t="s">
        <v>22577</v>
      </c>
      <c r="I10633" s="1" t="s">
        <v>5</v>
      </c>
      <c r="J10633" s="1" t="s">
        <v>67</v>
      </c>
      <c r="K10633" s="1" t="s">
        <v>14</v>
      </c>
      <c r="M10633" s="2">
        <v>41737</v>
      </c>
      <c r="N10633" s="1" t="s">
        <v>8</v>
      </c>
      <c r="O10633" s="1" t="s">
        <v>68</v>
      </c>
    </row>
    <row r="10634" spans="1:15" ht="43.2" x14ac:dyDescent="0.3">
      <c r="A10634" s="1" t="s">
        <v>22578</v>
      </c>
      <c r="B10634" s="1" t="str">
        <f>"brian jenkins"</f>
        <v>brian jenkins</v>
      </c>
      <c r="C10634" s="1" t="s">
        <v>22579</v>
      </c>
      <c r="D10634" s="1" t="s">
        <v>19484</v>
      </c>
      <c r="F10634" s="1" t="s">
        <v>11137</v>
      </c>
      <c r="H10634" s="1" t="s">
        <v>22580</v>
      </c>
      <c r="I10634" s="1" t="s">
        <v>5</v>
      </c>
      <c r="J10634" s="1" t="s">
        <v>67</v>
      </c>
      <c r="K10634" s="1" t="s">
        <v>14</v>
      </c>
      <c r="M10634" s="2">
        <v>41737</v>
      </c>
      <c r="N10634" s="1" t="s">
        <v>8</v>
      </c>
      <c r="O10634" s="1" t="s">
        <v>68</v>
      </c>
    </row>
    <row r="10635" spans="1:15" ht="43.2" x14ac:dyDescent="0.3">
      <c r="A10635" s="1" t="s">
        <v>22581</v>
      </c>
      <c r="B10635" s="1" t="str">
        <f>"Colin Flannigan"</f>
        <v>Colin Flannigan</v>
      </c>
      <c r="C10635" s="1" t="s">
        <v>22582</v>
      </c>
      <c r="D10635" s="1" t="s">
        <v>22583</v>
      </c>
      <c r="F10635" s="1" t="s">
        <v>358</v>
      </c>
      <c r="H10635" s="1" t="s">
        <v>22584</v>
      </c>
      <c r="I10635" s="1" t="s">
        <v>5</v>
      </c>
      <c r="J10635" s="1" t="s">
        <v>67</v>
      </c>
      <c r="K10635" s="1" t="s">
        <v>14</v>
      </c>
      <c r="M10635" s="2">
        <v>41737</v>
      </c>
      <c r="N10635" s="1" t="s">
        <v>8</v>
      </c>
      <c r="O10635" s="1" t="s">
        <v>68</v>
      </c>
    </row>
    <row r="10636" spans="1:15" ht="43.2" x14ac:dyDescent="0.3">
      <c r="A10636" s="1" t="s">
        <v>22585</v>
      </c>
      <c r="B10636" s="1" t="str">
        <f>"Ranjit Kaur"</f>
        <v>Ranjit Kaur</v>
      </c>
      <c r="C10636" s="1" t="s">
        <v>22586</v>
      </c>
      <c r="D10636" s="1" t="s">
        <v>22587</v>
      </c>
      <c r="F10636" s="1" t="s">
        <v>364</v>
      </c>
      <c r="H10636" s="1" t="s">
        <v>22588</v>
      </c>
      <c r="I10636" s="1" t="s">
        <v>5</v>
      </c>
      <c r="J10636" s="1" t="s">
        <v>67</v>
      </c>
      <c r="K10636" s="1" t="s">
        <v>14</v>
      </c>
      <c r="M10636" s="2">
        <v>41737</v>
      </c>
      <c r="N10636" s="1" t="s">
        <v>8</v>
      </c>
      <c r="O10636" s="1" t="s">
        <v>68</v>
      </c>
    </row>
    <row r="10637" spans="1:15" ht="43.2" x14ac:dyDescent="0.3">
      <c r="A10637" s="1" t="s">
        <v>23310</v>
      </c>
      <c r="B10637" s="1" t="str">
        <f>"Mark Gainsfort"</f>
        <v>Mark Gainsfort</v>
      </c>
      <c r="C10637" s="1" t="s">
        <v>23311</v>
      </c>
      <c r="D10637" s="1" t="s">
        <v>23312</v>
      </c>
      <c r="F10637" s="1" t="s">
        <v>1776</v>
      </c>
      <c r="H10637" s="1" t="s">
        <v>23313</v>
      </c>
      <c r="I10637" s="1" t="s">
        <v>5</v>
      </c>
      <c r="J10637" s="1" t="s">
        <v>67</v>
      </c>
      <c r="K10637" s="1" t="s">
        <v>14</v>
      </c>
      <c r="M10637" s="2">
        <v>41737</v>
      </c>
      <c r="N10637" s="1" t="s">
        <v>8</v>
      </c>
      <c r="O10637" s="1" t="s">
        <v>68</v>
      </c>
    </row>
    <row r="10638" spans="1:15" ht="43.2" x14ac:dyDescent="0.3">
      <c r="A10638" s="1" t="s">
        <v>23314</v>
      </c>
      <c r="B10638" s="1" t="str">
        <f>"mark petty"</f>
        <v>mark petty</v>
      </c>
      <c r="C10638" s="1" t="s">
        <v>23315</v>
      </c>
      <c r="D10638" s="1" t="s">
        <v>23316</v>
      </c>
      <c r="F10638" s="1" t="s">
        <v>1256</v>
      </c>
      <c r="H10638" s="1" t="s">
        <v>23317</v>
      </c>
      <c r="I10638" s="1" t="s">
        <v>5</v>
      </c>
      <c r="J10638" s="1" t="s">
        <v>67</v>
      </c>
      <c r="K10638" s="1" t="s">
        <v>14</v>
      </c>
      <c r="M10638" s="2">
        <v>41737</v>
      </c>
      <c r="N10638" s="1" t="s">
        <v>8</v>
      </c>
      <c r="O10638" s="1" t="s">
        <v>68</v>
      </c>
    </row>
    <row r="10639" spans="1:15" ht="43.2" x14ac:dyDescent="0.3">
      <c r="A10639" s="1" t="s">
        <v>23318</v>
      </c>
      <c r="B10639" s="1" t="str">
        <f>"mark petty"</f>
        <v>mark petty</v>
      </c>
      <c r="C10639" s="1" t="s">
        <v>23315</v>
      </c>
      <c r="D10639" s="1" t="s">
        <v>23316</v>
      </c>
      <c r="F10639" s="1" t="s">
        <v>1256</v>
      </c>
      <c r="H10639" s="1" t="s">
        <v>23317</v>
      </c>
      <c r="I10639" s="1" t="s">
        <v>5</v>
      </c>
      <c r="J10639" s="1" t="s">
        <v>67</v>
      </c>
      <c r="K10639" s="1" t="s">
        <v>14</v>
      </c>
      <c r="M10639" s="2">
        <v>41737</v>
      </c>
      <c r="N10639" s="1" t="s">
        <v>8</v>
      </c>
      <c r="O10639" s="1" t="s">
        <v>68</v>
      </c>
    </row>
    <row r="10640" spans="1:15" ht="43.2" x14ac:dyDescent="0.3">
      <c r="A10640" s="1" t="s">
        <v>24161</v>
      </c>
      <c r="B10640" s="1" t="str">
        <f>"Duncan Warren"</f>
        <v>Duncan Warren</v>
      </c>
      <c r="C10640" s="1" t="s">
        <v>24162</v>
      </c>
      <c r="F10640" s="1" t="s">
        <v>5291</v>
      </c>
      <c r="H10640" s="1" t="s">
        <v>24163</v>
      </c>
      <c r="I10640" s="1" t="s">
        <v>5</v>
      </c>
      <c r="J10640" s="1" t="s">
        <v>67</v>
      </c>
      <c r="K10640" s="1" t="s">
        <v>14</v>
      </c>
      <c r="M10640" s="2">
        <v>41737</v>
      </c>
      <c r="N10640" s="1" t="s">
        <v>8</v>
      </c>
      <c r="O10640" s="1" t="s">
        <v>68</v>
      </c>
    </row>
    <row r="10641" spans="1:15" ht="43.2" x14ac:dyDescent="0.3">
      <c r="A10641" s="1" t="s">
        <v>6688</v>
      </c>
      <c r="B10641" s="1" t="str">
        <f>"Whitehall Guest House"</f>
        <v>Whitehall Guest House</v>
      </c>
      <c r="C10641" s="1" t="s">
        <v>6689</v>
      </c>
      <c r="F10641" s="1" t="s">
        <v>358</v>
      </c>
      <c r="H10641" s="1" t="s">
        <v>6690</v>
      </c>
      <c r="I10641" s="1" t="s">
        <v>125</v>
      </c>
      <c r="J10641" s="1" t="s">
        <v>67</v>
      </c>
      <c r="K10641" s="1" t="s">
        <v>14</v>
      </c>
      <c r="M10641" s="2">
        <v>41736</v>
      </c>
      <c r="N10641" s="1" t="s">
        <v>8</v>
      </c>
      <c r="O10641" s="1" t="s">
        <v>68</v>
      </c>
    </row>
    <row r="10642" spans="1:15" ht="43.2" x14ac:dyDescent="0.3">
      <c r="A10642" s="1" t="s">
        <v>7735</v>
      </c>
      <c r="B10642" s="1" t="str">
        <f>"AJ  and  SL Harry"</f>
        <v>AJ  and  SL Harry</v>
      </c>
      <c r="C10642" s="1" t="s">
        <v>7736</v>
      </c>
      <c r="F10642" s="1" t="s">
        <v>7737</v>
      </c>
      <c r="H10642" s="1" t="s">
        <v>2848</v>
      </c>
      <c r="I10642" s="1" t="s">
        <v>125</v>
      </c>
      <c r="J10642" s="1" t="s">
        <v>67</v>
      </c>
      <c r="K10642" s="1" t="s">
        <v>14</v>
      </c>
      <c r="M10642" s="2">
        <v>41736</v>
      </c>
      <c r="N10642" s="1" t="s">
        <v>8</v>
      </c>
      <c r="O10642" s="1" t="s">
        <v>68</v>
      </c>
    </row>
    <row r="10643" spans="1:15" ht="43.2" x14ac:dyDescent="0.3">
      <c r="A10643" s="1" t="s">
        <v>7738</v>
      </c>
      <c r="B10643" s="1" t="str">
        <f>"AJ  and  SL Harry"</f>
        <v>AJ  and  SL Harry</v>
      </c>
      <c r="C10643" s="1" t="s">
        <v>7736</v>
      </c>
      <c r="F10643" s="1" t="s">
        <v>7737</v>
      </c>
      <c r="H10643" s="1" t="s">
        <v>2848</v>
      </c>
      <c r="I10643" s="1" t="s">
        <v>125</v>
      </c>
      <c r="J10643" s="1" t="s">
        <v>67</v>
      </c>
      <c r="K10643" s="1" t="s">
        <v>14</v>
      </c>
      <c r="M10643" s="2">
        <v>41736</v>
      </c>
      <c r="N10643" s="1" t="s">
        <v>8</v>
      </c>
      <c r="O10643" s="1" t="s">
        <v>68</v>
      </c>
    </row>
    <row r="10644" spans="1:15" ht="43.2" x14ac:dyDescent="0.3">
      <c r="A10644" s="1" t="s">
        <v>7739</v>
      </c>
      <c r="B10644" s="1" t="str">
        <f>"AJ  and  SL Harry"</f>
        <v>AJ  and  SL Harry</v>
      </c>
      <c r="C10644" s="1" t="s">
        <v>7736</v>
      </c>
      <c r="F10644" s="1" t="s">
        <v>7737</v>
      </c>
      <c r="H10644" s="1" t="s">
        <v>2848</v>
      </c>
      <c r="I10644" s="1" t="s">
        <v>125</v>
      </c>
      <c r="J10644" s="1" t="s">
        <v>67</v>
      </c>
      <c r="K10644" s="1" t="s">
        <v>14</v>
      </c>
      <c r="M10644" s="2">
        <v>41736</v>
      </c>
      <c r="N10644" s="1" t="s">
        <v>8</v>
      </c>
      <c r="O10644" s="1" t="s">
        <v>68</v>
      </c>
    </row>
    <row r="10645" spans="1:15" ht="43.2" x14ac:dyDescent="0.3">
      <c r="A10645" s="1" t="s">
        <v>7740</v>
      </c>
      <c r="B10645" s="1" t="str">
        <f>"AJ  and  SL Harry"</f>
        <v>AJ  and  SL Harry</v>
      </c>
      <c r="C10645" s="1" t="s">
        <v>7736</v>
      </c>
      <c r="F10645" s="1" t="s">
        <v>7737</v>
      </c>
      <c r="H10645" s="1" t="s">
        <v>2848</v>
      </c>
      <c r="I10645" s="1" t="s">
        <v>125</v>
      </c>
      <c r="J10645" s="1" t="s">
        <v>67</v>
      </c>
      <c r="K10645" s="1" t="s">
        <v>14</v>
      </c>
      <c r="M10645" s="2">
        <v>41736</v>
      </c>
      <c r="N10645" s="1" t="s">
        <v>8</v>
      </c>
      <c r="O10645" s="1" t="s">
        <v>68</v>
      </c>
    </row>
    <row r="10646" spans="1:15" ht="43.2" x14ac:dyDescent="0.3">
      <c r="A10646" s="1" t="s">
        <v>7741</v>
      </c>
      <c r="B10646" s="1" t="str">
        <f>"parrys commercials ltd"</f>
        <v>parrys commercials ltd</v>
      </c>
      <c r="C10646" s="1" t="s">
        <v>7742</v>
      </c>
      <c r="D10646" s="1" t="s">
        <v>7743</v>
      </c>
      <c r="F10646" s="1" t="s">
        <v>7744</v>
      </c>
      <c r="H10646" s="1" t="s">
        <v>7745</v>
      </c>
      <c r="I10646" s="1" t="s">
        <v>19</v>
      </c>
      <c r="J10646" s="1" t="s">
        <v>67</v>
      </c>
      <c r="K10646" s="1" t="s">
        <v>14</v>
      </c>
      <c r="M10646" s="2">
        <v>41736</v>
      </c>
      <c r="N10646" s="1" t="s">
        <v>8</v>
      </c>
      <c r="O10646" s="1" t="s">
        <v>68</v>
      </c>
    </row>
    <row r="10647" spans="1:15" ht="43.2" x14ac:dyDescent="0.3">
      <c r="A10647" s="1" t="s">
        <v>7746</v>
      </c>
      <c r="B10647" s="1" t="str">
        <f>"parrys commercials ltd"</f>
        <v>parrys commercials ltd</v>
      </c>
      <c r="C10647" s="1" t="s">
        <v>7742</v>
      </c>
      <c r="D10647" s="1" t="s">
        <v>7743</v>
      </c>
      <c r="F10647" s="1" t="s">
        <v>7744</v>
      </c>
      <c r="H10647" s="1" t="s">
        <v>7745</v>
      </c>
      <c r="I10647" s="1" t="s">
        <v>19</v>
      </c>
      <c r="J10647" s="1" t="s">
        <v>67</v>
      </c>
      <c r="K10647" s="1" t="s">
        <v>14</v>
      </c>
      <c r="M10647" s="2">
        <v>41736</v>
      </c>
      <c r="N10647" s="1" t="s">
        <v>8</v>
      </c>
      <c r="O10647" s="1" t="s">
        <v>68</v>
      </c>
    </row>
    <row r="10648" spans="1:15" ht="43.2" x14ac:dyDescent="0.3">
      <c r="A10648" s="1" t="s">
        <v>20989</v>
      </c>
      <c r="B10648" s="1" t="str">
        <f>"andrew lloyd"</f>
        <v>andrew lloyd</v>
      </c>
      <c r="C10648" s="1" t="s">
        <v>20990</v>
      </c>
      <c r="F10648" s="1" t="s">
        <v>64</v>
      </c>
      <c r="H10648" s="1" t="s">
        <v>20991</v>
      </c>
      <c r="I10648" s="1" t="s">
        <v>5</v>
      </c>
      <c r="J10648" s="1" t="s">
        <v>67</v>
      </c>
      <c r="K10648" s="1" t="s">
        <v>14</v>
      </c>
      <c r="M10648" s="2">
        <v>41736</v>
      </c>
      <c r="N10648" s="1" t="s">
        <v>8</v>
      </c>
      <c r="O10648" s="1" t="s">
        <v>68</v>
      </c>
    </row>
    <row r="10649" spans="1:15" ht="43.2" x14ac:dyDescent="0.3">
      <c r="A10649" s="1" t="s">
        <v>20992</v>
      </c>
      <c r="B10649" s="1" t="str">
        <f>"William John Jones"</f>
        <v>William John Jones</v>
      </c>
      <c r="C10649" s="1" t="s">
        <v>20993</v>
      </c>
      <c r="F10649" s="1" t="s">
        <v>1206</v>
      </c>
      <c r="H10649" s="1" t="s">
        <v>20994</v>
      </c>
      <c r="I10649" s="1" t="s">
        <v>5</v>
      </c>
      <c r="J10649" s="1" t="s">
        <v>67</v>
      </c>
      <c r="K10649" s="1" t="s">
        <v>14</v>
      </c>
      <c r="M10649" s="2">
        <v>41736</v>
      </c>
      <c r="N10649" s="1" t="s">
        <v>8</v>
      </c>
      <c r="O10649" s="1" t="s">
        <v>68</v>
      </c>
    </row>
    <row r="10650" spans="1:15" ht="43.2" x14ac:dyDescent="0.3">
      <c r="A10650" s="1" t="s">
        <v>20995</v>
      </c>
      <c r="B10650" s="1" t="str">
        <f>"William John Jones"</f>
        <v>William John Jones</v>
      </c>
      <c r="C10650" s="1" t="s">
        <v>20993</v>
      </c>
      <c r="F10650" s="1" t="s">
        <v>1206</v>
      </c>
      <c r="H10650" s="1" t="s">
        <v>20994</v>
      </c>
      <c r="I10650" s="1" t="s">
        <v>5</v>
      </c>
      <c r="J10650" s="1" t="s">
        <v>67</v>
      </c>
      <c r="K10650" s="1" t="s">
        <v>14</v>
      </c>
      <c r="M10650" s="2">
        <v>41736</v>
      </c>
      <c r="N10650" s="1" t="s">
        <v>8</v>
      </c>
      <c r="O10650" s="1" t="s">
        <v>68</v>
      </c>
    </row>
    <row r="10651" spans="1:15" ht="43.2" x14ac:dyDescent="0.3">
      <c r="A10651" s="1" t="s">
        <v>20996</v>
      </c>
      <c r="B10651" s="1" t="str">
        <f>"William John Jones"</f>
        <v>William John Jones</v>
      </c>
      <c r="C10651" s="1" t="s">
        <v>20993</v>
      </c>
      <c r="F10651" s="1" t="s">
        <v>1206</v>
      </c>
      <c r="H10651" s="1" t="s">
        <v>20994</v>
      </c>
      <c r="I10651" s="1" t="s">
        <v>5</v>
      </c>
      <c r="J10651" s="1" t="s">
        <v>67</v>
      </c>
      <c r="K10651" s="1" t="s">
        <v>14</v>
      </c>
      <c r="M10651" s="2">
        <v>41736</v>
      </c>
      <c r="N10651" s="1" t="s">
        <v>8</v>
      </c>
      <c r="O10651" s="1" t="s">
        <v>68</v>
      </c>
    </row>
    <row r="10652" spans="1:15" ht="43.2" x14ac:dyDescent="0.3">
      <c r="A10652" s="1" t="s">
        <v>21736</v>
      </c>
      <c r="B10652" s="1" t="str">
        <f>"William John Jones"</f>
        <v>William John Jones</v>
      </c>
      <c r="C10652" s="1" t="s">
        <v>20993</v>
      </c>
      <c r="F10652" s="1" t="s">
        <v>1206</v>
      </c>
      <c r="H10652" s="1" t="s">
        <v>20994</v>
      </c>
      <c r="I10652" s="1" t="s">
        <v>5</v>
      </c>
      <c r="J10652" s="1" t="s">
        <v>67</v>
      </c>
      <c r="K10652" s="1" t="s">
        <v>14</v>
      </c>
      <c r="M10652" s="2">
        <v>41736</v>
      </c>
      <c r="N10652" s="1" t="s">
        <v>8</v>
      </c>
      <c r="O10652" s="1" t="s">
        <v>68</v>
      </c>
    </row>
    <row r="10653" spans="1:15" ht="43.2" x14ac:dyDescent="0.3">
      <c r="A10653" s="1" t="s">
        <v>21737</v>
      </c>
      <c r="B10653" s="1" t="str">
        <f>"William John Jones"</f>
        <v>William John Jones</v>
      </c>
      <c r="C10653" s="1" t="s">
        <v>20993</v>
      </c>
      <c r="F10653" s="1" t="s">
        <v>1206</v>
      </c>
      <c r="H10653" s="1" t="s">
        <v>20994</v>
      </c>
      <c r="I10653" s="1" t="s">
        <v>5</v>
      </c>
      <c r="J10653" s="1" t="s">
        <v>67</v>
      </c>
      <c r="K10653" s="1" t="s">
        <v>14</v>
      </c>
      <c r="M10653" s="2">
        <v>41736</v>
      </c>
      <c r="N10653" s="1" t="s">
        <v>8</v>
      </c>
      <c r="O10653" s="1" t="s">
        <v>68</v>
      </c>
    </row>
    <row r="10654" spans="1:15" ht="43.2" x14ac:dyDescent="0.3">
      <c r="A10654" s="1" t="s">
        <v>21738</v>
      </c>
      <c r="B10654" s="1" t="str">
        <f>"William John Jones"</f>
        <v>William John Jones</v>
      </c>
      <c r="C10654" s="1" t="s">
        <v>20993</v>
      </c>
      <c r="F10654" s="1" t="s">
        <v>1206</v>
      </c>
      <c r="H10654" s="1" t="s">
        <v>20994</v>
      </c>
      <c r="I10654" s="1" t="s">
        <v>5</v>
      </c>
      <c r="J10654" s="1" t="s">
        <v>67</v>
      </c>
      <c r="K10654" s="1" t="s">
        <v>14</v>
      </c>
      <c r="M10654" s="2">
        <v>41736</v>
      </c>
      <c r="N10654" s="1" t="s">
        <v>8</v>
      </c>
      <c r="O10654" s="1" t="s">
        <v>68</v>
      </c>
    </row>
    <row r="10655" spans="1:15" ht="43.2" x14ac:dyDescent="0.3">
      <c r="A10655" s="1" t="s">
        <v>21739</v>
      </c>
      <c r="B10655" s="1" t="str">
        <f>"trevor lloyd"</f>
        <v>trevor lloyd</v>
      </c>
      <c r="C10655" s="1" t="s">
        <v>21740</v>
      </c>
      <c r="F10655" s="1" t="s">
        <v>64</v>
      </c>
      <c r="H10655" s="1" t="s">
        <v>21741</v>
      </c>
      <c r="I10655" s="1" t="s">
        <v>5</v>
      </c>
      <c r="J10655" s="1" t="s">
        <v>67</v>
      </c>
      <c r="K10655" s="1" t="s">
        <v>14</v>
      </c>
      <c r="M10655" s="2">
        <v>41736</v>
      </c>
      <c r="N10655" s="1" t="s">
        <v>8</v>
      </c>
      <c r="O10655" s="1" t="s">
        <v>68</v>
      </c>
    </row>
    <row r="10656" spans="1:15" ht="43.2" x14ac:dyDescent="0.3">
      <c r="A10656" s="1" t="s">
        <v>21742</v>
      </c>
      <c r="B10656" s="1" t="str">
        <f>"trevor lloyd"</f>
        <v>trevor lloyd</v>
      </c>
      <c r="C10656" s="1" t="s">
        <v>21740</v>
      </c>
      <c r="F10656" s="1" t="s">
        <v>64</v>
      </c>
      <c r="H10656" s="1" t="s">
        <v>21741</v>
      </c>
      <c r="I10656" s="1" t="s">
        <v>5</v>
      </c>
      <c r="J10656" s="1" t="s">
        <v>67</v>
      </c>
      <c r="K10656" s="1" t="s">
        <v>14</v>
      </c>
      <c r="M10656" s="2">
        <v>41736</v>
      </c>
      <c r="N10656" s="1" t="s">
        <v>8</v>
      </c>
      <c r="O10656" s="1" t="s">
        <v>68</v>
      </c>
    </row>
    <row r="10657" spans="1:15" ht="43.2" x14ac:dyDescent="0.3">
      <c r="A10657" s="1" t="s">
        <v>21743</v>
      </c>
      <c r="B10657" s="1" t="str">
        <f>"John Brierley"</f>
        <v>John Brierley</v>
      </c>
      <c r="C10657" s="1" t="s">
        <v>21744</v>
      </c>
      <c r="F10657" s="1" t="s">
        <v>3242</v>
      </c>
      <c r="H10657" s="1" t="s">
        <v>21745</v>
      </c>
      <c r="I10657" s="1" t="s">
        <v>5</v>
      </c>
      <c r="J10657" s="1" t="s">
        <v>67</v>
      </c>
      <c r="K10657" s="1" t="s">
        <v>14</v>
      </c>
      <c r="M10657" s="2">
        <v>41736</v>
      </c>
      <c r="N10657" s="1" t="s">
        <v>8</v>
      </c>
      <c r="O10657" s="1" t="s">
        <v>68</v>
      </c>
    </row>
    <row r="10658" spans="1:15" ht="43.2" x14ac:dyDescent="0.3">
      <c r="A10658" s="1" t="s">
        <v>6687</v>
      </c>
      <c r="B10658" s="1" t="str">
        <f>"North Wales Fire &amp; Rescue Service"</f>
        <v>North Wales Fire &amp; Rescue Service</v>
      </c>
      <c r="C10658" s="1" t="s">
        <v>6678</v>
      </c>
      <c r="F10658" s="1" t="s">
        <v>359</v>
      </c>
      <c r="H10658" s="1" t="s">
        <v>6679</v>
      </c>
      <c r="I10658" s="1" t="s">
        <v>188</v>
      </c>
      <c r="J10658" s="1" t="s">
        <v>67</v>
      </c>
      <c r="K10658" s="1" t="s">
        <v>14</v>
      </c>
      <c r="M10658" s="2">
        <v>41734</v>
      </c>
      <c r="N10658" s="1" t="s">
        <v>8</v>
      </c>
      <c r="O10658" s="1" t="s">
        <v>68</v>
      </c>
    </row>
    <row r="10659" spans="1:15" ht="43.2" x14ac:dyDescent="0.3">
      <c r="A10659" s="1" t="s">
        <v>5456</v>
      </c>
      <c r="B10659" s="1" t="str">
        <f>"WE Care &amp; Repair"</f>
        <v>WE Care &amp; Repair</v>
      </c>
      <c r="C10659" s="1" t="s">
        <v>5457</v>
      </c>
      <c r="D10659" s="1" t="s">
        <v>5458</v>
      </c>
      <c r="F10659" s="1" t="s">
        <v>5459</v>
      </c>
      <c r="H10659" s="1" t="s">
        <v>5460</v>
      </c>
      <c r="I10659" s="1" t="s">
        <v>1872</v>
      </c>
      <c r="J10659" s="1" t="s">
        <v>67</v>
      </c>
      <c r="K10659" s="1" t="s">
        <v>14</v>
      </c>
      <c r="M10659" s="2">
        <v>41733</v>
      </c>
      <c r="N10659" s="1" t="s">
        <v>8</v>
      </c>
      <c r="O10659" s="1" t="s">
        <v>68</v>
      </c>
    </row>
    <row r="10660" spans="1:15" ht="43.2" x14ac:dyDescent="0.3">
      <c r="A10660" s="1" t="s">
        <v>5461</v>
      </c>
      <c r="B10660" s="1" t="str">
        <f>"E Beauclerk"</f>
        <v>E Beauclerk</v>
      </c>
      <c r="C10660" s="1" t="s">
        <v>5462</v>
      </c>
      <c r="F10660" s="1" t="s">
        <v>5463</v>
      </c>
      <c r="H10660" s="1" t="s">
        <v>5464</v>
      </c>
      <c r="I10660" s="1" t="s">
        <v>125</v>
      </c>
      <c r="J10660" s="1" t="s">
        <v>67</v>
      </c>
      <c r="K10660" s="1" t="s">
        <v>14</v>
      </c>
      <c r="M10660" s="2">
        <v>41733</v>
      </c>
      <c r="N10660" s="1" t="s">
        <v>8</v>
      </c>
      <c r="O10660" s="1" t="s">
        <v>68</v>
      </c>
    </row>
    <row r="10661" spans="1:15" ht="43.2" x14ac:dyDescent="0.3">
      <c r="A10661" s="1" t="s">
        <v>6677</v>
      </c>
      <c r="B10661" s="1" t="str">
        <f>"NORTH WALES FIRE &amp; RESCUE SERVICE"</f>
        <v>NORTH WALES FIRE &amp; RESCUE SERVICE</v>
      </c>
      <c r="C10661" s="1" t="s">
        <v>6678</v>
      </c>
      <c r="F10661" s="1" t="s">
        <v>359</v>
      </c>
      <c r="H10661" s="1" t="s">
        <v>6679</v>
      </c>
      <c r="I10661" s="1" t="s">
        <v>188</v>
      </c>
      <c r="J10661" s="1" t="s">
        <v>67</v>
      </c>
      <c r="K10661" s="1" t="s">
        <v>14</v>
      </c>
      <c r="M10661" s="2">
        <v>41733</v>
      </c>
      <c r="N10661" s="1" t="s">
        <v>8</v>
      </c>
      <c r="O10661" s="1" t="s">
        <v>68</v>
      </c>
    </row>
    <row r="10662" spans="1:15" ht="43.2" x14ac:dyDescent="0.3">
      <c r="A10662" s="1" t="s">
        <v>6680</v>
      </c>
      <c r="B10662" s="1" t="str">
        <f>"DW ENTERPRISE"</f>
        <v>DW ENTERPRISE</v>
      </c>
      <c r="C10662" s="1" t="s">
        <v>6681</v>
      </c>
      <c r="F10662" s="1" t="s">
        <v>6682</v>
      </c>
      <c r="H10662" s="1" t="s">
        <v>6683</v>
      </c>
      <c r="I10662" s="1" t="s">
        <v>125</v>
      </c>
      <c r="J10662" s="1" t="s">
        <v>67</v>
      </c>
      <c r="K10662" s="1" t="s">
        <v>14</v>
      </c>
      <c r="M10662" s="2">
        <v>41733</v>
      </c>
      <c r="N10662" s="1" t="s">
        <v>8</v>
      </c>
      <c r="O10662" s="1" t="s">
        <v>68</v>
      </c>
    </row>
    <row r="10663" spans="1:15" ht="43.2" x14ac:dyDescent="0.3">
      <c r="A10663" s="1" t="s">
        <v>6684</v>
      </c>
      <c r="B10663" s="1" t="str">
        <f>"baygrill 2"</f>
        <v>baygrill 2</v>
      </c>
      <c r="C10663" s="1" t="s">
        <v>6685</v>
      </c>
      <c r="F10663" s="1" t="s">
        <v>3242</v>
      </c>
      <c r="H10663" s="1" t="s">
        <v>6686</v>
      </c>
      <c r="I10663" s="1" t="s">
        <v>19</v>
      </c>
      <c r="J10663" s="1" t="s">
        <v>67</v>
      </c>
      <c r="K10663" s="1" t="s">
        <v>14</v>
      </c>
      <c r="M10663" s="2">
        <v>41733</v>
      </c>
      <c r="N10663" s="1" t="s">
        <v>8</v>
      </c>
      <c r="O10663" s="1" t="s">
        <v>68</v>
      </c>
    </row>
    <row r="10664" spans="1:15" ht="43.2" x14ac:dyDescent="0.3">
      <c r="A10664" s="1" t="s">
        <v>19378</v>
      </c>
      <c r="B10664" s="1" t="str">
        <f>"Martyn Huish"</f>
        <v>Martyn Huish</v>
      </c>
      <c r="C10664" s="1" t="s">
        <v>19379</v>
      </c>
      <c r="D10664" s="1" t="s">
        <v>19380</v>
      </c>
      <c r="F10664" s="1" t="s">
        <v>782</v>
      </c>
      <c r="H10664" s="1" t="s">
        <v>19381</v>
      </c>
      <c r="I10664" s="1" t="s">
        <v>5</v>
      </c>
      <c r="J10664" s="1" t="s">
        <v>67</v>
      </c>
      <c r="K10664" s="1" t="s">
        <v>14</v>
      </c>
      <c r="M10664" s="2">
        <v>41733</v>
      </c>
      <c r="N10664" s="1" t="s">
        <v>8</v>
      </c>
      <c r="O10664" s="1" t="s">
        <v>68</v>
      </c>
    </row>
    <row r="10665" spans="1:15" ht="43.2" x14ac:dyDescent="0.3">
      <c r="A10665" s="1" t="s">
        <v>20183</v>
      </c>
      <c r="B10665" s="1" t="str">
        <f>"Rhodri Hewit"</f>
        <v>Rhodri Hewit</v>
      </c>
      <c r="C10665" s="1" t="s">
        <v>20184</v>
      </c>
      <c r="F10665" s="1" t="s">
        <v>4867</v>
      </c>
      <c r="H10665" s="1" t="s">
        <v>20185</v>
      </c>
      <c r="I10665" s="1" t="s">
        <v>5</v>
      </c>
      <c r="J10665" s="1" t="s">
        <v>67</v>
      </c>
      <c r="K10665" s="1" t="s">
        <v>14</v>
      </c>
      <c r="M10665" s="2">
        <v>41733</v>
      </c>
      <c r="N10665" s="1" t="s">
        <v>8</v>
      </c>
      <c r="O10665" s="1" t="s">
        <v>68</v>
      </c>
    </row>
    <row r="10666" spans="1:15" ht="43.2" x14ac:dyDescent="0.3">
      <c r="A10666" s="1" t="s">
        <v>20186</v>
      </c>
      <c r="B10666" s="1" t="str">
        <f>"D Peacock"</f>
        <v>D Peacock</v>
      </c>
      <c r="C10666" s="1" t="s">
        <v>20187</v>
      </c>
      <c r="F10666" s="1" t="s">
        <v>20188</v>
      </c>
      <c r="H10666" s="1" t="s">
        <v>9455</v>
      </c>
      <c r="I10666" s="1" t="s">
        <v>5</v>
      </c>
      <c r="J10666" s="1" t="s">
        <v>67</v>
      </c>
      <c r="K10666" s="1" t="s">
        <v>14</v>
      </c>
      <c r="M10666" s="2">
        <v>41733</v>
      </c>
      <c r="N10666" s="1" t="s">
        <v>8</v>
      </c>
      <c r="O10666" s="1" t="s">
        <v>68</v>
      </c>
    </row>
    <row r="10667" spans="1:15" ht="43.2" x14ac:dyDescent="0.3">
      <c r="A10667" s="1" t="s">
        <v>20189</v>
      </c>
      <c r="B10667" s="1" t="str">
        <f>"D Peacock"</f>
        <v>D Peacock</v>
      </c>
      <c r="C10667" s="1" t="s">
        <v>20187</v>
      </c>
      <c r="F10667" s="1" t="s">
        <v>20188</v>
      </c>
      <c r="H10667" s="1" t="s">
        <v>9455</v>
      </c>
      <c r="I10667" s="1" t="s">
        <v>5</v>
      </c>
      <c r="J10667" s="1" t="s">
        <v>67</v>
      </c>
      <c r="K10667" s="1" t="s">
        <v>14</v>
      </c>
      <c r="M10667" s="2">
        <v>41733</v>
      </c>
      <c r="N10667" s="1" t="s">
        <v>8</v>
      </c>
      <c r="O10667" s="1" t="s">
        <v>68</v>
      </c>
    </row>
    <row r="10668" spans="1:15" ht="43.2" x14ac:dyDescent="0.3">
      <c r="A10668" s="1" t="s">
        <v>20984</v>
      </c>
      <c r="B10668" s="1" t="str">
        <f>"D Peacock"</f>
        <v>D Peacock</v>
      </c>
      <c r="C10668" s="1" t="s">
        <v>20187</v>
      </c>
      <c r="F10668" s="1" t="s">
        <v>20188</v>
      </c>
      <c r="H10668" s="1" t="s">
        <v>9455</v>
      </c>
      <c r="I10668" s="1" t="s">
        <v>5</v>
      </c>
      <c r="J10668" s="1" t="s">
        <v>67</v>
      </c>
      <c r="K10668" s="1" t="s">
        <v>14</v>
      </c>
      <c r="M10668" s="2">
        <v>41733</v>
      </c>
      <c r="N10668" s="1" t="s">
        <v>8</v>
      </c>
      <c r="O10668" s="1" t="s">
        <v>68</v>
      </c>
    </row>
    <row r="10669" spans="1:15" ht="43.2" x14ac:dyDescent="0.3">
      <c r="A10669" s="1" t="s">
        <v>20985</v>
      </c>
      <c r="B10669" s="1" t="str">
        <f>"D Peacock"</f>
        <v>D Peacock</v>
      </c>
      <c r="C10669" s="1" t="s">
        <v>20187</v>
      </c>
      <c r="F10669" s="1" t="s">
        <v>20188</v>
      </c>
      <c r="H10669" s="1" t="s">
        <v>9455</v>
      </c>
      <c r="I10669" s="1" t="s">
        <v>5</v>
      </c>
      <c r="J10669" s="1" t="s">
        <v>67</v>
      </c>
      <c r="K10669" s="1" t="s">
        <v>14</v>
      </c>
      <c r="M10669" s="2">
        <v>41733</v>
      </c>
      <c r="N10669" s="1" t="s">
        <v>8</v>
      </c>
      <c r="O10669" s="1" t="s">
        <v>68</v>
      </c>
    </row>
    <row r="10670" spans="1:15" ht="43.2" x14ac:dyDescent="0.3">
      <c r="A10670" s="1" t="s">
        <v>20986</v>
      </c>
      <c r="B10670" s="1" t="str">
        <f>"D Peacock"</f>
        <v>D Peacock</v>
      </c>
      <c r="C10670" s="1" t="s">
        <v>20187</v>
      </c>
      <c r="F10670" s="1" t="s">
        <v>20188</v>
      </c>
      <c r="H10670" s="1" t="s">
        <v>9455</v>
      </c>
      <c r="I10670" s="1" t="s">
        <v>5</v>
      </c>
      <c r="J10670" s="1" t="s">
        <v>67</v>
      </c>
      <c r="K10670" s="1" t="s">
        <v>14</v>
      </c>
      <c r="M10670" s="2">
        <v>41733</v>
      </c>
      <c r="N10670" s="1" t="s">
        <v>8</v>
      </c>
      <c r="O10670" s="1" t="s">
        <v>68</v>
      </c>
    </row>
    <row r="10671" spans="1:15" ht="43.2" x14ac:dyDescent="0.3">
      <c r="A10671" s="1" t="s">
        <v>20987</v>
      </c>
      <c r="B10671" s="1" t="str">
        <f>"D Peacock"</f>
        <v>D Peacock</v>
      </c>
      <c r="C10671" s="1" t="s">
        <v>20187</v>
      </c>
      <c r="F10671" s="1" t="s">
        <v>20188</v>
      </c>
      <c r="H10671" s="1" t="s">
        <v>9455</v>
      </c>
      <c r="I10671" s="1" t="s">
        <v>5</v>
      </c>
      <c r="J10671" s="1" t="s">
        <v>67</v>
      </c>
      <c r="K10671" s="1" t="s">
        <v>14</v>
      </c>
      <c r="M10671" s="2">
        <v>41733</v>
      </c>
      <c r="N10671" s="1" t="s">
        <v>8</v>
      </c>
      <c r="O10671" s="1" t="s">
        <v>68</v>
      </c>
    </row>
    <row r="10672" spans="1:15" ht="43.2" x14ac:dyDescent="0.3">
      <c r="A10672" s="1" t="s">
        <v>20988</v>
      </c>
      <c r="B10672" s="1" t="str">
        <f>"D Peacock"</f>
        <v>D Peacock</v>
      </c>
      <c r="C10672" s="1" t="s">
        <v>20187</v>
      </c>
      <c r="F10672" s="1" t="s">
        <v>20188</v>
      </c>
      <c r="H10672" s="1" t="s">
        <v>9455</v>
      </c>
      <c r="I10672" s="1" t="s">
        <v>5</v>
      </c>
      <c r="J10672" s="1" t="s">
        <v>67</v>
      </c>
      <c r="K10672" s="1" t="s">
        <v>14</v>
      </c>
      <c r="M10672" s="2">
        <v>41733</v>
      </c>
      <c r="N10672" s="1" t="s">
        <v>8</v>
      </c>
      <c r="O10672" s="1" t="s">
        <v>68</v>
      </c>
    </row>
    <row r="10673" spans="1:15" ht="43.2" x14ac:dyDescent="0.3">
      <c r="A10673" s="1" t="s">
        <v>3219</v>
      </c>
      <c r="B10673" s="1" t="str">
        <f>"Penrhyn Blinds Ltd"</f>
        <v>Penrhyn Blinds Ltd</v>
      </c>
      <c r="C10673" s="1" t="s">
        <v>3220</v>
      </c>
      <c r="D10673" s="1" t="s">
        <v>955</v>
      </c>
      <c r="F10673" s="1" t="s">
        <v>358</v>
      </c>
      <c r="H10673" s="1" t="s">
        <v>3221</v>
      </c>
      <c r="I10673" s="1" t="s">
        <v>19</v>
      </c>
      <c r="J10673" s="1" t="s">
        <v>67</v>
      </c>
      <c r="K10673" s="1" t="s">
        <v>14</v>
      </c>
      <c r="M10673" s="2">
        <v>41732</v>
      </c>
      <c r="N10673" s="1" t="s">
        <v>8</v>
      </c>
      <c r="O10673" s="1" t="s">
        <v>68</v>
      </c>
    </row>
    <row r="10674" spans="1:15" ht="43.2" x14ac:dyDescent="0.3">
      <c r="A10674" s="1" t="s">
        <v>3222</v>
      </c>
      <c r="B10674" s="1" t="str">
        <f>"Penrhyn Blinds Ltd"</f>
        <v>Penrhyn Blinds Ltd</v>
      </c>
      <c r="C10674" s="1" t="s">
        <v>3220</v>
      </c>
      <c r="D10674" s="1" t="s">
        <v>955</v>
      </c>
      <c r="F10674" s="1" t="s">
        <v>358</v>
      </c>
      <c r="H10674" s="1" t="s">
        <v>3221</v>
      </c>
      <c r="I10674" s="1" t="s">
        <v>19</v>
      </c>
      <c r="J10674" s="1" t="s">
        <v>67</v>
      </c>
      <c r="K10674" s="1" t="s">
        <v>14</v>
      </c>
      <c r="M10674" s="2">
        <v>41732</v>
      </c>
      <c r="N10674" s="1" t="s">
        <v>8</v>
      </c>
      <c r="O10674" s="1" t="s">
        <v>68</v>
      </c>
    </row>
    <row r="10675" spans="1:15" ht="43.2" x14ac:dyDescent="0.3">
      <c r="A10675" s="1" t="s">
        <v>3223</v>
      </c>
      <c r="B10675" s="1" t="str">
        <f>"Penrhyn Blinds Ltd"</f>
        <v>Penrhyn Blinds Ltd</v>
      </c>
      <c r="C10675" s="1" t="s">
        <v>3220</v>
      </c>
      <c r="D10675" s="1" t="s">
        <v>955</v>
      </c>
      <c r="F10675" s="1" t="s">
        <v>358</v>
      </c>
      <c r="H10675" s="1" t="s">
        <v>3221</v>
      </c>
      <c r="I10675" s="1" t="s">
        <v>19</v>
      </c>
      <c r="J10675" s="1" t="s">
        <v>67</v>
      </c>
      <c r="K10675" s="1" t="s">
        <v>14</v>
      </c>
      <c r="M10675" s="2">
        <v>41732</v>
      </c>
      <c r="N10675" s="1" t="s">
        <v>8</v>
      </c>
      <c r="O10675" s="1" t="s">
        <v>68</v>
      </c>
    </row>
    <row r="10676" spans="1:15" ht="43.2" x14ac:dyDescent="0.3">
      <c r="A10676" s="1" t="s">
        <v>3224</v>
      </c>
      <c r="B10676" s="1" t="str">
        <f>"Penrhyn Blinds Ltd"</f>
        <v>Penrhyn Blinds Ltd</v>
      </c>
      <c r="C10676" s="1" t="s">
        <v>3220</v>
      </c>
      <c r="D10676" s="1" t="s">
        <v>955</v>
      </c>
      <c r="F10676" s="1" t="s">
        <v>358</v>
      </c>
      <c r="H10676" s="1" t="s">
        <v>3221</v>
      </c>
      <c r="I10676" s="1" t="s">
        <v>19</v>
      </c>
      <c r="J10676" s="1" t="s">
        <v>67</v>
      </c>
      <c r="K10676" s="1" t="s">
        <v>14</v>
      </c>
      <c r="M10676" s="2">
        <v>41732</v>
      </c>
      <c r="N10676" s="1" t="s">
        <v>8</v>
      </c>
      <c r="O10676" s="1" t="s">
        <v>68</v>
      </c>
    </row>
    <row r="10677" spans="1:15" ht="43.2" x14ac:dyDescent="0.3">
      <c r="A10677" s="1" t="s">
        <v>4365</v>
      </c>
      <c r="B10677" s="1" t="str">
        <f>"Penrhyn Blinds Ltd"</f>
        <v>Penrhyn Blinds Ltd</v>
      </c>
      <c r="C10677" s="1" t="s">
        <v>3220</v>
      </c>
      <c r="D10677" s="1" t="s">
        <v>955</v>
      </c>
      <c r="F10677" s="1" t="s">
        <v>358</v>
      </c>
      <c r="H10677" s="1" t="s">
        <v>3221</v>
      </c>
      <c r="I10677" s="1" t="s">
        <v>19</v>
      </c>
      <c r="J10677" s="1" t="s">
        <v>67</v>
      </c>
      <c r="K10677" s="1" t="s">
        <v>14</v>
      </c>
      <c r="M10677" s="2">
        <v>41732</v>
      </c>
      <c r="N10677" s="1" t="s">
        <v>8</v>
      </c>
      <c r="O10677" s="1" t="s">
        <v>68</v>
      </c>
    </row>
    <row r="10678" spans="1:15" ht="43.2" x14ac:dyDescent="0.3">
      <c r="A10678" s="1" t="s">
        <v>4366</v>
      </c>
      <c r="B10678" s="1" t="str">
        <f>"Penrhyn Blinds Ltd"</f>
        <v>Penrhyn Blinds Ltd</v>
      </c>
      <c r="C10678" s="1" t="s">
        <v>3220</v>
      </c>
      <c r="D10678" s="1" t="s">
        <v>955</v>
      </c>
      <c r="F10678" s="1" t="s">
        <v>358</v>
      </c>
      <c r="H10678" s="1" t="s">
        <v>3221</v>
      </c>
      <c r="I10678" s="1" t="s">
        <v>19</v>
      </c>
      <c r="J10678" s="1" t="s">
        <v>67</v>
      </c>
      <c r="K10678" s="1" t="s">
        <v>14</v>
      </c>
      <c r="M10678" s="2">
        <v>41732</v>
      </c>
      <c r="N10678" s="1" t="s">
        <v>8</v>
      </c>
      <c r="O10678" s="1" t="s">
        <v>68</v>
      </c>
    </row>
    <row r="10679" spans="1:15" ht="43.2" x14ac:dyDescent="0.3">
      <c r="A10679" s="1" t="s">
        <v>4367</v>
      </c>
      <c r="B10679" s="1" t="str">
        <f>"Penrhyn Blinds Ltd"</f>
        <v>Penrhyn Blinds Ltd</v>
      </c>
      <c r="C10679" s="1" t="s">
        <v>3220</v>
      </c>
      <c r="D10679" s="1" t="s">
        <v>955</v>
      </c>
      <c r="F10679" s="1" t="s">
        <v>358</v>
      </c>
      <c r="H10679" s="1" t="s">
        <v>3221</v>
      </c>
      <c r="I10679" s="1" t="s">
        <v>19</v>
      </c>
      <c r="J10679" s="1" t="s">
        <v>67</v>
      </c>
      <c r="K10679" s="1" t="s">
        <v>14</v>
      </c>
      <c r="M10679" s="2">
        <v>41732</v>
      </c>
      <c r="N10679" s="1" t="s">
        <v>8</v>
      </c>
      <c r="O10679" s="1" t="s">
        <v>68</v>
      </c>
    </row>
    <row r="10680" spans="1:15" ht="43.2" x14ac:dyDescent="0.3">
      <c r="A10680" s="1" t="s">
        <v>4368</v>
      </c>
      <c r="B10680" s="1" t="str">
        <f>"Penrhyn Blinds Ltd"</f>
        <v>Penrhyn Blinds Ltd</v>
      </c>
      <c r="C10680" s="1" t="s">
        <v>3220</v>
      </c>
      <c r="D10680" s="1" t="s">
        <v>955</v>
      </c>
      <c r="F10680" s="1" t="s">
        <v>358</v>
      </c>
      <c r="H10680" s="1" t="s">
        <v>3221</v>
      </c>
      <c r="I10680" s="1" t="s">
        <v>19</v>
      </c>
      <c r="J10680" s="1" t="s">
        <v>67</v>
      </c>
      <c r="K10680" s="1" t="s">
        <v>14</v>
      </c>
      <c r="M10680" s="2">
        <v>41732</v>
      </c>
      <c r="N10680" s="1" t="s">
        <v>8</v>
      </c>
      <c r="O10680" s="1" t="s">
        <v>68</v>
      </c>
    </row>
    <row r="10681" spans="1:15" ht="43.2" x14ac:dyDescent="0.3">
      <c r="A10681" s="1" t="s">
        <v>4369</v>
      </c>
      <c r="B10681" s="1" t="str">
        <f>"Penrhyn Blinds Ltd"</f>
        <v>Penrhyn Blinds Ltd</v>
      </c>
      <c r="C10681" s="1" t="s">
        <v>3220</v>
      </c>
      <c r="D10681" s="1" t="s">
        <v>955</v>
      </c>
      <c r="F10681" s="1" t="s">
        <v>358</v>
      </c>
      <c r="H10681" s="1" t="s">
        <v>3221</v>
      </c>
      <c r="I10681" s="1" t="s">
        <v>19</v>
      </c>
      <c r="J10681" s="1" t="s">
        <v>67</v>
      </c>
      <c r="K10681" s="1" t="s">
        <v>14</v>
      </c>
      <c r="M10681" s="2">
        <v>41732</v>
      </c>
      <c r="N10681" s="1" t="s">
        <v>8</v>
      </c>
      <c r="O10681" s="1" t="s">
        <v>68</v>
      </c>
    </row>
    <row r="10682" spans="1:15" ht="43.2" x14ac:dyDescent="0.3">
      <c r="A10682" s="1" t="s">
        <v>4370</v>
      </c>
      <c r="B10682" s="1" t="str">
        <f>"Rumurs Ltd"</f>
        <v>Rumurs Ltd</v>
      </c>
      <c r="C10682" s="1" t="s">
        <v>4371</v>
      </c>
      <c r="F10682" s="1" t="s">
        <v>179</v>
      </c>
      <c r="H10682" s="1" t="s">
        <v>4372</v>
      </c>
      <c r="I10682" s="1" t="s">
        <v>19</v>
      </c>
      <c r="J10682" s="1" t="s">
        <v>67</v>
      </c>
      <c r="K10682" s="1" t="s">
        <v>14</v>
      </c>
      <c r="M10682" s="2">
        <v>41732</v>
      </c>
      <c r="N10682" s="1" t="s">
        <v>8</v>
      </c>
      <c r="O10682" s="1" t="s">
        <v>68</v>
      </c>
    </row>
    <row r="10683" spans="1:15" ht="43.2" x14ac:dyDescent="0.3">
      <c r="A10683" s="1" t="s">
        <v>4373</v>
      </c>
      <c r="B10683" s="1" t="str">
        <f>"Plant I Ltd"</f>
        <v>Plant I Ltd</v>
      </c>
      <c r="C10683" s="1" t="s">
        <v>4374</v>
      </c>
      <c r="D10683" s="1" t="s">
        <v>1818</v>
      </c>
      <c r="F10683" s="1" t="s">
        <v>162</v>
      </c>
      <c r="H10683" s="1" t="s">
        <v>4375</v>
      </c>
      <c r="I10683" s="1" t="s">
        <v>19</v>
      </c>
      <c r="J10683" s="1" t="s">
        <v>67</v>
      </c>
      <c r="K10683" s="1" t="s">
        <v>14</v>
      </c>
      <c r="M10683" s="2">
        <v>41732</v>
      </c>
      <c r="N10683" s="1" t="s">
        <v>8</v>
      </c>
      <c r="O10683" s="1" t="s">
        <v>68</v>
      </c>
    </row>
    <row r="10684" spans="1:15" ht="43.2" x14ac:dyDescent="0.3">
      <c r="A10684" s="1" t="s">
        <v>13162</v>
      </c>
      <c r="B10684" s="1" t="str">
        <f>"ABC 24-7 Pest Control"</f>
        <v>ABC 24-7 Pest Control</v>
      </c>
      <c r="C10684" s="1" t="s">
        <v>13163</v>
      </c>
      <c r="D10684" s="1" t="s">
        <v>12233</v>
      </c>
      <c r="F10684" s="1" t="s">
        <v>64</v>
      </c>
      <c r="H10684" s="1" t="s">
        <v>13164</v>
      </c>
      <c r="I10684" s="1" t="s">
        <v>19</v>
      </c>
      <c r="J10684" s="1" t="s">
        <v>67</v>
      </c>
      <c r="K10684" s="1" t="s">
        <v>14</v>
      </c>
      <c r="M10684" s="2">
        <v>41732</v>
      </c>
      <c r="N10684" s="1" t="s">
        <v>8</v>
      </c>
      <c r="O10684" s="1" t="s">
        <v>68</v>
      </c>
    </row>
    <row r="10685" spans="1:15" ht="43.2" x14ac:dyDescent="0.3">
      <c r="A10685" s="1" t="s">
        <v>13165</v>
      </c>
      <c r="B10685" s="1" t="str">
        <f>"ABC 24-7 Pest Control"</f>
        <v>ABC 24-7 Pest Control</v>
      </c>
      <c r="C10685" s="1" t="s">
        <v>13163</v>
      </c>
      <c r="D10685" s="1" t="s">
        <v>12233</v>
      </c>
      <c r="F10685" s="1" t="s">
        <v>64</v>
      </c>
      <c r="H10685" s="1" t="s">
        <v>13164</v>
      </c>
      <c r="I10685" s="1" t="s">
        <v>19</v>
      </c>
      <c r="J10685" s="1" t="s">
        <v>67</v>
      </c>
      <c r="K10685" s="1" t="s">
        <v>14</v>
      </c>
      <c r="M10685" s="2">
        <v>41732</v>
      </c>
      <c r="N10685" s="1" t="s">
        <v>8</v>
      </c>
      <c r="O10685" s="1" t="s">
        <v>68</v>
      </c>
    </row>
    <row r="10686" spans="1:15" ht="43.2" x14ac:dyDescent="0.3">
      <c r="A10686" s="1" t="s">
        <v>13166</v>
      </c>
      <c r="B10686" s="1" t="str">
        <f>"ABC 24-7 Pest Control"</f>
        <v>ABC 24-7 Pest Control</v>
      </c>
      <c r="C10686" s="1" t="s">
        <v>13163</v>
      </c>
      <c r="D10686" s="1" t="s">
        <v>12233</v>
      </c>
      <c r="F10686" s="1" t="s">
        <v>64</v>
      </c>
      <c r="H10686" s="1" t="s">
        <v>13164</v>
      </c>
      <c r="I10686" s="1" t="s">
        <v>19</v>
      </c>
      <c r="J10686" s="1" t="s">
        <v>67</v>
      </c>
      <c r="K10686" s="1" t="s">
        <v>14</v>
      </c>
      <c r="M10686" s="2">
        <v>41732</v>
      </c>
      <c r="N10686" s="1" t="s">
        <v>8</v>
      </c>
      <c r="O10686" s="1" t="s">
        <v>68</v>
      </c>
    </row>
    <row r="10687" spans="1:15" ht="43.2" x14ac:dyDescent="0.3">
      <c r="A10687" s="1" t="s">
        <v>13167</v>
      </c>
      <c r="B10687" s="1" t="str">
        <f>"ABC 24-7 Pest Control"</f>
        <v>ABC 24-7 Pest Control</v>
      </c>
      <c r="C10687" s="1" t="s">
        <v>13163</v>
      </c>
      <c r="D10687" s="1" t="s">
        <v>12233</v>
      </c>
      <c r="F10687" s="1" t="s">
        <v>64</v>
      </c>
      <c r="H10687" s="1" t="s">
        <v>13164</v>
      </c>
      <c r="I10687" s="1" t="s">
        <v>19</v>
      </c>
      <c r="J10687" s="1" t="s">
        <v>67</v>
      </c>
      <c r="K10687" s="1" t="s">
        <v>14</v>
      </c>
      <c r="M10687" s="2">
        <v>41732</v>
      </c>
      <c r="N10687" s="1" t="s">
        <v>8</v>
      </c>
      <c r="O10687" s="1" t="s">
        <v>68</v>
      </c>
    </row>
    <row r="10688" spans="1:15" ht="43.2" x14ac:dyDescent="0.3">
      <c r="A10688" s="1" t="s">
        <v>13168</v>
      </c>
      <c r="B10688" s="1" t="str">
        <f>"ABC 24-7 Pest Control"</f>
        <v>ABC 24-7 Pest Control</v>
      </c>
      <c r="C10688" s="1" t="s">
        <v>13163</v>
      </c>
      <c r="D10688" s="1" t="s">
        <v>12233</v>
      </c>
      <c r="F10688" s="1" t="s">
        <v>64</v>
      </c>
      <c r="H10688" s="1" t="s">
        <v>13164</v>
      </c>
      <c r="I10688" s="1" t="s">
        <v>19</v>
      </c>
      <c r="J10688" s="1" t="s">
        <v>67</v>
      </c>
      <c r="K10688" s="1" t="s">
        <v>14</v>
      </c>
      <c r="M10688" s="2">
        <v>41732</v>
      </c>
      <c r="N10688" s="1" t="s">
        <v>8</v>
      </c>
      <c r="O10688" s="1" t="s">
        <v>68</v>
      </c>
    </row>
    <row r="10689" spans="1:15" ht="43.2" x14ac:dyDescent="0.3">
      <c r="A10689" s="1" t="s">
        <v>13169</v>
      </c>
      <c r="B10689" s="1" t="str">
        <f>"ABC 24-7 Pest Control"</f>
        <v>ABC 24-7 Pest Control</v>
      </c>
      <c r="C10689" s="1" t="s">
        <v>13163</v>
      </c>
      <c r="D10689" s="1" t="s">
        <v>12233</v>
      </c>
      <c r="F10689" s="1" t="s">
        <v>64</v>
      </c>
      <c r="H10689" s="1" t="s">
        <v>13164</v>
      </c>
      <c r="I10689" s="1" t="s">
        <v>19</v>
      </c>
      <c r="J10689" s="1" t="s">
        <v>67</v>
      </c>
      <c r="K10689" s="1" t="s">
        <v>14</v>
      </c>
      <c r="M10689" s="2">
        <v>41732</v>
      </c>
      <c r="N10689" s="1" t="s">
        <v>8</v>
      </c>
      <c r="O10689" s="1" t="s">
        <v>68</v>
      </c>
    </row>
    <row r="10690" spans="1:15" ht="43.2" x14ac:dyDescent="0.3">
      <c r="A10690" s="1" t="s">
        <v>13170</v>
      </c>
      <c r="B10690" s="1" t="str">
        <f>"ABC 24-7 Pest Control"</f>
        <v>ABC 24-7 Pest Control</v>
      </c>
      <c r="C10690" s="1" t="s">
        <v>13163</v>
      </c>
      <c r="D10690" s="1" t="s">
        <v>12233</v>
      </c>
      <c r="F10690" s="1" t="s">
        <v>64</v>
      </c>
      <c r="H10690" s="1" t="s">
        <v>13164</v>
      </c>
      <c r="I10690" s="1" t="s">
        <v>19</v>
      </c>
      <c r="J10690" s="1" t="s">
        <v>67</v>
      </c>
      <c r="K10690" s="1" t="s">
        <v>14</v>
      </c>
      <c r="M10690" s="2">
        <v>41732</v>
      </c>
      <c r="N10690" s="1" t="s">
        <v>8</v>
      </c>
      <c r="O10690" s="1" t="s">
        <v>68</v>
      </c>
    </row>
    <row r="10691" spans="1:15" ht="43.2" x14ac:dyDescent="0.3">
      <c r="A10691" s="1" t="s">
        <v>13171</v>
      </c>
      <c r="B10691" s="1" t="str">
        <f>"ABC 24-7 Pest Control"</f>
        <v>ABC 24-7 Pest Control</v>
      </c>
      <c r="C10691" s="1" t="s">
        <v>13163</v>
      </c>
      <c r="D10691" s="1" t="s">
        <v>12233</v>
      </c>
      <c r="F10691" s="1" t="s">
        <v>64</v>
      </c>
      <c r="H10691" s="1" t="s">
        <v>13164</v>
      </c>
      <c r="I10691" s="1" t="s">
        <v>19</v>
      </c>
      <c r="J10691" s="1" t="s">
        <v>67</v>
      </c>
      <c r="K10691" s="1" t="s">
        <v>14</v>
      </c>
      <c r="M10691" s="2">
        <v>41732</v>
      </c>
      <c r="N10691" s="1" t="s">
        <v>8</v>
      </c>
      <c r="O10691" s="1" t="s">
        <v>68</v>
      </c>
    </row>
    <row r="10692" spans="1:15" ht="43.2" x14ac:dyDescent="0.3">
      <c r="A10692" s="1" t="s">
        <v>14134</v>
      </c>
      <c r="B10692" s="1" t="str">
        <f>"ABC 24-7 Pest Control"</f>
        <v>ABC 24-7 Pest Control</v>
      </c>
      <c r="C10692" s="1" t="s">
        <v>13163</v>
      </c>
      <c r="D10692" s="1" t="s">
        <v>12233</v>
      </c>
      <c r="F10692" s="1" t="s">
        <v>64</v>
      </c>
      <c r="H10692" s="1" t="s">
        <v>13164</v>
      </c>
      <c r="I10692" s="1" t="s">
        <v>19</v>
      </c>
      <c r="J10692" s="1" t="s">
        <v>67</v>
      </c>
      <c r="K10692" s="1" t="s">
        <v>14</v>
      </c>
      <c r="M10692" s="2">
        <v>41732</v>
      </c>
      <c r="N10692" s="1" t="s">
        <v>8</v>
      </c>
      <c r="O10692" s="1" t="s">
        <v>68</v>
      </c>
    </row>
    <row r="10693" spans="1:15" ht="43.2" x14ac:dyDescent="0.3">
      <c r="A10693" s="1" t="s">
        <v>14135</v>
      </c>
      <c r="B10693" s="1" t="str">
        <f>"ABC 24-7 Pest Control"</f>
        <v>ABC 24-7 Pest Control</v>
      </c>
      <c r="C10693" s="1" t="s">
        <v>13163</v>
      </c>
      <c r="D10693" s="1" t="s">
        <v>12233</v>
      </c>
      <c r="F10693" s="1" t="s">
        <v>64</v>
      </c>
      <c r="H10693" s="1" t="s">
        <v>13164</v>
      </c>
      <c r="I10693" s="1" t="s">
        <v>19</v>
      </c>
      <c r="J10693" s="1" t="s">
        <v>67</v>
      </c>
      <c r="K10693" s="1" t="s">
        <v>14</v>
      </c>
      <c r="M10693" s="2">
        <v>41732</v>
      </c>
      <c r="N10693" s="1" t="s">
        <v>8</v>
      </c>
      <c r="O10693" s="1" t="s">
        <v>68</v>
      </c>
    </row>
    <row r="10694" spans="1:15" ht="43.2" x14ac:dyDescent="0.3">
      <c r="A10694" s="1" t="s">
        <v>14136</v>
      </c>
      <c r="B10694" s="1" t="str">
        <f>"ABC 24-7 Pest Control"</f>
        <v>ABC 24-7 Pest Control</v>
      </c>
      <c r="C10694" s="1" t="s">
        <v>13163</v>
      </c>
      <c r="D10694" s="1" t="s">
        <v>12233</v>
      </c>
      <c r="F10694" s="1" t="s">
        <v>64</v>
      </c>
      <c r="H10694" s="1" t="s">
        <v>13164</v>
      </c>
      <c r="I10694" s="1" t="s">
        <v>19</v>
      </c>
      <c r="J10694" s="1" t="s">
        <v>67</v>
      </c>
      <c r="K10694" s="1" t="s">
        <v>14</v>
      </c>
      <c r="M10694" s="2">
        <v>41732</v>
      </c>
      <c r="N10694" s="1" t="s">
        <v>8</v>
      </c>
      <c r="O10694" s="1" t="s">
        <v>68</v>
      </c>
    </row>
    <row r="10695" spans="1:15" ht="43.2" x14ac:dyDescent="0.3">
      <c r="A10695" s="1" t="s">
        <v>14137</v>
      </c>
      <c r="B10695" s="1" t="str">
        <f>"ABC 24-7 Pest Control"</f>
        <v>ABC 24-7 Pest Control</v>
      </c>
      <c r="C10695" s="1" t="s">
        <v>13163</v>
      </c>
      <c r="D10695" s="1" t="s">
        <v>12233</v>
      </c>
      <c r="F10695" s="1" t="s">
        <v>64</v>
      </c>
      <c r="H10695" s="1" t="s">
        <v>13164</v>
      </c>
      <c r="I10695" s="1" t="s">
        <v>19</v>
      </c>
      <c r="J10695" s="1" t="s">
        <v>67</v>
      </c>
      <c r="K10695" s="1" t="s">
        <v>14</v>
      </c>
      <c r="M10695" s="2">
        <v>41732</v>
      </c>
      <c r="N10695" s="1" t="s">
        <v>8</v>
      </c>
      <c r="O10695" s="1" t="s">
        <v>68</v>
      </c>
    </row>
    <row r="10696" spans="1:15" ht="43.2" x14ac:dyDescent="0.3">
      <c r="A10696" s="1" t="s">
        <v>14138</v>
      </c>
      <c r="B10696" s="1" t="str">
        <f>"ABC 24-7 Pest Control"</f>
        <v>ABC 24-7 Pest Control</v>
      </c>
      <c r="C10696" s="1" t="s">
        <v>13163</v>
      </c>
      <c r="D10696" s="1" t="s">
        <v>12233</v>
      </c>
      <c r="F10696" s="1" t="s">
        <v>64</v>
      </c>
      <c r="H10696" s="1" t="s">
        <v>13164</v>
      </c>
      <c r="I10696" s="1" t="s">
        <v>19</v>
      </c>
      <c r="J10696" s="1" t="s">
        <v>67</v>
      </c>
      <c r="K10696" s="1" t="s">
        <v>14</v>
      </c>
      <c r="M10696" s="2">
        <v>41732</v>
      </c>
      <c r="N10696" s="1" t="s">
        <v>8</v>
      </c>
      <c r="O10696" s="1" t="s">
        <v>68</v>
      </c>
    </row>
    <row r="10697" spans="1:15" ht="43.2" x14ac:dyDescent="0.3">
      <c r="A10697" s="1" t="s">
        <v>14139</v>
      </c>
      <c r="B10697" s="1" t="str">
        <f>"ABC 24-7 Pest Control"</f>
        <v>ABC 24-7 Pest Control</v>
      </c>
      <c r="C10697" s="1" t="s">
        <v>13163</v>
      </c>
      <c r="D10697" s="1" t="s">
        <v>12233</v>
      </c>
      <c r="F10697" s="1" t="s">
        <v>64</v>
      </c>
      <c r="H10697" s="1" t="s">
        <v>13164</v>
      </c>
      <c r="I10697" s="1" t="s">
        <v>19</v>
      </c>
      <c r="J10697" s="1" t="s">
        <v>67</v>
      </c>
      <c r="K10697" s="1" t="s">
        <v>14</v>
      </c>
      <c r="M10697" s="2">
        <v>41732</v>
      </c>
      <c r="N10697" s="1" t="s">
        <v>8</v>
      </c>
      <c r="O10697" s="1" t="s">
        <v>68</v>
      </c>
    </row>
    <row r="10698" spans="1:15" ht="43.2" x14ac:dyDescent="0.3">
      <c r="A10698" s="1" t="s">
        <v>14140</v>
      </c>
      <c r="B10698" s="1" t="str">
        <f>"ABC 24-7 Pest Control"</f>
        <v>ABC 24-7 Pest Control</v>
      </c>
      <c r="C10698" s="1" t="s">
        <v>13163</v>
      </c>
      <c r="D10698" s="1" t="s">
        <v>12233</v>
      </c>
      <c r="F10698" s="1" t="s">
        <v>64</v>
      </c>
      <c r="H10698" s="1" t="s">
        <v>13164</v>
      </c>
      <c r="I10698" s="1" t="s">
        <v>19</v>
      </c>
      <c r="J10698" s="1" t="s">
        <v>67</v>
      </c>
      <c r="K10698" s="1" t="s">
        <v>14</v>
      </c>
      <c r="M10698" s="2">
        <v>41732</v>
      </c>
      <c r="N10698" s="1" t="s">
        <v>8</v>
      </c>
      <c r="O10698" s="1" t="s">
        <v>68</v>
      </c>
    </row>
    <row r="10699" spans="1:15" ht="43.2" x14ac:dyDescent="0.3">
      <c r="A10699" s="1" t="s">
        <v>14141</v>
      </c>
      <c r="B10699" s="1" t="str">
        <f>"ABC 24-7 Pest Control"</f>
        <v>ABC 24-7 Pest Control</v>
      </c>
      <c r="C10699" s="1" t="s">
        <v>13163</v>
      </c>
      <c r="D10699" s="1" t="s">
        <v>12233</v>
      </c>
      <c r="F10699" s="1" t="s">
        <v>64</v>
      </c>
      <c r="H10699" s="1" t="s">
        <v>13164</v>
      </c>
      <c r="I10699" s="1" t="s">
        <v>19</v>
      </c>
      <c r="J10699" s="1" t="s">
        <v>67</v>
      </c>
      <c r="K10699" s="1" t="s">
        <v>14</v>
      </c>
      <c r="M10699" s="2">
        <v>41732</v>
      </c>
      <c r="N10699" s="1" t="s">
        <v>8</v>
      </c>
      <c r="O10699" s="1" t="s">
        <v>68</v>
      </c>
    </row>
    <row r="10700" spans="1:15" ht="43.2" x14ac:dyDescent="0.3">
      <c r="A10700" s="1" t="s">
        <v>14142</v>
      </c>
      <c r="B10700" s="1" t="str">
        <f>"ABC 24-7 Pest Control"</f>
        <v>ABC 24-7 Pest Control</v>
      </c>
      <c r="C10700" s="1" t="s">
        <v>13163</v>
      </c>
      <c r="D10700" s="1" t="s">
        <v>12233</v>
      </c>
      <c r="F10700" s="1" t="s">
        <v>64</v>
      </c>
      <c r="H10700" s="1" t="s">
        <v>13164</v>
      </c>
      <c r="I10700" s="1" t="s">
        <v>19</v>
      </c>
      <c r="J10700" s="1" t="s">
        <v>67</v>
      </c>
      <c r="K10700" s="1" t="s">
        <v>14</v>
      </c>
      <c r="M10700" s="2">
        <v>41732</v>
      </c>
      <c r="N10700" s="1" t="s">
        <v>8</v>
      </c>
      <c r="O10700" s="1" t="s">
        <v>68</v>
      </c>
    </row>
    <row r="10701" spans="1:15" ht="43.2" x14ac:dyDescent="0.3">
      <c r="A10701" s="1" t="s">
        <v>14143</v>
      </c>
      <c r="B10701" s="1" t="str">
        <f>"ABC 24-7 Pest Control"</f>
        <v>ABC 24-7 Pest Control</v>
      </c>
      <c r="C10701" s="1" t="s">
        <v>13163</v>
      </c>
      <c r="D10701" s="1" t="s">
        <v>12233</v>
      </c>
      <c r="F10701" s="1" t="s">
        <v>64</v>
      </c>
      <c r="H10701" s="1" t="s">
        <v>13164</v>
      </c>
      <c r="I10701" s="1" t="s">
        <v>19</v>
      </c>
      <c r="J10701" s="1" t="s">
        <v>67</v>
      </c>
      <c r="K10701" s="1" t="s">
        <v>14</v>
      </c>
      <c r="M10701" s="2">
        <v>41732</v>
      </c>
      <c r="N10701" s="1" t="s">
        <v>8</v>
      </c>
      <c r="O10701" s="1" t="s">
        <v>68</v>
      </c>
    </row>
    <row r="10702" spans="1:15" ht="43.2" x14ac:dyDescent="0.3">
      <c r="A10702" s="1" t="s">
        <v>14144</v>
      </c>
      <c r="B10702" s="1" t="str">
        <f>"ABC 24-7 Pest Control"</f>
        <v>ABC 24-7 Pest Control</v>
      </c>
      <c r="C10702" s="1" t="s">
        <v>13163</v>
      </c>
      <c r="D10702" s="1" t="s">
        <v>12233</v>
      </c>
      <c r="F10702" s="1" t="s">
        <v>64</v>
      </c>
      <c r="H10702" s="1" t="s">
        <v>13164</v>
      </c>
      <c r="I10702" s="1" t="s">
        <v>19</v>
      </c>
      <c r="J10702" s="1" t="s">
        <v>67</v>
      </c>
      <c r="K10702" s="1" t="s">
        <v>14</v>
      </c>
      <c r="M10702" s="2">
        <v>41732</v>
      </c>
      <c r="N10702" s="1" t="s">
        <v>8</v>
      </c>
      <c r="O10702" s="1" t="s">
        <v>68</v>
      </c>
    </row>
    <row r="10703" spans="1:15" ht="43.2" x14ac:dyDescent="0.3">
      <c r="A10703" s="1" t="s">
        <v>14145</v>
      </c>
      <c r="B10703" s="1" t="str">
        <f>"ABC 24-7 Pest Control"</f>
        <v>ABC 24-7 Pest Control</v>
      </c>
      <c r="C10703" s="1" t="s">
        <v>13163</v>
      </c>
      <c r="D10703" s="1" t="s">
        <v>12233</v>
      </c>
      <c r="F10703" s="1" t="s">
        <v>64</v>
      </c>
      <c r="H10703" s="1" t="s">
        <v>13164</v>
      </c>
      <c r="I10703" s="1" t="s">
        <v>19</v>
      </c>
      <c r="J10703" s="1" t="s">
        <v>67</v>
      </c>
      <c r="K10703" s="1" t="s">
        <v>14</v>
      </c>
      <c r="M10703" s="2">
        <v>41732</v>
      </c>
      <c r="N10703" s="1" t="s">
        <v>8</v>
      </c>
      <c r="O10703" s="1" t="s">
        <v>68</v>
      </c>
    </row>
    <row r="10704" spans="1:15" ht="43.2" x14ac:dyDescent="0.3">
      <c r="A10704" s="1" t="s">
        <v>14146</v>
      </c>
      <c r="B10704" s="1" t="str">
        <f>"Bwyta Ltd"</f>
        <v>Bwyta Ltd</v>
      </c>
      <c r="C10704" s="1" t="s">
        <v>14147</v>
      </c>
      <c r="D10704" s="1" t="s">
        <v>37</v>
      </c>
      <c r="F10704" s="1" t="s">
        <v>1983</v>
      </c>
      <c r="H10704" s="1" t="s">
        <v>14148</v>
      </c>
      <c r="I10704" s="1" t="s">
        <v>19</v>
      </c>
      <c r="J10704" s="1" t="s">
        <v>67</v>
      </c>
      <c r="K10704" s="1" t="s">
        <v>14</v>
      </c>
      <c r="M10704" s="2">
        <v>41732</v>
      </c>
      <c r="N10704" s="1" t="s">
        <v>8</v>
      </c>
      <c r="O10704" s="1" t="s">
        <v>68</v>
      </c>
    </row>
    <row r="10705" spans="1:15" ht="43.2" x14ac:dyDescent="0.3">
      <c r="A10705" s="1" t="s">
        <v>18535</v>
      </c>
      <c r="B10705" s="1" t="str">
        <f>"Ponnam Nithiyabalan"</f>
        <v>Ponnam Nithiyabalan</v>
      </c>
      <c r="C10705" s="1" t="s">
        <v>18536</v>
      </c>
      <c r="F10705" s="1" t="s">
        <v>123</v>
      </c>
      <c r="H10705" s="1" t="s">
        <v>18537</v>
      </c>
      <c r="I10705" s="1" t="s">
        <v>5</v>
      </c>
      <c r="J10705" s="1" t="s">
        <v>67</v>
      </c>
      <c r="K10705" s="1" t="s">
        <v>14</v>
      </c>
      <c r="M10705" s="2">
        <v>41732</v>
      </c>
      <c r="N10705" s="1" t="s">
        <v>8</v>
      </c>
      <c r="O10705" s="1" t="s">
        <v>68</v>
      </c>
    </row>
    <row r="10706" spans="1:15" ht="43.2" x14ac:dyDescent="0.3">
      <c r="A10706" s="1" t="s">
        <v>19363</v>
      </c>
      <c r="B10706" s="1" t="str">
        <f>"Nokvlossor Nath"</f>
        <v>Nokvlossor Nath</v>
      </c>
      <c r="C10706" s="1" t="s">
        <v>19364</v>
      </c>
      <c r="F10706" s="1" t="s">
        <v>706</v>
      </c>
      <c r="H10706" s="1" t="s">
        <v>19365</v>
      </c>
      <c r="I10706" s="1" t="s">
        <v>5</v>
      </c>
      <c r="J10706" s="1" t="s">
        <v>67</v>
      </c>
      <c r="K10706" s="1" t="s">
        <v>14</v>
      </c>
      <c r="M10706" s="2">
        <v>41732</v>
      </c>
      <c r="N10706" s="1" t="s">
        <v>8</v>
      </c>
      <c r="O10706" s="1" t="s">
        <v>68</v>
      </c>
    </row>
    <row r="10707" spans="1:15" ht="43.2" x14ac:dyDescent="0.3">
      <c r="A10707" s="1" t="s">
        <v>19366</v>
      </c>
      <c r="B10707" s="1" t="str">
        <f>"Piotr Dudkowiak"</f>
        <v>Piotr Dudkowiak</v>
      </c>
      <c r="C10707" s="1" t="s">
        <v>19367</v>
      </c>
      <c r="F10707" s="1" t="s">
        <v>19368</v>
      </c>
      <c r="H10707" s="1" t="s">
        <v>19369</v>
      </c>
      <c r="I10707" s="1" t="s">
        <v>5</v>
      </c>
      <c r="J10707" s="1" t="s">
        <v>67</v>
      </c>
      <c r="K10707" s="1" t="s">
        <v>14</v>
      </c>
      <c r="M10707" s="2">
        <v>41732</v>
      </c>
      <c r="N10707" s="1" t="s">
        <v>8</v>
      </c>
      <c r="O10707" s="1" t="s">
        <v>68</v>
      </c>
    </row>
    <row r="10708" spans="1:15" ht="43.2" x14ac:dyDescent="0.3">
      <c r="A10708" s="1" t="s">
        <v>19370</v>
      </c>
      <c r="B10708" s="1" t="str">
        <f>"Piotr Dudkowiak"</f>
        <v>Piotr Dudkowiak</v>
      </c>
      <c r="C10708" s="1" t="s">
        <v>19371</v>
      </c>
      <c r="F10708" s="1" t="s">
        <v>123</v>
      </c>
      <c r="H10708" s="1" t="s">
        <v>19372</v>
      </c>
      <c r="I10708" s="1" t="s">
        <v>5</v>
      </c>
      <c r="J10708" s="1" t="s">
        <v>67</v>
      </c>
      <c r="K10708" s="1" t="s">
        <v>14</v>
      </c>
      <c r="M10708" s="2">
        <v>41732</v>
      </c>
      <c r="N10708" s="1" t="s">
        <v>8</v>
      </c>
      <c r="O10708" s="1" t="s">
        <v>68</v>
      </c>
    </row>
    <row r="10709" spans="1:15" ht="43.2" x14ac:dyDescent="0.3">
      <c r="A10709" s="1" t="s">
        <v>19373</v>
      </c>
      <c r="B10709" s="1" t="str">
        <f>"Piotr Dudkowiak"</f>
        <v>Piotr Dudkowiak</v>
      </c>
      <c r="C10709" s="1" t="s">
        <v>19371</v>
      </c>
      <c r="F10709" s="1" t="s">
        <v>123</v>
      </c>
      <c r="H10709" s="1" t="s">
        <v>19372</v>
      </c>
      <c r="I10709" s="1" t="s">
        <v>5</v>
      </c>
      <c r="J10709" s="1" t="s">
        <v>67</v>
      </c>
      <c r="K10709" s="1" t="s">
        <v>14</v>
      </c>
      <c r="M10709" s="2">
        <v>41732</v>
      </c>
      <c r="N10709" s="1" t="s">
        <v>8</v>
      </c>
      <c r="O10709" s="1" t="s">
        <v>68</v>
      </c>
    </row>
    <row r="10710" spans="1:15" ht="43.2" x14ac:dyDescent="0.3">
      <c r="A10710" s="1" t="s">
        <v>19374</v>
      </c>
      <c r="B10710" s="1" t="str">
        <f>"Piotr Dudkowiak"</f>
        <v>Piotr Dudkowiak</v>
      </c>
      <c r="C10710" s="1" t="s">
        <v>19371</v>
      </c>
      <c r="F10710" s="1" t="s">
        <v>123</v>
      </c>
      <c r="H10710" s="1" t="s">
        <v>19372</v>
      </c>
      <c r="I10710" s="1" t="s">
        <v>5</v>
      </c>
      <c r="J10710" s="1" t="s">
        <v>67</v>
      </c>
      <c r="K10710" s="1" t="s">
        <v>14</v>
      </c>
      <c r="M10710" s="2">
        <v>41732</v>
      </c>
      <c r="N10710" s="1" t="s">
        <v>8</v>
      </c>
      <c r="O10710" s="1" t="s">
        <v>68</v>
      </c>
    </row>
    <row r="10711" spans="1:15" ht="43.2" x14ac:dyDescent="0.3">
      <c r="A10711" s="1" t="s">
        <v>19375</v>
      </c>
      <c r="B10711" s="1" t="str">
        <f>"Piotr Dudkowiak"</f>
        <v>Piotr Dudkowiak</v>
      </c>
      <c r="C10711" s="1" t="s">
        <v>19371</v>
      </c>
      <c r="F10711" s="1" t="s">
        <v>123</v>
      </c>
      <c r="H10711" s="1" t="s">
        <v>19372</v>
      </c>
      <c r="I10711" s="1" t="s">
        <v>5</v>
      </c>
      <c r="J10711" s="1" t="s">
        <v>67</v>
      </c>
      <c r="K10711" s="1" t="s">
        <v>14</v>
      </c>
      <c r="M10711" s="2">
        <v>41732</v>
      </c>
      <c r="N10711" s="1" t="s">
        <v>8</v>
      </c>
      <c r="O10711" s="1" t="s">
        <v>68</v>
      </c>
    </row>
    <row r="10712" spans="1:15" ht="43.2" x14ac:dyDescent="0.3">
      <c r="A10712" s="1" t="s">
        <v>19376</v>
      </c>
      <c r="B10712" s="1" t="str">
        <f>"Piotr Dudkowiak"</f>
        <v>Piotr Dudkowiak</v>
      </c>
      <c r="C10712" s="1" t="s">
        <v>19371</v>
      </c>
      <c r="F10712" s="1" t="s">
        <v>123</v>
      </c>
      <c r="H10712" s="1" t="s">
        <v>19372</v>
      </c>
      <c r="I10712" s="1" t="s">
        <v>5</v>
      </c>
      <c r="J10712" s="1" t="s">
        <v>67</v>
      </c>
      <c r="K10712" s="1" t="s">
        <v>14</v>
      </c>
      <c r="M10712" s="2">
        <v>41732</v>
      </c>
      <c r="N10712" s="1" t="s">
        <v>8</v>
      </c>
      <c r="O10712" s="1" t="s">
        <v>68</v>
      </c>
    </row>
    <row r="10713" spans="1:15" ht="43.2" x14ac:dyDescent="0.3">
      <c r="A10713" s="1" t="s">
        <v>19377</v>
      </c>
      <c r="B10713" s="1" t="str">
        <f>"Piotr Dudkowiak"</f>
        <v>Piotr Dudkowiak</v>
      </c>
      <c r="C10713" s="1" t="s">
        <v>19371</v>
      </c>
      <c r="F10713" s="1" t="s">
        <v>123</v>
      </c>
      <c r="H10713" s="1" t="s">
        <v>19372</v>
      </c>
      <c r="I10713" s="1" t="s">
        <v>5</v>
      </c>
      <c r="J10713" s="1" t="s">
        <v>67</v>
      </c>
      <c r="K10713" s="1" t="s">
        <v>14</v>
      </c>
      <c r="M10713" s="2">
        <v>41732</v>
      </c>
      <c r="N10713" s="1" t="s">
        <v>8</v>
      </c>
      <c r="O10713" s="1" t="s">
        <v>68</v>
      </c>
    </row>
    <row r="10714" spans="1:15" ht="43.2" x14ac:dyDescent="0.3">
      <c r="A10714" s="1" t="s">
        <v>26503</v>
      </c>
      <c r="B10714" s="1" t="str">
        <f>"Antony Davies"</f>
        <v>Antony Davies</v>
      </c>
      <c r="C10714" s="1" t="s">
        <v>26504</v>
      </c>
      <c r="D10714" s="1" t="s">
        <v>1461</v>
      </c>
      <c r="F10714" s="1" t="s">
        <v>513</v>
      </c>
      <c r="H10714" s="1" t="s">
        <v>26505</v>
      </c>
      <c r="I10714" s="1" t="s">
        <v>5</v>
      </c>
      <c r="J10714" s="1" t="s">
        <v>67</v>
      </c>
      <c r="K10714" s="1" t="s">
        <v>14</v>
      </c>
      <c r="M10714" s="2">
        <v>41732</v>
      </c>
      <c r="N10714" s="1" t="s">
        <v>8</v>
      </c>
      <c r="O10714" s="1" t="s">
        <v>68</v>
      </c>
    </row>
    <row r="10715" spans="1:15" ht="43.2" x14ac:dyDescent="0.3">
      <c r="A10715" s="1" t="s">
        <v>28112</v>
      </c>
      <c r="B10715" s="1" t="str">
        <f>"Ponnam Niohyabalan"</f>
        <v>Ponnam Niohyabalan</v>
      </c>
      <c r="C10715" s="1" t="s">
        <v>18536</v>
      </c>
      <c r="F10715" s="1" t="s">
        <v>123</v>
      </c>
      <c r="H10715" s="1" t="s">
        <v>28113</v>
      </c>
      <c r="I10715" s="1" t="s">
        <v>5</v>
      </c>
      <c r="J10715" s="1" t="s">
        <v>67</v>
      </c>
      <c r="K10715" s="1" t="s">
        <v>14</v>
      </c>
      <c r="M10715" s="2">
        <v>41732</v>
      </c>
      <c r="N10715" s="1" t="s">
        <v>8</v>
      </c>
      <c r="O10715" s="1" t="s">
        <v>68</v>
      </c>
    </row>
    <row r="10716" spans="1:15" ht="43.2" x14ac:dyDescent="0.3">
      <c r="A10716" s="1" t="s">
        <v>28114</v>
      </c>
      <c r="B10716" s="1" t="str">
        <f>"Ponnam Niohyabalan"</f>
        <v>Ponnam Niohyabalan</v>
      </c>
      <c r="C10716" s="1" t="s">
        <v>18536</v>
      </c>
      <c r="F10716" s="1" t="s">
        <v>123</v>
      </c>
      <c r="H10716" s="1" t="s">
        <v>28113</v>
      </c>
      <c r="I10716" s="1" t="s">
        <v>5</v>
      </c>
      <c r="J10716" s="1" t="s">
        <v>67</v>
      </c>
      <c r="K10716" s="1" t="s">
        <v>14</v>
      </c>
      <c r="M10716" s="2">
        <v>41732</v>
      </c>
      <c r="N10716" s="1" t="s">
        <v>8</v>
      </c>
      <c r="O10716" s="1" t="s">
        <v>68</v>
      </c>
    </row>
    <row r="10717" spans="1:15" ht="43.2" x14ac:dyDescent="0.3">
      <c r="A10717" s="1" t="s">
        <v>28115</v>
      </c>
      <c r="B10717" s="1" t="str">
        <f>"Ponnam Niohyabalan"</f>
        <v>Ponnam Niohyabalan</v>
      </c>
      <c r="C10717" s="1" t="s">
        <v>18536</v>
      </c>
      <c r="F10717" s="1" t="s">
        <v>123</v>
      </c>
      <c r="H10717" s="1" t="s">
        <v>28113</v>
      </c>
      <c r="I10717" s="1" t="s">
        <v>5</v>
      </c>
      <c r="J10717" s="1" t="s">
        <v>67</v>
      </c>
      <c r="K10717" s="1" t="s">
        <v>14</v>
      </c>
      <c r="M10717" s="2">
        <v>41732</v>
      </c>
      <c r="N10717" s="1" t="s">
        <v>8</v>
      </c>
      <c r="O10717" s="1" t="s">
        <v>68</v>
      </c>
    </row>
    <row r="10718" spans="1:15" ht="43.2" x14ac:dyDescent="0.3">
      <c r="A10718" s="1" t="s">
        <v>28116</v>
      </c>
      <c r="B10718" s="1" t="str">
        <f>"Ponnam Niohyabalan"</f>
        <v>Ponnam Niohyabalan</v>
      </c>
      <c r="C10718" s="1" t="s">
        <v>18536</v>
      </c>
      <c r="F10718" s="1" t="s">
        <v>123</v>
      </c>
      <c r="H10718" s="1" t="s">
        <v>28113</v>
      </c>
      <c r="I10718" s="1" t="s">
        <v>5</v>
      </c>
      <c r="J10718" s="1" t="s">
        <v>67</v>
      </c>
      <c r="K10718" s="1" t="s">
        <v>14</v>
      </c>
      <c r="M10718" s="2">
        <v>41732</v>
      </c>
      <c r="N10718" s="1" t="s">
        <v>8</v>
      </c>
      <c r="O10718" s="1" t="s">
        <v>68</v>
      </c>
    </row>
    <row r="10719" spans="1:15" ht="43.2" x14ac:dyDescent="0.3">
      <c r="A10719" s="1" t="s">
        <v>28117</v>
      </c>
      <c r="B10719" s="1" t="str">
        <f>"Ponnam Niohyabalan"</f>
        <v>Ponnam Niohyabalan</v>
      </c>
      <c r="C10719" s="1" t="s">
        <v>18536</v>
      </c>
      <c r="F10719" s="1" t="s">
        <v>123</v>
      </c>
      <c r="H10719" s="1" t="s">
        <v>28113</v>
      </c>
      <c r="I10719" s="1" t="s">
        <v>5</v>
      </c>
      <c r="J10719" s="1" t="s">
        <v>67</v>
      </c>
      <c r="K10719" s="1" t="s">
        <v>14</v>
      </c>
      <c r="M10719" s="2">
        <v>41732</v>
      </c>
      <c r="N10719" s="1" t="s">
        <v>8</v>
      </c>
      <c r="O10719" s="1" t="s">
        <v>68</v>
      </c>
    </row>
    <row r="10720" spans="1:15" ht="43.2" x14ac:dyDescent="0.3">
      <c r="A10720" s="1" t="s">
        <v>28118</v>
      </c>
      <c r="B10720" s="1" t="str">
        <f>"Ponnam Niohyabalan"</f>
        <v>Ponnam Niohyabalan</v>
      </c>
      <c r="C10720" s="1" t="s">
        <v>18536</v>
      </c>
      <c r="F10720" s="1" t="s">
        <v>123</v>
      </c>
      <c r="H10720" s="1" t="s">
        <v>28113</v>
      </c>
      <c r="I10720" s="1" t="s">
        <v>5</v>
      </c>
      <c r="J10720" s="1" t="s">
        <v>67</v>
      </c>
      <c r="K10720" s="1" t="s">
        <v>14</v>
      </c>
      <c r="M10720" s="2">
        <v>41732</v>
      </c>
      <c r="N10720" s="1" t="s">
        <v>8</v>
      </c>
      <c r="O10720" s="1" t="s">
        <v>68</v>
      </c>
    </row>
    <row r="10721" spans="1:15" ht="43.2" x14ac:dyDescent="0.3">
      <c r="A10721" s="1" t="s">
        <v>28119</v>
      </c>
      <c r="B10721" s="1" t="str">
        <f>"Ponnam Niohyabalan"</f>
        <v>Ponnam Niohyabalan</v>
      </c>
      <c r="C10721" s="1" t="s">
        <v>18536</v>
      </c>
      <c r="F10721" s="1" t="s">
        <v>123</v>
      </c>
      <c r="H10721" s="1" t="s">
        <v>28113</v>
      </c>
      <c r="I10721" s="1" t="s">
        <v>5</v>
      </c>
      <c r="J10721" s="1" t="s">
        <v>67</v>
      </c>
      <c r="K10721" s="1" t="s">
        <v>14</v>
      </c>
      <c r="M10721" s="2">
        <v>41732</v>
      </c>
      <c r="N10721" s="1" t="s">
        <v>8</v>
      </c>
      <c r="O10721" s="1" t="s">
        <v>68</v>
      </c>
    </row>
    <row r="10722" spans="1:15" ht="43.2" x14ac:dyDescent="0.3">
      <c r="A10722" s="1" t="s">
        <v>28120</v>
      </c>
      <c r="B10722" s="1" t="str">
        <f>"Ponnam Niohyabalan"</f>
        <v>Ponnam Niohyabalan</v>
      </c>
      <c r="C10722" s="1" t="s">
        <v>18536</v>
      </c>
      <c r="F10722" s="1" t="s">
        <v>123</v>
      </c>
      <c r="H10722" s="1" t="s">
        <v>28113</v>
      </c>
      <c r="I10722" s="1" t="s">
        <v>5</v>
      </c>
      <c r="J10722" s="1" t="s">
        <v>67</v>
      </c>
      <c r="K10722" s="1" t="s">
        <v>14</v>
      </c>
      <c r="M10722" s="2">
        <v>41732</v>
      </c>
      <c r="N10722" s="1" t="s">
        <v>8</v>
      </c>
      <c r="O10722" s="1" t="s">
        <v>68</v>
      </c>
    </row>
    <row r="10723" spans="1:15" ht="43.2" x14ac:dyDescent="0.3">
      <c r="A10723" s="1" t="s">
        <v>28121</v>
      </c>
      <c r="B10723" s="1" t="str">
        <f>"Ponnam Niohyabalan"</f>
        <v>Ponnam Niohyabalan</v>
      </c>
      <c r="C10723" s="1" t="s">
        <v>18536</v>
      </c>
      <c r="F10723" s="1" t="s">
        <v>123</v>
      </c>
      <c r="H10723" s="1" t="s">
        <v>28113</v>
      </c>
      <c r="I10723" s="1" t="s">
        <v>5</v>
      </c>
      <c r="J10723" s="1" t="s">
        <v>67</v>
      </c>
      <c r="K10723" s="1" t="s">
        <v>14</v>
      </c>
      <c r="M10723" s="2">
        <v>41732</v>
      </c>
      <c r="N10723" s="1" t="s">
        <v>8</v>
      </c>
      <c r="O10723" s="1" t="s">
        <v>68</v>
      </c>
    </row>
    <row r="10724" spans="1:15" ht="43.2" x14ac:dyDescent="0.3">
      <c r="A10724" s="1" t="s">
        <v>28122</v>
      </c>
      <c r="B10724" s="1" t="str">
        <f>"Ponnam Niohyabalan"</f>
        <v>Ponnam Niohyabalan</v>
      </c>
      <c r="C10724" s="1" t="s">
        <v>18536</v>
      </c>
      <c r="F10724" s="1" t="s">
        <v>123</v>
      </c>
      <c r="H10724" s="1" t="s">
        <v>28113</v>
      </c>
      <c r="I10724" s="1" t="s">
        <v>5</v>
      </c>
      <c r="J10724" s="1" t="s">
        <v>67</v>
      </c>
      <c r="K10724" s="1" t="s">
        <v>14</v>
      </c>
      <c r="M10724" s="2">
        <v>41732</v>
      </c>
      <c r="N10724" s="1" t="s">
        <v>8</v>
      </c>
      <c r="O10724" s="1" t="s">
        <v>68</v>
      </c>
    </row>
    <row r="10725" spans="1:15" ht="43.2" x14ac:dyDescent="0.3">
      <c r="A10725" s="1" t="s">
        <v>28123</v>
      </c>
      <c r="B10725" s="1" t="str">
        <f>"Ponnam Niohyabalan"</f>
        <v>Ponnam Niohyabalan</v>
      </c>
      <c r="C10725" s="1" t="s">
        <v>18536</v>
      </c>
      <c r="F10725" s="1" t="s">
        <v>123</v>
      </c>
      <c r="H10725" s="1" t="s">
        <v>28113</v>
      </c>
      <c r="I10725" s="1" t="s">
        <v>5</v>
      </c>
      <c r="J10725" s="1" t="s">
        <v>67</v>
      </c>
      <c r="K10725" s="1" t="s">
        <v>14</v>
      </c>
      <c r="M10725" s="2">
        <v>41732</v>
      </c>
      <c r="N10725" s="1" t="s">
        <v>8</v>
      </c>
      <c r="O10725" s="1" t="s">
        <v>68</v>
      </c>
    </row>
    <row r="10726" spans="1:15" ht="43.2" x14ac:dyDescent="0.3">
      <c r="A10726" s="1" t="s">
        <v>28906</v>
      </c>
      <c r="B10726" s="1" t="str">
        <f>"Ponnam Niohyabalan"</f>
        <v>Ponnam Niohyabalan</v>
      </c>
      <c r="C10726" s="1" t="s">
        <v>18536</v>
      </c>
      <c r="F10726" s="1" t="s">
        <v>123</v>
      </c>
      <c r="H10726" s="1" t="s">
        <v>28113</v>
      </c>
      <c r="I10726" s="1" t="s">
        <v>5</v>
      </c>
      <c r="J10726" s="1" t="s">
        <v>67</v>
      </c>
      <c r="K10726" s="1" t="s">
        <v>14</v>
      </c>
      <c r="M10726" s="2">
        <v>41732</v>
      </c>
      <c r="N10726" s="1" t="s">
        <v>8</v>
      </c>
      <c r="O10726" s="1" t="s">
        <v>68</v>
      </c>
    </row>
    <row r="10727" spans="1:15" ht="43.2" x14ac:dyDescent="0.3">
      <c r="A10727" s="1" t="s">
        <v>28907</v>
      </c>
      <c r="B10727" s="1" t="str">
        <f>"Ponnam Niohyabalan"</f>
        <v>Ponnam Niohyabalan</v>
      </c>
      <c r="C10727" s="1" t="s">
        <v>18536</v>
      </c>
      <c r="F10727" s="1" t="s">
        <v>123</v>
      </c>
      <c r="H10727" s="1" t="s">
        <v>28113</v>
      </c>
      <c r="I10727" s="1" t="s">
        <v>5</v>
      </c>
      <c r="J10727" s="1" t="s">
        <v>67</v>
      </c>
      <c r="K10727" s="1" t="s">
        <v>14</v>
      </c>
      <c r="M10727" s="2">
        <v>41732</v>
      </c>
      <c r="N10727" s="1" t="s">
        <v>8</v>
      </c>
      <c r="O10727" s="1" t="s">
        <v>68</v>
      </c>
    </row>
    <row r="10728" spans="1:15" ht="43.2" x14ac:dyDescent="0.3">
      <c r="A10728" s="1" t="s">
        <v>28908</v>
      </c>
      <c r="B10728" s="1" t="str">
        <f>"Ponnam Niohyabalan"</f>
        <v>Ponnam Niohyabalan</v>
      </c>
      <c r="C10728" s="1" t="s">
        <v>18536</v>
      </c>
      <c r="F10728" s="1" t="s">
        <v>123</v>
      </c>
      <c r="H10728" s="1" t="s">
        <v>28113</v>
      </c>
      <c r="I10728" s="1" t="s">
        <v>5</v>
      </c>
      <c r="J10728" s="1" t="s">
        <v>67</v>
      </c>
      <c r="K10728" s="1" t="s">
        <v>14</v>
      </c>
      <c r="M10728" s="2">
        <v>41732</v>
      </c>
      <c r="N10728" s="1" t="s">
        <v>8</v>
      </c>
      <c r="O10728" s="1" t="s">
        <v>68</v>
      </c>
    </row>
    <row r="10729" spans="1:15" ht="43.2" x14ac:dyDescent="0.3">
      <c r="A10729" s="1" t="s">
        <v>28909</v>
      </c>
      <c r="B10729" s="1" t="str">
        <f>"Ponnam Niohyabalan"</f>
        <v>Ponnam Niohyabalan</v>
      </c>
      <c r="C10729" s="1" t="s">
        <v>18536</v>
      </c>
      <c r="F10729" s="1" t="s">
        <v>123</v>
      </c>
      <c r="H10729" s="1" t="s">
        <v>28113</v>
      </c>
      <c r="I10729" s="1" t="s">
        <v>5</v>
      </c>
      <c r="J10729" s="1" t="s">
        <v>67</v>
      </c>
      <c r="K10729" s="1" t="s">
        <v>14</v>
      </c>
      <c r="M10729" s="2">
        <v>41732</v>
      </c>
      <c r="N10729" s="1" t="s">
        <v>8</v>
      </c>
      <c r="O10729" s="1" t="s">
        <v>68</v>
      </c>
    </row>
    <row r="10730" spans="1:15" ht="43.2" x14ac:dyDescent="0.3">
      <c r="A10730" s="1" t="s">
        <v>28910</v>
      </c>
      <c r="B10730" s="1" t="str">
        <f>"Ponnam Niohyabalan"</f>
        <v>Ponnam Niohyabalan</v>
      </c>
      <c r="C10730" s="1" t="s">
        <v>18536</v>
      </c>
      <c r="F10730" s="1" t="s">
        <v>123</v>
      </c>
      <c r="H10730" s="1" t="s">
        <v>28113</v>
      </c>
      <c r="I10730" s="1" t="s">
        <v>5</v>
      </c>
      <c r="J10730" s="1" t="s">
        <v>67</v>
      </c>
      <c r="K10730" s="1" t="s">
        <v>14</v>
      </c>
      <c r="M10730" s="2">
        <v>41732</v>
      </c>
      <c r="N10730" s="1" t="s">
        <v>8</v>
      </c>
      <c r="O10730" s="1" t="s">
        <v>68</v>
      </c>
    </row>
    <row r="10731" spans="1:15" ht="43.2" x14ac:dyDescent="0.3">
      <c r="A10731" s="1" t="s">
        <v>28911</v>
      </c>
      <c r="B10731" s="1" t="str">
        <f>"Ponnam Niohyabalan"</f>
        <v>Ponnam Niohyabalan</v>
      </c>
      <c r="C10731" s="1" t="s">
        <v>18536</v>
      </c>
      <c r="F10731" s="1" t="s">
        <v>123</v>
      </c>
      <c r="H10731" s="1" t="s">
        <v>28113</v>
      </c>
      <c r="I10731" s="1" t="s">
        <v>5</v>
      </c>
      <c r="J10731" s="1" t="s">
        <v>67</v>
      </c>
      <c r="K10731" s="1" t="s">
        <v>14</v>
      </c>
      <c r="M10731" s="2">
        <v>41732</v>
      </c>
      <c r="N10731" s="1" t="s">
        <v>8</v>
      </c>
      <c r="O10731" s="1" t="s">
        <v>68</v>
      </c>
    </row>
    <row r="10732" spans="1:15" ht="43.2" x14ac:dyDescent="0.3">
      <c r="A10732" s="1" t="s">
        <v>28912</v>
      </c>
      <c r="B10732" s="1" t="str">
        <f>"Ponnam Niohyabalan"</f>
        <v>Ponnam Niohyabalan</v>
      </c>
      <c r="C10732" s="1" t="s">
        <v>18536</v>
      </c>
      <c r="F10732" s="1" t="s">
        <v>123</v>
      </c>
      <c r="H10732" s="1" t="s">
        <v>28113</v>
      </c>
      <c r="I10732" s="1" t="s">
        <v>5</v>
      </c>
      <c r="J10732" s="1" t="s">
        <v>67</v>
      </c>
      <c r="K10732" s="1" t="s">
        <v>14</v>
      </c>
      <c r="M10732" s="2">
        <v>41732</v>
      </c>
      <c r="N10732" s="1" t="s">
        <v>8</v>
      </c>
      <c r="O10732" s="1" t="s">
        <v>68</v>
      </c>
    </row>
    <row r="10733" spans="1:15" ht="43.2" x14ac:dyDescent="0.3">
      <c r="A10733" s="1" t="s">
        <v>28913</v>
      </c>
      <c r="B10733" s="1" t="str">
        <f>"Ponnam Niohyabalan"</f>
        <v>Ponnam Niohyabalan</v>
      </c>
      <c r="C10733" s="1" t="s">
        <v>18536</v>
      </c>
      <c r="F10733" s="1" t="s">
        <v>123</v>
      </c>
      <c r="H10733" s="1" t="s">
        <v>28113</v>
      </c>
      <c r="I10733" s="1" t="s">
        <v>5</v>
      </c>
      <c r="J10733" s="1" t="s">
        <v>67</v>
      </c>
      <c r="K10733" s="1" t="s">
        <v>14</v>
      </c>
      <c r="M10733" s="2">
        <v>41732</v>
      </c>
      <c r="N10733" s="1" t="s">
        <v>8</v>
      </c>
      <c r="O10733" s="1" t="s">
        <v>68</v>
      </c>
    </row>
    <row r="10734" spans="1:15" ht="43.2" x14ac:dyDescent="0.3">
      <c r="A10734" s="1" t="s">
        <v>10035</v>
      </c>
      <c r="B10734" s="1" t="str">
        <f>"MB &amp; AB Trading Ltd"</f>
        <v>MB &amp; AB Trading Ltd</v>
      </c>
      <c r="C10734" s="1" t="s">
        <v>10036</v>
      </c>
      <c r="D10734" s="1" t="s">
        <v>10037</v>
      </c>
      <c r="F10734" s="1" t="s">
        <v>8878</v>
      </c>
      <c r="H10734" s="1" t="s">
        <v>10038</v>
      </c>
      <c r="I10734" s="1" t="s">
        <v>19</v>
      </c>
      <c r="J10734" s="1" t="s">
        <v>67</v>
      </c>
      <c r="K10734" s="1" t="s">
        <v>14</v>
      </c>
      <c r="M10734" s="2">
        <v>41731</v>
      </c>
      <c r="N10734" s="1" t="s">
        <v>8</v>
      </c>
      <c r="O10734" s="1" t="s">
        <v>68</v>
      </c>
    </row>
    <row r="10735" spans="1:15" ht="43.2" x14ac:dyDescent="0.3">
      <c r="A10735" s="1" t="s">
        <v>11108</v>
      </c>
      <c r="B10735" s="1" t="str">
        <f>"British Red Cross"</f>
        <v>British Red Cross</v>
      </c>
      <c r="C10735" s="1" t="s">
        <v>11109</v>
      </c>
      <c r="F10735" s="1" t="s">
        <v>64</v>
      </c>
      <c r="H10735" s="1" t="s">
        <v>11110</v>
      </c>
      <c r="I10735" s="1" t="s">
        <v>1872</v>
      </c>
      <c r="J10735" s="1" t="s">
        <v>67</v>
      </c>
      <c r="K10735" s="1" t="s">
        <v>14</v>
      </c>
      <c r="M10735" s="2">
        <v>41731</v>
      </c>
      <c r="N10735" s="1" t="s">
        <v>8</v>
      </c>
      <c r="O10735" s="1" t="s">
        <v>68</v>
      </c>
    </row>
    <row r="10736" spans="1:15" ht="43.2" x14ac:dyDescent="0.3">
      <c r="A10736" s="1" t="s">
        <v>11111</v>
      </c>
      <c r="B10736" s="1" t="str">
        <f>"Ivy House"</f>
        <v>Ivy House</v>
      </c>
      <c r="C10736" s="1" t="s">
        <v>11112</v>
      </c>
      <c r="F10736" s="1" t="s">
        <v>3655</v>
      </c>
      <c r="H10736" s="1" t="s">
        <v>11113</v>
      </c>
      <c r="I10736" s="1" t="s">
        <v>125</v>
      </c>
      <c r="J10736" s="1" t="s">
        <v>67</v>
      </c>
      <c r="K10736" s="1" t="s">
        <v>14</v>
      </c>
      <c r="M10736" s="2">
        <v>41731</v>
      </c>
      <c r="N10736" s="1" t="s">
        <v>8</v>
      </c>
      <c r="O10736" s="1" t="s">
        <v>68</v>
      </c>
    </row>
    <row r="10737" spans="1:15" ht="43.2" x14ac:dyDescent="0.3">
      <c r="A10737" s="1" t="s">
        <v>11114</v>
      </c>
      <c r="B10737" s="1" t="str">
        <f>"Rainbows End"</f>
        <v>Rainbows End</v>
      </c>
      <c r="C10737" s="1" t="s">
        <v>7849</v>
      </c>
      <c r="D10737" s="1" t="s">
        <v>3465</v>
      </c>
      <c r="F10737" s="1" t="s">
        <v>162</v>
      </c>
      <c r="H10737" s="1" t="s">
        <v>4492</v>
      </c>
      <c r="I10737" s="1" t="s">
        <v>125</v>
      </c>
      <c r="J10737" s="1" t="s">
        <v>67</v>
      </c>
      <c r="K10737" s="1" t="s">
        <v>14</v>
      </c>
      <c r="M10737" s="2">
        <v>41731</v>
      </c>
      <c r="N10737" s="1" t="s">
        <v>8</v>
      </c>
      <c r="O10737" s="1" t="s">
        <v>68</v>
      </c>
    </row>
    <row r="10738" spans="1:15" ht="43.2" x14ac:dyDescent="0.3">
      <c r="A10738" s="1" t="s">
        <v>11115</v>
      </c>
      <c r="B10738" s="1" t="str">
        <f>"Kronos Communications Ltd"</f>
        <v>Kronos Communications Ltd</v>
      </c>
      <c r="C10738" s="1" t="s">
        <v>11116</v>
      </c>
      <c r="D10738" s="1" t="s">
        <v>11117</v>
      </c>
      <c r="F10738" s="1" t="s">
        <v>4070</v>
      </c>
      <c r="H10738" s="1" t="s">
        <v>11118</v>
      </c>
      <c r="I10738" s="1" t="s">
        <v>19</v>
      </c>
      <c r="J10738" s="1" t="s">
        <v>67</v>
      </c>
      <c r="K10738" s="1" t="s">
        <v>14</v>
      </c>
      <c r="M10738" s="2">
        <v>41731</v>
      </c>
      <c r="N10738" s="1" t="s">
        <v>8</v>
      </c>
      <c r="O10738" s="1" t="s">
        <v>68</v>
      </c>
    </row>
    <row r="10739" spans="1:15" ht="43.2" x14ac:dyDescent="0.3">
      <c r="A10739" s="1" t="s">
        <v>12125</v>
      </c>
      <c r="B10739" s="1" t="str">
        <f>"Kronos Communications Ltd"</f>
        <v>Kronos Communications Ltd</v>
      </c>
      <c r="C10739" s="1" t="s">
        <v>11116</v>
      </c>
      <c r="D10739" s="1" t="s">
        <v>11117</v>
      </c>
      <c r="F10739" s="1" t="s">
        <v>4070</v>
      </c>
      <c r="H10739" s="1" t="s">
        <v>11118</v>
      </c>
      <c r="I10739" s="1" t="s">
        <v>19</v>
      </c>
      <c r="J10739" s="1" t="s">
        <v>67</v>
      </c>
      <c r="K10739" s="1" t="s">
        <v>14</v>
      </c>
      <c r="M10739" s="2">
        <v>41731</v>
      </c>
      <c r="N10739" s="1" t="s">
        <v>8</v>
      </c>
      <c r="O10739" s="1" t="s">
        <v>68</v>
      </c>
    </row>
    <row r="10740" spans="1:15" ht="43.2" x14ac:dyDescent="0.3">
      <c r="A10740" s="1" t="s">
        <v>12126</v>
      </c>
      <c r="B10740" s="1" t="str">
        <f>"Exegesis Spatial Data Management Ltd"</f>
        <v>Exegesis Spatial Data Management Ltd</v>
      </c>
      <c r="C10740" s="1" t="s">
        <v>12127</v>
      </c>
      <c r="D10740" s="1" t="s">
        <v>5074</v>
      </c>
      <c r="F10740" s="1" t="s">
        <v>162</v>
      </c>
      <c r="H10740" s="1" t="s">
        <v>12128</v>
      </c>
      <c r="I10740" s="1" t="s">
        <v>19</v>
      </c>
      <c r="J10740" s="1" t="s">
        <v>67</v>
      </c>
      <c r="K10740" s="1" t="s">
        <v>14</v>
      </c>
      <c r="M10740" s="2">
        <v>41731</v>
      </c>
      <c r="N10740" s="1" t="s">
        <v>8</v>
      </c>
      <c r="O10740" s="1" t="s">
        <v>68</v>
      </c>
    </row>
    <row r="10741" spans="1:15" ht="43.2" x14ac:dyDescent="0.3">
      <c r="A10741" s="1" t="s">
        <v>12129</v>
      </c>
      <c r="B10741" s="1" t="str">
        <f>"Monty Glazing"</f>
        <v>Monty Glazing</v>
      </c>
      <c r="C10741" s="1" t="s">
        <v>12130</v>
      </c>
      <c r="D10741" s="1" t="s">
        <v>2459</v>
      </c>
      <c r="F10741" s="1" t="s">
        <v>162</v>
      </c>
      <c r="H10741" s="1" t="s">
        <v>12131</v>
      </c>
      <c r="I10741" s="1" t="s">
        <v>125</v>
      </c>
      <c r="J10741" s="1" t="s">
        <v>67</v>
      </c>
      <c r="K10741" s="1" t="s">
        <v>14</v>
      </c>
      <c r="M10741" s="2">
        <v>41731</v>
      </c>
      <c r="N10741" s="1" t="s">
        <v>8</v>
      </c>
      <c r="O10741" s="1" t="s">
        <v>68</v>
      </c>
    </row>
    <row r="10742" spans="1:15" ht="43.2" x14ac:dyDescent="0.3">
      <c r="A10742" s="1" t="s">
        <v>13153</v>
      </c>
      <c r="B10742" s="1" t="str">
        <f>"North Montgomeryshire Volunteer Bureau"</f>
        <v>North Montgomeryshire Volunteer Bureau</v>
      </c>
      <c r="C10742" s="1" t="s">
        <v>13154</v>
      </c>
      <c r="D10742" s="1" t="s">
        <v>2459</v>
      </c>
      <c r="F10742" s="1" t="s">
        <v>162</v>
      </c>
      <c r="H10742" s="1" t="s">
        <v>13155</v>
      </c>
      <c r="I10742" s="1" t="s">
        <v>125</v>
      </c>
      <c r="J10742" s="1" t="s">
        <v>67</v>
      </c>
      <c r="K10742" s="1" t="s">
        <v>14</v>
      </c>
      <c r="M10742" s="2">
        <v>41731</v>
      </c>
      <c r="N10742" s="1" t="s">
        <v>8</v>
      </c>
      <c r="O10742" s="1" t="s">
        <v>68</v>
      </c>
    </row>
    <row r="10743" spans="1:15" ht="43.2" x14ac:dyDescent="0.3">
      <c r="A10743" s="1" t="s">
        <v>13156</v>
      </c>
      <c r="B10743" s="1" t="str">
        <f>"Bryn Tyrch Inn"</f>
        <v>Bryn Tyrch Inn</v>
      </c>
      <c r="C10743" s="1" t="s">
        <v>13157</v>
      </c>
      <c r="F10743" s="1" t="s">
        <v>359</v>
      </c>
      <c r="H10743" s="1" t="s">
        <v>13158</v>
      </c>
      <c r="I10743" s="1" t="s">
        <v>19</v>
      </c>
      <c r="J10743" s="1" t="s">
        <v>67</v>
      </c>
      <c r="K10743" s="1" t="s">
        <v>14</v>
      </c>
      <c r="M10743" s="2">
        <v>41731</v>
      </c>
      <c r="N10743" s="1" t="s">
        <v>8</v>
      </c>
      <c r="O10743" s="1" t="s">
        <v>68</v>
      </c>
    </row>
    <row r="10744" spans="1:15" ht="43.2" x14ac:dyDescent="0.3">
      <c r="A10744" s="1" t="s">
        <v>13159</v>
      </c>
      <c r="B10744" s="1" t="str">
        <f>"Bryn Tyrch Inn"</f>
        <v>Bryn Tyrch Inn</v>
      </c>
      <c r="C10744" s="1" t="s">
        <v>13160</v>
      </c>
      <c r="F10744" s="1" t="s">
        <v>13161</v>
      </c>
      <c r="H10744" s="1" t="s">
        <v>13158</v>
      </c>
      <c r="I10744" s="1" t="s">
        <v>19</v>
      </c>
      <c r="J10744" s="1" t="s">
        <v>67</v>
      </c>
      <c r="K10744" s="1" t="s">
        <v>14</v>
      </c>
      <c r="M10744" s="2">
        <v>41731</v>
      </c>
      <c r="N10744" s="1" t="s">
        <v>8</v>
      </c>
      <c r="O10744" s="1" t="s">
        <v>68</v>
      </c>
    </row>
    <row r="10745" spans="1:15" ht="43.2" x14ac:dyDescent="0.3">
      <c r="A10745" s="1" t="s">
        <v>24150</v>
      </c>
      <c r="B10745" s="1" t="str">
        <f>"Elda Macias-Vargas"</f>
        <v>Elda Macias-Vargas</v>
      </c>
      <c r="C10745" s="1" t="s">
        <v>24151</v>
      </c>
      <c r="F10745" s="1" t="s">
        <v>2859</v>
      </c>
      <c r="H10745" s="1" t="s">
        <v>22649</v>
      </c>
      <c r="I10745" s="1" t="s">
        <v>5</v>
      </c>
      <c r="J10745" s="1" t="s">
        <v>67</v>
      </c>
      <c r="K10745" s="1" t="s">
        <v>14</v>
      </c>
      <c r="M10745" s="2">
        <v>41731</v>
      </c>
      <c r="N10745" s="1" t="s">
        <v>8</v>
      </c>
      <c r="O10745" s="1" t="s">
        <v>68</v>
      </c>
    </row>
    <row r="10746" spans="1:15" ht="43.2" x14ac:dyDescent="0.3">
      <c r="A10746" s="1" t="s">
        <v>24152</v>
      </c>
      <c r="B10746" s="1" t="str">
        <f>"Elda Macias-Vargas"</f>
        <v>Elda Macias-Vargas</v>
      </c>
      <c r="C10746" s="1" t="s">
        <v>24151</v>
      </c>
      <c r="F10746" s="1" t="s">
        <v>2859</v>
      </c>
      <c r="H10746" s="1" t="s">
        <v>22649</v>
      </c>
      <c r="I10746" s="1" t="s">
        <v>5</v>
      </c>
      <c r="J10746" s="1" t="s">
        <v>67</v>
      </c>
      <c r="K10746" s="1" t="s">
        <v>14</v>
      </c>
      <c r="M10746" s="2">
        <v>41731</v>
      </c>
      <c r="N10746" s="1" t="s">
        <v>8</v>
      </c>
      <c r="O10746" s="1" t="s">
        <v>68</v>
      </c>
    </row>
    <row r="10747" spans="1:15" ht="43.2" x14ac:dyDescent="0.3">
      <c r="A10747" s="1" t="s">
        <v>24153</v>
      </c>
      <c r="B10747" s="1" t="str">
        <f>"Elda Macias-Vargas"</f>
        <v>Elda Macias-Vargas</v>
      </c>
      <c r="C10747" s="1" t="s">
        <v>24151</v>
      </c>
      <c r="F10747" s="1" t="s">
        <v>2859</v>
      </c>
      <c r="H10747" s="1" t="s">
        <v>22649</v>
      </c>
      <c r="I10747" s="1" t="s">
        <v>5</v>
      </c>
      <c r="J10747" s="1" t="s">
        <v>67</v>
      </c>
      <c r="K10747" s="1" t="s">
        <v>14</v>
      </c>
      <c r="M10747" s="2">
        <v>41731</v>
      </c>
      <c r="N10747" s="1" t="s">
        <v>8</v>
      </c>
      <c r="O10747" s="1" t="s">
        <v>68</v>
      </c>
    </row>
    <row r="10748" spans="1:15" ht="43.2" x14ac:dyDescent="0.3">
      <c r="A10748" s="1" t="s">
        <v>24154</v>
      </c>
      <c r="B10748" s="1" t="str">
        <f>"Lillian James"</f>
        <v>Lillian James</v>
      </c>
      <c r="C10748" s="1" t="s">
        <v>24155</v>
      </c>
      <c r="F10748" s="1" t="s">
        <v>20217</v>
      </c>
      <c r="H10748" s="1" t="s">
        <v>24156</v>
      </c>
      <c r="I10748" s="1" t="s">
        <v>5</v>
      </c>
      <c r="J10748" s="1" t="s">
        <v>67</v>
      </c>
      <c r="K10748" s="1" t="s">
        <v>14</v>
      </c>
      <c r="M10748" s="2">
        <v>41731</v>
      </c>
      <c r="N10748" s="1" t="s">
        <v>8</v>
      </c>
      <c r="O10748" s="1" t="s">
        <v>68</v>
      </c>
    </row>
    <row r="10749" spans="1:15" ht="43.2" x14ac:dyDescent="0.3">
      <c r="A10749" s="1" t="s">
        <v>24157</v>
      </c>
      <c r="B10749" s="1" t="str">
        <f>"Maria Creaney"</f>
        <v>Maria Creaney</v>
      </c>
      <c r="C10749" s="1" t="s">
        <v>24158</v>
      </c>
      <c r="D10749" s="1" t="s">
        <v>24159</v>
      </c>
      <c r="F10749" s="1" t="s">
        <v>324</v>
      </c>
      <c r="H10749" s="1" t="s">
        <v>24160</v>
      </c>
      <c r="I10749" s="1" t="s">
        <v>5</v>
      </c>
      <c r="J10749" s="1" t="s">
        <v>67</v>
      </c>
      <c r="K10749" s="1" t="s">
        <v>14</v>
      </c>
      <c r="M10749" s="2">
        <v>41731</v>
      </c>
      <c r="N10749" s="1" t="s">
        <v>8</v>
      </c>
      <c r="O10749" s="1" t="s">
        <v>68</v>
      </c>
    </row>
    <row r="10750" spans="1:15" ht="43.2" x14ac:dyDescent="0.3">
      <c r="A10750" s="1" t="s">
        <v>25011</v>
      </c>
      <c r="B10750" s="1" t="str">
        <f>"James Roberts"</f>
        <v>James Roberts</v>
      </c>
      <c r="C10750" s="1" t="s">
        <v>25012</v>
      </c>
      <c r="F10750" s="1" t="s">
        <v>359</v>
      </c>
      <c r="H10750" s="1" t="s">
        <v>25013</v>
      </c>
      <c r="I10750" s="1" t="s">
        <v>5</v>
      </c>
      <c r="J10750" s="1" t="s">
        <v>67</v>
      </c>
      <c r="K10750" s="1" t="s">
        <v>14</v>
      </c>
      <c r="M10750" s="2">
        <v>41731</v>
      </c>
      <c r="N10750" s="1" t="s">
        <v>8</v>
      </c>
      <c r="O10750" s="1" t="s">
        <v>68</v>
      </c>
    </row>
    <row r="10751" spans="1:15" ht="43.2" x14ac:dyDescent="0.3">
      <c r="A10751" s="1" t="s">
        <v>25014</v>
      </c>
      <c r="B10751" s="1" t="str">
        <f>"James Roberts"</f>
        <v>James Roberts</v>
      </c>
      <c r="C10751" s="1" t="s">
        <v>25012</v>
      </c>
      <c r="F10751" s="1" t="s">
        <v>359</v>
      </c>
      <c r="H10751" s="1" t="s">
        <v>25013</v>
      </c>
      <c r="I10751" s="1" t="s">
        <v>5</v>
      </c>
      <c r="J10751" s="1" t="s">
        <v>67</v>
      </c>
      <c r="K10751" s="1" t="s">
        <v>14</v>
      </c>
      <c r="M10751" s="2">
        <v>41731</v>
      </c>
      <c r="N10751" s="1" t="s">
        <v>8</v>
      </c>
      <c r="O10751" s="1" t="s">
        <v>68</v>
      </c>
    </row>
    <row r="10752" spans="1:15" ht="43.2" x14ac:dyDescent="0.3">
      <c r="A10752" s="1" t="s">
        <v>25015</v>
      </c>
      <c r="B10752" s="1" t="str">
        <f>"James Roberts"</f>
        <v>James Roberts</v>
      </c>
      <c r="C10752" s="1" t="s">
        <v>25012</v>
      </c>
      <c r="F10752" s="1" t="s">
        <v>359</v>
      </c>
      <c r="H10752" s="1" t="s">
        <v>25013</v>
      </c>
      <c r="I10752" s="1" t="s">
        <v>5</v>
      </c>
      <c r="J10752" s="1" t="s">
        <v>67</v>
      </c>
      <c r="K10752" s="1" t="s">
        <v>14</v>
      </c>
      <c r="M10752" s="2">
        <v>41731</v>
      </c>
      <c r="N10752" s="1" t="s">
        <v>8</v>
      </c>
      <c r="O10752" s="1" t="s">
        <v>68</v>
      </c>
    </row>
    <row r="10753" spans="1:15" ht="43.2" x14ac:dyDescent="0.3">
      <c r="A10753" s="1" t="s">
        <v>25016</v>
      </c>
      <c r="B10753" s="1" t="str">
        <f>"James Roberts"</f>
        <v>James Roberts</v>
      </c>
      <c r="C10753" s="1" t="s">
        <v>25012</v>
      </c>
      <c r="F10753" s="1" t="s">
        <v>359</v>
      </c>
      <c r="H10753" s="1" t="s">
        <v>25013</v>
      </c>
      <c r="I10753" s="1" t="s">
        <v>5</v>
      </c>
      <c r="J10753" s="1" t="s">
        <v>67</v>
      </c>
      <c r="K10753" s="1" t="s">
        <v>14</v>
      </c>
      <c r="M10753" s="2">
        <v>41731</v>
      </c>
      <c r="N10753" s="1" t="s">
        <v>8</v>
      </c>
      <c r="O10753" s="1" t="s">
        <v>68</v>
      </c>
    </row>
    <row r="10754" spans="1:15" ht="43.2" x14ac:dyDescent="0.3">
      <c r="A10754" s="1" t="s">
        <v>25017</v>
      </c>
      <c r="B10754" s="1" t="str">
        <f>"Sally Lickley"</f>
        <v>Sally Lickley</v>
      </c>
      <c r="C10754" s="1" t="s">
        <v>25018</v>
      </c>
      <c r="F10754" s="1" t="s">
        <v>123</v>
      </c>
      <c r="H10754" s="1" t="s">
        <v>25019</v>
      </c>
      <c r="I10754" s="1" t="s">
        <v>5</v>
      </c>
      <c r="J10754" s="1" t="s">
        <v>67</v>
      </c>
      <c r="K10754" s="1" t="s">
        <v>14</v>
      </c>
      <c r="M10754" s="2">
        <v>41731</v>
      </c>
      <c r="N10754" s="1" t="s">
        <v>8</v>
      </c>
      <c r="O10754" s="1" t="s">
        <v>68</v>
      </c>
    </row>
    <row r="10755" spans="1:15" ht="43.2" x14ac:dyDescent="0.3">
      <c r="A10755" s="1" t="s">
        <v>25020</v>
      </c>
      <c r="B10755" s="1" t="str">
        <f>"Sally Lickley"</f>
        <v>Sally Lickley</v>
      </c>
      <c r="C10755" s="1" t="s">
        <v>25018</v>
      </c>
      <c r="F10755" s="1" t="s">
        <v>123</v>
      </c>
      <c r="H10755" s="1" t="s">
        <v>25019</v>
      </c>
      <c r="I10755" s="1" t="s">
        <v>5</v>
      </c>
      <c r="J10755" s="1" t="s">
        <v>67</v>
      </c>
      <c r="K10755" s="1" t="s">
        <v>14</v>
      </c>
      <c r="M10755" s="2">
        <v>41731</v>
      </c>
      <c r="N10755" s="1" t="s">
        <v>8</v>
      </c>
      <c r="O10755" s="1" t="s">
        <v>68</v>
      </c>
    </row>
    <row r="10756" spans="1:15" ht="43.2" x14ac:dyDescent="0.3">
      <c r="A10756" s="1" t="s">
        <v>25021</v>
      </c>
      <c r="B10756" s="1" t="str">
        <f>"Sally Lickley"</f>
        <v>Sally Lickley</v>
      </c>
      <c r="C10756" s="1" t="s">
        <v>25018</v>
      </c>
      <c r="F10756" s="1" t="s">
        <v>123</v>
      </c>
      <c r="H10756" s="1" t="s">
        <v>25019</v>
      </c>
      <c r="I10756" s="1" t="s">
        <v>5</v>
      </c>
      <c r="J10756" s="1" t="s">
        <v>67</v>
      </c>
      <c r="K10756" s="1" t="s">
        <v>14</v>
      </c>
      <c r="M10756" s="2">
        <v>41731</v>
      </c>
      <c r="N10756" s="1" t="s">
        <v>8</v>
      </c>
      <c r="O10756" s="1" t="s">
        <v>68</v>
      </c>
    </row>
    <row r="10757" spans="1:15" ht="43.2" x14ac:dyDescent="0.3">
      <c r="A10757" s="1" t="s">
        <v>25022</v>
      </c>
      <c r="B10757" s="1" t="str">
        <f>"Robert Dickson"</f>
        <v>Robert Dickson</v>
      </c>
      <c r="C10757" s="1" t="s">
        <v>25023</v>
      </c>
      <c r="D10757" s="1" t="s">
        <v>4436</v>
      </c>
      <c r="F10757" s="1" t="s">
        <v>358</v>
      </c>
      <c r="H10757" s="1" t="s">
        <v>25024</v>
      </c>
      <c r="I10757" s="1" t="s">
        <v>5</v>
      </c>
      <c r="J10757" s="1" t="s">
        <v>67</v>
      </c>
      <c r="K10757" s="1" t="s">
        <v>14</v>
      </c>
      <c r="M10757" s="2">
        <v>41731</v>
      </c>
      <c r="N10757" s="1" t="s">
        <v>8</v>
      </c>
      <c r="O10757" s="1" t="s">
        <v>68</v>
      </c>
    </row>
    <row r="10758" spans="1:15" ht="43.2" x14ac:dyDescent="0.3">
      <c r="A10758" s="1" t="s">
        <v>25025</v>
      </c>
      <c r="B10758" s="1" t="str">
        <f>"LEE COULSON"</f>
        <v>LEE COULSON</v>
      </c>
      <c r="C10758" s="1" t="s">
        <v>25026</v>
      </c>
      <c r="F10758" s="1" t="s">
        <v>3684</v>
      </c>
      <c r="H10758" s="1" t="s">
        <v>879</v>
      </c>
      <c r="I10758" s="1" t="s">
        <v>5</v>
      </c>
      <c r="J10758" s="1" t="s">
        <v>67</v>
      </c>
      <c r="K10758" s="1" t="s">
        <v>14</v>
      </c>
      <c r="M10758" s="2">
        <v>41731</v>
      </c>
      <c r="N10758" s="1" t="s">
        <v>8</v>
      </c>
      <c r="O10758" s="1" t="s">
        <v>68</v>
      </c>
    </row>
    <row r="10759" spans="1:15" ht="43.2" x14ac:dyDescent="0.3">
      <c r="A10759" s="1" t="s">
        <v>25027</v>
      </c>
      <c r="B10759" s="1" t="str">
        <f>"LEE COULSON"</f>
        <v>LEE COULSON</v>
      </c>
      <c r="C10759" s="1" t="s">
        <v>25026</v>
      </c>
      <c r="F10759" s="1" t="s">
        <v>3684</v>
      </c>
      <c r="H10759" s="1" t="s">
        <v>879</v>
      </c>
      <c r="I10759" s="1" t="s">
        <v>5</v>
      </c>
      <c r="J10759" s="1" t="s">
        <v>67</v>
      </c>
      <c r="K10759" s="1" t="s">
        <v>14</v>
      </c>
      <c r="M10759" s="2">
        <v>41731</v>
      </c>
      <c r="N10759" s="1" t="s">
        <v>8</v>
      </c>
      <c r="O10759" s="1" t="s">
        <v>68</v>
      </c>
    </row>
    <row r="10760" spans="1:15" ht="43.2" x14ac:dyDescent="0.3">
      <c r="A10760" s="1" t="s">
        <v>25028</v>
      </c>
      <c r="B10760" s="1" t="str">
        <f>"LEE COULSON"</f>
        <v>LEE COULSON</v>
      </c>
      <c r="C10760" s="1" t="s">
        <v>25026</v>
      </c>
      <c r="F10760" s="1" t="s">
        <v>3684</v>
      </c>
      <c r="H10760" s="1" t="s">
        <v>879</v>
      </c>
      <c r="I10760" s="1" t="s">
        <v>5</v>
      </c>
      <c r="J10760" s="1" t="s">
        <v>67</v>
      </c>
      <c r="K10760" s="1" t="s">
        <v>14</v>
      </c>
      <c r="M10760" s="2">
        <v>41731</v>
      </c>
      <c r="N10760" s="1" t="s">
        <v>8</v>
      </c>
      <c r="O10760" s="1" t="s">
        <v>68</v>
      </c>
    </row>
    <row r="10761" spans="1:15" ht="43.2" x14ac:dyDescent="0.3">
      <c r="A10761" s="1" t="s">
        <v>25029</v>
      </c>
      <c r="B10761" s="1" t="str">
        <f>"LEE COULSON"</f>
        <v>LEE COULSON</v>
      </c>
      <c r="C10761" s="1" t="s">
        <v>25026</v>
      </c>
      <c r="F10761" s="1" t="s">
        <v>3684</v>
      </c>
      <c r="H10761" s="1" t="s">
        <v>879</v>
      </c>
      <c r="I10761" s="1" t="s">
        <v>5</v>
      </c>
      <c r="J10761" s="1" t="s">
        <v>67</v>
      </c>
      <c r="K10761" s="1" t="s">
        <v>14</v>
      </c>
      <c r="M10761" s="2">
        <v>41731</v>
      </c>
      <c r="N10761" s="1" t="s">
        <v>8</v>
      </c>
      <c r="O10761" s="1" t="s">
        <v>68</v>
      </c>
    </row>
    <row r="10762" spans="1:15" ht="43.2" x14ac:dyDescent="0.3">
      <c r="A10762" s="1" t="s">
        <v>25751</v>
      </c>
      <c r="B10762" s="1" t="str">
        <f>"Roger Davies"</f>
        <v>Roger Davies</v>
      </c>
      <c r="C10762" s="1" t="s">
        <v>25752</v>
      </c>
      <c r="D10762" s="1" t="s">
        <v>1230</v>
      </c>
      <c r="F10762" s="1" t="s">
        <v>162</v>
      </c>
      <c r="H10762" s="1" t="s">
        <v>25753</v>
      </c>
      <c r="I10762" s="1" t="s">
        <v>5</v>
      </c>
      <c r="J10762" s="1" t="s">
        <v>67</v>
      </c>
      <c r="K10762" s="1" t="s">
        <v>14</v>
      </c>
      <c r="M10762" s="2">
        <v>41731</v>
      </c>
      <c r="N10762" s="1" t="s">
        <v>8</v>
      </c>
      <c r="O10762" s="1" t="s">
        <v>68</v>
      </c>
    </row>
    <row r="10763" spans="1:15" ht="43.2" x14ac:dyDescent="0.3">
      <c r="A10763" s="1" t="s">
        <v>25754</v>
      </c>
      <c r="B10763" s="1" t="str">
        <f>"Singh Mahli"</f>
        <v>Singh Mahli</v>
      </c>
      <c r="C10763" s="1" t="s">
        <v>25755</v>
      </c>
      <c r="D10763" s="1" t="s">
        <v>25756</v>
      </c>
      <c r="F10763" s="1" t="s">
        <v>211</v>
      </c>
      <c r="H10763" s="1" t="s">
        <v>25757</v>
      </c>
      <c r="I10763" s="1" t="s">
        <v>5</v>
      </c>
      <c r="J10763" s="1" t="s">
        <v>67</v>
      </c>
      <c r="K10763" s="1" t="s">
        <v>14</v>
      </c>
      <c r="M10763" s="2">
        <v>41731</v>
      </c>
      <c r="N10763" s="1" t="s">
        <v>8</v>
      </c>
      <c r="O10763" s="1" t="s">
        <v>68</v>
      </c>
    </row>
    <row r="10764" spans="1:15" ht="43.2" x14ac:dyDescent="0.3">
      <c r="A10764" s="1" t="s">
        <v>25758</v>
      </c>
      <c r="B10764" s="1" t="str">
        <f>"Clare Lockwood"</f>
        <v>Clare Lockwood</v>
      </c>
      <c r="C10764" s="1" t="s">
        <v>25759</v>
      </c>
      <c r="D10764" s="1" t="s">
        <v>3052</v>
      </c>
      <c r="F10764" s="1" t="s">
        <v>359</v>
      </c>
      <c r="H10764" s="1" t="s">
        <v>25760</v>
      </c>
      <c r="I10764" s="1" t="s">
        <v>5</v>
      </c>
      <c r="J10764" s="1" t="s">
        <v>67</v>
      </c>
      <c r="K10764" s="1" t="s">
        <v>14</v>
      </c>
      <c r="M10764" s="2">
        <v>41731</v>
      </c>
      <c r="N10764" s="1" t="s">
        <v>8</v>
      </c>
      <c r="O10764" s="1" t="s">
        <v>68</v>
      </c>
    </row>
    <row r="10765" spans="1:15" ht="43.2" x14ac:dyDescent="0.3">
      <c r="A10765" s="1" t="s">
        <v>25761</v>
      </c>
      <c r="B10765" s="1" t="str">
        <f>"Sarah Hudson"</f>
        <v>Sarah Hudson</v>
      </c>
      <c r="C10765" s="1" t="s">
        <v>25762</v>
      </c>
      <c r="D10765" s="1" t="s">
        <v>25763</v>
      </c>
      <c r="F10765" s="1" t="s">
        <v>3242</v>
      </c>
      <c r="H10765" s="1" t="s">
        <v>25764</v>
      </c>
      <c r="I10765" s="1" t="s">
        <v>5</v>
      </c>
      <c r="J10765" s="1" t="s">
        <v>67</v>
      </c>
      <c r="K10765" s="1" t="s">
        <v>14</v>
      </c>
      <c r="M10765" s="2">
        <v>41731</v>
      </c>
      <c r="N10765" s="1" t="s">
        <v>8</v>
      </c>
      <c r="O10765" s="1" t="s">
        <v>68</v>
      </c>
    </row>
    <row r="10766" spans="1:15" ht="57.6" x14ac:dyDescent="0.3">
      <c r="A10766" s="1" t="s">
        <v>6667</v>
      </c>
      <c r="B10766" s="1" t="str">
        <f>"NATIONAL ZOOLOGICAL SOCIETY OF WALES - WELSH MOUNTAIN ZOO"</f>
        <v>NATIONAL ZOOLOGICAL SOCIETY OF WALES - WELSH MOUNTAIN ZOO</v>
      </c>
      <c r="C10766" s="1" t="s">
        <v>6668</v>
      </c>
      <c r="D10766" s="1" t="s">
        <v>3602</v>
      </c>
      <c r="F10766" s="1" t="s">
        <v>6669</v>
      </c>
      <c r="H10766" s="1" t="s">
        <v>6670</v>
      </c>
      <c r="I10766" s="1" t="s">
        <v>1872</v>
      </c>
      <c r="J10766" s="1" t="s">
        <v>67</v>
      </c>
      <c r="K10766" s="1" t="s">
        <v>14</v>
      </c>
      <c r="M10766" s="2">
        <v>41730</v>
      </c>
      <c r="N10766" s="1" t="s">
        <v>8</v>
      </c>
      <c r="O10766" s="1" t="s">
        <v>68</v>
      </c>
    </row>
    <row r="10767" spans="1:15" ht="57.6" x14ac:dyDescent="0.3">
      <c r="A10767" s="1" t="s">
        <v>6671</v>
      </c>
      <c r="B10767" s="1" t="str">
        <f>"NATIONAL ZOOLOGICAL SOCIETY OF WALES - WELSH MOUNTAIN ZOO"</f>
        <v>NATIONAL ZOOLOGICAL SOCIETY OF WALES - WELSH MOUNTAIN ZOO</v>
      </c>
      <c r="C10767" s="1" t="s">
        <v>6668</v>
      </c>
      <c r="D10767" s="1" t="s">
        <v>3602</v>
      </c>
      <c r="F10767" s="1" t="s">
        <v>6669</v>
      </c>
      <c r="H10767" s="1" t="s">
        <v>6670</v>
      </c>
      <c r="I10767" s="1" t="s">
        <v>1872</v>
      </c>
      <c r="J10767" s="1" t="s">
        <v>67</v>
      </c>
      <c r="K10767" s="1" t="s">
        <v>14</v>
      </c>
      <c r="M10767" s="2">
        <v>41730</v>
      </c>
      <c r="N10767" s="1" t="s">
        <v>8</v>
      </c>
      <c r="O10767" s="1" t="s">
        <v>68</v>
      </c>
    </row>
    <row r="10768" spans="1:15" ht="57.6" x14ac:dyDescent="0.3">
      <c r="A10768" s="1" t="s">
        <v>6672</v>
      </c>
      <c r="B10768" s="1" t="str">
        <f>"NATIONAL ZOOLOGICAL SOCIETY OF WALES - WELSH MOUNTAIN ZOO"</f>
        <v>NATIONAL ZOOLOGICAL SOCIETY OF WALES - WELSH MOUNTAIN ZOO</v>
      </c>
      <c r="C10768" s="1" t="s">
        <v>6668</v>
      </c>
      <c r="D10768" s="1" t="s">
        <v>3602</v>
      </c>
      <c r="F10768" s="1" t="s">
        <v>6669</v>
      </c>
      <c r="H10768" s="1" t="s">
        <v>6670</v>
      </c>
      <c r="I10768" s="1" t="s">
        <v>1872</v>
      </c>
      <c r="J10768" s="1" t="s">
        <v>67</v>
      </c>
      <c r="K10768" s="1" t="s">
        <v>14</v>
      </c>
      <c r="M10768" s="2">
        <v>41730</v>
      </c>
      <c r="N10768" s="1" t="s">
        <v>8</v>
      </c>
      <c r="O10768" s="1" t="s">
        <v>68</v>
      </c>
    </row>
    <row r="10769" spans="1:15" ht="57.6" x14ac:dyDescent="0.3">
      <c r="A10769" s="1" t="s">
        <v>6673</v>
      </c>
      <c r="B10769" s="1" t="str">
        <f>"NATIONAL ZOOLOGICAL SOCIETY OF WALES - WELSH MOUNTAIN ZOO"</f>
        <v>NATIONAL ZOOLOGICAL SOCIETY OF WALES - WELSH MOUNTAIN ZOO</v>
      </c>
      <c r="C10769" s="1" t="s">
        <v>6668</v>
      </c>
      <c r="D10769" s="1" t="s">
        <v>3602</v>
      </c>
      <c r="F10769" s="1" t="s">
        <v>6669</v>
      </c>
      <c r="H10769" s="1" t="s">
        <v>6670</v>
      </c>
      <c r="I10769" s="1" t="s">
        <v>1872</v>
      </c>
      <c r="J10769" s="1" t="s">
        <v>67</v>
      </c>
      <c r="K10769" s="1" t="s">
        <v>14</v>
      </c>
      <c r="M10769" s="2">
        <v>41730</v>
      </c>
      <c r="N10769" s="1" t="s">
        <v>8</v>
      </c>
      <c r="O10769" s="1" t="s">
        <v>68</v>
      </c>
    </row>
    <row r="10770" spans="1:15" ht="57.6" x14ac:dyDescent="0.3">
      <c r="A10770" s="1" t="s">
        <v>6674</v>
      </c>
      <c r="B10770" s="1" t="str">
        <f>"NATIONAL ZOOLOGICAL SOCIETY OF WALES - WELSH MOUNTAIN ZOO"</f>
        <v>NATIONAL ZOOLOGICAL SOCIETY OF WALES - WELSH MOUNTAIN ZOO</v>
      </c>
      <c r="C10770" s="1" t="s">
        <v>6668</v>
      </c>
      <c r="D10770" s="1" t="s">
        <v>3602</v>
      </c>
      <c r="F10770" s="1" t="s">
        <v>6669</v>
      </c>
      <c r="H10770" s="1" t="s">
        <v>6670</v>
      </c>
      <c r="I10770" s="1" t="s">
        <v>1872</v>
      </c>
      <c r="J10770" s="1" t="s">
        <v>67</v>
      </c>
      <c r="K10770" s="1" t="s">
        <v>14</v>
      </c>
      <c r="M10770" s="2">
        <v>41730</v>
      </c>
      <c r="N10770" s="1" t="s">
        <v>8</v>
      </c>
      <c r="O10770" s="1" t="s">
        <v>68</v>
      </c>
    </row>
    <row r="10771" spans="1:15" ht="57.6" x14ac:dyDescent="0.3">
      <c r="A10771" s="1" t="s">
        <v>6675</v>
      </c>
      <c r="B10771" s="1" t="str">
        <f>"NATIONAL ZOOLOGICAL SOCIETY OF WALES - WELSH MOUNTAIN ZOO"</f>
        <v>NATIONAL ZOOLOGICAL SOCIETY OF WALES - WELSH MOUNTAIN ZOO</v>
      </c>
      <c r="C10771" s="1" t="s">
        <v>6668</v>
      </c>
      <c r="D10771" s="1" t="s">
        <v>3602</v>
      </c>
      <c r="F10771" s="1" t="s">
        <v>6669</v>
      </c>
      <c r="H10771" s="1" t="s">
        <v>6670</v>
      </c>
      <c r="I10771" s="1" t="s">
        <v>1872</v>
      </c>
      <c r="J10771" s="1" t="s">
        <v>67</v>
      </c>
      <c r="K10771" s="1" t="s">
        <v>14</v>
      </c>
      <c r="M10771" s="2">
        <v>41730</v>
      </c>
      <c r="N10771" s="1" t="s">
        <v>8</v>
      </c>
      <c r="O10771" s="1" t="s">
        <v>68</v>
      </c>
    </row>
    <row r="10772" spans="1:15" ht="57.6" x14ac:dyDescent="0.3">
      <c r="A10772" s="1" t="s">
        <v>6676</v>
      </c>
      <c r="B10772" s="1" t="str">
        <f>"NATIONAL ZOOLOGICAL SOCIETY OF WALES - WELSH MOUNTAIN ZOO"</f>
        <v>NATIONAL ZOOLOGICAL SOCIETY OF WALES - WELSH MOUNTAIN ZOO</v>
      </c>
      <c r="C10772" s="1" t="s">
        <v>6668</v>
      </c>
      <c r="D10772" s="1" t="s">
        <v>3602</v>
      </c>
      <c r="F10772" s="1" t="s">
        <v>6669</v>
      </c>
      <c r="H10772" s="1" t="s">
        <v>6670</v>
      </c>
      <c r="I10772" s="1" t="s">
        <v>1872</v>
      </c>
      <c r="J10772" s="1" t="s">
        <v>67</v>
      </c>
      <c r="K10772" s="1" t="s">
        <v>14</v>
      </c>
      <c r="M10772" s="2">
        <v>41730</v>
      </c>
      <c r="N10772" s="1" t="s">
        <v>8</v>
      </c>
      <c r="O10772" s="1" t="s">
        <v>68</v>
      </c>
    </row>
    <row r="10773" spans="1:15" ht="57.6" x14ac:dyDescent="0.3">
      <c r="A10773" s="1" t="s">
        <v>7714</v>
      </c>
      <c r="B10773" s="1" t="str">
        <f>"NATIONAL ZOOLOGICAL SOCIETY OF WALES - WELSH MOUNTAIN ZOO"</f>
        <v>NATIONAL ZOOLOGICAL SOCIETY OF WALES - WELSH MOUNTAIN ZOO</v>
      </c>
      <c r="C10773" s="1" t="s">
        <v>6668</v>
      </c>
      <c r="D10773" s="1" t="s">
        <v>3602</v>
      </c>
      <c r="F10773" s="1" t="s">
        <v>6669</v>
      </c>
      <c r="H10773" s="1" t="s">
        <v>6670</v>
      </c>
      <c r="I10773" s="1" t="s">
        <v>1872</v>
      </c>
      <c r="J10773" s="1" t="s">
        <v>67</v>
      </c>
      <c r="K10773" s="1" t="s">
        <v>14</v>
      </c>
      <c r="M10773" s="2">
        <v>41730</v>
      </c>
      <c r="N10773" s="1" t="s">
        <v>8</v>
      </c>
      <c r="O10773" s="1" t="s">
        <v>68</v>
      </c>
    </row>
    <row r="10774" spans="1:15" ht="57.6" x14ac:dyDescent="0.3">
      <c r="A10774" s="1" t="s">
        <v>7715</v>
      </c>
      <c r="B10774" s="1" t="str">
        <f>"NATIONAL ZOOLOGICAL SOCIETY OF WALES - WELSH MOUNTAIN ZOO"</f>
        <v>NATIONAL ZOOLOGICAL SOCIETY OF WALES - WELSH MOUNTAIN ZOO</v>
      </c>
      <c r="C10774" s="1" t="s">
        <v>6668</v>
      </c>
      <c r="D10774" s="1" t="s">
        <v>3602</v>
      </c>
      <c r="F10774" s="1" t="s">
        <v>6669</v>
      </c>
      <c r="H10774" s="1" t="s">
        <v>6670</v>
      </c>
      <c r="I10774" s="1" t="s">
        <v>1872</v>
      </c>
      <c r="J10774" s="1" t="s">
        <v>67</v>
      </c>
      <c r="K10774" s="1" t="s">
        <v>14</v>
      </c>
      <c r="M10774" s="2">
        <v>41730</v>
      </c>
      <c r="N10774" s="1" t="s">
        <v>8</v>
      </c>
      <c r="O10774" s="1" t="s">
        <v>68</v>
      </c>
    </row>
    <row r="10775" spans="1:15" ht="57.6" x14ac:dyDescent="0.3">
      <c r="A10775" s="1" t="s">
        <v>7716</v>
      </c>
      <c r="B10775" s="1" t="str">
        <f>"NATIONAL ZOOLOGICAL SOCIETY OF WALES - WELSH MOUNTAIN ZOO"</f>
        <v>NATIONAL ZOOLOGICAL SOCIETY OF WALES - WELSH MOUNTAIN ZOO</v>
      </c>
      <c r="C10775" s="1" t="s">
        <v>6668</v>
      </c>
      <c r="D10775" s="1" t="s">
        <v>3602</v>
      </c>
      <c r="F10775" s="1" t="s">
        <v>6669</v>
      </c>
      <c r="H10775" s="1" t="s">
        <v>6670</v>
      </c>
      <c r="I10775" s="1" t="s">
        <v>1872</v>
      </c>
      <c r="J10775" s="1" t="s">
        <v>67</v>
      </c>
      <c r="K10775" s="1" t="s">
        <v>14</v>
      </c>
      <c r="M10775" s="2">
        <v>41730</v>
      </c>
      <c r="N10775" s="1" t="s">
        <v>8</v>
      </c>
      <c r="O10775" s="1" t="s">
        <v>68</v>
      </c>
    </row>
    <row r="10776" spans="1:15" ht="57.6" x14ac:dyDescent="0.3">
      <c r="A10776" s="1" t="s">
        <v>7717</v>
      </c>
      <c r="B10776" s="1" t="str">
        <f>"NATIONAL ZOOLOGICAL SOCIETY OF WALES - WELSH MOUNTAIN ZOO"</f>
        <v>NATIONAL ZOOLOGICAL SOCIETY OF WALES - WELSH MOUNTAIN ZOO</v>
      </c>
      <c r="C10776" s="1" t="s">
        <v>6668</v>
      </c>
      <c r="D10776" s="1" t="s">
        <v>3602</v>
      </c>
      <c r="F10776" s="1" t="s">
        <v>6669</v>
      </c>
      <c r="H10776" s="1" t="s">
        <v>6670</v>
      </c>
      <c r="I10776" s="1" t="s">
        <v>1872</v>
      </c>
      <c r="J10776" s="1" t="s">
        <v>67</v>
      </c>
      <c r="K10776" s="1" t="s">
        <v>14</v>
      </c>
      <c r="M10776" s="2">
        <v>41730</v>
      </c>
      <c r="N10776" s="1" t="s">
        <v>8</v>
      </c>
      <c r="O10776" s="1" t="s">
        <v>68</v>
      </c>
    </row>
    <row r="10777" spans="1:15" ht="57.6" x14ac:dyDescent="0.3">
      <c r="A10777" s="1" t="s">
        <v>7718</v>
      </c>
      <c r="B10777" s="1" t="str">
        <f>"NATIONAL ZOOLOGICAL SOCIETY OF WALES - WELSH MOUNTAIN ZOO"</f>
        <v>NATIONAL ZOOLOGICAL SOCIETY OF WALES - WELSH MOUNTAIN ZOO</v>
      </c>
      <c r="C10777" s="1" t="s">
        <v>6668</v>
      </c>
      <c r="D10777" s="1" t="s">
        <v>3602</v>
      </c>
      <c r="F10777" s="1" t="s">
        <v>6669</v>
      </c>
      <c r="H10777" s="1" t="s">
        <v>6670</v>
      </c>
      <c r="I10777" s="1" t="s">
        <v>1872</v>
      </c>
      <c r="J10777" s="1" t="s">
        <v>67</v>
      </c>
      <c r="K10777" s="1" t="s">
        <v>14</v>
      </c>
      <c r="M10777" s="2">
        <v>41730</v>
      </c>
      <c r="N10777" s="1" t="s">
        <v>8</v>
      </c>
      <c r="O10777" s="1" t="s">
        <v>68</v>
      </c>
    </row>
    <row r="10778" spans="1:15" ht="43.2" x14ac:dyDescent="0.3">
      <c r="A10778" s="1" t="s">
        <v>7719</v>
      </c>
      <c r="B10778" s="1" t="str">
        <f>"Conwy Council Borough Council"</f>
        <v>Conwy Council Borough Council</v>
      </c>
      <c r="C10778" s="1" t="s">
        <v>7720</v>
      </c>
      <c r="F10778" s="1" t="s">
        <v>955</v>
      </c>
      <c r="H10778" s="1" t="s">
        <v>7721</v>
      </c>
      <c r="I10778" s="1" t="s">
        <v>188</v>
      </c>
      <c r="J10778" s="1" t="s">
        <v>67</v>
      </c>
      <c r="K10778" s="1" t="s">
        <v>14</v>
      </c>
      <c r="M10778" s="2">
        <v>41730</v>
      </c>
      <c r="N10778" s="1" t="s">
        <v>8</v>
      </c>
      <c r="O10778" s="1" t="s">
        <v>68</v>
      </c>
    </row>
    <row r="10779" spans="1:15" ht="43.2" x14ac:dyDescent="0.3">
      <c r="A10779" s="1" t="s">
        <v>7722</v>
      </c>
      <c r="B10779" s="1" t="str">
        <f>"Grooms Garage Ltd"</f>
        <v>Grooms Garage Ltd</v>
      </c>
      <c r="C10779" s="1" t="s">
        <v>7723</v>
      </c>
      <c r="D10779" s="1" t="s">
        <v>2014</v>
      </c>
      <c r="F10779" s="1" t="s">
        <v>3465</v>
      </c>
      <c r="H10779" s="1" t="s">
        <v>7724</v>
      </c>
      <c r="I10779" s="1" t="s">
        <v>19</v>
      </c>
      <c r="J10779" s="1" t="s">
        <v>67</v>
      </c>
      <c r="K10779" s="1" t="s">
        <v>14</v>
      </c>
      <c r="M10779" s="2">
        <v>41730</v>
      </c>
      <c r="N10779" s="1" t="s">
        <v>8</v>
      </c>
      <c r="O10779" s="1" t="s">
        <v>68</v>
      </c>
    </row>
    <row r="10780" spans="1:15" ht="43.2" x14ac:dyDescent="0.3">
      <c r="A10780" s="1" t="s">
        <v>7725</v>
      </c>
      <c r="B10780" s="1" t="str">
        <f>"Aspidistra Resturant"</f>
        <v>Aspidistra Resturant</v>
      </c>
      <c r="C10780" s="1" t="s">
        <v>7726</v>
      </c>
      <c r="D10780" s="1" t="s">
        <v>798</v>
      </c>
      <c r="F10780" s="1" t="s">
        <v>162</v>
      </c>
      <c r="H10780" s="1" t="s">
        <v>7727</v>
      </c>
      <c r="I10780" s="1" t="s">
        <v>125</v>
      </c>
      <c r="J10780" s="1" t="s">
        <v>67</v>
      </c>
      <c r="K10780" s="1" t="s">
        <v>14</v>
      </c>
      <c r="M10780" s="2">
        <v>41730</v>
      </c>
      <c r="N10780" s="1" t="s">
        <v>8</v>
      </c>
      <c r="O10780" s="1" t="s">
        <v>68</v>
      </c>
    </row>
    <row r="10781" spans="1:15" ht="43.2" x14ac:dyDescent="0.3">
      <c r="A10781" s="1" t="s">
        <v>7728</v>
      </c>
      <c r="B10781" s="1" t="str">
        <f>"MJ and EL Morgan Ltd"</f>
        <v>MJ and EL Morgan Ltd</v>
      </c>
      <c r="C10781" s="1" t="s">
        <v>7729</v>
      </c>
      <c r="D10781" s="1" t="s">
        <v>7730</v>
      </c>
      <c r="F10781" s="1" t="s">
        <v>179</v>
      </c>
      <c r="H10781" s="1" t="s">
        <v>7731</v>
      </c>
      <c r="I10781" s="1" t="s">
        <v>19</v>
      </c>
      <c r="J10781" s="1" t="s">
        <v>67</v>
      </c>
      <c r="K10781" s="1" t="s">
        <v>14</v>
      </c>
      <c r="M10781" s="2">
        <v>41730</v>
      </c>
      <c r="N10781" s="1" t="s">
        <v>8</v>
      </c>
      <c r="O10781" s="1" t="s">
        <v>68</v>
      </c>
    </row>
    <row r="10782" spans="1:15" ht="43.2" x14ac:dyDescent="0.3">
      <c r="A10782" s="1" t="s">
        <v>7732</v>
      </c>
      <c r="B10782" s="1" t="str">
        <f>"Cyngor Dinas Bangor"</f>
        <v>Cyngor Dinas Bangor</v>
      </c>
      <c r="C10782" s="1" t="s">
        <v>7733</v>
      </c>
      <c r="F10782" s="1" t="s">
        <v>3</v>
      </c>
      <c r="H10782" s="1" t="s">
        <v>7734</v>
      </c>
      <c r="I10782" s="1" t="s">
        <v>188</v>
      </c>
      <c r="J10782" s="1" t="s">
        <v>67</v>
      </c>
      <c r="K10782" s="1" t="s">
        <v>14</v>
      </c>
      <c r="M10782" s="2">
        <v>41730</v>
      </c>
      <c r="N10782" s="1" t="s">
        <v>8</v>
      </c>
      <c r="O10782" s="1" t="s">
        <v>68</v>
      </c>
    </row>
    <row r="10783" spans="1:15" ht="43.2" x14ac:dyDescent="0.3">
      <c r="A10783" s="1" t="s">
        <v>8891</v>
      </c>
      <c r="B10783" s="1" t="str">
        <f>"J and J Farm Services"</f>
        <v>J and J Farm Services</v>
      </c>
      <c r="C10783" s="1" t="s">
        <v>8892</v>
      </c>
      <c r="D10783" s="1" t="s">
        <v>3465</v>
      </c>
      <c r="F10783" s="1" t="s">
        <v>162</v>
      </c>
      <c r="H10783" s="1" t="s">
        <v>2015</v>
      </c>
      <c r="I10783" s="1" t="s">
        <v>125</v>
      </c>
      <c r="J10783" s="1" t="s">
        <v>67</v>
      </c>
      <c r="K10783" s="1" t="s">
        <v>14</v>
      </c>
      <c r="M10783" s="2">
        <v>41730</v>
      </c>
      <c r="N10783" s="1" t="s">
        <v>8</v>
      </c>
      <c r="O10783" s="1" t="s">
        <v>68</v>
      </c>
    </row>
    <row r="10784" spans="1:15" ht="43.2" x14ac:dyDescent="0.3">
      <c r="A10784" s="1" t="s">
        <v>8893</v>
      </c>
      <c r="B10784" s="1" t="str">
        <f>"Builth Wells Bowling club"</f>
        <v>Builth Wells Bowling club</v>
      </c>
      <c r="C10784" s="1" t="s">
        <v>8894</v>
      </c>
      <c r="D10784" s="1" t="s">
        <v>162</v>
      </c>
      <c r="F10784" s="1" t="s">
        <v>162</v>
      </c>
      <c r="H10784" s="1" t="s">
        <v>8895</v>
      </c>
      <c r="I10784" s="1" t="s">
        <v>125</v>
      </c>
      <c r="J10784" s="1" t="s">
        <v>67</v>
      </c>
      <c r="K10784" s="1" t="s">
        <v>14</v>
      </c>
      <c r="M10784" s="2">
        <v>41730</v>
      </c>
      <c r="N10784" s="1" t="s">
        <v>8</v>
      </c>
      <c r="O10784" s="1" t="s">
        <v>68</v>
      </c>
    </row>
    <row r="10785" spans="1:15" ht="43.2" x14ac:dyDescent="0.3">
      <c r="A10785" s="1" t="s">
        <v>8896</v>
      </c>
      <c r="B10785" s="1" t="str">
        <f>"Spar - Lammas Street"</f>
        <v>Spar - Lammas Street</v>
      </c>
      <c r="C10785" s="1" t="s">
        <v>8897</v>
      </c>
      <c r="D10785" s="1" t="s">
        <v>56</v>
      </c>
      <c r="F10785" s="1" t="s">
        <v>666</v>
      </c>
      <c r="H10785" s="1" t="s">
        <v>8898</v>
      </c>
      <c r="I10785" s="1" t="s">
        <v>125</v>
      </c>
      <c r="J10785" s="1" t="s">
        <v>67</v>
      </c>
      <c r="K10785" s="1" t="s">
        <v>14</v>
      </c>
      <c r="M10785" s="2">
        <v>41730</v>
      </c>
      <c r="N10785" s="1" t="s">
        <v>8</v>
      </c>
      <c r="O10785" s="1" t="s">
        <v>68</v>
      </c>
    </row>
    <row r="10786" spans="1:15" ht="43.2" x14ac:dyDescent="0.3">
      <c r="A10786" s="1" t="s">
        <v>8899</v>
      </c>
      <c r="B10786" s="1" t="str">
        <f>"Spar - King Street"</f>
        <v>Spar - King Street</v>
      </c>
      <c r="C10786" s="1" t="s">
        <v>8900</v>
      </c>
      <c r="D10786" s="1" t="s">
        <v>95</v>
      </c>
      <c r="F10786" s="1" t="s">
        <v>56</v>
      </c>
      <c r="H10786" s="1" t="s">
        <v>8901</v>
      </c>
      <c r="I10786" s="1" t="s">
        <v>125</v>
      </c>
      <c r="J10786" s="1" t="s">
        <v>67</v>
      </c>
      <c r="K10786" s="1" t="s">
        <v>14</v>
      </c>
      <c r="M10786" s="2">
        <v>41730</v>
      </c>
      <c r="N10786" s="1" t="s">
        <v>8</v>
      </c>
      <c r="O10786" s="1" t="s">
        <v>68</v>
      </c>
    </row>
    <row r="10787" spans="1:15" ht="43.2" x14ac:dyDescent="0.3">
      <c r="A10787" s="1" t="s">
        <v>8902</v>
      </c>
      <c r="B10787" s="1" t="str">
        <f>"Jupiter Care Ltd"</f>
        <v>Jupiter Care Ltd</v>
      </c>
      <c r="C10787" s="1" t="s">
        <v>8903</v>
      </c>
      <c r="D10787" s="1" t="s">
        <v>8904</v>
      </c>
      <c r="F10787" s="1" t="s">
        <v>8905</v>
      </c>
      <c r="H10787" s="1" t="s">
        <v>8906</v>
      </c>
      <c r="I10787" s="1" t="s">
        <v>19</v>
      </c>
      <c r="J10787" s="1" t="s">
        <v>67</v>
      </c>
      <c r="K10787" s="1" t="s">
        <v>14</v>
      </c>
      <c r="M10787" s="2">
        <v>41730</v>
      </c>
      <c r="N10787" s="1" t="s">
        <v>8</v>
      </c>
      <c r="O10787" s="1" t="s">
        <v>68</v>
      </c>
    </row>
    <row r="10788" spans="1:15" ht="43.2" x14ac:dyDescent="0.3">
      <c r="A10788" s="1" t="s">
        <v>8907</v>
      </c>
      <c r="B10788" s="1" t="str">
        <f>"Jupiter Care Ltd"</f>
        <v>Jupiter Care Ltd</v>
      </c>
      <c r="C10788" s="1" t="s">
        <v>8903</v>
      </c>
      <c r="D10788" s="1" t="s">
        <v>8904</v>
      </c>
      <c r="F10788" s="1" t="s">
        <v>8908</v>
      </c>
      <c r="H10788" s="1" t="s">
        <v>8906</v>
      </c>
      <c r="I10788" s="1" t="s">
        <v>19</v>
      </c>
      <c r="J10788" s="1" t="s">
        <v>67</v>
      </c>
      <c r="K10788" s="1" t="s">
        <v>14</v>
      </c>
      <c r="M10788" s="2">
        <v>41730</v>
      </c>
      <c r="N10788" s="1" t="s">
        <v>8</v>
      </c>
      <c r="O10788" s="1" t="s">
        <v>68</v>
      </c>
    </row>
    <row r="10789" spans="1:15" ht="43.2" x14ac:dyDescent="0.3">
      <c r="A10789" s="1" t="s">
        <v>20976</v>
      </c>
      <c r="B10789" s="1" t="str">
        <f>"Roger Robins"</f>
        <v>Roger Robins</v>
      </c>
      <c r="C10789" s="1" t="s">
        <v>20977</v>
      </c>
      <c r="D10789" s="1" t="s">
        <v>2580</v>
      </c>
      <c r="F10789" s="1" t="s">
        <v>20978</v>
      </c>
      <c r="H10789" s="1" t="s">
        <v>20979</v>
      </c>
      <c r="I10789" s="1" t="s">
        <v>5</v>
      </c>
      <c r="J10789" s="1" t="s">
        <v>67</v>
      </c>
      <c r="K10789" s="1" t="s">
        <v>14</v>
      </c>
      <c r="M10789" s="2">
        <v>41730</v>
      </c>
      <c r="N10789" s="1" t="s">
        <v>8</v>
      </c>
      <c r="O10789" s="1" t="s">
        <v>68</v>
      </c>
    </row>
    <row r="10790" spans="1:15" ht="43.2" x14ac:dyDescent="0.3">
      <c r="A10790" s="1" t="s">
        <v>20980</v>
      </c>
      <c r="B10790" s="1" t="str">
        <f>"Roger Robins"</f>
        <v>Roger Robins</v>
      </c>
      <c r="C10790" s="1" t="s">
        <v>20977</v>
      </c>
      <c r="D10790" s="1" t="s">
        <v>2580</v>
      </c>
      <c r="F10790" s="1" t="s">
        <v>20978</v>
      </c>
      <c r="H10790" s="1" t="s">
        <v>20979</v>
      </c>
      <c r="I10790" s="1" t="s">
        <v>5</v>
      </c>
      <c r="J10790" s="1" t="s">
        <v>67</v>
      </c>
      <c r="K10790" s="1" t="s">
        <v>14</v>
      </c>
      <c r="M10790" s="2">
        <v>41730</v>
      </c>
      <c r="N10790" s="1" t="s">
        <v>8</v>
      </c>
      <c r="O10790" s="1" t="s">
        <v>68</v>
      </c>
    </row>
    <row r="10791" spans="1:15" ht="43.2" x14ac:dyDescent="0.3">
      <c r="A10791" s="1" t="s">
        <v>20981</v>
      </c>
      <c r="B10791" s="1" t="str">
        <f>"Roger Robins"</f>
        <v>Roger Robins</v>
      </c>
      <c r="C10791" s="1" t="s">
        <v>20977</v>
      </c>
      <c r="D10791" s="1" t="s">
        <v>2580</v>
      </c>
      <c r="F10791" s="1" t="s">
        <v>20978</v>
      </c>
      <c r="H10791" s="1" t="s">
        <v>20979</v>
      </c>
      <c r="I10791" s="1" t="s">
        <v>5</v>
      </c>
      <c r="J10791" s="1" t="s">
        <v>67</v>
      </c>
      <c r="K10791" s="1" t="s">
        <v>14</v>
      </c>
      <c r="M10791" s="2">
        <v>41730</v>
      </c>
      <c r="N10791" s="1" t="s">
        <v>8</v>
      </c>
      <c r="O10791" s="1" t="s">
        <v>68</v>
      </c>
    </row>
    <row r="10792" spans="1:15" ht="43.2" x14ac:dyDescent="0.3">
      <c r="A10792" s="1" t="s">
        <v>20982</v>
      </c>
      <c r="B10792" s="1" t="str">
        <f>"Roger Robins"</f>
        <v>Roger Robins</v>
      </c>
      <c r="C10792" s="1" t="s">
        <v>20977</v>
      </c>
      <c r="D10792" s="1" t="s">
        <v>2580</v>
      </c>
      <c r="F10792" s="1" t="s">
        <v>20978</v>
      </c>
      <c r="H10792" s="1" t="s">
        <v>20979</v>
      </c>
      <c r="I10792" s="1" t="s">
        <v>5</v>
      </c>
      <c r="J10792" s="1" t="s">
        <v>67</v>
      </c>
      <c r="K10792" s="1" t="s">
        <v>14</v>
      </c>
      <c r="M10792" s="2">
        <v>41730</v>
      </c>
      <c r="N10792" s="1" t="s">
        <v>8</v>
      </c>
      <c r="O10792" s="1" t="s">
        <v>68</v>
      </c>
    </row>
    <row r="10793" spans="1:15" ht="43.2" x14ac:dyDescent="0.3">
      <c r="A10793" s="1" t="s">
        <v>20983</v>
      </c>
      <c r="B10793" s="1" t="str">
        <f>"Roger Robins"</f>
        <v>Roger Robins</v>
      </c>
      <c r="C10793" s="1" t="s">
        <v>20977</v>
      </c>
      <c r="D10793" s="1" t="s">
        <v>2580</v>
      </c>
      <c r="F10793" s="1" t="s">
        <v>20978</v>
      </c>
      <c r="H10793" s="1" t="s">
        <v>20979</v>
      </c>
      <c r="I10793" s="1" t="s">
        <v>5</v>
      </c>
      <c r="J10793" s="1" t="s">
        <v>67</v>
      </c>
      <c r="K10793" s="1" t="s">
        <v>14</v>
      </c>
      <c r="M10793" s="2">
        <v>41730</v>
      </c>
      <c r="N10793" s="1" t="s">
        <v>8</v>
      </c>
      <c r="O10793" s="1" t="s">
        <v>68</v>
      </c>
    </row>
    <row r="10794" spans="1:15" ht="43.2" x14ac:dyDescent="0.3">
      <c r="A10794" s="1" t="s">
        <v>21718</v>
      </c>
      <c r="B10794" s="1" t="str">
        <f>"Ann Hobson"</f>
        <v>Ann Hobson</v>
      </c>
      <c r="C10794" s="1" t="s">
        <v>21719</v>
      </c>
      <c r="F10794" s="1" t="s">
        <v>8959</v>
      </c>
      <c r="H10794" s="1" t="s">
        <v>21720</v>
      </c>
      <c r="I10794" s="1" t="s">
        <v>5</v>
      </c>
      <c r="J10794" s="1" t="s">
        <v>67</v>
      </c>
      <c r="K10794" s="1" t="s">
        <v>14</v>
      </c>
      <c r="M10794" s="2">
        <v>41730</v>
      </c>
      <c r="N10794" s="1" t="s">
        <v>8</v>
      </c>
      <c r="O10794" s="1" t="s">
        <v>68</v>
      </c>
    </row>
    <row r="10795" spans="1:15" ht="43.2" x14ac:dyDescent="0.3">
      <c r="A10795" s="1" t="s">
        <v>21721</v>
      </c>
      <c r="B10795" s="1" t="str">
        <f>"Christopher Cairns"</f>
        <v>Christopher Cairns</v>
      </c>
      <c r="C10795" s="1" t="s">
        <v>21722</v>
      </c>
      <c r="D10795" s="1" t="s">
        <v>21723</v>
      </c>
      <c r="F10795" s="1" t="s">
        <v>3595</v>
      </c>
      <c r="H10795" s="1" t="s">
        <v>8808</v>
      </c>
      <c r="I10795" s="1" t="s">
        <v>5</v>
      </c>
      <c r="J10795" s="1" t="s">
        <v>67</v>
      </c>
      <c r="K10795" s="1" t="s">
        <v>14</v>
      </c>
      <c r="M10795" s="2">
        <v>41730</v>
      </c>
      <c r="N10795" s="1" t="s">
        <v>8</v>
      </c>
      <c r="O10795" s="1" t="s">
        <v>68</v>
      </c>
    </row>
    <row r="10796" spans="1:15" ht="43.2" x14ac:dyDescent="0.3">
      <c r="A10796" s="1" t="s">
        <v>21724</v>
      </c>
      <c r="B10796" s="1" t="str">
        <f>"Russell Evans"</f>
        <v>Russell Evans</v>
      </c>
      <c r="C10796" s="1" t="s">
        <v>21725</v>
      </c>
      <c r="F10796" s="1" t="s">
        <v>1063</v>
      </c>
      <c r="H10796" s="1" t="s">
        <v>21726</v>
      </c>
      <c r="I10796" s="1" t="s">
        <v>5</v>
      </c>
      <c r="J10796" s="1" t="s">
        <v>67</v>
      </c>
      <c r="K10796" s="1" t="s">
        <v>14</v>
      </c>
      <c r="M10796" s="2">
        <v>41730</v>
      </c>
      <c r="N10796" s="1" t="s">
        <v>8</v>
      </c>
      <c r="O10796" s="1" t="s">
        <v>68</v>
      </c>
    </row>
    <row r="10797" spans="1:15" ht="43.2" x14ac:dyDescent="0.3">
      <c r="A10797" s="1" t="s">
        <v>21727</v>
      </c>
      <c r="B10797" s="1" t="str">
        <f>"Gian-Singh Ceema"</f>
        <v>Gian-Singh Ceema</v>
      </c>
      <c r="C10797" s="1" t="s">
        <v>21728</v>
      </c>
      <c r="F10797" s="1" t="s">
        <v>825</v>
      </c>
      <c r="H10797" s="1" t="s">
        <v>21729</v>
      </c>
      <c r="I10797" s="1" t="s">
        <v>5</v>
      </c>
      <c r="J10797" s="1" t="s">
        <v>67</v>
      </c>
      <c r="K10797" s="1" t="s">
        <v>14</v>
      </c>
      <c r="M10797" s="2">
        <v>41730</v>
      </c>
      <c r="N10797" s="1" t="s">
        <v>8</v>
      </c>
      <c r="O10797" s="1" t="s">
        <v>68</v>
      </c>
    </row>
    <row r="10798" spans="1:15" ht="43.2" x14ac:dyDescent="0.3">
      <c r="A10798" s="1" t="s">
        <v>21730</v>
      </c>
      <c r="B10798" s="1" t="str">
        <f>"Derrick Green"</f>
        <v>Derrick Green</v>
      </c>
      <c r="C10798" s="1" t="s">
        <v>21731</v>
      </c>
      <c r="F10798" s="1" t="s">
        <v>1986</v>
      </c>
      <c r="H10798" s="1" t="s">
        <v>21732</v>
      </c>
      <c r="I10798" s="1" t="s">
        <v>5</v>
      </c>
      <c r="J10798" s="1" t="s">
        <v>67</v>
      </c>
      <c r="K10798" s="1" t="s">
        <v>14</v>
      </c>
      <c r="M10798" s="2">
        <v>41730</v>
      </c>
      <c r="N10798" s="1" t="s">
        <v>8</v>
      </c>
      <c r="O10798" s="1" t="s">
        <v>68</v>
      </c>
    </row>
    <row r="10799" spans="1:15" ht="43.2" x14ac:dyDescent="0.3">
      <c r="A10799" s="1" t="s">
        <v>21733</v>
      </c>
      <c r="B10799" s="1" t="str">
        <f>"Dorothy Scott"</f>
        <v>Dorothy Scott</v>
      </c>
      <c r="C10799" s="1" t="s">
        <v>21734</v>
      </c>
      <c r="D10799" s="1" t="s">
        <v>5463</v>
      </c>
      <c r="F10799" s="1" t="s">
        <v>162</v>
      </c>
      <c r="H10799" s="1" t="s">
        <v>21735</v>
      </c>
      <c r="I10799" s="1" t="s">
        <v>5</v>
      </c>
      <c r="J10799" s="1" t="s">
        <v>67</v>
      </c>
      <c r="K10799" s="1" t="s">
        <v>14</v>
      </c>
      <c r="M10799" s="2">
        <v>41730</v>
      </c>
      <c r="N10799" s="1" t="s">
        <v>8</v>
      </c>
      <c r="O10799" s="1" t="s">
        <v>68</v>
      </c>
    </row>
    <row r="10800" spans="1:15" ht="43.2" x14ac:dyDescent="0.3">
      <c r="A10800" s="1" t="s">
        <v>23297</v>
      </c>
      <c r="B10800" s="1" t="str">
        <f>"Amanda Davies"</f>
        <v>Amanda Davies</v>
      </c>
      <c r="C10800" s="1" t="s">
        <v>23298</v>
      </c>
      <c r="D10800" s="1" t="s">
        <v>23299</v>
      </c>
      <c r="F10800" s="1" t="s">
        <v>6400</v>
      </c>
      <c r="H10800" s="1" t="s">
        <v>23300</v>
      </c>
      <c r="I10800" s="1" t="s">
        <v>5</v>
      </c>
      <c r="J10800" s="1" t="s">
        <v>67</v>
      </c>
      <c r="K10800" s="1" t="s">
        <v>14</v>
      </c>
      <c r="M10800" s="2">
        <v>41730</v>
      </c>
      <c r="N10800" s="1" t="s">
        <v>8</v>
      </c>
      <c r="O10800" s="1" t="s">
        <v>68</v>
      </c>
    </row>
    <row r="10801" spans="1:15" ht="43.2" x14ac:dyDescent="0.3">
      <c r="A10801" s="1" t="s">
        <v>23301</v>
      </c>
      <c r="B10801" s="1" t="str">
        <f>"Amanda Davies"</f>
        <v>Amanda Davies</v>
      </c>
      <c r="C10801" s="1" t="s">
        <v>23298</v>
      </c>
      <c r="D10801" s="1" t="s">
        <v>23299</v>
      </c>
      <c r="F10801" s="1" t="s">
        <v>6400</v>
      </c>
      <c r="H10801" s="1" t="s">
        <v>23300</v>
      </c>
      <c r="I10801" s="1" t="s">
        <v>5</v>
      </c>
      <c r="J10801" s="1" t="s">
        <v>67</v>
      </c>
      <c r="K10801" s="1" t="s">
        <v>14</v>
      </c>
      <c r="M10801" s="2">
        <v>41730</v>
      </c>
      <c r="N10801" s="1" t="s">
        <v>8</v>
      </c>
      <c r="O10801" s="1" t="s">
        <v>68</v>
      </c>
    </row>
    <row r="10802" spans="1:15" ht="43.2" x14ac:dyDescent="0.3">
      <c r="A10802" s="1" t="s">
        <v>23302</v>
      </c>
      <c r="B10802" s="1" t="str">
        <f>"Amanda Davies"</f>
        <v>Amanda Davies</v>
      </c>
      <c r="C10802" s="1" t="s">
        <v>23298</v>
      </c>
      <c r="D10802" s="1" t="s">
        <v>23299</v>
      </c>
      <c r="F10802" s="1" t="s">
        <v>6400</v>
      </c>
      <c r="H10802" s="1" t="s">
        <v>23300</v>
      </c>
      <c r="I10802" s="1" t="s">
        <v>5</v>
      </c>
      <c r="J10802" s="1" t="s">
        <v>67</v>
      </c>
      <c r="K10802" s="1" t="s">
        <v>14</v>
      </c>
      <c r="M10802" s="2">
        <v>41730</v>
      </c>
      <c r="N10802" s="1" t="s">
        <v>8</v>
      </c>
      <c r="O10802" s="1" t="s">
        <v>68</v>
      </c>
    </row>
    <row r="10803" spans="1:15" ht="43.2" x14ac:dyDescent="0.3">
      <c r="A10803" s="1" t="s">
        <v>23303</v>
      </c>
      <c r="B10803" s="1" t="str">
        <f>"Amanda Davies"</f>
        <v>Amanda Davies</v>
      </c>
      <c r="C10803" s="1" t="s">
        <v>23298</v>
      </c>
      <c r="D10803" s="1" t="s">
        <v>23299</v>
      </c>
      <c r="F10803" s="1" t="s">
        <v>6400</v>
      </c>
      <c r="H10803" s="1" t="s">
        <v>23300</v>
      </c>
      <c r="I10803" s="1" t="s">
        <v>5</v>
      </c>
      <c r="J10803" s="1" t="s">
        <v>67</v>
      </c>
      <c r="K10803" s="1" t="s">
        <v>14</v>
      </c>
      <c r="M10803" s="2">
        <v>41730</v>
      </c>
      <c r="N10803" s="1" t="s">
        <v>8</v>
      </c>
      <c r="O10803" s="1" t="s">
        <v>68</v>
      </c>
    </row>
    <row r="10804" spans="1:15" ht="43.2" x14ac:dyDescent="0.3">
      <c r="A10804" s="1" t="s">
        <v>23304</v>
      </c>
      <c r="B10804" s="1" t="str">
        <f>"Amanda Davies"</f>
        <v>Amanda Davies</v>
      </c>
      <c r="C10804" s="1" t="s">
        <v>23298</v>
      </c>
      <c r="D10804" s="1" t="s">
        <v>23299</v>
      </c>
      <c r="F10804" s="1" t="s">
        <v>6400</v>
      </c>
      <c r="H10804" s="1" t="s">
        <v>23300</v>
      </c>
      <c r="I10804" s="1" t="s">
        <v>5</v>
      </c>
      <c r="J10804" s="1" t="s">
        <v>67</v>
      </c>
      <c r="K10804" s="1" t="s">
        <v>14</v>
      </c>
      <c r="M10804" s="2">
        <v>41730</v>
      </c>
      <c r="N10804" s="1" t="s">
        <v>8</v>
      </c>
      <c r="O10804" s="1" t="s">
        <v>68</v>
      </c>
    </row>
    <row r="10805" spans="1:15" ht="43.2" x14ac:dyDescent="0.3">
      <c r="A10805" s="1" t="s">
        <v>23305</v>
      </c>
      <c r="B10805" s="1" t="str">
        <f>"Samuel Perfect"</f>
        <v>Samuel Perfect</v>
      </c>
      <c r="C10805" s="1" t="s">
        <v>23306</v>
      </c>
      <c r="D10805" s="1" t="s">
        <v>23307</v>
      </c>
      <c r="F10805" s="1" t="s">
        <v>23308</v>
      </c>
      <c r="H10805" s="1" t="s">
        <v>23309</v>
      </c>
      <c r="I10805" s="1" t="s">
        <v>5</v>
      </c>
      <c r="J10805" s="1" t="s">
        <v>67</v>
      </c>
      <c r="K10805" s="1" t="s">
        <v>14</v>
      </c>
      <c r="M10805" s="2">
        <v>41730</v>
      </c>
      <c r="N10805" s="1" t="s">
        <v>8</v>
      </c>
      <c r="O10805" s="1" t="s">
        <v>68</v>
      </c>
    </row>
    <row r="10806" spans="1:15" ht="43.2" x14ac:dyDescent="0.3">
      <c r="A10806" s="1" t="s">
        <v>4359</v>
      </c>
      <c r="B10806" s="1" t="str">
        <f>"D &amp; S Bamford Makers Ltd"</f>
        <v>D &amp; S Bamford Makers Ltd</v>
      </c>
      <c r="C10806" s="1" t="s">
        <v>4360</v>
      </c>
      <c r="F10806" s="1" t="s">
        <v>2859</v>
      </c>
      <c r="H10806" s="1" t="s">
        <v>4361</v>
      </c>
      <c r="I10806" s="1" t="s">
        <v>19</v>
      </c>
      <c r="J10806" s="1" t="s">
        <v>67</v>
      </c>
      <c r="K10806" s="1" t="s">
        <v>14</v>
      </c>
      <c r="M10806" s="2">
        <v>41729</v>
      </c>
      <c r="N10806" s="1" t="s">
        <v>8</v>
      </c>
      <c r="O10806" s="1" t="s">
        <v>68</v>
      </c>
    </row>
    <row r="10807" spans="1:15" ht="43.2" x14ac:dyDescent="0.3">
      <c r="A10807" s="1" t="s">
        <v>4362</v>
      </c>
      <c r="B10807" s="1" t="str">
        <f>"D &amp; S Bamford Makers Ltd"</f>
        <v>D &amp; S Bamford Makers Ltd</v>
      </c>
      <c r="C10807" s="1" t="s">
        <v>4360</v>
      </c>
      <c r="F10807" s="1" t="s">
        <v>2859</v>
      </c>
      <c r="H10807" s="1" t="s">
        <v>4361</v>
      </c>
      <c r="I10807" s="1" t="s">
        <v>19</v>
      </c>
      <c r="J10807" s="1" t="s">
        <v>67</v>
      </c>
      <c r="K10807" s="1" t="s">
        <v>14</v>
      </c>
      <c r="M10807" s="2">
        <v>41729</v>
      </c>
      <c r="N10807" s="1" t="s">
        <v>8</v>
      </c>
      <c r="O10807" s="1" t="s">
        <v>68</v>
      </c>
    </row>
    <row r="10808" spans="1:15" ht="43.2" x14ac:dyDescent="0.3">
      <c r="A10808" s="1" t="s">
        <v>4363</v>
      </c>
      <c r="B10808" s="1" t="str">
        <f>"D &amp; S Bamford Makers Ltd"</f>
        <v>D &amp; S Bamford Makers Ltd</v>
      </c>
      <c r="C10808" s="1" t="s">
        <v>4360</v>
      </c>
      <c r="F10808" s="1" t="s">
        <v>2859</v>
      </c>
      <c r="H10808" s="1" t="s">
        <v>4361</v>
      </c>
      <c r="I10808" s="1" t="s">
        <v>19</v>
      </c>
      <c r="J10808" s="1" t="s">
        <v>67</v>
      </c>
      <c r="K10808" s="1" t="s">
        <v>14</v>
      </c>
      <c r="M10808" s="2">
        <v>41729</v>
      </c>
      <c r="N10808" s="1" t="s">
        <v>8</v>
      </c>
      <c r="O10808" s="1" t="s">
        <v>68</v>
      </c>
    </row>
    <row r="10809" spans="1:15" ht="43.2" x14ac:dyDescent="0.3">
      <c r="A10809" s="1" t="s">
        <v>4364</v>
      </c>
      <c r="B10809" s="1" t="str">
        <f>"D &amp; S Bamford Makers Ltd"</f>
        <v>D &amp; S Bamford Makers Ltd</v>
      </c>
      <c r="C10809" s="1" t="s">
        <v>4360</v>
      </c>
      <c r="F10809" s="1" t="s">
        <v>2859</v>
      </c>
      <c r="H10809" s="1" t="s">
        <v>4361</v>
      </c>
      <c r="I10809" s="1" t="s">
        <v>19</v>
      </c>
      <c r="J10809" s="1" t="s">
        <v>67</v>
      </c>
      <c r="K10809" s="1" t="s">
        <v>14</v>
      </c>
      <c r="M10809" s="2">
        <v>41729</v>
      </c>
      <c r="N10809" s="1" t="s">
        <v>8</v>
      </c>
      <c r="O10809" s="1" t="s">
        <v>68</v>
      </c>
    </row>
    <row r="10810" spans="1:15" ht="43.2" x14ac:dyDescent="0.3">
      <c r="A10810" s="1" t="s">
        <v>5424</v>
      </c>
      <c r="B10810" s="1" t="str">
        <f>"Hamman Agricultural and Pharmaceutical Services Ltd"</f>
        <v>Hamman Agricultural and Pharmaceutical Services Ltd</v>
      </c>
      <c r="C10810" s="1" t="s">
        <v>5425</v>
      </c>
      <c r="D10810" s="1" t="s">
        <v>2859</v>
      </c>
      <c r="F10810" s="1" t="s">
        <v>162</v>
      </c>
      <c r="H10810" s="1" t="s">
        <v>3215</v>
      </c>
      <c r="I10810" s="1" t="s">
        <v>19</v>
      </c>
      <c r="J10810" s="1" t="s">
        <v>67</v>
      </c>
      <c r="K10810" s="1" t="s">
        <v>14</v>
      </c>
      <c r="M10810" s="2">
        <v>41729</v>
      </c>
      <c r="N10810" s="1" t="s">
        <v>8</v>
      </c>
      <c r="O10810" s="1" t="s">
        <v>68</v>
      </c>
    </row>
    <row r="10811" spans="1:15" ht="43.2" x14ac:dyDescent="0.3">
      <c r="A10811" s="1" t="s">
        <v>5426</v>
      </c>
      <c r="B10811" s="1" t="str">
        <f>"Harri's Cafe at the Dance Centre"</f>
        <v>Harri's Cafe at the Dance Centre</v>
      </c>
      <c r="C10811" s="1" t="s">
        <v>5427</v>
      </c>
      <c r="F10811" s="1" t="s">
        <v>5428</v>
      </c>
      <c r="H10811" s="1" t="s">
        <v>5429</v>
      </c>
      <c r="I10811" s="1" t="s">
        <v>125</v>
      </c>
      <c r="J10811" s="1" t="s">
        <v>67</v>
      </c>
      <c r="K10811" s="1" t="s">
        <v>14</v>
      </c>
      <c r="M10811" s="2">
        <v>41729</v>
      </c>
      <c r="N10811" s="1" t="s">
        <v>8</v>
      </c>
      <c r="O10811" s="1" t="s">
        <v>68</v>
      </c>
    </row>
    <row r="10812" spans="1:15" ht="43.2" x14ac:dyDescent="0.3">
      <c r="A10812" s="1" t="s">
        <v>5430</v>
      </c>
      <c r="B10812" s="1" t="str">
        <f>"Royal Airforce Association"</f>
        <v>Royal Airforce Association</v>
      </c>
      <c r="C10812" s="1" t="s">
        <v>3214</v>
      </c>
      <c r="D10812" s="1" t="s">
        <v>1986</v>
      </c>
      <c r="F10812" s="1" t="s">
        <v>162</v>
      </c>
      <c r="H10812" s="1" t="s">
        <v>5431</v>
      </c>
      <c r="I10812" s="1" t="s">
        <v>125</v>
      </c>
      <c r="J10812" s="1" t="s">
        <v>67</v>
      </c>
      <c r="K10812" s="1" t="s">
        <v>14</v>
      </c>
      <c r="M10812" s="2">
        <v>41729</v>
      </c>
      <c r="N10812" s="1" t="s">
        <v>8</v>
      </c>
      <c r="O10812" s="1" t="s">
        <v>68</v>
      </c>
    </row>
    <row r="10813" spans="1:15" ht="43.2" x14ac:dyDescent="0.3">
      <c r="A10813" s="1" t="s">
        <v>5432</v>
      </c>
      <c r="B10813" s="1" t="str">
        <f>"OTS Ltd"</f>
        <v>OTS Ltd</v>
      </c>
      <c r="C10813" s="1" t="s">
        <v>5433</v>
      </c>
      <c r="F10813" s="1" t="s">
        <v>72</v>
      </c>
      <c r="H10813" s="1" t="s">
        <v>5434</v>
      </c>
      <c r="I10813" s="1" t="s">
        <v>19</v>
      </c>
      <c r="J10813" s="1" t="s">
        <v>67</v>
      </c>
      <c r="K10813" s="1" t="s">
        <v>14</v>
      </c>
      <c r="M10813" s="2">
        <v>41729</v>
      </c>
      <c r="N10813" s="1" t="s">
        <v>8</v>
      </c>
      <c r="O10813" s="1" t="s">
        <v>68</v>
      </c>
    </row>
    <row r="10814" spans="1:15" ht="43.2" x14ac:dyDescent="0.3">
      <c r="A10814" s="1" t="s">
        <v>5435</v>
      </c>
      <c r="B10814" s="1" t="str">
        <f>"FW Golesworthy and Sons"</f>
        <v>FW Golesworthy and Sons</v>
      </c>
      <c r="C10814" s="1" t="s">
        <v>5436</v>
      </c>
      <c r="D10814" s="1" t="s">
        <v>3336</v>
      </c>
      <c r="F10814" s="1" t="s">
        <v>3337</v>
      </c>
      <c r="H10814" s="1" t="s">
        <v>5437</v>
      </c>
      <c r="I10814" s="1" t="s">
        <v>125</v>
      </c>
      <c r="J10814" s="1" t="s">
        <v>67</v>
      </c>
      <c r="K10814" s="1" t="s">
        <v>14</v>
      </c>
      <c r="M10814" s="2">
        <v>41729</v>
      </c>
      <c r="N10814" s="1" t="s">
        <v>8</v>
      </c>
      <c r="O10814" s="1" t="s">
        <v>68</v>
      </c>
    </row>
    <row r="10815" spans="1:15" ht="43.2" x14ac:dyDescent="0.3">
      <c r="A10815" s="1" t="s">
        <v>5438</v>
      </c>
      <c r="B10815" s="1" t="str">
        <f>"Presteigne and Norton Community Support"</f>
        <v>Presteigne and Norton Community Support</v>
      </c>
      <c r="C10815" s="1" t="s">
        <v>5439</v>
      </c>
      <c r="F10815" s="1" t="s">
        <v>2859</v>
      </c>
      <c r="H10815" s="1" t="s">
        <v>5440</v>
      </c>
      <c r="I10815" s="1" t="s">
        <v>125</v>
      </c>
      <c r="J10815" s="1" t="s">
        <v>67</v>
      </c>
      <c r="K10815" s="1" t="s">
        <v>14</v>
      </c>
      <c r="M10815" s="2">
        <v>41729</v>
      </c>
      <c r="N10815" s="1" t="s">
        <v>8</v>
      </c>
      <c r="O10815" s="1" t="s">
        <v>68</v>
      </c>
    </row>
    <row r="10816" spans="1:15" ht="43.2" x14ac:dyDescent="0.3">
      <c r="A10816" s="1" t="s">
        <v>5441</v>
      </c>
      <c r="B10816" s="1" t="str">
        <f>"D &amp; S Bamford Makers Ltd"</f>
        <v>D &amp; S Bamford Makers Ltd</v>
      </c>
      <c r="C10816" s="1" t="s">
        <v>4360</v>
      </c>
      <c r="F10816" s="1" t="s">
        <v>2859</v>
      </c>
      <c r="H10816" s="1" t="s">
        <v>4361</v>
      </c>
      <c r="I10816" s="1" t="s">
        <v>19</v>
      </c>
      <c r="J10816" s="1" t="s">
        <v>67</v>
      </c>
      <c r="K10816" s="1" t="s">
        <v>14</v>
      </c>
      <c r="M10816" s="2">
        <v>41729</v>
      </c>
      <c r="N10816" s="1" t="s">
        <v>8</v>
      </c>
      <c r="O10816" s="1" t="s">
        <v>68</v>
      </c>
    </row>
    <row r="10817" spans="1:15" ht="43.2" x14ac:dyDescent="0.3">
      <c r="A10817" s="1" t="s">
        <v>5442</v>
      </c>
      <c r="B10817" s="1" t="str">
        <f>"Bedlinog News Agents Ltd"</f>
        <v>Bedlinog News Agents Ltd</v>
      </c>
      <c r="C10817" s="1" t="s">
        <v>5443</v>
      </c>
      <c r="D10817" s="1" t="s">
        <v>5444</v>
      </c>
      <c r="F10817" s="1" t="s">
        <v>1486</v>
      </c>
      <c r="H10817" s="1" t="s">
        <v>5445</v>
      </c>
      <c r="I10817" s="1" t="s">
        <v>19</v>
      </c>
      <c r="J10817" s="1" t="s">
        <v>67</v>
      </c>
      <c r="K10817" s="1" t="s">
        <v>14</v>
      </c>
      <c r="M10817" s="2">
        <v>41729</v>
      </c>
      <c r="N10817" s="1" t="s">
        <v>8</v>
      </c>
      <c r="O10817" s="1" t="s">
        <v>68</v>
      </c>
    </row>
    <row r="10818" spans="1:15" ht="43.2" x14ac:dyDescent="0.3">
      <c r="A10818" s="1" t="s">
        <v>5446</v>
      </c>
      <c r="B10818" s="1" t="str">
        <f>"Bulwark House Ltd"</f>
        <v>Bulwark House Ltd</v>
      </c>
      <c r="C10818" s="1" t="s">
        <v>5447</v>
      </c>
      <c r="D10818" s="1" t="s">
        <v>1206</v>
      </c>
      <c r="F10818" s="1" t="s">
        <v>162</v>
      </c>
      <c r="H10818" s="1" t="s">
        <v>5448</v>
      </c>
      <c r="I10818" s="1" t="s">
        <v>19</v>
      </c>
      <c r="J10818" s="1" t="s">
        <v>67</v>
      </c>
      <c r="K10818" s="1" t="s">
        <v>14</v>
      </c>
      <c r="L10818" s="1">
        <v>3924524</v>
      </c>
      <c r="M10818" s="2">
        <v>41729</v>
      </c>
      <c r="N10818" s="1" t="s">
        <v>8</v>
      </c>
      <c r="O10818" s="1" t="s">
        <v>68</v>
      </c>
    </row>
    <row r="10819" spans="1:15" ht="43.2" x14ac:dyDescent="0.3">
      <c r="A10819" s="1" t="s">
        <v>5449</v>
      </c>
      <c r="B10819" s="1" t="str">
        <f>"The Cabin"</f>
        <v>The Cabin</v>
      </c>
      <c r="C10819" s="1" t="s">
        <v>5450</v>
      </c>
      <c r="F10819" s="1" t="s">
        <v>162</v>
      </c>
      <c r="H10819" s="1" t="s">
        <v>5451</v>
      </c>
      <c r="I10819" s="1" t="s">
        <v>125</v>
      </c>
      <c r="J10819" s="1" t="s">
        <v>67</v>
      </c>
      <c r="K10819" s="1" t="s">
        <v>14</v>
      </c>
      <c r="M10819" s="2">
        <v>41729</v>
      </c>
      <c r="N10819" s="1" t="s">
        <v>8</v>
      </c>
      <c r="O10819" s="1" t="s">
        <v>68</v>
      </c>
    </row>
    <row r="10820" spans="1:15" ht="43.2" x14ac:dyDescent="0.3">
      <c r="A10820" s="1" t="s">
        <v>5452</v>
      </c>
      <c r="B10820" s="1" t="str">
        <f>"Pestforce Pembrokeshire Ltd"</f>
        <v>Pestforce Pembrokeshire Ltd</v>
      </c>
      <c r="C10820" s="1" t="s">
        <v>5453</v>
      </c>
      <c r="D10820" s="1" t="s">
        <v>5454</v>
      </c>
      <c r="F10820" s="1" t="s">
        <v>1776</v>
      </c>
      <c r="H10820" s="1" t="s">
        <v>5455</v>
      </c>
      <c r="I10820" s="1" t="s">
        <v>19</v>
      </c>
      <c r="J10820" s="1" t="s">
        <v>67</v>
      </c>
      <c r="K10820" s="1" t="s">
        <v>14</v>
      </c>
      <c r="M10820" s="2">
        <v>41729</v>
      </c>
      <c r="N10820" s="1" t="s">
        <v>8</v>
      </c>
      <c r="O10820" s="1" t="s">
        <v>68</v>
      </c>
    </row>
    <row r="10821" spans="1:15" ht="43.2" x14ac:dyDescent="0.3">
      <c r="A10821" s="1" t="s">
        <v>6664</v>
      </c>
      <c r="B10821" s="1" t="str">
        <f>"Bickel Electrical Contractors"</f>
        <v>Bickel Electrical Contractors</v>
      </c>
      <c r="C10821" s="1" t="s">
        <v>6665</v>
      </c>
      <c r="D10821" s="1" t="s">
        <v>3154</v>
      </c>
      <c r="F10821" s="1" t="s">
        <v>123</v>
      </c>
      <c r="H10821" s="1" t="s">
        <v>6666</v>
      </c>
      <c r="I10821" s="1" t="s">
        <v>125</v>
      </c>
      <c r="J10821" s="1" t="s">
        <v>67</v>
      </c>
      <c r="K10821" s="1" t="s">
        <v>14</v>
      </c>
      <c r="M10821" s="2">
        <v>41729</v>
      </c>
      <c r="N10821" s="1" t="s">
        <v>8</v>
      </c>
      <c r="O10821" s="1" t="s">
        <v>68</v>
      </c>
    </row>
    <row r="10822" spans="1:15" ht="43.2" x14ac:dyDescent="0.3">
      <c r="A10822" s="1" t="s">
        <v>19360</v>
      </c>
      <c r="B10822" s="1" t="str">
        <f>"Duncan Modinos"</f>
        <v>Duncan Modinos</v>
      </c>
      <c r="C10822" s="1" t="s">
        <v>19361</v>
      </c>
      <c r="F10822" s="1" t="s">
        <v>359</v>
      </c>
      <c r="H10822" s="1" t="s">
        <v>19362</v>
      </c>
      <c r="I10822" s="1" t="s">
        <v>5</v>
      </c>
      <c r="J10822" s="1" t="s">
        <v>67</v>
      </c>
      <c r="K10822" s="1" t="s">
        <v>14</v>
      </c>
      <c r="M10822" s="2">
        <v>41729</v>
      </c>
      <c r="N10822" s="1" t="s">
        <v>8</v>
      </c>
      <c r="O10822" s="1" t="s">
        <v>68</v>
      </c>
    </row>
    <row r="10823" spans="1:15" ht="43.2" x14ac:dyDescent="0.3">
      <c r="A10823" s="1" t="s">
        <v>20171</v>
      </c>
      <c r="B10823" s="1" t="str">
        <f>"Duncan Modinos"</f>
        <v>Duncan Modinos</v>
      </c>
      <c r="C10823" s="1" t="s">
        <v>19361</v>
      </c>
      <c r="F10823" s="1" t="s">
        <v>359</v>
      </c>
      <c r="H10823" s="1" t="s">
        <v>19362</v>
      </c>
      <c r="I10823" s="1" t="s">
        <v>5</v>
      </c>
      <c r="J10823" s="1" t="s">
        <v>67</v>
      </c>
      <c r="K10823" s="1" t="s">
        <v>14</v>
      </c>
      <c r="M10823" s="2">
        <v>41729</v>
      </c>
      <c r="N10823" s="1" t="s">
        <v>8</v>
      </c>
      <c r="O10823" s="1" t="s">
        <v>68</v>
      </c>
    </row>
    <row r="10824" spans="1:15" ht="43.2" x14ac:dyDescent="0.3">
      <c r="A10824" s="1" t="s">
        <v>20172</v>
      </c>
      <c r="B10824" s="1" t="str">
        <f>"Adrian Nichols"</f>
        <v>Adrian Nichols</v>
      </c>
      <c r="C10824" s="1" t="s">
        <v>20173</v>
      </c>
      <c r="D10824" s="1" t="s">
        <v>55</v>
      </c>
      <c r="F10824" s="1" t="s">
        <v>64</v>
      </c>
      <c r="H10824" s="1" t="s">
        <v>20174</v>
      </c>
      <c r="I10824" s="1" t="s">
        <v>5</v>
      </c>
      <c r="J10824" s="1" t="s">
        <v>67</v>
      </c>
      <c r="K10824" s="1" t="s">
        <v>14</v>
      </c>
      <c r="M10824" s="2">
        <v>41729</v>
      </c>
      <c r="N10824" s="1" t="s">
        <v>8</v>
      </c>
      <c r="O10824" s="1" t="s">
        <v>68</v>
      </c>
    </row>
    <row r="10825" spans="1:15" ht="43.2" x14ac:dyDescent="0.3">
      <c r="A10825" s="1" t="s">
        <v>20175</v>
      </c>
      <c r="B10825" s="1" t="str">
        <f>"Dhiresh Patei"</f>
        <v>Dhiresh Patei</v>
      </c>
      <c r="C10825" s="1" t="s">
        <v>20176</v>
      </c>
      <c r="D10825" s="1" t="s">
        <v>8834</v>
      </c>
      <c r="F10825" s="1" t="s">
        <v>123</v>
      </c>
      <c r="H10825" s="1" t="s">
        <v>20177</v>
      </c>
      <c r="I10825" s="1" t="s">
        <v>5</v>
      </c>
      <c r="J10825" s="1" t="s">
        <v>67</v>
      </c>
      <c r="K10825" s="1" t="s">
        <v>14</v>
      </c>
      <c r="M10825" s="2">
        <v>41729</v>
      </c>
      <c r="N10825" s="1" t="s">
        <v>8</v>
      </c>
      <c r="O10825" s="1" t="s">
        <v>68</v>
      </c>
    </row>
    <row r="10826" spans="1:15" ht="43.2" x14ac:dyDescent="0.3">
      <c r="A10826" s="1" t="s">
        <v>20178</v>
      </c>
      <c r="B10826" s="1" t="str">
        <f>"Frederich Evans"</f>
        <v>Frederich Evans</v>
      </c>
      <c r="C10826" s="1" t="s">
        <v>20179</v>
      </c>
      <c r="F10826" s="1" t="s">
        <v>4867</v>
      </c>
      <c r="H10826" s="1" t="s">
        <v>20180</v>
      </c>
      <c r="I10826" s="1" t="s">
        <v>5</v>
      </c>
      <c r="J10826" s="1" t="s">
        <v>67</v>
      </c>
      <c r="K10826" s="1" t="s">
        <v>14</v>
      </c>
      <c r="M10826" s="2">
        <v>41729</v>
      </c>
      <c r="N10826" s="1" t="s">
        <v>8</v>
      </c>
      <c r="O10826" s="1" t="s">
        <v>68</v>
      </c>
    </row>
    <row r="10827" spans="1:15" ht="43.2" x14ac:dyDescent="0.3">
      <c r="A10827" s="1" t="s">
        <v>20181</v>
      </c>
      <c r="B10827" s="1" t="str">
        <f>"Steve Like"</f>
        <v>Steve Like</v>
      </c>
      <c r="C10827" s="1" t="s">
        <v>20182</v>
      </c>
      <c r="F10827" s="1" t="s">
        <v>162</v>
      </c>
      <c r="H10827" s="1" t="s">
        <v>11782</v>
      </c>
      <c r="I10827" s="1" t="s">
        <v>5</v>
      </c>
      <c r="J10827" s="1" t="s">
        <v>67</v>
      </c>
      <c r="K10827" s="1" t="s">
        <v>14</v>
      </c>
      <c r="M10827" s="2">
        <v>41729</v>
      </c>
      <c r="N10827" s="1" t="s">
        <v>8</v>
      </c>
      <c r="O10827" s="1" t="s">
        <v>68</v>
      </c>
    </row>
    <row r="10828" spans="1:15" ht="43.2" x14ac:dyDescent="0.3">
      <c r="A10828" s="1" t="s">
        <v>20967</v>
      </c>
      <c r="B10828" s="1" t="str">
        <f>"Colin Morgan"</f>
        <v>Colin Morgan</v>
      </c>
      <c r="C10828" s="1" t="s">
        <v>20968</v>
      </c>
      <c r="D10828" s="1" t="s">
        <v>20969</v>
      </c>
      <c r="F10828" s="1" t="s">
        <v>2459</v>
      </c>
      <c r="H10828" s="1" t="s">
        <v>20970</v>
      </c>
      <c r="I10828" s="1" t="s">
        <v>5</v>
      </c>
      <c r="J10828" s="1" t="s">
        <v>67</v>
      </c>
      <c r="K10828" s="1" t="s">
        <v>14</v>
      </c>
      <c r="M10828" s="2">
        <v>41729</v>
      </c>
      <c r="N10828" s="1" t="s">
        <v>8</v>
      </c>
      <c r="O10828" s="1" t="s">
        <v>68</v>
      </c>
    </row>
    <row r="10829" spans="1:15" ht="43.2" x14ac:dyDescent="0.3">
      <c r="A10829" s="1" t="s">
        <v>20971</v>
      </c>
      <c r="B10829" s="1" t="str">
        <f>"Ijaz Siddique"</f>
        <v>Ijaz Siddique</v>
      </c>
      <c r="C10829" s="1" t="s">
        <v>20972</v>
      </c>
      <c r="D10829" s="1" t="s">
        <v>17048</v>
      </c>
      <c r="F10829" s="1" t="s">
        <v>123</v>
      </c>
      <c r="H10829" s="1" t="s">
        <v>20973</v>
      </c>
      <c r="I10829" s="1" t="s">
        <v>5</v>
      </c>
      <c r="J10829" s="1" t="s">
        <v>67</v>
      </c>
      <c r="K10829" s="1" t="s">
        <v>14</v>
      </c>
      <c r="M10829" s="2">
        <v>41729</v>
      </c>
      <c r="N10829" s="1" t="s">
        <v>8</v>
      </c>
      <c r="O10829" s="1" t="s">
        <v>68</v>
      </c>
    </row>
    <row r="10830" spans="1:15" ht="43.2" x14ac:dyDescent="0.3">
      <c r="A10830" s="1" t="s">
        <v>20974</v>
      </c>
      <c r="B10830" s="1" t="str">
        <f>"Margaret Brain"</f>
        <v>Margaret Brain</v>
      </c>
      <c r="C10830" s="1" t="s">
        <v>20556</v>
      </c>
      <c r="D10830" s="1" t="s">
        <v>761</v>
      </c>
      <c r="F10830" s="1" t="s">
        <v>64</v>
      </c>
      <c r="H10830" s="1" t="s">
        <v>20975</v>
      </c>
      <c r="I10830" s="1" t="s">
        <v>5</v>
      </c>
      <c r="J10830" s="1" t="s">
        <v>67</v>
      </c>
      <c r="K10830" s="1" t="s">
        <v>14</v>
      </c>
      <c r="M10830" s="2">
        <v>41729</v>
      </c>
      <c r="N10830" s="1" t="s">
        <v>8</v>
      </c>
      <c r="O10830" s="1" t="s">
        <v>68</v>
      </c>
    </row>
    <row r="10831" spans="1:15" ht="43.2" x14ac:dyDescent="0.3">
      <c r="A10831" s="1" t="s">
        <v>3197</v>
      </c>
      <c r="B10831" s="1" t="str">
        <f>"Nerak - Wiese Ltd"</f>
        <v>Nerak - Wiese Ltd</v>
      </c>
      <c r="C10831" s="1" t="s">
        <v>3198</v>
      </c>
      <c r="F10831" s="1" t="s">
        <v>1206</v>
      </c>
      <c r="H10831" s="1" t="s">
        <v>3199</v>
      </c>
      <c r="I10831" s="1" t="s">
        <v>19</v>
      </c>
      <c r="J10831" s="1" t="s">
        <v>67</v>
      </c>
      <c r="K10831" s="1" t="s">
        <v>14</v>
      </c>
      <c r="M10831" s="2">
        <v>41726</v>
      </c>
      <c r="N10831" s="1" t="s">
        <v>8</v>
      </c>
      <c r="O10831" s="1" t="s">
        <v>68</v>
      </c>
    </row>
    <row r="10832" spans="1:15" ht="43.2" x14ac:dyDescent="0.3">
      <c r="A10832" s="1" t="s">
        <v>3200</v>
      </c>
      <c r="B10832" s="1" t="str">
        <f>"Nerak - Wiese Ltd"</f>
        <v>Nerak - Wiese Ltd</v>
      </c>
      <c r="C10832" s="1" t="s">
        <v>3198</v>
      </c>
      <c r="F10832" s="1" t="s">
        <v>1206</v>
      </c>
      <c r="H10832" s="1" t="s">
        <v>3199</v>
      </c>
      <c r="I10832" s="1" t="s">
        <v>19</v>
      </c>
      <c r="J10832" s="1" t="s">
        <v>67</v>
      </c>
      <c r="K10832" s="1" t="s">
        <v>14</v>
      </c>
      <c r="M10832" s="2">
        <v>41726</v>
      </c>
      <c r="N10832" s="1" t="s">
        <v>8</v>
      </c>
      <c r="O10832" s="1" t="s">
        <v>68</v>
      </c>
    </row>
    <row r="10833" spans="1:15" ht="43.2" x14ac:dyDescent="0.3">
      <c r="A10833" s="1" t="s">
        <v>3201</v>
      </c>
      <c r="B10833" s="1" t="str">
        <f>"Nerak - Wiese Ltd"</f>
        <v>Nerak - Wiese Ltd</v>
      </c>
      <c r="C10833" s="1" t="s">
        <v>3198</v>
      </c>
      <c r="F10833" s="1" t="s">
        <v>1206</v>
      </c>
      <c r="H10833" s="1" t="s">
        <v>3199</v>
      </c>
      <c r="I10833" s="1" t="s">
        <v>19</v>
      </c>
      <c r="J10833" s="1" t="s">
        <v>67</v>
      </c>
      <c r="K10833" s="1" t="s">
        <v>14</v>
      </c>
      <c r="M10833" s="2">
        <v>41726</v>
      </c>
      <c r="N10833" s="1" t="s">
        <v>8</v>
      </c>
      <c r="O10833" s="1" t="s">
        <v>68</v>
      </c>
    </row>
    <row r="10834" spans="1:15" ht="43.2" x14ac:dyDescent="0.3">
      <c r="A10834" s="1" t="s">
        <v>3202</v>
      </c>
      <c r="B10834" s="1" t="str">
        <f>"Nerak - Wiese Ltd"</f>
        <v>Nerak - Wiese Ltd</v>
      </c>
      <c r="C10834" s="1" t="s">
        <v>3198</v>
      </c>
      <c r="F10834" s="1" t="s">
        <v>1206</v>
      </c>
      <c r="H10834" s="1" t="s">
        <v>3199</v>
      </c>
      <c r="I10834" s="1" t="s">
        <v>19</v>
      </c>
      <c r="J10834" s="1" t="s">
        <v>67</v>
      </c>
      <c r="K10834" s="1" t="s">
        <v>14</v>
      </c>
      <c r="M10834" s="2">
        <v>41726</v>
      </c>
      <c r="N10834" s="1" t="s">
        <v>8</v>
      </c>
      <c r="O10834" s="1" t="s">
        <v>68</v>
      </c>
    </row>
    <row r="10835" spans="1:15" ht="43.2" x14ac:dyDescent="0.3">
      <c r="A10835" s="1" t="s">
        <v>3203</v>
      </c>
      <c r="B10835" s="1" t="str">
        <f>"Nerak - Wiese Ltd"</f>
        <v>Nerak - Wiese Ltd</v>
      </c>
      <c r="C10835" s="1" t="s">
        <v>3198</v>
      </c>
      <c r="F10835" s="1" t="s">
        <v>1206</v>
      </c>
      <c r="H10835" s="1" t="s">
        <v>3199</v>
      </c>
      <c r="I10835" s="1" t="s">
        <v>19</v>
      </c>
      <c r="J10835" s="1" t="s">
        <v>67</v>
      </c>
      <c r="K10835" s="1" t="s">
        <v>14</v>
      </c>
      <c r="M10835" s="2">
        <v>41726</v>
      </c>
      <c r="N10835" s="1" t="s">
        <v>8</v>
      </c>
      <c r="O10835" s="1" t="s">
        <v>68</v>
      </c>
    </row>
    <row r="10836" spans="1:15" ht="43.2" x14ac:dyDescent="0.3">
      <c r="A10836" s="1" t="s">
        <v>3204</v>
      </c>
      <c r="B10836" s="1" t="str">
        <f>"Nerak-Wiese Ltd"</f>
        <v>Nerak-Wiese Ltd</v>
      </c>
      <c r="C10836" s="1" t="s">
        <v>3205</v>
      </c>
      <c r="F10836" s="1" t="s">
        <v>1206</v>
      </c>
      <c r="H10836" s="1" t="s">
        <v>3199</v>
      </c>
      <c r="I10836" s="1" t="s">
        <v>19</v>
      </c>
      <c r="J10836" s="1" t="s">
        <v>67</v>
      </c>
      <c r="K10836" s="1" t="s">
        <v>14</v>
      </c>
      <c r="M10836" s="2">
        <v>41726</v>
      </c>
      <c r="N10836" s="1" t="s">
        <v>8</v>
      </c>
      <c r="O10836" s="1" t="s">
        <v>68</v>
      </c>
    </row>
    <row r="10837" spans="1:15" ht="43.2" x14ac:dyDescent="0.3">
      <c r="A10837" s="1" t="s">
        <v>3206</v>
      </c>
      <c r="B10837" s="1" t="str">
        <f>"Hafod Housing Association"</f>
        <v>Hafod Housing Association</v>
      </c>
      <c r="C10837" s="1" t="s">
        <v>3207</v>
      </c>
      <c r="D10837" s="1" t="s">
        <v>3208</v>
      </c>
      <c r="F10837" s="1" t="s">
        <v>123</v>
      </c>
      <c r="H10837" s="1" t="s">
        <v>3209</v>
      </c>
      <c r="I10837" s="1" t="s">
        <v>1872</v>
      </c>
      <c r="J10837" s="1" t="s">
        <v>67</v>
      </c>
      <c r="K10837" s="1" t="s">
        <v>14</v>
      </c>
      <c r="M10837" s="2">
        <v>41726</v>
      </c>
      <c r="N10837" s="1" t="s">
        <v>8</v>
      </c>
      <c r="O10837" s="1" t="s">
        <v>68</v>
      </c>
    </row>
    <row r="10838" spans="1:15" ht="43.2" x14ac:dyDescent="0.3">
      <c r="A10838" s="1" t="s">
        <v>3210</v>
      </c>
      <c r="B10838" s="1" t="str">
        <f>"The Wild Blackberry"</f>
        <v>The Wild Blackberry</v>
      </c>
      <c r="C10838" s="1" t="s">
        <v>3211</v>
      </c>
      <c r="F10838" s="1" t="s">
        <v>2152</v>
      </c>
      <c r="H10838" s="1" t="s">
        <v>3212</v>
      </c>
      <c r="I10838" s="1" t="s">
        <v>125</v>
      </c>
      <c r="J10838" s="1" t="s">
        <v>67</v>
      </c>
      <c r="K10838" s="1" t="s">
        <v>14</v>
      </c>
      <c r="M10838" s="2">
        <v>41726</v>
      </c>
      <c r="N10838" s="1" t="s">
        <v>8</v>
      </c>
      <c r="O10838" s="1" t="s">
        <v>68</v>
      </c>
    </row>
    <row r="10839" spans="1:15" ht="43.2" x14ac:dyDescent="0.3">
      <c r="A10839" s="1" t="s">
        <v>3213</v>
      </c>
      <c r="B10839" s="1" t="str">
        <f>"The Salty Dog"</f>
        <v>The Salty Dog</v>
      </c>
      <c r="C10839" s="1" t="s">
        <v>3214</v>
      </c>
      <c r="D10839" s="1" t="s">
        <v>2859</v>
      </c>
      <c r="F10839" s="1" t="s">
        <v>162</v>
      </c>
      <c r="H10839" s="1" t="s">
        <v>3215</v>
      </c>
      <c r="I10839" s="1" t="s">
        <v>125</v>
      </c>
      <c r="J10839" s="1" t="s">
        <v>67</v>
      </c>
      <c r="K10839" s="1" t="s">
        <v>14</v>
      </c>
      <c r="M10839" s="2">
        <v>41726</v>
      </c>
      <c r="N10839" s="1" t="s">
        <v>8</v>
      </c>
      <c r="O10839" s="1" t="s">
        <v>68</v>
      </c>
    </row>
    <row r="10840" spans="1:15" ht="43.2" x14ac:dyDescent="0.3">
      <c r="A10840" s="1" t="s">
        <v>3216</v>
      </c>
      <c r="B10840" s="1" t="str">
        <f>"Offa's Dyke Association"</f>
        <v>Offa's Dyke Association</v>
      </c>
      <c r="C10840" s="1" t="s">
        <v>3217</v>
      </c>
      <c r="D10840" s="1" t="s">
        <v>1986</v>
      </c>
      <c r="F10840" s="1" t="s">
        <v>162</v>
      </c>
      <c r="H10840" s="1" t="s">
        <v>3218</v>
      </c>
      <c r="I10840" s="1" t="s">
        <v>125</v>
      </c>
      <c r="J10840" s="1" t="s">
        <v>67</v>
      </c>
      <c r="K10840" s="1" t="s">
        <v>14</v>
      </c>
      <c r="M10840" s="2">
        <v>41726</v>
      </c>
      <c r="N10840" s="1" t="s">
        <v>8</v>
      </c>
      <c r="O10840" s="1" t="s">
        <v>68</v>
      </c>
    </row>
    <row r="10841" spans="1:15" ht="43.2" x14ac:dyDescent="0.3">
      <c r="A10841" s="1" t="s">
        <v>4351</v>
      </c>
      <c r="B10841" s="1" t="str">
        <f>"M&amp;M Company"</f>
        <v>M&amp;M Company</v>
      </c>
      <c r="C10841" s="1" t="s">
        <v>4352</v>
      </c>
      <c r="D10841" s="1" t="s">
        <v>156</v>
      </c>
      <c r="F10841" s="1" t="s">
        <v>1240</v>
      </c>
      <c r="H10841" s="1" t="s">
        <v>4353</v>
      </c>
      <c r="I10841" s="1" t="s">
        <v>125</v>
      </c>
      <c r="J10841" s="1" t="s">
        <v>67</v>
      </c>
      <c r="K10841" s="1" t="s">
        <v>14</v>
      </c>
      <c r="M10841" s="2">
        <v>41726</v>
      </c>
      <c r="N10841" s="1" t="s">
        <v>8</v>
      </c>
      <c r="O10841" s="1" t="s">
        <v>68</v>
      </c>
    </row>
    <row r="10842" spans="1:15" ht="43.2" x14ac:dyDescent="0.3">
      <c r="A10842" s="1" t="s">
        <v>4354</v>
      </c>
      <c r="B10842" s="1" t="str">
        <f>"M&amp;M Company"</f>
        <v>M&amp;M Company</v>
      </c>
      <c r="C10842" s="1" t="s">
        <v>4352</v>
      </c>
      <c r="D10842" s="1" t="s">
        <v>156</v>
      </c>
      <c r="F10842" s="1" t="s">
        <v>1240</v>
      </c>
      <c r="H10842" s="1" t="s">
        <v>4353</v>
      </c>
      <c r="I10842" s="1" t="s">
        <v>125</v>
      </c>
      <c r="J10842" s="1" t="s">
        <v>67</v>
      </c>
      <c r="K10842" s="1" t="s">
        <v>14</v>
      </c>
      <c r="M10842" s="2">
        <v>41726</v>
      </c>
      <c r="N10842" s="1" t="s">
        <v>8</v>
      </c>
      <c r="O10842" s="1" t="s">
        <v>68</v>
      </c>
    </row>
    <row r="10843" spans="1:15" ht="43.2" x14ac:dyDescent="0.3">
      <c r="A10843" s="1" t="s">
        <v>4355</v>
      </c>
      <c r="B10843" s="1" t="str">
        <f>"M&amp;M Company"</f>
        <v>M&amp;M Company</v>
      </c>
      <c r="C10843" s="1" t="s">
        <v>4352</v>
      </c>
      <c r="D10843" s="1" t="s">
        <v>156</v>
      </c>
      <c r="F10843" s="1" t="s">
        <v>1240</v>
      </c>
      <c r="H10843" s="1" t="s">
        <v>4353</v>
      </c>
      <c r="I10843" s="1" t="s">
        <v>125</v>
      </c>
      <c r="J10843" s="1" t="s">
        <v>67</v>
      </c>
      <c r="K10843" s="1" t="s">
        <v>14</v>
      </c>
      <c r="M10843" s="2">
        <v>41726</v>
      </c>
      <c r="N10843" s="1" t="s">
        <v>8</v>
      </c>
      <c r="O10843" s="1" t="s">
        <v>68</v>
      </c>
    </row>
    <row r="10844" spans="1:15" ht="43.2" x14ac:dyDescent="0.3">
      <c r="A10844" s="1" t="s">
        <v>4356</v>
      </c>
      <c r="B10844" s="1" t="str">
        <f>"M&amp;M Company"</f>
        <v>M&amp;M Company</v>
      </c>
      <c r="C10844" s="1" t="s">
        <v>4352</v>
      </c>
      <c r="D10844" s="1" t="s">
        <v>156</v>
      </c>
      <c r="F10844" s="1" t="s">
        <v>1240</v>
      </c>
      <c r="H10844" s="1" t="s">
        <v>4353</v>
      </c>
      <c r="I10844" s="1" t="s">
        <v>125</v>
      </c>
      <c r="J10844" s="1" t="s">
        <v>67</v>
      </c>
      <c r="K10844" s="1" t="s">
        <v>14</v>
      </c>
      <c r="M10844" s="2">
        <v>41726</v>
      </c>
      <c r="N10844" s="1" t="s">
        <v>8</v>
      </c>
      <c r="O10844" s="1" t="s">
        <v>68</v>
      </c>
    </row>
    <row r="10845" spans="1:15" ht="43.2" x14ac:dyDescent="0.3">
      <c r="A10845" s="1" t="s">
        <v>4357</v>
      </c>
      <c r="B10845" s="1" t="str">
        <f>"M&amp;M Company"</f>
        <v>M&amp;M Company</v>
      </c>
      <c r="C10845" s="1" t="s">
        <v>4352</v>
      </c>
      <c r="D10845" s="1" t="s">
        <v>156</v>
      </c>
      <c r="F10845" s="1" t="s">
        <v>1240</v>
      </c>
      <c r="H10845" s="1" t="s">
        <v>4353</v>
      </c>
      <c r="I10845" s="1" t="s">
        <v>125</v>
      </c>
      <c r="J10845" s="1" t="s">
        <v>67</v>
      </c>
      <c r="K10845" s="1" t="s">
        <v>14</v>
      </c>
      <c r="M10845" s="2">
        <v>41726</v>
      </c>
      <c r="N10845" s="1" t="s">
        <v>8</v>
      </c>
      <c r="O10845" s="1" t="s">
        <v>68</v>
      </c>
    </row>
    <row r="10846" spans="1:15" ht="43.2" x14ac:dyDescent="0.3">
      <c r="A10846" s="1" t="s">
        <v>4358</v>
      </c>
      <c r="B10846" s="1" t="str">
        <f>"M&amp;M Company"</f>
        <v>M&amp;M Company</v>
      </c>
      <c r="C10846" s="1" t="s">
        <v>4352</v>
      </c>
      <c r="D10846" s="1" t="s">
        <v>156</v>
      </c>
      <c r="F10846" s="1" t="s">
        <v>1240</v>
      </c>
      <c r="H10846" s="1" t="s">
        <v>4353</v>
      </c>
      <c r="I10846" s="1" t="s">
        <v>125</v>
      </c>
      <c r="J10846" s="1" t="s">
        <v>67</v>
      </c>
      <c r="K10846" s="1" t="s">
        <v>14</v>
      </c>
      <c r="M10846" s="2">
        <v>41726</v>
      </c>
      <c r="N10846" s="1" t="s">
        <v>8</v>
      </c>
      <c r="O10846" s="1" t="s">
        <v>68</v>
      </c>
    </row>
    <row r="10847" spans="1:15" ht="43.2" x14ac:dyDescent="0.3">
      <c r="A10847" s="1" t="s">
        <v>16928</v>
      </c>
      <c r="B10847" s="1" t="str">
        <f>"RKES Wales Ltd"</f>
        <v>RKES Wales Ltd</v>
      </c>
      <c r="C10847" s="1" t="s">
        <v>16929</v>
      </c>
      <c r="F10847" s="1" t="s">
        <v>56</v>
      </c>
      <c r="H10847" s="1" t="s">
        <v>10004</v>
      </c>
      <c r="I10847" s="1" t="s">
        <v>19</v>
      </c>
      <c r="J10847" s="1" t="s">
        <v>67</v>
      </c>
      <c r="K10847" s="1" t="s">
        <v>14</v>
      </c>
      <c r="M10847" s="2">
        <v>41726</v>
      </c>
      <c r="N10847" s="1" t="s">
        <v>8</v>
      </c>
      <c r="O10847" s="1" t="s">
        <v>68</v>
      </c>
    </row>
    <row r="10848" spans="1:15" ht="43.2" x14ac:dyDescent="0.3">
      <c r="A10848" s="1" t="s">
        <v>16930</v>
      </c>
      <c r="B10848" s="1" t="str">
        <f>"The Natural Choice"</f>
        <v>The Natural Choice</v>
      </c>
      <c r="C10848" s="1" t="s">
        <v>16931</v>
      </c>
      <c r="F10848" s="1" t="s">
        <v>16932</v>
      </c>
      <c r="H10848" s="1" t="s">
        <v>16933</v>
      </c>
      <c r="I10848" s="1" t="s">
        <v>125</v>
      </c>
      <c r="J10848" s="1" t="s">
        <v>67</v>
      </c>
      <c r="K10848" s="1" t="s">
        <v>14</v>
      </c>
      <c r="M10848" s="2">
        <v>41726</v>
      </c>
      <c r="N10848" s="1" t="s">
        <v>8</v>
      </c>
      <c r="O10848" s="1" t="s">
        <v>68</v>
      </c>
    </row>
    <row r="10849" spans="1:15" ht="43.2" x14ac:dyDescent="0.3">
      <c r="A10849" s="1" t="s">
        <v>16934</v>
      </c>
      <c r="B10849" s="1" t="str">
        <f>"The Natural Choice"</f>
        <v>The Natural Choice</v>
      </c>
      <c r="C10849" s="1" t="s">
        <v>16931</v>
      </c>
      <c r="F10849" s="1" t="s">
        <v>16932</v>
      </c>
      <c r="H10849" s="1" t="s">
        <v>16933</v>
      </c>
      <c r="I10849" s="1" t="s">
        <v>125</v>
      </c>
      <c r="J10849" s="1" t="s">
        <v>67</v>
      </c>
      <c r="K10849" s="1" t="s">
        <v>14</v>
      </c>
      <c r="M10849" s="2">
        <v>41726</v>
      </c>
      <c r="N10849" s="1" t="s">
        <v>8</v>
      </c>
      <c r="O10849" s="1" t="s">
        <v>68</v>
      </c>
    </row>
    <row r="10850" spans="1:15" ht="43.2" x14ac:dyDescent="0.3">
      <c r="A10850" s="1" t="s">
        <v>16935</v>
      </c>
      <c r="B10850" s="1" t="str">
        <f>"The Salvation Army"</f>
        <v>The Salvation Army</v>
      </c>
      <c r="C10850" s="1" t="s">
        <v>16936</v>
      </c>
      <c r="D10850" s="1" t="s">
        <v>5305</v>
      </c>
      <c r="F10850" s="1" t="s">
        <v>123</v>
      </c>
      <c r="H10850" s="1" t="s">
        <v>16937</v>
      </c>
      <c r="I10850" s="1" t="s">
        <v>125</v>
      </c>
      <c r="J10850" s="1" t="s">
        <v>67</v>
      </c>
      <c r="K10850" s="1" t="s">
        <v>14</v>
      </c>
      <c r="M10850" s="2">
        <v>41726</v>
      </c>
      <c r="N10850" s="1" t="s">
        <v>8</v>
      </c>
      <c r="O10850" s="1" t="s">
        <v>68</v>
      </c>
    </row>
    <row r="10851" spans="1:15" ht="43.2" x14ac:dyDescent="0.3">
      <c r="A10851" s="1" t="s">
        <v>16938</v>
      </c>
      <c r="B10851" s="1" t="str">
        <f>"The Salvation Army"</f>
        <v>The Salvation Army</v>
      </c>
      <c r="C10851" s="1" t="s">
        <v>16936</v>
      </c>
      <c r="D10851" s="1" t="s">
        <v>5305</v>
      </c>
      <c r="F10851" s="1" t="s">
        <v>123</v>
      </c>
      <c r="H10851" s="1" t="s">
        <v>16937</v>
      </c>
      <c r="I10851" s="1" t="s">
        <v>125</v>
      </c>
      <c r="J10851" s="1" t="s">
        <v>67</v>
      </c>
      <c r="K10851" s="1" t="s">
        <v>14</v>
      </c>
      <c r="M10851" s="2">
        <v>41726</v>
      </c>
      <c r="N10851" s="1" t="s">
        <v>8</v>
      </c>
      <c r="O10851" s="1" t="s">
        <v>68</v>
      </c>
    </row>
    <row r="10852" spans="1:15" ht="43.2" x14ac:dyDescent="0.3">
      <c r="A10852" s="1" t="s">
        <v>17959</v>
      </c>
      <c r="B10852" s="1" t="str">
        <f>"Mark and Bethan Lloyd Roberts"</f>
        <v>Mark and Bethan Lloyd Roberts</v>
      </c>
      <c r="C10852" s="1" t="s">
        <v>15770</v>
      </c>
      <c r="D10852" s="1" t="s">
        <v>1818</v>
      </c>
      <c r="F10852" s="1" t="s">
        <v>162</v>
      </c>
      <c r="H10852" s="1" t="s">
        <v>17960</v>
      </c>
      <c r="I10852" s="1" t="s">
        <v>125</v>
      </c>
      <c r="J10852" s="1" t="s">
        <v>67</v>
      </c>
      <c r="K10852" s="1" t="s">
        <v>14</v>
      </c>
      <c r="M10852" s="2">
        <v>41726</v>
      </c>
      <c r="N10852" s="1" t="s">
        <v>8</v>
      </c>
      <c r="O10852" s="1" t="s">
        <v>68</v>
      </c>
    </row>
    <row r="10853" spans="1:15" ht="43.2" x14ac:dyDescent="0.3">
      <c r="A10853" s="1" t="s">
        <v>17961</v>
      </c>
      <c r="B10853" s="1" t="str">
        <f>"D and B Management Service"</f>
        <v>D and B Management Service</v>
      </c>
      <c r="C10853" s="1" t="s">
        <v>17962</v>
      </c>
      <c r="D10853" s="1" t="s">
        <v>17963</v>
      </c>
      <c r="F10853" s="1" t="s">
        <v>359</v>
      </c>
      <c r="H10853" s="1" t="s">
        <v>17964</v>
      </c>
      <c r="I10853" s="1" t="s">
        <v>19</v>
      </c>
      <c r="J10853" s="1" t="s">
        <v>67</v>
      </c>
      <c r="K10853" s="1" t="s">
        <v>14</v>
      </c>
      <c r="M10853" s="2">
        <v>41726</v>
      </c>
      <c r="N10853" s="1" t="s">
        <v>8</v>
      </c>
      <c r="O10853" s="1" t="s">
        <v>68</v>
      </c>
    </row>
    <row r="10854" spans="1:15" ht="43.2" x14ac:dyDescent="0.3">
      <c r="A10854" s="1" t="s">
        <v>17965</v>
      </c>
      <c r="B10854" s="1" t="str">
        <f>"Dragon Works"</f>
        <v>Dragon Works</v>
      </c>
      <c r="C10854" s="1" t="s">
        <v>17966</v>
      </c>
      <c r="D10854" s="1" t="s">
        <v>2459</v>
      </c>
      <c r="F10854" s="1" t="s">
        <v>2459</v>
      </c>
      <c r="H10854" s="1" t="s">
        <v>17967</v>
      </c>
      <c r="I10854" s="1" t="s">
        <v>19</v>
      </c>
      <c r="J10854" s="1" t="s">
        <v>67</v>
      </c>
      <c r="K10854" s="1" t="s">
        <v>14</v>
      </c>
      <c r="M10854" s="2">
        <v>41726</v>
      </c>
      <c r="N10854" s="1" t="s">
        <v>8</v>
      </c>
      <c r="O10854" s="1" t="s">
        <v>68</v>
      </c>
    </row>
    <row r="10855" spans="1:15" ht="43.2" x14ac:dyDescent="0.3">
      <c r="A10855" s="1" t="s">
        <v>17968</v>
      </c>
      <c r="B10855" s="1" t="str">
        <f>"Pestforce Pembrokeshire Ltd"</f>
        <v>Pestforce Pembrokeshire Ltd</v>
      </c>
      <c r="C10855" s="1" t="s">
        <v>5453</v>
      </c>
      <c r="F10855" s="1" t="s">
        <v>17969</v>
      </c>
      <c r="H10855" s="1" t="s">
        <v>5455</v>
      </c>
      <c r="I10855" s="1" t="s">
        <v>19</v>
      </c>
      <c r="J10855" s="1" t="s">
        <v>67</v>
      </c>
      <c r="K10855" s="1" t="s">
        <v>14</v>
      </c>
      <c r="M10855" s="2">
        <v>41726</v>
      </c>
      <c r="N10855" s="1" t="s">
        <v>8</v>
      </c>
      <c r="O10855" s="1" t="s">
        <v>68</v>
      </c>
    </row>
    <row r="10856" spans="1:15" ht="43.2" x14ac:dyDescent="0.3">
      <c r="A10856" s="1" t="s">
        <v>17970</v>
      </c>
      <c r="B10856" s="1" t="str">
        <f>"JP Operator Recruitment Ltd"</f>
        <v>JP Operator Recruitment Ltd</v>
      </c>
      <c r="C10856" s="1" t="s">
        <v>17971</v>
      </c>
      <c r="F10856" s="1" t="s">
        <v>17972</v>
      </c>
      <c r="H10856" s="1" t="s">
        <v>17973</v>
      </c>
      <c r="I10856" s="1" t="s">
        <v>19</v>
      </c>
      <c r="J10856" s="1" t="s">
        <v>67</v>
      </c>
      <c r="K10856" s="1" t="s">
        <v>14</v>
      </c>
      <c r="M10856" s="2">
        <v>41726</v>
      </c>
      <c r="N10856" s="1" t="s">
        <v>8</v>
      </c>
      <c r="O10856" s="1" t="s">
        <v>68</v>
      </c>
    </row>
    <row r="10857" spans="1:15" ht="43.2" x14ac:dyDescent="0.3">
      <c r="A10857" s="1" t="s">
        <v>17974</v>
      </c>
      <c r="B10857" s="1" t="str">
        <f>"Jem Transport"</f>
        <v>Jem Transport</v>
      </c>
      <c r="C10857" s="1" t="s">
        <v>17975</v>
      </c>
      <c r="D10857" s="1" t="s">
        <v>12893</v>
      </c>
      <c r="F10857" s="1" t="s">
        <v>532</v>
      </c>
      <c r="H10857" s="1" t="s">
        <v>17976</v>
      </c>
      <c r="I10857" s="1" t="s">
        <v>19</v>
      </c>
      <c r="J10857" s="1" t="s">
        <v>67</v>
      </c>
      <c r="K10857" s="1" t="s">
        <v>14</v>
      </c>
      <c r="M10857" s="2">
        <v>41726</v>
      </c>
      <c r="N10857" s="1" t="s">
        <v>8</v>
      </c>
      <c r="O10857" s="1" t="s">
        <v>68</v>
      </c>
    </row>
    <row r="10858" spans="1:15" ht="43.2" x14ac:dyDescent="0.3">
      <c r="A10858" s="1" t="s">
        <v>17977</v>
      </c>
      <c r="B10858" s="1" t="str">
        <f>"JW and E Morris and Sons Ltd"</f>
        <v>JW and E Morris and Sons Ltd</v>
      </c>
      <c r="C10858" s="1" t="s">
        <v>15112</v>
      </c>
      <c r="F10858" s="1" t="s">
        <v>179</v>
      </c>
      <c r="H10858" s="1" t="s">
        <v>15113</v>
      </c>
      <c r="I10858" s="1" t="s">
        <v>19</v>
      </c>
      <c r="J10858" s="1" t="s">
        <v>67</v>
      </c>
      <c r="K10858" s="1" t="s">
        <v>14</v>
      </c>
      <c r="M10858" s="2">
        <v>41726</v>
      </c>
      <c r="N10858" s="1" t="s">
        <v>8</v>
      </c>
      <c r="O10858" s="1" t="s">
        <v>68</v>
      </c>
    </row>
    <row r="10859" spans="1:15" ht="43.2" x14ac:dyDescent="0.3">
      <c r="A10859" s="1" t="s">
        <v>17978</v>
      </c>
      <c r="B10859" s="1" t="str">
        <f>"BMJ Plumbing and Heating  Ltd"</f>
        <v>BMJ Plumbing and Heating  Ltd</v>
      </c>
      <c r="C10859" s="1" t="s">
        <v>17979</v>
      </c>
      <c r="D10859" s="1" t="s">
        <v>17980</v>
      </c>
      <c r="F10859" s="1" t="s">
        <v>7844</v>
      </c>
      <c r="H10859" s="1" t="s">
        <v>17981</v>
      </c>
      <c r="I10859" s="1" t="s">
        <v>19</v>
      </c>
      <c r="J10859" s="1" t="s">
        <v>67</v>
      </c>
      <c r="K10859" s="1" t="s">
        <v>14</v>
      </c>
      <c r="M10859" s="2">
        <v>41726</v>
      </c>
      <c r="N10859" s="1" t="s">
        <v>8</v>
      </c>
      <c r="O10859" s="1" t="s">
        <v>68</v>
      </c>
    </row>
    <row r="10860" spans="1:15" ht="43.2" x14ac:dyDescent="0.3">
      <c r="A10860" s="1" t="s">
        <v>17982</v>
      </c>
      <c r="B10860" s="1" t="str">
        <f>"BMJ Plumbing and Heating  Ltd"</f>
        <v>BMJ Plumbing and Heating  Ltd</v>
      </c>
      <c r="C10860" s="1" t="s">
        <v>17979</v>
      </c>
      <c r="D10860" s="1" t="s">
        <v>17980</v>
      </c>
      <c r="F10860" s="1" t="s">
        <v>7844</v>
      </c>
      <c r="H10860" s="1" t="s">
        <v>17981</v>
      </c>
      <c r="I10860" s="1" t="s">
        <v>19</v>
      </c>
      <c r="J10860" s="1" t="s">
        <v>67</v>
      </c>
      <c r="K10860" s="1" t="s">
        <v>14</v>
      </c>
      <c r="M10860" s="2">
        <v>41726</v>
      </c>
      <c r="N10860" s="1" t="s">
        <v>8</v>
      </c>
      <c r="O10860" s="1" t="s">
        <v>68</v>
      </c>
    </row>
    <row r="10861" spans="1:15" ht="43.2" x14ac:dyDescent="0.3">
      <c r="A10861" s="1" t="s">
        <v>17983</v>
      </c>
      <c r="B10861" s="1" t="str">
        <f>"BMJ Plumbing and Heating Ltd"</f>
        <v>BMJ Plumbing and Heating Ltd</v>
      </c>
      <c r="C10861" s="1" t="s">
        <v>17984</v>
      </c>
      <c r="D10861" s="1" t="s">
        <v>17985</v>
      </c>
      <c r="F10861" s="1" t="s">
        <v>162</v>
      </c>
      <c r="H10861" s="1" t="s">
        <v>17986</v>
      </c>
      <c r="I10861" s="1" t="s">
        <v>19</v>
      </c>
      <c r="J10861" s="1" t="s">
        <v>67</v>
      </c>
      <c r="K10861" s="1" t="s">
        <v>14</v>
      </c>
      <c r="M10861" s="2">
        <v>41726</v>
      </c>
      <c r="N10861" s="1" t="s">
        <v>8</v>
      </c>
      <c r="O10861" s="1" t="s">
        <v>68</v>
      </c>
    </row>
    <row r="10862" spans="1:15" ht="43.2" x14ac:dyDescent="0.3">
      <c r="A10862" s="1" t="s">
        <v>17987</v>
      </c>
      <c r="B10862" s="1" t="str">
        <f>"Nerak - Wiese Ltd"</f>
        <v>Nerak - Wiese Ltd</v>
      </c>
      <c r="C10862" s="1" t="s">
        <v>3198</v>
      </c>
      <c r="F10862" s="1" t="s">
        <v>1206</v>
      </c>
      <c r="H10862" s="1" t="s">
        <v>3199</v>
      </c>
      <c r="I10862" s="1" t="s">
        <v>19</v>
      </c>
      <c r="J10862" s="1" t="s">
        <v>67</v>
      </c>
      <c r="K10862" s="1" t="s">
        <v>14</v>
      </c>
      <c r="M10862" s="2">
        <v>41726</v>
      </c>
      <c r="N10862" s="1" t="s">
        <v>8</v>
      </c>
      <c r="O10862" s="1" t="s">
        <v>68</v>
      </c>
    </row>
    <row r="10863" spans="1:15" ht="43.2" x14ac:dyDescent="0.3">
      <c r="A10863" s="1" t="s">
        <v>17988</v>
      </c>
      <c r="B10863" s="1" t="str">
        <f>"Nerak - Wiese Ltd"</f>
        <v>Nerak - Wiese Ltd</v>
      </c>
      <c r="C10863" s="1" t="s">
        <v>3198</v>
      </c>
      <c r="F10863" s="1" t="s">
        <v>1206</v>
      </c>
      <c r="H10863" s="1" t="s">
        <v>3199</v>
      </c>
      <c r="I10863" s="1" t="s">
        <v>19</v>
      </c>
      <c r="J10863" s="1" t="s">
        <v>67</v>
      </c>
      <c r="K10863" s="1" t="s">
        <v>14</v>
      </c>
      <c r="M10863" s="2">
        <v>41726</v>
      </c>
      <c r="N10863" s="1" t="s">
        <v>8</v>
      </c>
      <c r="O10863" s="1" t="s">
        <v>68</v>
      </c>
    </row>
    <row r="10864" spans="1:15" ht="43.2" x14ac:dyDescent="0.3">
      <c r="A10864" s="1" t="s">
        <v>17989</v>
      </c>
      <c r="B10864" s="1" t="str">
        <f>"Nerak - Wiese Ltd"</f>
        <v>Nerak - Wiese Ltd</v>
      </c>
      <c r="C10864" s="1" t="s">
        <v>3198</v>
      </c>
      <c r="F10864" s="1" t="s">
        <v>1206</v>
      </c>
      <c r="H10864" s="1" t="s">
        <v>3199</v>
      </c>
      <c r="I10864" s="1" t="s">
        <v>19</v>
      </c>
      <c r="J10864" s="1" t="s">
        <v>67</v>
      </c>
      <c r="K10864" s="1" t="s">
        <v>14</v>
      </c>
      <c r="M10864" s="2">
        <v>41726</v>
      </c>
      <c r="N10864" s="1" t="s">
        <v>8</v>
      </c>
      <c r="O10864" s="1" t="s">
        <v>68</v>
      </c>
    </row>
    <row r="10865" spans="1:15" ht="43.2" x14ac:dyDescent="0.3">
      <c r="A10865" s="1" t="s">
        <v>18519</v>
      </c>
      <c r="B10865" s="1" t="str">
        <f>"stephen vaughan"</f>
        <v>stephen vaughan</v>
      </c>
      <c r="C10865" s="1" t="s">
        <v>18520</v>
      </c>
      <c r="F10865" s="1" t="s">
        <v>15156</v>
      </c>
      <c r="H10865" s="1" t="s">
        <v>18521</v>
      </c>
      <c r="I10865" s="1" t="s">
        <v>5</v>
      </c>
      <c r="J10865" s="1" t="s">
        <v>67</v>
      </c>
      <c r="K10865" s="1" t="s">
        <v>14</v>
      </c>
      <c r="M10865" s="2">
        <v>41726</v>
      </c>
      <c r="N10865" s="1" t="s">
        <v>8</v>
      </c>
      <c r="O10865" s="1" t="s">
        <v>68</v>
      </c>
    </row>
    <row r="10866" spans="1:15" ht="43.2" x14ac:dyDescent="0.3">
      <c r="A10866" s="1" t="s">
        <v>18522</v>
      </c>
      <c r="B10866" s="1" t="str">
        <f>"stephen vaughan"</f>
        <v>stephen vaughan</v>
      </c>
      <c r="C10866" s="1" t="s">
        <v>18520</v>
      </c>
      <c r="F10866" s="1" t="s">
        <v>15156</v>
      </c>
      <c r="H10866" s="1" t="s">
        <v>18521</v>
      </c>
      <c r="I10866" s="1" t="s">
        <v>5</v>
      </c>
      <c r="J10866" s="1" t="s">
        <v>67</v>
      </c>
      <c r="K10866" s="1" t="s">
        <v>14</v>
      </c>
      <c r="M10866" s="2">
        <v>41726</v>
      </c>
      <c r="N10866" s="1" t="s">
        <v>8</v>
      </c>
      <c r="O10866" s="1" t="s">
        <v>68</v>
      </c>
    </row>
    <row r="10867" spans="1:15" ht="43.2" x14ac:dyDescent="0.3">
      <c r="A10867" s="1" t="s">
        <v>18523</v>
      </c>
      <c r="B10867" s="1" t="str">
        <f>"Philip Sutton"</f>
        <v>Philip Sutton</v>
      </c>
      <c r="C10867" s="1" t="s">
        <v>18524</v>
      </c>
      <c r="F10867" s="1" t="s">
        <v>706</v>
      </c>
      <c r="H10867" s="1" t="s">
        <v>18525</v>
      </c>
      <c r="I10867" s="1" t="s">
        <v>5</v>
      </c>
      <c r="J10867" s="1" t="s">
        <v>67</v>
      </c>
      <c r="K10867" s="1" t="s">
        <v>14</v>
      </c>
      <c r="M10867" s="2">
        <v>41726</v>
      </c>
      <c r="N10867" s="1" t="s">
        <v>8</v>
      </c>
      <c r="O10867" s="1" t="s">
        <v>68</v>
      </c>
    </row>
    <row r="10868" spans="1:15" ht="43.2" x14ac:dyDescent="0.3">
      <c r="A10868" s="1" t="s">
        <v>18526</v>
      </c>
      <c r="B10868" s="1" t="str">
        <f>"Alan Trow"</f>
        <v>Alan Trow</v>
      </c>
      <c r="C10868" s="1" t="s">
        <v>18527</v>
      </c>
      <c r="D10868" s="1" t="s">
        <v>7844</v>
      </c>
      <c r="F10868" s="1" t="s">
        <v>162</v>
      </c>
      <c r="H10868" s="1" t="s">
        <v>17981</v>
      </c>
      <c r="I10868" s="1" t="s">
        <v>5</v>
      </c>
      <c r="J10868" s="1" t="s">
        <v>67</v>
      </c>
      <c r="K10868" s="1" t="s">
        <v>14</v>
      </c>
      <c r="M10868" s="2">
        <v>41726</v>
      </c>
      <c r="N10868" s="1" t="s">
        <v>8</v>
      </c>
      <c r="O10868" s="1" t="s">
        <v>68</v>
      </c>
    </row>
    <row r="10869" spans="1:15" ht="43.2" x14ac:dyDescent="0.3">
      <c r="A10869" s="1" t="s">
        <v>18528</v>
      </c>
      <c r="B10869" s="1" t="str">
        <f>"Raymond Fisher"</f>
        <v>Raymond Fisher</v>
      </c>
      <c r="C10869" s="1" t="s">
        <v>18529</v>
      </c>
      <c r="D10869" s="1" t="s">
        <v>18530</v>
      </c>
      <c r="F10869" s="1" t="s">
        <v>3465</v>
      </c>
      <c r="H10869" s="1" t="s">
        <v>18531</v>
      </c>
      <c r="I10869" s="1" t="s">
        <v>5</v>
      </c>
      <c r="J10869" s="1" t="s">
        <v>67</v>
      </c>
      <c r="K10869" s="1" t="s">
        <v>14</v>
      </c>
      <c r="M10869" s="2">
        <v>41726</v>
      </c>
      <c r="N10869" s="1" t="s">
        <v>8</v>
      </c>
      <c r="O10869" s="1" t="s">
        <v>68</v>
      </c>
    </row>
    <row r="10870" spans="1:15" ht="43.2" x14ac:dyDescent="0.3">
      <c r="A10870" s="1" t="s">
        <v>18532</v>
      </c>
      <c r="B10870" s="1" t="str">
        <f>"D Lally"</f>
        <v>D Lally</v>
      </c>
      <c r="C10870" s="1" t="s">
        <v>18533</v>
      </c>
      <c r="D10870" s="1" t="s">
        <v>1206</v>
      </c>
      <c r="F10870" s="1" t="s">
        <v>162</v>
      </c>
      <c r="H10870" s="1" t="s">
        <v>18534</v>
      </c>
      <c r="I10870" s="1" t="s">
        <v>5</v>
      </c>
      <c r="J10870" s="1" t="s">
        <v>67</v>
      </c>
      <c r="K10870" s="1" t="s">
        <v>14</v>
      </c>
      <c r="M10870" s="2">
        <v>41726</v>
      </c>
      <c r="N10870" s="1" t="s">
        <v>8</v>
      </c>
      <c r="O10870" s="1" t="s">
        <v>68</v>
      </c>
    </row>
    <row r="10871" spans="1:15" ht="43.2" x14ac:dyDescent="0.3">
      <c r="A10871" s="1" t="s">
        <v>19354</v>
      </c>
      <c r="B10871" s="1" t="str">
        <f>"Martin Court"</f>
        <v>Martin Court</v>
      </c>
      <c r="C10871" s="1" t="s">
        <v>19355</v>
      </c>
      <c r="D10871" s="1" t="s">
        <v>7543</v>
      </c>
      <c r="F10871" s="1" t="s">
        <v>359</v>
      </c>
      <c r="H10871" s="1" t="s">
        <v>19356</v>
      </c>
      <c r="I10871" s="1" t="s">
        <v>5</v>
      </c>
      <c r="J10871" s="1" t="s">
        <v>67</v>
      </c>
      <c r="K10871" s="1" t="s">
        <v>14</v>
      </c>
      <c r="M10871" s="2">
        <v>41726</v>
      </c>
      <c r="N10871" s="1" t="s">
        <v>8</v>
      </c>
      <c r="O10871" s="1" t="s">
        <v>68</v>
      </c>
    </row>
    <row r="10872" spans="1:15" ht="43.2" x14ac:dyDescent="0.3">
      <c r="A10872" s="1" t="s">
        <v>19357</v>
      </c>
      <c r="B10872" s="1" t="str">
        <f>"jesse fair"</f>
        <v>jesse fair</v>
      </c>
      <c r="C10872" s="1" t="s">
        <v>19358</v>
      </c>
      <c r="D10872" s="1" t="s">
        <v>16005</v>
      </c>
      <c r="F10872" s="1" t="s">
        <v>1525</v>
      </c>
      <c r="H10872" s="1" t="s">
        <v>19359</v>
      </c>
      <c r="I10872" s="1" t="s">
        <v>5</v>
      </c>
      <c r="J10872" s="1" t="s">
        <v>67</v>
      </c>
      <c r="K10872" s="1" t="s">
        <v>14</v>
      </c>
      <c r="M10872" s="2">
        <v>41726</v>
      </c>
      <c r="N10872" s="1" t="s">
        <v>8</v>
      </c>
      <c r="O10872" s="1" t="s">
        <v>68</v>
      </c>
    </row>
    <row r="10873" spans="1:15" ht="43.2" x14ac:dyDescent="0.3">
      <c r="A10873" s="1" t="s">
        <v>28900</v>
      </c>
      <c r="B10873" s="1" t="str">
        <f>"Pauline Harper"</f>
        <v>Pauline Harper</v>
      </c>
      <c r="C10873" s="1" t="s">
        <v>28901</v>
      </c>
      <c r="D10873" s="1" t="s">
        <v>556</v>
      </c>
      <c r="F10873" s="1" t="s">
        <v>1486</v>
      </c>
      <c r="H10873" s="1" t="s">
        <v>28902</v>
      </c>
      <c r="I10873" s="1" t="s">
        <v>5</v>
      </c>
      <c r="J10873" s="1" t="s">
        <v>67</v>
      </c>
      <c r="K10873" s="1" t="s">
        <v>14</v>
      </c>
      <c r="M10873" s="2">
        <v>41726</v>
      </c>
      <c r="N10873" s="1" t="s">
        <v>8</v>
      </c>
      <c r="O10873" s="1" t="s">
        <v>68</v>
      </c>
    </row>
    <row r="10874" spans="1:15" ht="43.2" x14ac:dyDescent="0.3">
      <c r="A10874" s="1" t="s">
        <v>28903</v>
      </c>
      <c r="B10874" s="1" t="str">
        <f>"Andrew Longville"</f>
        <v>Andrew Longville</v>
      </c>
      <c r="C10874" s="1" t="s">
        <v>28904</v>
      </c>
      <c r="F10874" s="1" t="s">
        <v>156</v>
      </c>
      <c r="H10874" s="1" t="s">
        <v>28905</v>
      </c>
      <c r="I10874" s="1" t="s">
        <v>5</v>
      </c>
      <c r="J10874" s="1" t="s">
        <v>67</v>
      </c>
      <c r="K10874" s="1" t="s">
        <v>14</v>
      </c>
      <c r="M10874" s="2">
        <v>41726</v>
      </c>
      <c r="N10874" s="1" t="s">
        <v>8</v>
      </c>
      <c r="O10874" s="1" t="s">
        <v>68</v>
      </c>
    </row>
    <row r="10875" spans="1:15" ht="43.2" x14ac:dyDescent="0.3">
      <c r="A10875" s="1" t="s">
        <v>29658</v>
      </c>
      <c r="B10875" s="1" t="str">
        <f>"June Knowles"</f>
        <v>June Knowles</v>
      </c>
      <c r="C10875" s="1" t="s">
        <v>29659</v>
      </c>
      <c r="F10875" s="1" t="s">
        <v>359</v>
      </c>
      <c r="H10875" s="1" t="s">
        <v>29660</v>
      </c>
      <c r="I10875" s="1" t="s">
        <v>5</v>
      </c>
      <c r="J10875" s="1" t="s">
        <v>67</v>
      </c>
      <c r="K10875" s="1" t="s">
        <v>14</v>
      </c>
      <c r="M10875" s="2">
        <v>41726</v>
      </c>
      <c r="N10875" s="1" t="s">
        <v>8</v>
      </c>
      <c r="O10875" s="1" t="s">
        <v>68</v>
      </c>
    </row>
    <row r="10876" spans="1:15" ht="43.2" x14ac:dyDescent="0.3">
      <c r="A10876" s="1" t="s">
        <v>29661</v>
      </c>
      <c r="B10876" s="1" t="str">
        <f>"Trudy Edgington"</f>
        <v>Trudy Edgington</v>
      </c>
      <c r="C10876" s="1" t="s">
        <v>29662</v>
      </c>
      <c r="D10876" s="1" t="s">
        <v>1205</v>
      </c>
      <c r="F10876" s="1" t="s">
        <v>1206</v>
      </c>
      <c r="H10876" s="1" t="s">
        <v>29663</v>
      </c>
      <c r="I10876" s="1" t="s">
        <v>5</v>
      </c>
      <c r="J10876" s="1" t="s">
        <v>67</v>
      </c>
      <c r="K10876" s="1" t="s">
        <v>14</v>
      </c>
      <c r="M10876" s="2">
        <v>41726</v>
      </c>
      <c r="N10876" s="1" t="s">
        <v>8</v>
      </c>
      <c r="O10876" s="1" t="s">
        <v>68</v>
      </c>
    </row>
    <row r="10877" spans="1:15" ht="43.2" x14ac:dyDescent="0.3">
      <c r="A10877" s="1" t="s">
        <v>29664</v>
      </c>
      <c r="B10877" s="1" t="str">
        <f>"Richard Whitley-Jones"</f>
        <v>Richard Whitley-Jones</v>
      </c>
      <c r="C10877" s="1" t="s">
        <v>29665</v>
      </c>
      <c r="D10877" s="1" t="s">
        <v>720</v>
      </c>
      <c r="F10877" s="1" t="s">
        <v>324</v>
      </c>
      <c r="H10877" s="1" t="s">
        <v>6919</v>
      </c>
      <c r="I10877" s="1" t="s">
        <v>5</v>
      </c>
      <c r="J10877" s="1" t="s">
        <v>67</v>
      </c>
      <c r="K10877" s="1" t="s">
        <v>14</v>
      </c>
      <c r="M10877" s="2">
        <v>41726</v>
      </c>
      <c r="N10877" s="1" t="s">
        <v>8</v>
      </c>
      <c r="O10877" s="1" t="s">
        <v>68</v>
      </c>
    </row>
    <row r="10878" spans="1:15" ht="43.2" x14ac:dyDescent="0.3">
      <c r="A10878" s="1" t="s">
        <v>14122</v>
      </c>
      <c r="B10878" s="1" t="str">
        <f>"Henwood Stores ltd"</f>
        <v>Henwood Stores ltd</v>
      </c>
      <c r="C10878" s="1" t="s">
        <v>14123</v>
      </c>
      <c r="F10878" s="1" t="s">
        <v>56</v>
      </c>
      <c r="H10878" s="1" t="s">
        <v>14124</v>
      </c>
      <c r="I10878" s="1" t="s">
        <v>19</v>
      </c>
      <c r="J10878" s="1" t="s">
        <v>67</v>
      </c>
      <c r="K10878" s="1" t="s">
        <v>14</v>
      </c>
      <c r="M10878" s="2">
        <v>41725</v>
      </c>
      <c r="N10878" s="1" t="s">
        <v>8</v>
      </c>
      <c r="O10878" s="1" t="s">
        <v>68</v>
      </c>
    </row>
    <row r="10879" spans="1:15" ht="43.2" x14ac:dyDescent="0.3">
      <c r="A10879" s="1" t="s">
        <v>14125</v>
      </c>
      <c r="B10879" s="1" t="str">
        <f>"Penrhyn Castle"</f>
        <v>Penrhyn Castle</v>
      </c>
      <c r="C10879" s="1" t="s">
        <v>14126</v>
      </c>
      <c r="F10879" s="1" t="s">
        <v>3</v>
      </c>
      <c r="H10879" s="1" t="s">
        <v>14127</v>
      </c>
      <c r="I10879" s="1" t="s">
        <v>188</v>
      </c>
      <c r="J10879" s="1" t="s">
        <v>67</v>
      </c>
      <c r="K10879" s="1" t="s">
        <v>14</v>
      </c>
      <c r="M10879" s="2">
        <v>41725</v>
      </c>
      <c r="N10879" s="1" t="s">
        <v>8</v>
      </c>
      <c r="O10879" s="1" t="s">
        <v>68</v>
      </c>
    </row>
    <row r="10880" spans="1:15" ht="43.2" x14ac:dyDescent="0.3">
      <c r="A10880" s="1" t="s">
        <v>14128</v>
      </c>
      <c r="B10880" s="1" t="str">
        <f>"Pembrokeshire Frame Ltd"</f>
        <v>Pembrokeshire Frame Ltd</v>
      </c>
      <c r="C10880" s="1" t="s">
        <v>14129</v>
      </c>
      <c r="D10880" s="1" t="s">
        <v>1776</v>
      </c>
      <c r="F10880" s="1" t="s">
        <v>3691</v>
      </c>
      <c r="H10880" s="1" t="s">
        <v>14130</v>
      </c>
      <c r="I10880" s="1" t="s">
        <v>19</v>
      </c>
      <c r="J10880" s="1" t="s">
        <v>67</v>
      </c>
      <c r="K10880" s="1" t="s">
        <v>14</v>
      </c>
      <c r="M10880" s="2">
        <v>41725</v>
      </c>
      <c r="N10880" s="1" t="s">
        <v>8</v>
      </c>
      <c r="O10880" s="1" t="s">
        <v>68</v>
      </c>
    </row>
    <row r="10881" spans="1:15" ht="43.2" x14ac:dyDescent="0.3">
      <c r="A10881" s="1" t="s">
        <v>14131</v>
      </c>
      <c r="B10881" s="1" t="str">
        <f>"Stagecraft Display Ltd"</f>
        <v>Stagecraft Display Ltd</v>
      </c>
      <c r="C10881" s="1" t="s">
        <v>14132</v>
      </c>
      <c r="D10881" s="1" t="s">
        <v>3465</v>
      </c>
      <c r="F10881" s="1" t="s">
        <v>162</v>
      </c>
      <c r="H10881" s="1" t="s">
        <v>14133</v>
      </c>
      <c r="I10881" s="1" t="s">
        <v>19</v>
      </c>
      <c r="J10881" s="1" t="s">
        <v>67</v>
      </c>
      <c r="K10881" s="1" t="s">
        <v>14</v>
      </c>
      <c r="M10881" s="2">
        <v>41725</v>
      </c>
      <c r="N10881" s="1" t="s">
        <v>8</v>
      </c>
      <c r="O10881" s="1" t="s">
        <v>68</v>
      </c>
    </row>
    <row r="10882" spans="1:15" ht="43.2" x14ac:dyDescent="0.3">
      <c r="A10882" s="1" t="s">
        <v>14980</v>
      </c>
      <c r="B10882" s="1" t="str">
        <f>"Ceredigion county Council"</f>
        <v>Ceredigion county Council</v>
      </c>
      <c r="C10882" s="1" t="s">
        <v>14981</v>
      </c>
      <c r="F10882" s="1" t="s">
        <v>37</v>
      </c>
      <c r="H10882" s="1" t="s">
        <v>879</v>
      </c>
      <c r="I10882" s="1" t="s">
        <v>188</v>
      </c>
      <c r="J10882" s="1" t="s">
        <v>67</v>
      </c>
      <c r="K10882" s="1" t="s">
        <v>14</v>
      </c>
      <c r="M10882" s="2">
        <v>41725</v>
      </c>
      <c r="N10882" s="1" t="s">
        <v>8</v>
      </c>
      <c r="O10882" s="1" t="s">
        <v>68</v>
      </c>
    </row>
    <row r="10883" spans="1:15" ht="43.2" x14ac:dyDescent="0.3">
      <c r="A10883" s="1" t="s">
        <v>14982</v>
      </c>
      <c r="B10883" s="1" t="str">
        <f>"Montgomeryshire Wildlife Trust"</f>
        <v>Montgomeryshire Wildlife Trust</v>
      </c>
      <c r="C10883" s="1" t="s">
        <v>14983</v>
      </c>
      <c r="D10883" s="1" t="s">
        <v>2459</v>
      </c>
      <c r="F10883" s="1" t="s">
        <v>162</v>
      </c>
      <c r="H10883" s="1" t="s">
        <v>14984</v>
      </c>
      <c r="I10883" s="1" t="s">
        <v>1872</v>
      </c>
      <c r="J10883" s="1" t="s">
        <v>67</v>
      </c>
      <c r="K10883" s="1" t="s">
        <v>14</v>
      </c>
      <c r="M10883" s="2">
        <v>41725</v>
      </c>
      <c r="N10883" s="1" t="s">
        <v>8</v>
      </c>
      <c r="O10883" s="1" t="s">
        <v>68</v>
      </c>
    </row>
    <row r="10884" spans="1:15" ht="43.2" x14ac:dyDescent="0.3">
      <c r="A10884" s="1" t="s">
        <v>14985</v>
      </c>
      <c r="B10884" s="1" t="str">
        <f>"Peter and Gareth Jones"</f>
        <v>Peter and Gareth Jones</v>
      </c>
      <c r="C10884" s="1" t="s">
        <v>14986</v>
      </c>
      <c r="D10884" s="1" t="s">
        <v>14987</v>
      </c>
      <c r="F10884" s="1" t="s">
        <v>6400</v>
      </c>
      <c r="H10884" s="1" t="s">
        <v>14988</v>
      </c>
      <c r="I10884" s="1" t="s">
        <v>125</v>
      </c>
      <c r="J10884" s="1" t="s">
        <v>67</v>
      </c>
      <c r="K10884" s="1" t="s">
        <v>14</v>
      </c>
      <c r="M10884" s="2">
        <v>41725</v>
      </c>
      <c r="N10884" s="1" t="s">
        <v>8</v>
      </c>
      <c r="O10884" s="1" t="s">
        <v>68</v>
      </c>
    </row>
    <row r="10885" spans="1:15" ht="43.2" x14ac:dyDescent="0.3">
      <c r="A10885" s="1" t="s">
        <v>14989</v>
      </c>
      <c r="B10885" s="1" t="str">
        <f>"Mid Wales Storage Centre"</f>
        <v>Mid Wales Storage Centre</v>
      </c>
      <c r="C10885" s="1" t="s">
        <v>14990</v>
      </c>
      <c r="D10885" s="1" t="s">
        <v>1818</v>
      </c>
      <c r="F10885" s="1" t="s">
        <v>162</v>
      </c>
      <c r="H10885" s="1" t="s">
        <v>14991</v>
      </c>
      <c r="I10885" s="1" t="s">
        <v>19</v>
      </c>
      <c r="J10885" s="1" t="s">
        <v>67</v>
      </c>
      <c r="K10885" s="1" t="s">
        <v>14</v>
      </c>
      <c r="M10885" s="2">
        <v>41725</v>
      </c>
      <c r="N10885" s="1" t="s">
        <v>8</v>
      </c>
      <c r="O10885" s="1" t="s">
        <v>68</v>
      </c>
    </row>
    <row r="10886" spans="1:15" ht="43.2" x14ac:dyDescent="0.3">
      <c r="A10886" s="1" t="s">
        <v>14992</v>
      </c>
      <c r="B10886" s="1" t="str">
        <f>"Brecon Bowling Club"</f>
        <v>Brecon Bowling Club</v>
      </c>
      <c r="C10886" s="1" t="s">
        <v>14993</v>
      </c>
      <c r="D10886" s="1" t="s">
        <v>14994</v>
      </c>
      <c r="F10886" s="1" t="s">
        <v>162</v>
      </c>
      <c r="H10886" s="1" t="s">
        <v>14995</v>
      </c>
      <c r="I10886" s="1" t="s">
        <v>125</v>
      </c>
      <c r="J10886" s="1" t="s">
        <v>67</v>
      </c>
      <c r="K10886" s="1" t="s">
        <v>14</v>
      </c>
      <c r="M10886" s="2">
        <v>41725</v>
      </c>
      <c r="N10886" s="1" t="s">
        <v>8</v>
      </c>
      <c r="O10886" s="1" t="s">
        <v>68</v>
      </c>
    </row>
    <row r="10887" spans="1:15" ht="43.2" x14ac:dyDescent="0.3">
      <c r="A10887" s="1" t="s">
        <v>14996</v>
      </c>
      <c r="B10887" s="1" t="str">
        <f>"Brecon Bowling Club"</f>
        <v>Brecon Bowling Club</v>
      </c>
      <c r="C10887" s="1" t="s">
        <v>14993</v>
      </c>
      <c r="D10887" s="1" t="s">
        <v>14994</v>
      </c>
      <c r="F10887" s="1" t="s">
        <v>162</v>
      </c>
      <c r="H10887" s="1" t="s">
        <v>14995</v>
      </c>
      <c r="I10887" s="1" t="s">
        <v>125</v>
      </c>
      <c r="J10887" s="1" t="s">
        <v>67</v>
      </c>
      <c r="K10887" s="1" t="s">
        <v>14</v>
      </c>
      <c r="M10887" s="2">
        <v>41725</v>
      </c>
      <c r="N10887" s="1" t="s">
        <v>8</v>
      </c>
      <c r="O10887" s="1" t="s">
        <v>68</v>
      </c>
    </row>
    <row r="10888" spans="1:15" ht="43.2" x14ac:dyDescent="0.3">
      <c r="A10888" s="1" t="s">
        <v>14997</v>
      </c>
      <c r="B10888" s="1" t="str">
        <f>"SP Filling Systems Ltd"</f>
        <v>SP Filling Systems Ltd</v>
      </c>
      <c r="C10888" s="1" t="s">
        <v>14998</v>
      </c>
      <c r="D10888" s="1" t="s">
        <v>798</v>
      </c>
      <c r="F10888" s="1" t="s">
        <v>162</v>
      </c>
      <c r="H10888" s="1" t="s">
        <v>147</v>
      </c>
      <c r="I10888" s="1" t="s">
        <v>19</v>
      </c>
      <c r="J10888" s="1" t="s">
        <v>67</v>
      </c>
      <c r="K10888" s="1" t="s">
        <v>14</v>
      </c>
      <c r="M10888" s="2">
        <v>41725</v>
      </c>
      <c r="N10888" s="1" t="s">
        <v>8</v>
      </c>
      <c r="O10888" s="1" t="s">
        <v>68</v>
      </c>
    </row>
    <row r="10889" spans="1:15" ht="57.6" x14ac:dyDescent="0.3">
      <c r="A10889" s="1" t="s">
        <v>14999</v>
      </c>
      <c r="B10889" s="1" t="str">
        <f>"Abercrave and District Miners Welfare Association Socialclub Ltd "</f>
        <v xml:space="preserve">Abercrave and District Miners Welfare Association Socialclub Ltd </v>
      </c>
      <c r="C10889" s="1" t="s">
        <v>15000</v>
      </c>
      <c r="F10889" s="1" t="s">
        <v>6536</v>
      </c>
      <c r="H10889" s="1" t="s">
        <v>15001</v>
      </c>
      <c r="I10889" s="1" t="s">
        <v>19</v>
      </c>
      <c r="J10889" s="1" t="s">
        <v>67</v>
      </c>
      <c r="K10889" s="1" t="s">
        <v>14</v>
      </c>
      <c r="M10889" s="2">
        <v>41725</v>
      </c>
      <c r="N10889" s="1" t="s">
        <v>8</v>
      </c>
      <c r="O10889" s="1" t="s">
        <v>68</v>
      </c>
    </row>
    <row r="10890" spans="1:15" ht="43.2" x14ac:dyDescent="0.3">
      <c r="A10890" s="1" t="s">
        <v>15959</v>
      </c>
      <c r="B10890" s="1" t="str">
        <f>"The Trout Inn"</f>
        <v>The Trout Inn</v>
      </c>
      <c r="C10890" s="1" t="s">
        <v>15960</v>
      </c>
      <c r="F10890" s="1" t="s">
        <v>345</v>
      </c>
      <c r="H10890" s="1" t="s">
        <v>15961</v>
      </c>
      <c r="I10890" s="1" t="s">
        <v>125</v>
      </c>
      <c r="J10890" s="1" t="s">
        <v>67</v>
      </c>
      <c r="K10890" s="1" t="s">
        <v>14</v>
      </c>
      <c r="M10890" s="2">
        <v>41725</v>
      </c>
      <c r="N10890" s="1" t="s">
        <v>8</v>
      </c>
      <c r="O10890" s="1" t="s">
        <v>68</v>
      </c>
    </row>
    <row r="10891" spans="1:15" ht="43.2" x14ac:dyDescent="0.3">
      <c r="A10891" s="1" t="s">
        <v>15962</v>
      </c>
      <c r="B10891" s="1" t="str">
        <f>"The Trout Inn"</f>
        <v>The Trout Inn</v>
      </c>
      <c r="C10891" s="1" t="s">
        <v>15960</v>
      </c>
      <c r="F10891" s="1" t="s">
        <v>345</v>
      </c>
      <c r="H10891" s="1" t="s">
        <v>15961</v>
      </c>
      <c r="I10891" s="1" t="s">
        <v>125</v>
      </c>
      <c r="J10891" s="1" t="s">
        <v>67</v>
      </c>
      <c r="K10891" s="1" t="s">
        <v>14</v>
      </c>
      <c r="M10891" s="2">
        <v>41725</v>
      </c>
      <c r="N10891" s="1" t="s">
        <v>8</v>
      </c>
      <c r="O10891" s="1" t="s">
        <v>68</v>
      </c>
    </row>
    <row r="10892" spans="1:15" ht="43.2" x14ac:dyDescent="0.3">
      <c r="A10892" s="1" t="s">
        <v>15963</v>
      </c>
      <c r="B10892" s="1" t="str">
        <f>"RSPB Ynys-hir"</f>
        <v>RSPB Ynys-hir</v>
      </c>
      <c r="C10892" s="1" t="s">
        <v>15964</v>
      </c>
      <c r="F10892" s="1" t="s">
        <v>162</v>
      </c>
      <c r="H10892" s="1" t="s">
        <v>15259</v>
      </c>
      <c r="I10892" s="1" t="s">
        <v>125</v>
      </c>
      <c r="J10892" s="1" t="s">
        <v>67</v>
      </c>
      <c r="K10892" s="1" t="s">
        <v>14</v>
      </c>
      <c r="M10892" s="2">
        <v>41725</v>
      </c>
      <c r="N10892" s="1" t="s">
        <v>8</v>
      </c>
      <c r="O10892" s="1" t="s">
        <v>68</v>
      </c>
    </row>
    <row r="10893" spans="1:15" ht="43.2" x14ac:dyDescent="0.3">
      <c r="A10893" s="1" t="s">
        <v>15965</v>
      </c>
      <c r="B10893" s="1" t="str">
        <f>"NP Vehicle Hire Ltd"</f>
        <v>NP Vehicle Hire Ltd</v>
      </c>
      <c r="C10893" s="1" t="s">
        <v>15966</v>
      </c>
      <c r="D10893" s="1" t="s">
        <v>15967</v>
      </c>
      <c r="F10893" s="1" t="s">
        <v>162</v>
      </c>
      <c r="H10893" s="1" t="s">
        <v>13475</v>
      </c>
      <c r="I10893" s="1" t="s">
        <v>19</v>
      </c>
      <c r="J10893" s="1" t="s">
        <v>67</v>
      </c>
      <c r="K10893" s="1" t="s">
        <v>14</v>
      </c>
      <c r="M10893" s="2">
        <v>41725</v>
      </c>
      <c r="N10893" s="1" t="s">
        <v>8</v>
      </c>
      <c r="O10893" s="1" t="s">
        <v>68</v>
      </c>
    </row>
    <row r="10894" spans="1:15" ht="43.2" x14ac:dyDescent="0.3">
      <c r="A10894" s="1" t="s">
        <v>15968</v>
      </c>
      <c r="B10894" s="1" t="str">
        <f>"Links Electrical"</f>
        <v>Links Electrical</v>
      </c>
      <c r="C10894" s="1" t="s">
        <v>15969</v>
      </c>
      <c r="D10894" s="1" t="s">
        <v>3465</v>
      </c>
      <c r="F10894" s="1" t="s">
        <v>162</v>
      </c>
      <c r="H10894" s="1" t="s">
        <v>1374</v>
      </c>
      <c r="I10894" s="1" t="s">
        <v>19</v>
      </c>
      <c r="J10894" s="1" t="s">
        <v>67</v>
      </c>
      <c r="K10894" s="1" t="s">
        <v>14</v>
      </c>
      <c r="M10894" s="2">
        <v>41725</v>
      </c>
      <c r="N10894" s="1" t="s">
        <v>8</v>
      </c>
      <c r="O10894" s="1" t="s">
        <v>68</v>
      </c>
    </row>
    <row r="10895" spans="1:15" ht="43.2" x14ac:dyDescent="0.3">
      <c r="A10895" s="1" t="s">
        <v>15970</v>
      </c>
      <c r="B10895" s="1" t="str">
        <f>"Montys Brewery"</f>
        <v>Montys Brewery</v>
      </c>
      <c r="C10895" s="1" t="s">
        <v>15971</v>
      </c>
      <c r="D10895" s="1" t="s">
        <v>15972</v>
      </c>
      <c r="F10895" s="1" t="s">
        <v>162</v>
      </c>
      <c r="H10895" s="1" t="s">
        <v>15973</v>
      </c>
      <c r="I10895" s="1" t="s">
        <v>19</v>
      </c>
      <c r="J10895" s="1" t="s">
        <v>67</v>
      </c>
      <c r="K10895" s="1" t="s">
        <v>14</v>
      </c>
      <c r="M10895" s="2">
        <v>41725</v>
      </c>
      <c r="N10895" s="1" t="s">
        <v>8</v>
      </c>
      <c r="O10895" s="1" t="s">
        <v>68</v>
      </c>
    </row>
    <row r="10896" spans="1:15" ht="43.2" x14ac:dyDescent="0.3">
      <c r="A10896" s="1" t="s">
        <v>15974</v>
      </c>
      <c r="B10896" s="1" t="str">
        <f>"LNS Recovery Services Ltd"</f>
        <v>LNS Recovery Services Ltd</v>
      </c>
      <c r="C10896" s="1" t="s">
        <v>6565</v>
      </c>
      <c r="D10896" s="1" t="s">
        <v>897</v>
      </c>
      <c r="F10896" s="1" t="s">
        <v>73</v>
      </c>
      <c r="H10896" s="1" t="s">
        <v>15975</v>
      </c>
      <c r="I10896" s="1" t="s">
        <v>19</v>
      </c>
      <c r="J10896" s="1" t="s">
        <v>67</v>
      </c>
      <c r="K10896" s="1" t="s">
        <v>14</v>
      </c>
      <c r="M10896" s="2">
        <v>41725</v>
      </c>
      <c r="N10896" s="1" t="s">
        <v>8</v>
      </c>
      <c r="O10896" s="1" t="s">
        <v>68</v>
      </c>
    </row>
    <row r="10897" spans="1:15" ht="43.2" x14ac:dyDescent="0.3">
      <c r="A10897" s="1" t="s">
        <v>15976</v>
      </c>
      <c r="B10897" s="1" t="str">
        <f>"Powys Castle and Garden"</f>
        <v>Powys Castle and Garden</v>
      </c>
      <c r="C10897" s="1" t="s">
        <v>15977</v>
      </c>
      <c r="F10897" s="1" t="s">
        <v>162</v>
      </c>
      <c r="H10897" s="1" t="s">
        <v>4501</v>
      </c>
      <c r="I10897" s="1" t="s">
        <v>125</v>
      </c>
      <c r="J10897" s="1" t="s">
        <v>67</v>
      </c>
      <c r="K10897" s="1" t="s">
        <v>14</v>
      </c>
      <c r="M10897" s="2">
        <v>41725</v>
      </c>
      <c r="N10897" s="1" t="s">
        <v>8</v>
      </c>
      <c r="O10897" s="1" t="s">
        <v>68</v>
      </c>
    </row>
    <row r="10898" spans="1:15" ht="43.2" x14ac:dyDescent="0.3">
      <c r="A10898" s="1" t="s">
        <v>16913</v>
      </c>
      <c r="B10898" s="1" t="str">
        <f>"Number Two"</f>
        <v>Number Two</v>
      </c>
      <c r="C10898" s="1" t="s">
        <v>16914</v>
      </c>
      <c r="F10898" s="1" t="s">
        <v>3336</v>
      </c>
      <c r="H10898" s="1" t="s">
        <v>3338</v>
      </c>
      <c r="I10898" s="1" t="s">
        <v>125</v>
      </c>
      <c r="J10898" s="1" t="s">
        <v>67</v>
      </c>
      <c r="K10898" s="1" t="s">
        <v>14</v>
      </c>
      <c r="M10898" s="2">
        <v>41725</v>
      </c>
      <c r="N10898" s="1" t="s">
        <v>8</v>
      </c>
      <c r="O10898" s="1" t="s">
        <v>68</v>
      </c>
    </row>
    <row r="10899" spans="1:15" ht="43.2" x14ac:dyDescent="0.3">
      <c r="A10899" s="1" t="s">
        <v>16915</v>
      </c>
      <c r="B10899" s="1" t="str">
        <f>"Presteigne Youth Project"</f>
        <v>Presteigne Youth Project</v>
      </c>
      <c r="C10899" s="1" t="s">
        <v>16916</v>
      </c>
      <c r="F10899" s="1" t="s">
        <v>2859</v>
      </c>
      <c r="H10899" s="1" t="s">
        <v>16917</v>
      </c>
      <c r="I10899" s="1" t="s">
        <v>1872</v>
      </c>
      <c r="J10899" s="1" t="s">
        <v>67</v>
      </c>
      <c r="K10899" s="1" t="s">
        <v>14</v>
      </c>
      <c r="M10899" s="2">
        <v>41725</v>
      </c>
      <c r="N10899" s="1" t="s">
        <v>8</v>
      </c>
      <c r="O10899" s="1" t="s">
        <v>68</v>
      </c>
    </row>
    <row r="10900" spans="1:15" ht="43.2" x14ac:dyDescent="0.3">
      <c r="A10900" s="1" t="s">
        <v>16918</v>
      </c>
      <c r="B10900" s="1" t="str">
        <f>"Derwen Mill Holiday Park"</f>
        <v>Derwen Mill Holiday Park</v>
      </c>
      <c r="C10900" s="1" t="s">
        <v>16919</v>
      </c>
      <c r="F10900" s="1" t="s">
        <v>162</v>
      </c>
      <c r="H10900" s="1" t="s">
        <v>16920</v>
      </c>
      <c r="I10900" s="1" t="s">
        <v>19</v>
      </c>
      <c r="J10900" s="1" t="s">
        <v>67</v>
      </c>
      <c r="K10900" s="1" t="s">
        <v>14</v>
      </c>
      <c r="M10900" s="2">
        <v>41725</v>
      </c>
      <c r="N10900" s="1" t="s">
        <v>8</v>
      </c>
      <c r="O10900" s="1" t="s">
        <v>68</v>
      </c>
    </row>
    <row r="10901" spans="1:15" ht="43.2" x14ac:dyDescent="0.3">
      <c r="A10901" s="1" t="s">
        <v>16921</v>
      </c>
      <c r="B10901" s="1" t="str">
        <f>"James Technical Services"</f>
        <v>James Technical Services</v>
      </c>
      <c r="C10901" s="1" t="s">
        <v>16922</v>
      </c>
      <c r="D10901" s="1" t="s">
        <v>5074</v>
      </c>
      <c r="F10901" s="1" t="s">
        <v>1206</v>
      </c>
      <c r="H10901" s="1" t="s">
        <v>16923</v>
      </c>
      <c r="I10901" s="1" t="s">
        <v>19</v>
      </c>
      <c r="J10901" s="1" t="s">
        <v>67</v>
      </c>
      <c r="K10901" s="1" t="s">
        <v>14</v>
      </c>
      <c r="M10901" s="2">
        <v>41725</v>
      </c>
      <c r="N10901" s="1" t="s">
        <v>8</v>
      </c>
      <c r="O10901" s="1" t="s">
        <v>68</v>
      </c>
    </row>
    <row r="10902" spans="1:15" ht="43.2" x14ac:dyDescent="0.3">
      <c r="A10902" s="1" t="s">
        <v>16924</v>
      </c>
      <c r="B10902" s="1" t="str">
        <f>"Brecon and District Credit Union"</f>
        <v>Brecon and District Credit Union</v>
      </c>
      <c r="C10902" s="1" t="s">
        <v>10171</v>
      </c>
      <c r="F10902" s="1" t="s">
        <v>1206</v>
      </c>
      <c r="H10902" s="1" t="s">
        <v>10172</v>
      </c>
      <c r="I10902" s="1" t="s">
        <v>188</v>
      </c>
      <c r="J10902" s="1" t="s">
        <v>67</v>
      </c>
      <c r="K10902" s="1" t="s">
        <v>14</v>
      </c>
      <c r="M10902" s="2">
        <v>41725</v>
      </c>
      <c r="N10902" s="1" t="s">
        <v>8</v>
      </c>
      <c r="O10902" s="1" t="s">
        <v>68</v>
      </c>
    </row>
    <row r="10903" spans="1:15" ht="43.2" x14ac:dyDescent="0.3">
      <c r="A10903" s="1" t="s">
        <v>16925</v>
      </c>
      <c r="B10903" s="1" t="str">
        <f>"Orme Television Ltd"</f>
        <v>Orme Television Ltd</v>
      </c>
      <c r="C10903" s="1" t="s">
        <v>16926</v>
      </c>
      <c r="F10903" s="1" t="s">
        <v>3242</v>
      </c>
      <c r="H10903" s="1" t="s">
        <v>16927</v>
      </c>
      <c r="I10903" s="1" t="s">
        <v>19</v>
      </c>
      <c r="J10903" s="1" t="s">
        <v>67</v>
      </c>
      <c r="K10903" s="1" t="s">
        <v>14</v>
      </c>
      <c r="M10903" s="2">
        <v>41725</v>
      </c>
      <c r="N10903" s="1" t="s">
        <v>8</v>
      </c>
      <c r="O10903" s="1" t="s">
        <v>68</v>
      </c>
    </row>
    <row r="10904" spans="1:15" ht="43.2" x14ac:dyDescent="0.3">
      <c r="A10904" s="1" t="s">
        <v>26489</v>
      </c>
      <c r="B10904" s="1" t="str">
        <f>"Peter Cook"</f>
        <v>Peter Cook</v>
      </c>
      <c r="C10904" s="1" t="s">
        <v>26490</v>
      </c>
      <c r="F10904" s="1" t="s">
        <v>345</v>
      </c>
      <c r="H10904" s="1" t="s">
        <v>26491</v>
      </c>
      <c r="I10904" s="1" t="s">
        <v>5</v>
      </c>
      <c r="J10904" s="1" t="s">
        <v>67</v>
      </c>
      <c r="K10904" s="1" t="s">
        <v>14</v>
      </c>
      <c r="M10904" s="2">
        <v>41725</v>
      </c>
      <c r="N10904" s="1" t="s">
        <v>8</v>
      </c>
      <c r="O10904" s="1" t="s">
        <v>68</v>
      </c>
    </row>
    <row r="10905" spans="1:15" ht="43.2" x14ac:dyDescent="0.3">
      <c r="A10905" s="1" t="s">
        <v>26492</v>
      </c>
      <c r="B10905" s="1" t="str">
        <f>"Peter Cook"</f>
        <v>Peter Cook</v>
      </c>
      <c r="C10905" s="1" t="s">
        <v>26490</v>
      </c>
      <c r="F10905" s="1" t="s">
        <v>345</v>
      </c>
      <c r="H10905" s="1" t="s">
        <v>26491</v>
      </c>
      <c r="I10905" s="1" t="s">
        <v>5</v>
      </c>
      <c r="J10905" s="1" t="s">
        <v>67</v>
      </c>
      <c r="K10905" s="1" t="s">
        <v>14</v>
      </c>
      <c r="M10905" s="2">
        <v>41725</v>
      </c>
      <c r="N10905" s="1" t="s">
        <v>8</v>
      </c>
      <c r="O10905" s="1" t="s">
        <v>68</v>
      </c>
    </row>
    <row r="10906" spans="1:15" ht="43.2" x14ac:dyDescent="0.3">
      <c r="A10906" s="1" t="s">
        <v>26493</v>
      </c>
      <c r="B10906" s="1" t="str">
        <f>"Peter Cook"</f>
        <v>Peter Cook</v>
      </c>
      <c r="C10906" s="1" t="s">
        <v>26490</v>
      </c>
      <c r="F10906" s="1" t="s">
        <v>345</v>
      </c>
      <c r="H10906" s="1" t="s">
        <v>26491</v>
      </c>
      <c r="I10906" s="1" t="s">
        <v>5</v>
      </c>
      <c r="J10906" s="1" t="s">
        <v>67</v>
      </c>
      <c r="K10906" s="1" t="s">
        <v>14</v>
      </c>
      <c r="M10906" s="2">
        <v>41725</v>
      </c>
      <c r="N10906" s="1" t="s">
        <v>8</v>
      </c>
      <c r="O10906" s="1" t="s">
        <v>68</v>
      </c>
    </row>
    <row r="10907" spans="1:15" ht="43.2" x14ac:dyDescent="0.3">
      <c r="A10907" s="1" t="s">
        <v>26494</v>
      </c>
      <c r="B10907" s="1" t="str">
        <f>"Wilfred Barry"</f>
        <v>Wilfred Barry</v>
      </c>
      <c r="C10907" s="1" t="s">
        <v>26495</v>
      </c>
      <c r="F10907" s="1" t="s">
        <v>26496</v>
      </c>
      <c r="H10907" s="1" t="s">
        <v>6842</v>
      </c>
      <c r="I10907" s="1" t="s">
        <v>5</v>
      </c>
      <c r="J10907" s="1" t="s">
        <v>67</v>
      </c>
      <c r="K10907" s="1" t="s">
        <v>14</v>
      </c>
      <c r="M10907" s="2">
        <v>41725</v>
      </c>
      <c r="N10907" s="1" t="s">
        <v>8</v>
      </c>
      <c r="O10907" s="1" t="s">
        <v>68</v>
      </c>
    </row>
    <row r="10908" spans="1:15" ht="43.2" x14ac:dyDescent="0.3">
      <c r="A10908" s="1" t="s">
        <v>26497</v>
      </c>
      <c r="B10908" s="1" t="str">
        <f>"Naren Suri"</f>
        <v>Naren Suri</v>
      </c>
      <c r="C10908" s="1" t="s">
        <v>26498</v>
      </c>
      <c r="D10908" s="1" t="s">
        <v>1093</v>
      </c>
      <c r="F10908" s="1" t="s">
        <v>1486</v>
      </c>
      <c r="H10908" s="1" t="s">
        <v>26499</v>
      </c>
      <c r="I10908" s="1" t="s">
        <v>5</v>
      </c>
      <c r="J10908" s="1" t="s">
        <v>67</v>
      </c>
      <c r="K10908" s="1" t="s">
        <v>14</v>
      </c>
      <c r="M10908" s="2">
        <v>41725</v>
      </c>
      <c r="N10908" s="1" t="s">
        <v>8</v>
      </c>
      <c r="O10908" s="1" t="s">
        <v>68</v>
      </c>
    </row>
    <row r="10909" spans="1:15" ht="43.2" x14ac:dyDescent="0.3">
      <c r="A10909" s="1" t="s">
        <v>26500</v>
      </c>
      <c r="B10909" s="1" t="str">
        <f>"Mark Bater"</f>
        <v>Mark Bater</v>
      </c>
      <c r="C10909" s="1" t="s">
        <v>26501</v>
      </c>
      <c r="D10909" s="1" t="s">
        <v>424</v>
      </c>
      <c r="F10909" s="1" t="s">
        <v>64</v>
      </c>
      <c r="H10909" s="1" t="s">
        <v>26502</v>
      </c>
      <c r="I10909" s="1" t="s">
        <v>5</v>
      </c>
      <c r="J10909" s="1" t="s">
        <v>67</v>
      </c>
      <c r="K10909" s="1" t="s">
        <v>14</v>
      </c>
      <c r="M10909" s="2">
        <v>41725</v>
      </c>
      <c r="N10909" s="1" t="s">
        <v>8</v>
      </c>
      <c r="O10909" s="1" t="s">
        <v>68</v>
      </c>
    </row>
    <row r="10910" spans="1:15" ht="43.2" x14ac:dyDescent="0.3">
      <c r="A10910" s="1" t="s">
        <v>27313</v>
      </c>
      <c r="B10910" s="1" t="str">
        <f>"Mark Watkins"</f>
        <v>Mark Watkins</v>
      </c>
      <c r="C10910" s="1" t="s">
        <v>27314</v>
      </c>
      <c r="D10910" s="1" t="s">
        <v>1174</v>
      </c>
      <c r="F10910" s="1" t="s">
        <v>1058</v>
      </c>
      <c r="H10910" s="1" t="s">
        <v>27315</v>
      </c>
      <c r="I10910" s="1" t="s">
        <v>5</v>
      </c>
      <c r="J10910" s="1" t="s">
        <v>67</v>
      </c>
      <c r="K10910" s="1" t="s">
        <v>14</v>
      </c>
      <c r="M10910" s="2">
        <v>41725</v>
      </c>
      <c r="N10910" s="1" t="s">
        <v>8</v>
      </c>
      <c r="O10910" s="1" t="s">
        <v>68</v>
      </c>
    </row>
    <row r="10911" spans="1:15" ht="43.2" x14ac:dyDescent="0.3">
      <c r="A10911" s="1" t="s">
        <v>27316</v>
      </c>
      <c r="B10911" s="1" t="str">
        <f>"Manpreet Athwal"</f>
        <v>Manpreet Athwal</v>
      </c>
      <c r="C10911" s="1" t="s">
        <v>27317</v>
      </c>
      <c r="D10911" s="1" t="s">
        <v>18020</v>
      </c>
      <c r="F10911" s="1" t="s">
        <v>156</v>
      </c>
      <c r="H10911" s="1" t="s">
        <v>27318</v>
      </c>
      <c r="I10911" s="1" t="s">
        <v>5</v>
      </c>
      <c r="J10911" s="1" t="s">
        <v>67</v>
      </c>
      <c r="K10911" s="1" t="s">
        <v>14</v>
      </c>
      <c r="M10911" s="2">
        <v>41725</v>
      </c>
      <c r="N10911" s="1" t="s">
        <v>8</v>
      </c>
      <c r="O10911" s="1" t="s">
        <v>68</v>
      </c>
    </row>
    <row r="10912" spans="1:15" ht="43.2" x14ac:dyDescent="0.3">
      <c r="A10912" s="1" t="s">
        <v>27319</v>
      </c>
      <c r="B10912" s="1" t="str">
        <f>"Malcolm Parry"</f>
        <v>Malcolm Parry</v>
      </c>
      <c r="C10912" s="1" t="s">
        <v>27320</v>
      </c>
      <c r="F10912" s="1" t="s">
        <v>6084</v>
      </c>
      <c r="H10912" s="1" t="s">
        <v>27321</v>
      </c>
      <c r="I10912" s="1" t="s">
        <v>5</v>
      </c>
      <c r="J10912" s="1" t="s">
        <v>67</v>
      </c>
      <c r="K10912" s="1" t="s">
        <v>14</v>
      </c>
      <c r="M10912" s="2">
        <v>41725</v>
      </c>
      <c r="N10912" s="1" t="s">
        <v>8</v>
      </c>
      <c r="O10912" s="1" t="s">
        <v>68</v>
      </c>
    </row>
    <row r="10913" spans="1:15" ht="43.2" x14ac:dyDescent="0.3">
      <c r="A10913" s="1" t="s">
        <v>27322</v>
      </c>
      <c r="B10913" s="1" t="str">
        <f>"Tarsem Singh"</f>
        <v>Tarsem Singh</v>
      </c>
      <c r="C10913" s="1" t="s">
        <v>27323</v>
      </c>
      <c r="D10913" s="1" t="s">
        <v>317</v>
      </c>
      <c r="F10913" s="1" t="s">
        <v>1240</v>
      </c>
      <c r="H10913" s="1" t="s">
        <v>27324</v>
      </c>
      <c r="I10913" s="1" t="s">
        <v>5</v>
      </c>
      <c r="J10913" s="1" t="s">
        <v>67</v>
      </c>
      <c r="K10913" s="1" t="s">
        <v>14</v>
      </c>
      <c r="M10913" s="2">
        <v>41725</v>
      </c>
      <c r="N10913" s="1" t="s">
        <v>8</v>
      </c>
      <c r="O10913" s="1" t="s">
        <v>68</v>
      </c>
    </row>
    <row r="10914" spans="1:15" ht="43.2" x14ac:dyDescent="0.3">
      <c r="A10914" s="1" t="s">
        <v>27325</v>
      </c>
      <c r="B10914" s="1" t="str">
        <f>"Geraint Price"</f>
        <v>Geraint Price</v>
      </c>
      <c r="C10914" s="1" t="s">
        <v>27326</v>
      </c>
      <c r="D10914" s="1" t="s">
        <v>42</v>
      </c>
      <c r="F10914" s="1" t="s">
        <v>666</v>
      </c>
      <c r="H10914" s="1" t="s">
        <v>27327</v>
      </c>
      <c r="I10914" s="1" t="s">
        <v>5</v>
      </c>
      <c r="J10914" s="1" t="s">
        <v>67</v>
      </c>
      <c r="K10914" s="1" t="s">
        <v>14</v>
      </c>
      <c r="M10914" s="2">
        <v>41725</v>
      </c>
      <c r="N10914" s="1" t="s">
        <v>8</v>
      </c>
      <c r="O10914" s="1" t="s">
        <v>68</v>
      </c>
    </row>
    <row r="10915" spans="1:15" ht="43.2" x14ac:dyDescent="0.3">
      <c r="A10915" s="1" t="s">
        <v>27328</v>
      </c>
      <c r="B10915" s="1" t="str">
        <f>"Arjanji Odedra"</f>
        <v>Arjanji Odedra</v>
      </c>
      <c r="C10915" s="1" t="s">
        <v>27329</v>
      </c>
      <c r="F10915" s="1" t="s">
        <v>706</v>
      </c>
      <c r="H10915" s="1" t="s">
        <v>27330</v>
      </c>
      <c r="I10915" s="1" t="s">
        <v>5</v>
      </c>
      <c r="J10915" s="1" t="s">
        <v>67</v>
      </c>
      <c r="K10915" s="1" t="s">
        <v>14</v>
      </c>
      <c r="M10915" s="2">
        <v>41725</v>
      </c>
      <c r="N10915" s="1" t="s">
        <v>8</v>
      </c>
      <c r="O10915" s="1" t="s">
        <v>68</v>
      </c>
    </row>
    <row r="10916" spans="1:15" ht="43.2" x14ac:dyDescent="0.3">
      <c r="A10916" s="1" t="s">
        <v>27331</v>
      </c>
      <c r="B10916" s="1" t="str">
        <f>"- Barber"</f>
        <v>- Barber</v>
      </c>
      <c r="C10916" s="1" t="s">
        <v>27332</v>
      </c>
      <c r="F10916" s="1" t="s">
        <v>513</v>
      </c>
      <c r="H10916" s="1" t="s">
        <v>27333</v>
      </c>
      <c r="I10916" s="1" t="s">
        <v>5</v>
      </c>
      <c r="J10916" s="1" t="s">
        <v>67</v>
      </c>
      <c r="K10916" s="1" t="s">
        <v>14</v>
      </c>
      <c r="M10916" s="2">
        <v>41725</v>
      </c>
      <c r="N10916" s="1" t="s">
        <v>8</v>
      </c>
      <c r="O10916" s="1" t="s">
        <v>68</v>
      </c>
    </row>
    <row r="10917" spans="1:15" ht="43.2" x14ac:dyDescent="0.3">
      <c r="A10917" s="1" t="s">
        <v>27334</v>
      </c>
      <c r="B10917" s="1" t="str">
        <f>"Elizabeth Jones"</f>
        <v>Elizabeth Jones</v>
      </c>
      <c r="C10917" s="1" t="s">
        <v>27335</v>
      </c>
      <c r="D10917" s="1" t="s">
        <v>7341</v>
      </c>
      <c r="F10917" s="1" t="s">
        <v>798</v>
      </c>
      <c r="H10917" s="1" t="s">
        <v>27336</v>
      </c>
      <c r="I10917" s="1" t="s">
        <v>5</v>
      </c>
      <c r="J10917" s="1" t="s">
        <v>67</v>
      </c>
      <c r="K10917" s="1" t="s">
        <v>14</v>
      </c>
      <c r="M10917" s="2">
        <v>41725</v>
      </c>
      <c r="N10917" s="1" t="s">
        <v>8</v>
      </c>
      <c r="O10917" s="1" t="s">
        <v>68</v>
      </c>
    </row>
    <row r="10918" spans="1:15" ht="43.2" x14ac:dyDescent="0.3">
      <c r="A10918" s="1" t="s">
        <v>28093</v>
      </c>
      <c r="B10918" s="1" t="str">
        <f>"Elizabeth Jones"</f>
        <v>Elizabeth Jones</v>
      </c>
      <c r="C10918" s="1" t="s">
        <v>27335</v>
      </c>
      <c r="D10918" s="1" t="s">
        <v>7341</v>
      </c>
      <c r="F10918" s="1" t="s">
        <v>798</v>
      </c>
      <c r="H10918" s="1" t="s">
        <v>27336</v>
      </c>
      <c r="I10918" s="1" t="s">
        <v>5</v>
      </c>
      <c r="J10918" s="1" t="s">
        <v>67</v>
      </c>
      <c r="K10918" s="1" t="s">
        <v>14</v>
      </c>
      <c r="M10918" s="2">
        <v>41725</v>
      </c>
      <c r="N10918" s="1" t="s">
        <v>8</v>
      </c>
      <c r="O10918" s="1" t="s">
        <v>68</v>
      </c>
    </row>
    <row r="10919" spans="1:15" ht="43.2" x14ac:dyDescent="0.3">
      <c r="A10919" s="1" t="s">
        <v>28094</v>
      </c>
      <c r="B10919" s="1" t="str">
        <f>"Philip Jones"</f>
        <v>Philip Jones</v>
      </c>
      <c r="C10919" s="1" t="s">
        <v>28095</v>
      </c>
      <c r="D10919" s="1" t="s">
        <v>972</v>
      </c>
      <c r="F10919" s="1" t="s">
        <v>179</v>
      </c>
      <c r="H10919" s="1" t="s">
        <v>28096</v>
      </c>
      <c r="I10919" s="1" t="s">
        <v>5</v>
      </c>
      <c r="J10919" s="1" t="s">
        <v>67</v>
      </c>
      <c r="K10919" s="1" t="s">
        <v>14</v>
      </c>
      <c r="M10919" s="2">
        <v>41725</v>
      </c>
      <c r="N10919" s="1" t="s">
        <v>8</v>
      </c>
      <c r="O10919" s="1" t="s">
        <v>68</v>
      </c>
    </row>
    <row r="10920" spans="1:15" ht="43.2" x14ac:dyDescent="0.3">
      <c r="A10920" s="1" t="s">
        <v>28097</v>
      </c>
      <c r="B10920" s="1" t="str">
        <f>"Philip Jones"</f>
        <v>Philip Jones</v>
      </c>
      <c r="C10920" s="1" t="s">
        <v>28095</v>
      </c>
      <c r="D10920" s="1" t="s">
        <v>972</v>
      </c>
      <c r="F10920" s="1" t="s">
        <v>179</v>
      </c>
      <c r="H10920" s="1" t="s">
        <v>28096</v>
      </c>
      <c r="I10920" s="1" t="s">
        <v>5</v>
      </c>
      <c r="J10920" s="1" t="s">
        <v>67</v>
      </c>
      <c r="K10920" s="1" t="s">
        <v>14</v>
      </c>
      <c r="M10920" s="2">
        <v>41725</v>
      </c>
      <c r="N10920" s="1" t="s">
        <v>8</v>
      </c>
      <c r="O10920" s="1" t="s">
        <v>68</v>
      </c>
    </row>
    <row r="10921" spans="1:15" ht="43.2" x14ac:dyDescent="0.3">
      <c r="A10921" s="1" t="s">
        <v>28098</v>
      </c>
      <c r="B10921" s="1" t="str">
        <f>"John Bowen"</f>
        <v>John Bowen</v>
      </c>
      <c r="C10921" s="1" t="s">
        <v>28099</v>
      </c>
      <c r="F10921" s="1" t="s">
        <v>706</v>
      </c>
      <c r="H10921" s="1" t="s">
        <v>28100</v>
      </c>
      <c r="I10921" s="1" t="s">
        <v>5</v>
      </c>
      <c r="J10921" s="1" t="s">
        <v>67</v>
      </c>
      <c r="K10921" s="1" t="s">
        <v>14</v>
      </c>
      <c r="M10921" s="2">
        <v>41725</v>
      </c>
      <c r="N10921" s="1" t="s">
        <v>8</v>
      </c>
      <c r="O10921" s="1" t="s">
        <v>68</v>
      </c>
    </row>
    <row r="10922" spans="1:15" ht="43.2" x14ac:dyDescent="0.3">
      <c r="A10922" s="1" t="s">
        <v>28101</v>
      </c>
      <c r="B10922" s="1" t="str">
        <f>"John Bowen"</f>
        <v>John Bowen</v>
      </c>
      <c r="C10922" s="1" t="s">
        <v>28099</v>
      </c>
      <c r="F10922" s="1" t="s">
        <v>706</v>
      </c>
      <c r="H10922" s="1" t="s">
        <v>28100</v>
      </c>
      <c r="I10922" s="1" t="s">
        <v>5</v>
      </c>
      <c r="J10922" s="1" t="s">
        <v>67</v>
      </c>
      <c r="K10922" s="1" t="s">
        <v>14</v>
      </c>
      <c r="M10922" s="2">
        <v>41725</v>
      </c>
      <c r="N10922" s="1" t="s">
        <v>8</v>
      </c>
      <c r="O10922" s="1" t="s">
        <v>68</v>
      </c>
    </row>
    <row r="10923" spans="1:15" ht="43.2" x14ac:dyDescent="0.3">
      <c r="A10923" s="1" t="s">
        <v>28102</v>
      </c>
      <c r="B10923" s="1" t="str">
        <f>"Phil Jones"</f>
        <v>Phil Jones</v>
      </c>
      <c r="C10923" s="1" t="s">
        <v>28103</v>
      </c>
      <c r="D10923" s="1" t="s">
        <v>2459</v>
      </c>
      <c r="F10923" s="1" t="s">
        <v>162</v>
      </c>
      <c r="H10923" s="1" t="s">
        <v>28104</v>
      </c>
      <c r="I10923" s="1" t="s">
        <v>5</v>
      </c>
      <c r="J10923" s="1" t="s">
        <v>67</v>
      </c>
      <c r="K10923" s="1" t="s">
        <v>14</v>
      </c>
      <c r="M10923" s="2">
        <v>41725</v>
      </c>
      <c r="N10923" s="1" t="s">
        <v>8</v>
      </c>
      <c r="O10923" s="1" t="s">
        <v>68</v>
      </c>
    </row>
    <row r="10924" spans="1:15" ht="43.2" x14ac:dyDescent="0.3">
      <c r="A10924" s="1" t="s">
        <v>28105</v>
      </c>
      <c r="B10924" s="1" t="str">
        <f>"Philip Harrison"</f>
        <v>Philip Harrison</v>
      </c>
      <c r="C10924" s="1" t="s">
        <v>28106</v>
      </c>
      <c r="D10924" s="1" t="s">
        <v>3142</v>
      </c>
      <c r="F10924" s="1" t="s">
        <v>162</v>
      </c>
      <c r="H10924" s="1" t="s">
        <v>28107</v>
      </c>
      <c r="I10924" s="1" t="s">
        <v>5</v>
      </c>
      <c r="J10924" s="1" t="s">
        <v>67</v>
      </c>
      <c r="K10924" s="1" t="s">
        <v>14</v>
      </c>
      <c r="M10924" s="2">
        <v>41725</v>
      </c>
      <c r="N10924" s="1" t="s">
        <v>8</v>
      </c>
      <c r="O10924" s="1" t="s">
        <v>68</v>
      </c>
    </row>
    <row r="10925" spans="1:15" ht="43.2" x14ac:dyDescent="0.3">
      <c r="A10925" s="1" t="s">
        <v>28108</v>
      </c>
      <c r="B10925" s="1" t="str">
        <f>"Jason Tansley"</f>
        <v>Jason Tansley</v>
      </c>
      <c r="C10925" s="1" t="s">
        <v>28109</v>
      </c>
      <c r="D10925" s="1" t="s">
        <v>28110</v>
      </c>
      <c r="F10925" s="1" t="s">
        <v>721</v>
      </c>
      <c r="H10925" s="1" t="s">
        <v>28111</v>
      </c>
      <c r="I10925" s="1" t="s">
        <v>5</v>
      </c>
      <c r="J10925" s="1" t="s">
        <v>67</v>
      </c>
      <c r="K10925" s="1" t="s">
        <v>14</v>
      </c>
      <c r="M10925" s="2">
        <v>41725</v>
      </c>
      <c r="N10925" s="1" t="s">
        <v>8</v>
      </c>
      <c r="O10925" s="1" t="s">
        <v>68</v>
      </c>
    </row>
    <row r="10926" spans="1:15" ht="43.2" x14ac:dyDescent="0.3">
      <c r="A10926" s="1" t="s">
        <v>28890</v>
      </c>
      <c r="B10926" s="1" t="str">
        <f>"Ryan Lawrence"</f>
        <v>Ryan Lawrence</v>
      </c>
      <c r="C10926" s="1" t="s">
        <v>28891</v>
      </c>
      <c r="D10926" s="1" t="s">
        <v>28892</v>
      </c>
      <c r="F10926" s="1" t="s">
        <v>156</v>
      </c>
      <c r="H10926" s="1" t="s">
        <v>27128</v>
      </c>
      <c r="I10926" s="1" t="s">
        <v>5</v>
      </c>
      <c r="J10926" s="1" t="s">
        <v>67</v>
      </c>
      <c r="K10926" s="1" t="s">
        <v>14</v>
      </c>
      <c r="M10926" s="2">
        <v>41725</v>
      </c>
      <c r="N10926" s="1" t="s">
        <v>8</v>
      </c>
      <c r="O10926" s="1" t="s">
        <v>68</v>
      </c>
    </row>
    <row r="10927" spans="1:15" ht="43.2" x14ac:dyDescent="0.3">
      <c r="A10927" s="1" t="s">
        <v>28893</v>
      </c>
      <c r="B10927" s="1" t="str">
        <f>"Nicholas Powell"</f>
        <v>Nicholas Powell</v>
      </c>
      <c r="C10927" s="1" t="s">
        <v>28894</v>
      </c>
      <c r="F10927" s="1" t="s">
        <v>162</v>
      </c>
      <c r="H10927" s="1" t="s">
        <v>28895</v>
      </c>
      <c r="I10927" s="1" t="s">
        <v>5</v>
      </c>
      <c r="J10927" s="1" t="s">
        <v>67</v>
      </c>
      <c r="K10927" s="1" t="s">
        <v>14</v>
      </c>
      <c r="M10927" s="2">
        <v>41725</v>
      </c>
      <c r="N10927" s="1" t="s">
        <v>8</v>
      </c>
      <c r="O10927" s="1" t="s">
        <v>68</v>
      </c>
    </row>
    <row r="10928" spans="1:15" ht="43.2" x14ac:dyDescent="0.3">
      <c r="A10928" s="1" t="s">
        <v>28896</v>
      </c>
      <c r="B10928" s="1" t="str">
        <f>"Thomas Dodd"</f>
        <v>Thomas Dodd</v>
      </c>
      <c r="C10928" s="1" t="s">
        <v>28897</v>
      </c>
      <c r="D10928" s="1" t="s">
        <v>28898</v>
      </c>
      <c r="F10928" s="1" t="s">
        <v>64</v>
      </c>
      <c r="H10928" s="1" t="s">
        <v>28899</v>
      </c>
      <c r="I10928" s="1" t="s">
        <v>5</v>
      </c>
      <c r="J10928" s="1" t="s">
        <v>67</v>
      </c>
      <c r="K10928" s="1" t="s">
        <v>14</v>
      </c>
      <c r="M10928" s="2">
        <v>41725</v>
      </c>
      <c r="N10928" s="1" t="s">
        <v>8</v>
      </c>
      <c r="O10928" s="1" t="s">
        <v>68</v>
      </c>
    </row>
    <row r="10929" spans="1:15" ht="43.2" x14ac:dyDescent="0.3">
      <c r="A10929" s="1" t="s">
        <v>11078</v>
      </c>
      <c r="B10929" s="1" t="str">
        <f>"British Red Cross"</f>
        <v>British Red Cross</v>
      </c>
      <c r="C10929" s="1" t="s">
        <v>11079</v>
      </c>
      <c r="D10929" s="1" t="s">
        <v>11080</v>
      </c>
      <c r="F10929" s="1" t="s">
        <v>374</v>
      </c>
      <c r="H10929" s="1" t="s">
        <v>11081</v>
      </c>
      <c r="I10929" s="1" t="s">
        <v>1872</v>
      </c>
      <c r="J10929" s="1" t="s">
        <v>67</v>
      </c>
      <c r="K10929" s="1" t="s">
        <v>14</v>
      </c>
      <c r="M10929" s="2">
        <v>41724</v>
      </c>
      <c r="N10929" s="1" t="s">
        <v>8</v>
      </c>
      <c r="O10929" s="1" t="s">
        <v>68</v>
      </c>
    </row>
    <row r="10930" spans="1:15" ht="43.2" x14ac:dyDescent="0.3">
      <c r="A10930" s="1" t="s">
        <v>11082</v>
      </c>
      <c r="B10930" s="1" t="str">
        <f>"Gower Tree Work Specialists"</f>
        <v>Gower Tree Work Specialists</v>
      </c>
      <c r="C10930" s="1" t="s">
        <v>11083</v>
      </c>
      <c r="D10930" s="1" t="s">
        <v>11084</v>
      </c>
      <c r="F10930" s="1" t="s">
        <v>11084</v>
      </c>
      <c r="H10930" s="1" t="s">
        <v>11085</v>
      </c>
      <c r="I10930" s="1" t="s">
        <v>125</v>
      </c>
      <c r="J10930" s="1" t="s">
        <v>67</v>
      </c>
      <c r="K10930" s="1" t="s">
        <v>14</v>
      </c>
      <c r="M10930" s="2">
        <v>41724</v>
      </c>
      <c r="N10930" s="1" t="s">
        <v>8</v>
      </c>
      <c r="O10930" s="1" t="s">
        <v>68</v>
      </c>
    </row>
    <row r="10931" spans="1:15" ht="43.2" x14ac:dyDescent="0.3">
      <c r="A10931" s="1" t="s">
        <v>11086</v>
      </c>
      <c r="B10931" s="1" t="str">
        <f>"Electro Technical Testing Solutions Ltd"</f>
        <v>Electro Technical Testing Solutions Ltd</v>
      </c>
      <c r="C10931" s="1" t="s">
        <v>11087</v>
      </c>
      <c r="D10931" s="1" t="s">
        <v>4331</v>
      </c>
      <c r="F10931" s="1" t="s">
        <v>307</v>
      </c>
      <c r="H10931" s="1" t="s">
        <v>11088</v>
      </c>
      <c r="I10931" s="1" t="s">
        <v>19</v>
      </c>
      <c r="J10931" s="1" t="s">
        <v>67</v>
      </c>
      <c r="K10931" s="1" t="s">
        <v>14</v>
      </c>
      <c r="M10931" s="2">
        <v>41724</v>
      </c>
      <c r="N10931" s="1" t="s">
        <v>8</v>
      </c>
      <c r="O10931" s="1" t="s">
        <v>68</v>
      </c>
    </row>
    <row r="10932" spans="1:15" ht="43.2" x14ac:dyDescent="0.3">
      <c r="A10932" s="1" t="s">
        <v>11089</v>
      </c>
      <c r="B10932" s="1" t="str">
        <f>"Calbarrie West Wales Ltd"</f>
        <v>Calbarrie West Wales Ltd</v>
      </c>
      <c r="C10932" s="1" t="s">
        <v>11090</v>
      </c>
      <c r="D10932" s="1" t="s">
        <v>11091</v>
      </c>
      <c r="F10932" s="1" t="s">
        <v>1351</v>
      </c>
      <c r="H10932" s="1" t="s">
        <v>11092</v>
      </c>
      <c r="I10932" s="1" t="s">
        <v>19</v>
      </c>
      <c r="J10932" s="1" t="s">
        <v>67</v>
      </c>
      <c r="K10932" s="1" t="s">
        <v>14</v>
      </c>
      <c r="M10932" s="2">
        <v>41724</v>
      </c>
      <c r="N10932" s="1" t="s">
        <v>8</v>
      </c>
      <c r="O10932" s="1" t="s">
        <v>68</v>
      </c>
    </row>
    <row r="10933" spans="1:15" ht="43.2" x14ac:dyDescent="0.3">
      <c r="A10933" s="1" t="s">
        <v>11093</v>
      </c>
      <c r="B10933" s="1" t="str">
        <f>"ISB Electrical Services Ltd"</f>
        <v>ISB Electrical Services Ltd</v>
      </c>
      <c r="C10933" s="1" t="s">
        <v>11094</v>
      </c>
      <c r="D10933" s="1" t="s">
        <v>11095</v>
      </c>
      <c r="F10933" s="1" t="s">
        <v>1240</v>
      </c>
      <c r="H10933" s="1" t="s">
        <v>11096</v>
      </c>
      <c r="I10933" s="1" t="s">
        <v>19</v>
      </c>
      <c r="J10933" s="1" t="s">
        <v>67</v>
      </c>
      <c r="K10933" s="1" t="s">
        <v>14</v>
      </c>
      <c r="M10933" s="2">
        <v>41724</v>
      </c>
      <c r="N10933" s="1" t="s">
        <v>8</v>
      </c>
      <c r="O10933" s="1" t="s">
        <v>68</v>
      </c>
    </row>
    <row r="10934" spans="1:15" ht="43.2" x14ac:dyDescent="0.3">
      <c r="A10934" s="1" t="s">
        <v>11097</v>
      </c>
      <c r="B10934" s="1" t="str">
        <f>"Euroclad Ltd"</f>
        <v>Euroclad Ltd</v>
      </c>
      <c r="C10934" s="1" t="s">
        <v>11098</v>
      </c>
      <c r="F10934" s="1" t="s">
        <v>123</v>
      </c>
      <c r="H10934" s="1" t="s">
        <v>11099</v>
      </c>
      <c r="I10934" s="1" t="s">
        <v>19</v>
      </c>
      <c r="J10934" s="1" t="s">
        <v>67</v>
      </c>
      <c r="K10934" s="1" t="s">
        <v>14</v>
      </c>
      <c r="M10934" s="2">
        <v>41724</v>
      </c>
      <c r="N10934" s="1" t="s">
        <v>8</v>
      </c>
      <c r="O10934" s="1" t="s">
        <v>68</v>
      </c>
    </row>
    <row r="10935" spans="1:15" ht="43.2" x14ac:dyDescent="0.3">
      <c r="A10935" s="1" t="s">
        <v>11100</v>
      </c>
      <c r="B10935" s="1" t="str">
        <f>"Malbri Electrical Ltd"</f>
        <v>Malbri Electrical Ltd</v>
      </c>
      <c r="C10935" s="1" t="s">
        <v>11101</v>
      </c>
      <c r="D10935" s="1" t="s">
        <v>10448</v>
      </c>
      <c r="F10935" s="1" t="s">
        <v>3</v>
      </c>
      <c r="H10935" s="1" t="s">
        <v>11102</v>
      </c>
      <c r="I10935" s="1" t="s">
        <v>19</v>
      </c>
      <c r="J10935" s="1" t="s">
        <v>67</v>
      </c>
      <c r="K10935" s="1" t="s">
        <v>14</v>
      </c>
      <c r="M10935" s="2">
        <v>41724</v>
      </c>
      <c r="N10935" s="1" t="s">
        <v>8</v>
      </c>
      <c r="O10935" s="1" t="s">
        <v>68</v>
      </c>
    </row>
    <row r="10936" spans="1:15" ht="43.2" x14ac:dyDescent="0.3">
      <c r="A10936" s="1" t="s">
        <v>11103</v>
      </c>
      <c r="B10936" s="1" t="str">
        <f>"Ian Snow Ltd"</f>
        <v>Ian Snow Ltd</v>
      </c>
      <c r="C10936" s="1" t="s">
        <v>11104</v>
      </c>
      <c r="D10936" s="1" t="s">
        <v>11105</v>
      </c>
      <c r="F10936" s="1" t="s">
        <v>11106</v>
      </c>
      <c r="H10936" s="1" t="s">
        <v>11107</v>
      </c>
      <c r="I10936" s="1" t="s">
        <v>19</v>
      </c>
      <c r="J10936" s="1" t="s">
        <v>67</v>
      </c>
      <c r="K10936" s="1" t="s">
        <v>14</v>
      </c>
      <c r="M10936" s="2">
        <v>41724</v>
      </c>
      <c r="N10936" s="1" t="s">
        <v>8</v>
      </c>
      <c r="O10936" s="1" t="s">
        <v>68</v>
      </c>
    </row>
    <row r="10937" spans="1:15" ht="43.2" x14ac:dyDescent="0.3">
      <c r="A10937" s="1" t="s">
        <v>12102</v>
      </c>
      <c r="B10937" s="1" t="str">
        <f>"Slaters of Abergele ltd"</f>
        <v>Slaters of Abergele ltd</v>
      </c>
      <c r="C10937" s="1" t="s">
        <v>12103</v>
      </c>
      <c r="F10937" s="1" t="s">
        <v>374</v>
      </c>
      <c r="H10937" s="1" t="s">
        <v>12104</v>
      </c>
      <c r="I10937" s="1" t="s">
        <v>19</v>
      </c>
      <c r="J10937" s="1" t="s">
        <v>67</v>
      </c>
      <c r="K10937" s="1" t="s">
        <v>14</v>
      </c>
      <c r="M10937" s="2">
        <v>41724</v>
      </c>
      <c r="N10937" s="1" t="s">
        <v>8</v>
      </c>
      <c r="O10937" s="1" t="s">
        <v>68</v>
      </c>
    </row>
    <row r="10938" spans="1:15" ht="43.2" x14ac:dyDescent="0.3">
      <c r="A10938" s="1" t="s">
        <v>12105</v>
      </c>
      <c r="B10938" s="1" t="str">
        <f>"JPG Site Services Ltd"</f>
        <v>JPG Site Services Ltd</v>
      </c>
      <c r="C10938" s="1" t="s">
        <v>12106</v>
      </c>
      <c r="F10938" s="1" t="s">
        <v>3465</v>
      </c>
      <c r="H10938" s="1" t="s">
        <v>12107</v>
      </c>
      <c r="I10938" s="1" t="s">
        <v>19</v>
      </c>
      <c r="J10938" s="1" t="s">
        <v>67</v>
      </c>
      <c r="K10938" s="1" t="s">
        <v>14</v>
      </c>
      <c r="M10938" s="2">
        <v>41724</v>
      </c>
      <c r="N10938" s="1" t="s">
        <v>8</v>
      </c>
      <c r="O10938" s="1" t="s">
        <v>68</v>
      </c>
    </row>
    <row r="10939" spans="1:15" ht="43.2" x14ac:dyDescent="0.3">
      <c r="A10939" s="1" t="s">
        <v>12108</v>
      </c>
      <c r="B10939" s="1" t="str">
        <f>"EMC Services Wales Ltd"</f>
        <v>EMC Services Wales Ltd</v>
      </c>
      <c r="C10939" s="1" t="s">
        <v>12109</v>
      </c>
      <c r="F10939" s="1" t="s">
        <v>666</v>
      </c>
      <c r="H10939" s="1" t="s">
        <v>12110</v>
      </c>
      <c r="I10939" s="1" t="s">
        <v>19</v>
      </c>
      <c r="J10939" s="1" t="s">
        <v>67</v>
      </c>
      <c r="K10939" s="1" t="s">
        <v>14</v>
      </c>
      <c r="M10939" s="2">
        <v>41724</v>
      </c>
      <c r="N10939" s="1" t="s">
        <v>8</v>
      </c>
      <c r="O10939" s="1" t="s">
        <v>68</v>
      </c>
    </row>
    <row r="10940" spans="1:15" ht="43.2" x14ac:dyDescent="0.3">
      <c r="A10940" s="1" t="s">
        <v>12111</v>
      </c>
      <c r="B10940" s="1" t="str">
        <f>"EMC Services Wales Ltd"</f>
        <v>EMC Services Wales Ltd</v>
      </c>
      <c r="C10940" s="1" t="s">
        <v>12109</v>
      </c>
      <c r="F10940" s="1" t="s">
        <v>666</v>
      </c>
      <c r="H10940" s="1" t="s">
        <v>12110</v>
      </c>
      <c r="I10940" s="1" t="s">
        <v>19</v>
      </c>
      <c r="J10940" s="1" t="s">
        <v>67</v>
      </c>
      <c r="K10940" s="1" t="s">
        <v>14</v>
      </c>
      <c r="M10940" s="2">
        <v>41724</v>
      </c>
      <c r="N10940" s="1" t="s">
        <v>8</v>
      </c>
      <c r="O10940" s="1" t="s">
        <v>68</v>
      </c>
    </row>
    <row r="10941" spans="1:15" ht="43.2" x14ac:dyDescent="0.3">
      <c r="A10941" s="1" t="s">
        <v>12112</v>
      </c>
      <c r="B10941" s="1" t="str">
        <f>"EMC Services Wales Ltd"</f>
        <v>EMC Services Wales Ltd</v>
      </c>
      <c r="C10941" s="1" t="s">
        <v>12109</v>
      </c>
      <c r="F10941" s="1" t="s">
        <v>666</v>
      </c>
      <c r="H10941" s="1" t="s">
        <v>12110</v>
      </c>
      <c r="I10941" s="1" t="s">
        <v>19</v>
      </c>
      <c r="J10941" s="1" t="s">
        <v>67</v>
      </c>
      <c r="K10941" s="1" t="s">
        <v>14</v>
      </c>
      <c r="M10941" s="2">
        <v>41724</v>
      </c>
      <c r="N10941" s="1" t="s">
        <v>8</v>
      </c>
      <c r="O10941" s="1" t="s">
        <v>68</v>
      </c>
    </row>
    <row r="10942" spans="1:15" ht="43.2" x14ac:dyDescent="0.3">
      <c r="A10942" s="1" t="s">
        <v>12113</v>
      </c>
      <c r="B10942" s="1" t="str">
        <f>"EMC Services Wales Ltd"</f>
        <v>EMC Services Wales Ltd</v>
      </c>
      <c r="C10942" s="1" t="s">
        <v>12109</v>
      </c>
      <c r="F10942" s="1" t="s">
        <v>666</v>
      </c>
      <c r="H10942" s="1" t="s">
        <v>12110</v>
      </c>
      <c r="I10942" s="1" t="s">
        <v>19</v>
      </c>
      <c r="J10942" s="1" t="s">
        <v>67</v>
      </c>
      <c r="K10942" s="1" t="s">
        <v>14</v>
      </c>
      <c r="M10942" s="2">
        <v>41724</v>
      </c>
      <c r="N10942" s="1" t="s">
        <v>8</v>
      </c>
      <c r="O10942" s="1" t="s">
        <v>68</v>
      </c>
    </row>
    <row r="10943" spans="1:15" ht="43.2" x14ac:dyDescent="0.3">
      <c r="A10943" s="1" t="s">
        <v>12114</v>
      </c>
      <c r="B10943" s="1" t="str">
        <f>"EMC Services Wales Ltd"</f>
        <v>EMC Services Wales Ltd</v>
      </c>
      <c r="C10943" s="1" t="s">
        <v>12109</v>
      </c>
      <c r="F10943" s="1" t="s">
        <v>666</v>
      </c>
      <c r="H10943" s="1" t="s">
        <v>12110</v>
      </c>
      <c r="I10943" s="1" t="s">
        <v>19</v>
      </c>
      <c r="J10943" s="1" t="s">
        <v>67</v>
      </c>
      <c r="K10943" s="1" t="s">
        <v>14</v>
      </c>
      <c r="M10943" s="2">
        <v>41724</v>
      </c>
      <c r="N10943" s="1" t="s">
        <v>8</v>
      </c>
      <c r="O10943" s="1" t="s">
        <v>68</v>
      </c>
    </row>
    <row r="10944" spans="1:15" ht="43.2" x14ac:dyDescent="0.3">
      <c r="A10944" s="1" t="s">
        <v>12115</v>
      </c>
      <c r="B10944" s="1" t="str">
        <f>"EMC Services Wales Ltd"</f>
        <v>EMC Services Wales Ltd</v>
      </c>
      <c r="C10944" s="1" t="s">
        <v>12109</v>
      </c>
      <c r="F10944" s="1" t="s">
        <v>666</v>
      </c>
      <c r="H10944" s="1" t="s">
        <v>12110</v>
      </c>
      <c r="I10944" s="1" t="s">
        <v>19</v>
      </c>
      <c r="J10944" s="1" t="s">
        <v>67</v>
      </c>
      <c r="K10944" s="1" t="s">
        <v>14</v>
      </c>
      <c r="M10944" s="2">
        <v>41724</v>
      </c>
      <c r="N10944" s="1" t="s">
        <v>8</v>
      </c>
      <c r="O10944" s="1" t="s">
        <v>68</v>
      </c>
    </row>
    <row r="10945" spans="1:15" ht="43.2" x14ac:dyDescent="0.3">
      <c r="A10945" s="1" t="s">
        <v>12116</v>
      </c>
      <c r="B10945" s="1" t="str">
        <f>"Threeways Garage"</f>
        <v>Threeways Garage</v>
      </c>
      <c r="C10945" s="1" t="s">
        <v>12117</v>
      </c>
      <c r="F10945" s="1" t="s">
        <v>374</v>
      </c>
      <c r="H10945" s="1" t="s">
        <v>12118</v>
      </c>
      <c r="I10945" s="1" t="s">
        <v>19</v>
      </c>
      <c r="J10945" s="1" t="s">
        <v>67</v>
      </c>
      <c r="K10945" s="1" t="s">
        <v>14</v>
      </c>
      <c r="M10945" s="2">
        <v>41724</v>
      </c>
      <c r="N10945" s="1" t="s">
        <v>8</v>
      </c>
      <c r="O10945" s="1" t="s">
        <v>68</v>
      </c>
    </row>
    <row r="10946" spans="1:15" ht="43.2" x14ac:dyDescent="0.3">
      <c r="A10946" s="1" t="s">
        <v>12119</v>
      </c>
      <c r="B10946" s="1" t="str">
        <f>"EMC Services Wales Ltd"</f>
        <v>EMC Services Wales Ltd</v>
      </c>
      <c r="C10946" s="1" t="s">
        <v>12109</v>
      </c>
      <c r="F10946" s="1" t="s">
        <v>666</v>
      </c>
      <c r="H10946" s="1" t="s">
        <v>12110</v>
      </c>
      <c r="I10946" s="1" t="s">
        <v>19</v>
      </c>
      <c r="J10946" s="1" t="s">
        <v>67</v>
      </c>
      <c r="K10946" s="1" t="s">
        <v>14</v>
      </c>
      <c r="M10946" s="2">
        <v>41724</v>
      </c>
      <c r="N10946" s="1" t="s">
        <v>8</v>
      </c>
      <c r="O10946" s="1" t="s">
        <v>68</v>
      </c>
    </row>
    <row r="10947" spans="1:15" ht="43.2" x14ac:dyDescent="0.3">
      <c r="A10947" s="1" t="s">
        <v>12120</v>
      </c>
      <c r="B10947" s="1" t="str">
        <f>"EMC Services Wales Ltd"</f>
        <v>EMC Services Wales Ltd</v>
      </c>
      <c r="C10947" s="1" t="s">
        <v>12109</v>
      </c>
      <c r="F10947" s="1" t="s">
        <v>666</v>
      </c>
      <c r="H10947" s="1" t="s">
        <v>12110</v>
      </c>
      <c r="I10947" s="1" t="s">
        <v>19</v>
      </c>
      <c r="J10947" s="1" t="s">
        <v>67</v>
      </c>
      <c r="K10947" s="1" t="s">
        <v>14</v>
      </c>
      <c r="M10947" s="2">
        <v>41724</v>
      </c>
      <c r="N10947" s="1" t="s">
        <v>8</v>
      </c>
      <c r="O10947" s="1" t="s">
        <v>68</v>
      </c>
    </row>
    <row r="10948" spans="1:15" ht="43.2" x14ac:dyDescent="0.3">
      <c r="A10948" s="1" t="s">
        <v>12121</v>
      </c>
      <c r="B10948" s="1" t="str">
        <f>"Threeways Garage"</f>
        <v>Threeways Garage</v>
      </c>
      <c r="C10948" s="1" t="s">
        <v>12117</v>
      </c>
      <c r="F10948" s="1" t="s">
        <v>374</v>
      </c>
      <c r="H10948" s="1" t="s">
        <v>12118</v>
      </c>
      <c r="I10948" s="1" t="s">
        <v>19</v>
      </c>
      <c r="J10948" s="1" t="s">
        <v>67</v>
      </c>
      <c r="K10948" s="1" t="s">
        <v>14</v>
      </c>
      <c r="M10948" s="2">
        <v>41724</v>
      </c>
      <c r="N10948" s="1" t="s">
        <v>8</v>
      </c>
      <c r="O10948" s="1" t="s">
        <v>68</v>
      </c>
    </row>
    <row r="10949" spans="1:15" ht="43.2" x14ac:dyDescent="0.3">
      <c r="A10949" s="1" t="s">
        <v>12122</v>
      </c>
      <c r="B10949" s="1" t="str">
        <f>"EMC Services Wales Ltd"</f>
        <v>EMC Services Wales Ltd</v>
      </c>
      <c r="C10949" s="1" t="s">
        <v>12109</v>
      </c>
      <c r="F10949" s="1" t="s">
        <v>666</v>
      </c>
      <c r="H10949" s="1" t="s">
        <v>12110</v>
      </c>
      <c r="I10949" s="1" t="s">
        <v>19</v>
      </c>
      <c r="J10949" s="1" t="s">
        <v>67</v>
      </c>
      <c r="K10949" s="1" t="s">
        <v>14</v>
      </c>
      <c r="M10949" s="2">
        <v>41724</v>
      </c>
      <c r="N10949" s="1" t="s">
        <v>8</v>
      </c>
      <c r="O10949" s="1" t="s">
        <v>68</v>
      </c>
    </row>
    <row r="10950" spans="1:15" ht="43.2" x14ac:dyDescent="0.3">
      <c r="A10950" s="1" t="s">
        <v>12123</v>
      </c>
      <c r="B10950" s="1" t="str">
        <f>"Threeways Garage"</f>
        <v>Threeways Garage</v>
      </c>
      <c r="C10950" s="1" t="s">
        <v>12117</v>
      </c>
      <c r="F10950" s="1" t="s">
        <v>374</v>
      </c>
      <c r="H10950" s="1" t="s">
        <v>12118</v>
      </c>
      <c r="I10950" s="1" t="s">
        <v>19</v>
      </c>
      <c r="J10950" s="1" t="s">
        <v>67</v>
      </c>
      <c r="K10950" s="1" t="s">
        <v>14</v>
      </c>
      <c r="M10950" s="2">
        <v>41724</v>
      </c>
      <c r="N10950" s="1" t="s">
        <v>8</v>
      </c>
      <c r="O10950" s="1" t="s">
        <v>68</v>
      </c>
    </row>
    <row r="10951" spans="1:15" ht="43.2" x14ac:dyDescent="0.3">
      <c r="A10951" s="1" t="s">
        <v>12124</v>
      </c>
      <c r="B10951" s="1" t="str">
        <f>"EMC Services Wales Ltd"</f>
        <v>EMC Services Wales Ltd</v>
      </c>
      <c r="C10951" s="1" t="s">
        <v>12109</v>
      </c>
      <c r="F10951" s="1" t="s">
        <v>666</v>
      </c>
      <c r="H10951" s="1" t="s">
        <v>12110</v>
      </c>
      <c r="I10951" s="1" t="s">
        <v>19</v>
      </c>
      <c r="J10951" s="1" t="s">
        <v>67</v>
      </c>
      <c r="K10951" s="1" t="s">
        <v>14</v>
      </c>
      <c r="M10951" s="2">
        <v>41724</v>
      </c>
      <c r="N10951" s="1" t="s">
        <v>8</v>
      </c>
      <c r="O10951" s="1" t="s">
        <v>68</v>
      </c>
    </row>
    <row r="10952" spans="1:15" ht="43.2" x14ac:dyDescent="0.3">
      <c r="A10952" s="1" t="s">
        <v>13130</v>
      </c>
      <c r="B10952" s="1" t="str">
        <f>"EMC Services Wales Ltd"</f>
        <v>EMC Services Wales Ltd</v>
      </c>
      <c r="C10952" s="1" t="s">
        <v>12109</v>
      </c>
      <c r="F10952" s="1" t="s">
        <v>666</v>
      </c>
      <c r="H10952" s="1" t="s">
        <v>12110</v>
      </c>
      <c r="I10952" s="1" t="s">
        <v>19</v>
      </c>
      <c r="J10952" s="1" t="s">
        <v>67</v>
      </c>
      <c r="K10952" s="1" t="s">
        <v>14</v>
      </c>
      <c r="M10952" s="2">
        <v>41724</v>
      </c>
      <c r="N10952" s="1" t="s">
        <v>8</v>
      </c>
      <c r="O10952" s="1" t="s">
        <v>68</v>
      </c>
    </row>
    <row r="10953" spans="1:15" ht="43.2" x14ac:dyDescent="0.3">
      <c r="A10953" s="1" t="s">
        <v>13131</v>
      </c>
      <c r="B10953" s="1" t="str">
        <f>"Threeways Garage"</f>
        <v>Threeways Garage</v>
      </c>
      <c r="C10953" s="1" t="s">
        <v>12117</v>
      </c>
      <c r="F10953" s="1" t="s">
        <v>374</v>
      </c>
      <c r="H10953" s="1" t="s">
        <v>12118</v>
      </c>
      <c r="I10953" s="1" t="s">
        <v>19</v>
      </c>
      <c r="J10953" s="1" t="s">
        <v>67</v>
      </c>
      <c r="K10953" s="1" t="s">
        <v>14</v>
      </c>
      <c r="M10953" s="2">
        <v>41724</v>
      </c>
      <c r="N10953" s="1" t="s">
        <v>8</v>
      </c>
      <c r="O10953" s="1" t="s">
        <v>68</v>
      </c>
    </row>
    <row r="10954" spans="1:15" ht="43.2" x14ac:dyDescent="0.3">
      <c r="A10954" s="1" t="s">
        <v>13132</v>
      </c>
      <c r="B10954" s="1" t="str">
        <f>"Cwmbran Community Council"</f>
        <v>Cwmbran Community Council</v>
      </c>
      <c r="C10954" s="1" t="s">
        <v>13133</v>
      </c>
      <c r="F10954" s="1" t="s">
        <v>380</v>
      </c>
      <c r="H10954" s="1" t="s">
        <v>13134</v>
      </c>
      <c r="I10954" s="1" t="s">
        <v>188</v>
      </c>
      <c r="J10954" s="1" t="s">
        <v>67</v>
      </c>
      <c r="K10954" s="1" t="s">
        <v>14</v>
      </c>
      <c r="M10954" s="2">
        <v>41724</v>
      </c>
      <c r="N10954" s="1" t="s">
        <v>8</v>
      </c>
      <c r="O10954" s="1" t="s">
        <v>68</v>
      </c>
    </row>
    <row r="10955" spans="1:15" ht="43.2" x14ac:dyDescent="0.3">
      <c r="A10955" s="1" t="s">
        <v>13135</v>
      </c>
      <c r="B10955" s="1" t="str">
        <f>"G Owen and Sons"</f>
        <v>G Owen and Sons</v>
      </c>
      <c r="C10955" s="1" t="s">
        <v>13136</v>
      </c>
      <c r="D10955" s="1" t="s">
        <v>3465</v>
      </c>
      <c r="F10955" s="1" t="s">
        <v>162</v>
      </c>
      <c r="H10955" s="1" t="s">
        <v>2015</v>
      </c>
      <c r="I10955" s="1" t="s">
        <v>19</v>
      </c>
      <c r="J10955" s="1" t="s">
        <v>67</v>
      </c>
      <c r="K10955" s="1" t="s">
        <v>14</v>
      </c>
      <c r="M10955" s="2">
        <v>41724</v>
      </c>
      <c r="N10955" s="1" t="s">
        <v>8</v>
      </c>
      <c r="O10955" s="1" t="s">
        <v>68</v>
      </c>
    </row>
    <row r="10956" spans="1:15" ht="43.2" x14ac:dyDescent="0.3">
      <c r="A10956" s="1" t="s">
        <v>13137</v>
      </c>
      <c r="B10956" s="1" t="str">
        <f>"Brecon Car Sales"</f>
        <v>Brecon Car Sales</v>
      </c>
      <c r="C10956" s="1" t="s">
        <v>13138</v>
      </c>
      <c r="F10956" s="1" t="s">
        <v>1206</v>
      </c>
      <c r="H10956" s="1" t="s">
        <v>13139</v>
      </c>
      <c r="I10956" s="1" t="s">
        <v>125</v>
      </c>
      <c r="J10956" s="1" t="s">
        <v>67</v>
      </c>
      <c r="K10956" s="1" t="s">
        <v>14</v>
      </c>
      <c r="M10956" s="2">
        <v>41724</v>
      </c>
      <c r="N10956" s="1" t="s">
        <v>8</v>
      </c>
      <c r="O10956" s="1" t="s">
        <v>68</v>
      </c>
    </row>
    <row r="10957" spans="1:15" ht="43.2" x14ac:dyDescent="0.3">
      <c r="A10957" s="1" t="s">
        <v>13140</v>
      </c>
      <c r="B10957" s="1" t="str">
        <f>"Byteback Systems"</f>
        <v>Byteback Systems</v>
      </c>
      <c r="C10957" s="1" t="s">
        <v>13141</v>
      </c>
      <c r="D10957" s="1" t="s">
        <v>1818</v>
      </c>
      <c r="F10957" s="1" t="s">
        <v>162</v>
      </c>
      <c r="H10957" s="1" t="s">
        <v>4375</v>
      </c>
      <c r="I10957" s="1" t="s">
        <v>19</v>
      </c>
      <c r="J10957" s="1" t="s">
        <v>67</v>
      </c>
      <c r="K10957" s="1" t="s">
        <v>14</v>
      </c>
      <c r="M10957" s="2">
        <v>41724</v>
      </c>
      <c r="N10957" s="1" t="s">
        <v>8</v>
      </c>
      <c r="O10957" s="1" t="s">
        <v>68</v>
      </c>
    </row>
    <row r="10958" spans="1:15" ht="43.2" x14ac:dyDescent="0.3">
      <c r="A10958" s="1" t="s">
        <v>13142</v>
      </c>
      <c r="B10958" s="1" t="str">
        <f>"Newtown and Llanllwchaearn Town Council"</f>
        <v>Newtown and Llanllwchaearn Town Council</v>
      </c>
      <c r="C10958" s="1" t="s">
        <v>13143</v>
      </c>
      <c r="D10958" s="1" t="s">
        <v>3465</v>
      </c>
      <c r="F10958" s="1" t="s">
        <v>162</v>
      </c>
      <c r="H10958" s="1" t="s">
        <v>13144</v>
      </c>
      <c r="I10958" s="1" t="s">
        <v>188</v>
      </c>
      <c r="J10958" s="1" t="s">
        <v>67</v>
      </c>
      <c r="K10958" s="1" t="s">
        <v>14</v>
      </c>
      <c r="M10958" s="2">
        <v>41724</v>
      </c>
      <c r="N10958" s="1" t="s">
        <v>8</v>
      </c>
      <c r="O10958" s="1" t="s">
        <v>68</v>
      </c>
    </row>
    <row r="10959" spans="1:15" ht="43.2" x14ac:dyDescent="0.3">
      <c r="A10959" s="1" t="s">
        <v>13145</v>
      </c>
      <c r="B10959" s="1" t="str">
        <f>"Tim O'Brien Ltd"</f>
        <v>Tim O'Brien Ltd</v>
      </c>
      <c r="C10959" s="1" t="s">
        <v>13146</v>
      </c>
      <c r="F10959" s="1" t="s">
        <v>156</v>
      </c>
      <c r="H10959" s="1" t="s">
        <v>13147</v>
      </c>
      <c r="I10959" s="1" t="s">
        <v>19</v>
      </c>
      <c r="J10959" s="1" t="s">
        <v>67</v>
      </c>
      <c r="K10959" s="1" t="s">
        <v>14</v>
      </c>
      <c r="M10959" s="2">
        <v>41724</v>
      </c>
      <c r="N10959" s="1" t="s">
        <v>8</v>
      </c>
      <c r="O10959" s="1" t="s">
        <v>68</v>
      </c>
    </row>
    <row r="10960" spans="1:15" ht="43.2" x14ac:dyDescent="0.3">
      <c r="A10960" s="1" t="s">
        <v>13148</v>
      </c>
      <c r="B10960" s="1" t="str">
        <f>"Aqua Zone Ltd"</f>
        <v>Aqua Zone Ltd</v>
      </c>
      <c r="C10960" s="1" t="s">
        <v>13149</v>
      </c>
      <c r="D10960" s="1" t="s">
        <v>7341</v>
      </c>
      <c r="F10960" s="1" t="s">
        <v>6825</v>
      </c>
      <c r="H10960" s="1" t="s">
        <v>10953</v>
      </c>
      <c r="I10960" s="1" t="s">
        <v>19</v>
      </c>
      <c r="J10960" s="1" t="s">
        <v>67</v>
      </c>
      <c r="K10960" s="1" t="s">
        <v>14</v>
      </c>
      <c r="M10960" s="2">
        <v>41724</v>
      </c>
      <c r="N10960" s="1" t="s">
        <v>8</v>
      </c>
      <c r="O10960" s="1" t="s">
        <v>68</v>
      </c>
    </row>
    <row r="10961" spans="1:15" ht="43.2" x14ac:dyDescent="0.3">
      <c r="A10961" s="1" t="s">
        <v>13150</v>
      </c>
      <c r="B10961" s="1" t="str">
        <f>"Harleys"</f>
        <v>Harleys</v>
      </c>
      <c r="C10961" s="1" t="s">
        <v>13151</v>
      </c>
      <c r="D10961" s="1" t="s">
        <v>1206</v>
      </c>
      <c r="F10961" s="1" t="s">
        <v>162</v>
      </c>
      <c r="H10961" s="1" t="s">
        <v>13152</v>
      </c>
      <c r="I10961" s="1" t="s">
        <v>125</v>
      </c>
      <c r="J10961" s="1" t="s">
        <v>67</v>
      </c>
      <c r="K10961" s="1" t="s">
        <v>14</v>
      </c>
      <c r="M10961" s="2">
        <v>41724</v>
      </c>
      <c r="N10961" s="1" t="s">
        <v>8</v>
      </c>
      <c r="O10961" s="1" t="s">
        <v>68</v>
      </c>
    </row>
    <row r="10962" spans="1:15" ht="43.2" x14ac:dyDescent="0.3">
      <c r="A10962" s="1" t="s">
        <v>14117</v>
      </c>
      <c r="B10962" s="1" t="str">
        <f>"The Very Efficient Heating Company Limited"</f>
        <v>The Very Efficient Heating Company Limited</v>
      </c>
      <c r="C10962" s="1" t="s">
        <v>14118</v>
      </c>
      <c r="F10962" s="1" t="s">
        <v>1818</v>
      </c>
      <c r="H10962" s="1" t="s">
        <v>4375</v>
      </c>
      <c r="I10962" s="1" t="s">
        <v>19</v>
      </c>
      <c r="J10962" s="1" t="s">
        <v>67</v>
      </c>
      <c r="K10962" s="1" t="s">
        <v>14</v>
      </c>
      <c r="M10962" s="2">
        <v>41724</v>
      </c>
      <c r="N10962" s="1" t="s">
        <v>8</v>
      </c>
      <c r="O10962" s="1" t="s">
        <v>68</v>
      </c>
    </row>
    <row r="10963" spans="1:15" ht="43.2" x14ac:dyDescent="0.3">
      <c r="A10963" s="1" t="s">
        <v>14119</v>
      </c>
      <c r="B10963" s="1" t="str">
        <f>"Assisted Resources for Communities"</f>
        <v>Assisted Resources for Communities</v>
      </c>
      <c r="C10963" s="1" t="s">
        <v>14120</v>
      </c>
      <c r="F10963" s="1" t="s">
        <v>13961</v>
      </c>
      <c r="H10963" s="1" t="s">
        <v>14121</v>
      </c>
      <c r="I10963" s="1" t="s">
        <v>1872</v>
      </c>
      <c r="J10963" s="1" t="s">
        <v>67</v>
      </c>
      <c r="K10963" s="1" t="s">
        <v>14</v>
      </c>
      <c r="M10963" s="2">
        <v>41724</v>
      </c>
      <c r="N10963" s="1" t="s">
        <v>8</v>
      </c>
      <c r="O10963" s="1" t="s">
        <v>68</v>
      </c>
    </row>
    <row r="10964" spans="1:15" ht="43.2" x14ac:dyDescent="0.3">
      <c r="A10964" s="1" t="s">
        <v>24135</v>
      </c>
      <c r="B10964" s="1" t="str">
        <f>"Stuart Todd"</f>
        <v>Stuart Todd</v>
      </c>
      <c r="C10964" s="1" t="s">
        <v>24136</v>
      </c>
      <c r="D10964" s="1" t="s">
        <v>24137</v>
      </c>
      <c r="F10964" s="1" t="s">
        <v>358</v>
      </c>
      <c r="H10964" s="1" t="s">
        <v>24138</v>
      </c>
      <c r="I10964" s="1" t="s">
        <v>5</v>
      </c>
      <c r="J10964" s="1" t="s">
        <v>67</v>
      </c>
      <c r="K10964" s="1" t="s">
        <v>14</v>
      </c>
      <c r="M10964" s="2">
        <v>41724</v>
      </c>
      <c r="N10964" s="1" t="s">
        <v>8</v>
      </c>
      <c r="O10964" s="1" t="s">
        <v>68</v>
      </c>
    </row>
    <row r="10965" spans="1:15" ht="43.2" x14ac:dyDescent="0.3">
      <c r="A10965" s="1" t="s">
        <v>24139</v>
      </c>
      <c r="B10965" s="1" t="str">
        <f>"Farhad Ali"</f>
        <v>Farhad Ali</v>
      </c>
      <c r="C10965" s="1" t="s">
        <v>24140</v>
      </c>
      <c r="D10965" s="1" t="s">
        <v>1042</v>
      </c>
      <c r="F10965" s="1" t="s">
        <v>123</v>
      </c>
      <c r="H10965" s="1" t="s">
        <v>24141</v>
      </c>
      <c r="I10965" s="1" t="s">
        <v>5</v>
      </c>
      <c r="J10965" s="1" t="s">
        <v>67</v>
      </c>
      <c r="K10965" s="1" t="s">
        <v>14</v>
      </c>
      <c r="M10965" s="2">
        <v>41724</v>
      </c>
      <c r="N10965" s="1" t="s">
        <v>8</v>
      </c>
      <c r="O10965" s="1" t="s">
        <v>68</v>
      </c>
    </row>
    <row r="10966" spans="1:15" ht="43.2" x14ac:dyDescent="0.3">
      <c r="A10966" s="1" t="s">
        <v>24142</v>
      </c>
      <c r="B10966" s="1" t="str">
        <f>"Patrick Wadia"</f>
        <v>Patrick Wadia</v>
      </c>
      <c r="C10966" s="1" t="s">
        <v>24143</v>
      </c>
      <c r="D10966" s="1" t="s">
        <v>1226</v>
      </c>
      <c r="F10966" s="1" t="s">
        <v>666</v>
      </c>
      <c r="H10966" s="1" t="s">
        <v>24144</v>
      </c>
      <c r="I10966" s="1" t="s">
        <v>5</v>
      </c>
      <c r="J10966" s="1" t="s">
        <v>67</v>
      </c>
      <c r="K10966" s="1" t="s">
        <v>14</v>
      </c>
      <c r="M10966" s="2">
        <v>41724</v>
      </c>
      <c r="N10966" s="1" t="s">
        <v>8</v>
      </c>
      <c r="O10966" s="1" t="s">
        <v>68</v>
      </c>
    </row>
    <row r="10967" spans="1:15" ht="43.2" x14ac:dyDescent="0.3">
      <c r="A10967" s="1" t="s">
        <v>24145</v>
      </c>
      <c r="B10967" s="1" t="str">
        <f>"Lewis Williams"</f>
        <v>Lewis Williams</v>
      </c>
      <c r="C10967" s="1" t="s">
        <v>24146</v>
      </c>
      <c r="D10967" s="1" t="s">
        <v>24147</v>
      </c>
      <c r="F10967" s="1" t="s">
        <v>24148</v>
      </c>
      <c r="H10967" s="1" t="s">
        <v>24149</v>
      </c>
      <c r="I10967" s="1" t="s">
        <v>5</v>
      </c>
      <c r="J10967" s="1" t="s">
        <v>67</v>
      </c>
      <c r="K10967" s="1" t="s">
        <v>14</v>
      </c>
      <c r="M10967" s="2">
        <v>41724</v>
      </c>
      <c r="N10967" s="1" t="s">
        <v>8</v>
      </c>
      <c r="O10967" s="1" t="s">
        <v>68</v>
      </c>
    </row>
    <row r="10968" spans="1:15" ht="43.2" x14ac:dyDescent="0.3">
      <c r="A10968" s="1" t="s">
        <v>25734</v>
      </c>
      <c r="B10968" s="1" t="str">
        <f>"Punna Singh"</f>
        <v>Punna Singh</v>
      </c>
      <c r="C10968" s="1" t="s">
        <v>25735</v>
      </c>
      <c r="D10968" s="1" t="s">
        <v>10159</v>
      </c>
      <c r="F10968" s="1" t="s">
        <v>123</v>
      </c>
      <c r="H10968" s="1" t="s">
        <v>25736</v>
      </c>
      <c r="I10968" s="1" t="s">
        <v>5</v>
      </c>
      <c r="J10968" s="1" t="s">
        <v>67</v>
      </c>
      <c r="K10968" s="1" t="s">
        <v>14</v>
      </c>
      <c r="M10968" s="2">
        <v>41724</v>
      </c>
      <c r="N10968" s="1" t="s">
        <v>8</v>
      </c>
      <c r="O10968" s="1" t="s">
        <v>68</v>
      </c>
    </row>
    <row r="10969" spans="1:15" ht="43.2" x14ac:dyDescent="0.3">
      <c r="A10969" s="1" t="s">
        <v>25737</v>
      </c>
      <c r="B10969" s="1" t="str">
        <f>"Elwyn Powell"</f>
        <v>Elwyn Powell</v>
      </c>
      <c r="C10969" s="1" t="s">
        <v>25738</v>
      </c>
      <c r="D10969" s="1" t="s">
        <v>25739</v>
      </c>
      <c r="F10969" s="1" t="s">
        <v>162</v>
      </c>
      <c r="H10969" s="1" t="s">
        <v>25740</v>
      </c>
      <c r="I10969" s="1" t="s">
        <v>5</v>
      </c>
      <c r="J10969" s="1" t="s">
        <v>67</v>
      </c>
      <c r="K10969" s="1" t="s">
        <v>14</v>
      </c>
      <c r="M10969" s="2">
        <v>41724</v>
      </c>
      <c r="N10969" s="1" t="s">
        <v>8</v>
      </c>
      <c r="O10969" s="1" t="s">
        <v>68</v>
      </c>
    </row>
    <row r="10970" spans="1:15" ht="43.2" x14ac:dyDescent="0.3">
      <c r="A10970" s="1" t="s">
        <v>25741</v>
      </c>
      <c r="B10970" s="1" t="str">
        <f>"Siavash Niamir"</f>
        <v>Siavash Niamir</v>
      </c>
      <c r="C10970" s="1" t="s">
        <v>25742</v>
      </c>
      <c r="D10970" s="1" t="s">
        <v>25743</v>
      </c>
      <c r="F10970" s="1" t="s">
        <v>380</v>
      </c>
      <c r="H10970" s="1" t="s">
        <v>22265</v>
      </c>
      <c r="I10970" s="1" t="s">
        <v>5</v>
      </c>
      <c r="J10970" s="1" t="s">
        <v>67</v>
      </c>
      <c r="K10970" s="1" t="s">
        <v>14</v>
      </c>
      <c r="M10970" s="2">
        <v>41724</v>
      </c>
      <c r="N10970" s="1" t="s">
        <v>8</v>
      </c>
      <c r="O10970" s="1" t="s">
        <v>68</v>
      </c>
    </row>
    <row r="10971" spans="1:15" ht="43.2" x14ac:dyDescent="0.3">
      <c r="A10971" s="1" t="s">
        <v>25744</v>
      </c>
      <c r="B10971" s="1" t="str">
        <f>"Emily Skeet"</f>
        <v>Emily Skeet</v>
      </c>
      <c r="C10971" s="1" t="s">
        <v>25745</v>
      </c>
      <c r="F10971" s="1" t="s">
        <v>56</v>
      </c>
      <c r="G10971" s="1" t="s">
        <v>51</v>
      </c>
      <c r="H10971" s="1" t="s">
        <v>25746</v>
      </c>
      <c r="I10971" s="1" t="s">
        <v>5</v>
      </c>
      <c r="J10971" s="1" t="s">
        <v>67</v>
      </c>
      <c r="K10971" s="1" t="s">
        <v>14</v>
      </c>
      <c r="M10971" s="2">
        <v>41724</v>
      </c>
      <c r="N10971" s="1" t="s">
        <v>8</v>
      </c>
      <c r="O10971" s="1" t="s">
        <v>68</v>
      </c>
    </row>
    <row r="10972" spans="1:15" ht="43.2" x14ac:dyDescent="0.3">
      <c r="A10972" s="1" t="s">
        <v>25747</v>
      </c>
      <c r="B10972" s="1" t="str">
        <f>"craig fergus-jones"</f>
        <v>craig fergus-jones</v>
      </c>
      <c r="C10972" s="1" t="s">
        <v>25748</v>
      </c>
      <c r="F10972" s="1" t="s">
        <v>25749</v>
      </c>
      <c r="H10972" s="1" t="s">
        <v>25750</v>
      </c>
      <c r="I10972" s="1" t="s">
        <v>5</v>
      </c>
      <c r="J10972" s="1" t="s">
        <v>67</v>
      </c>
      <c r="K10972" s="1" t="s">
        <v>14</v>
      </c>
      <c r="M10972" s="2">
        <v>41724</v>
      </c>
      <c r="N10972" s="1" t="s">
        <v>8</v>
      </c>
      <c r="O10972" s="1" t="s">
        <v>68</v>
      </c>
    </row>
    <row r="10973" spans="1:15" ht="43.2" x14ac:dyDescent="0.3">
      <c r="A10973" s="1" t="s">
        <v>26487</v>
      </c>
      <c r="B10973" s="1" t="str">
        <f>"craig fergus-jones"</f>
        <v>craig fergus-jones</v>
      </c>
      <c r="C10973" s="1" t="s">
        <v>26488</v>
      </c>
      <c r="F10973" s="1" t="s">
        <v>25749</v>
      </c>
      <c r="H10973" s="1" t="s">
        <v>25750</v>
      </c>
      <c r="I10973" s="1" t="s">
        <v>5</v>
      </c>
      <c r="J10973" s="1" t="s">
        <v>67</v>
      </c>
      <c r="K10973" s="1" t="s">
        <v>14</v>
      </c>
      <c r="M10973" s="2">
        <v>41724</v>
      </c>
      <c r="N10973" s="1" t="s">
        <v>8</v>
      </c>
      <c r="O10973" s="1" t="s">
        <v>68</v>
      </c>
    </row>
    <row r="10974" spans="1:15" ht="43.2" x14ac:dyDescent="0.3">
      <c r="A10974" s="1" t="s">
        <v>8889</v>
      </c>
      <c r="B10974" s="1" t="str">
        <f>"Colwyn Fireplace Centre Ltd"</f>
        <v>Colwyn Fireplace Centre Ltd</v>
      </c>
      <c r="C10974" s="1" t="s">
        <v>8890</v>
      </c>
      <c r="F10974" s="1" t="s">
        <v>955</v>
      </c>
      <c r="H10974" s="1" t="s">
        <v>7721</v>
      </c>
      <c r="I10974" s="1" t="s">
        <v>19</v>
      </c>
      <c r="J10974" s="1" t="s">
        <v>67</v>
      </c>
      <c r="K10974" s="1" t="s">
        <v>14</v>
      </c>
      <c r="M10974" s="2">
        <v>41723</v>
      </c>
      <c r="N10974" s="1" t="s">
        <v>8</v>
      </c>
      <c r="O10974" s="1" t="s">
        <v>68</v>
      </c>
    </row>
    <row r="10975" spans="1:15" ht="43.2" x14ac:dyDescent="0.3">
      <c r="A10975" s="1" t="s">
        <v>10029</v>
      </c>
      <c r="B10975" s="1" t="str">
        <f>"North Wales Training Ltd"</f>
        <v>North Wales Training Ltd</v>
      </c>
      <c r="C10975" s="1" t="s">
        <v>10030</v>
      </c>
      <c r="F10975" s="1" t="s">
        <v>358</v>
      </c>
      <c r="H10975" s="1" t="s">
        <v>956</v>
      </c>
      <c r="I10975" s="1" t="s">
        <v>19</v>
      </c>
      <c r="J10975" s="1" t="s">
        <v>67</v>
      </c>
      <c r="K10975" s="1" t="s">
        <v>14</v>
      </c>
      <c r="M10975" s="2">
        <v>41723</v>
      </c>
      <c r="N10975" s="1" t="s">
        <v>8</v>
      </c>
      <c r="O10975" s="1" t="s">
        <v>68</v>
      </c>
    </row>
    <row r="10976" spans="1:15" ht="43.2" x14ac:dyDescent="0.3">
      <c r="A10976" s="1" t="s">
        <v>10031</v>
      </c>
      <c r="B10976" s="1" t="str">
        <f>"North Wales Tourism"</f>
        <v>North Wales Tourism</v>
      </c>
      <c r="C10976" s="1" t="s">
        <v>10032</v>
      </c>
      <c r="F10976" s="1" t="s">
        <v>3052</v>
      </c>
      <c r="H10976" s="1" t="s">
        <v>10033</v>
      </c>
      <c r="I10976" s="1" t="s">
        <v>19</v>
      </c>
      <c r="J10976" s="1" t="s">
        <v>67</v>
      </c>
      <c r="K10976" s="1" t="s">
        <v>14</v>
      </c>
      <c r="M10976" s="2">
        <v>41723</v>
      </c>
      <c r="N10976" s="1" t="s">
        <v>8</v>
      </c>
      <c r="O10976" s="1" t="s">
        <v>68</v>
      </c>
    </row>
    <row r="10977" spans="1:15" ht="43.2" x14ac:dyDescent="0.3">
      <c r="A10977" s="1" t="s">
        <v>10034</v>
      </c>
      <c r="B10977" s="1" t="str">
        <f>"North Wales Tourism"</f>
        <v>North Wales Tourism</v>
      </c>
      <c r="C10977" s="1" t="s">
        <v>10032</v>
      </c>
      <c r="F10977" s="1" t="s">
        <v>3052</v>
      </c>
      <c r="H10977" s="1" t="s">
        <v>10033</v>
      </c>
      <c r="I10977" s="1" t="s">
        <v>19</v>
      </c>
      <c r="J10977" s="1" t="s">
        <v>67</v>
      </c>
      <c r="K10977" s="1" t="s">
        <v>14</v>
      </c>
      <c r="M10977" s="2">
        <v>41723</v>
      </c>
      <c r="N10977" s="1" t="s">
        <v>8</v>
      </c>
      <c r="O10977" s="1" t="s">
        <v>68</v>
      </c>
    </row>
    <row r="10978" spans="1:15" ht="43.2" x14ac:dyDescent="0.3">
      <c r="A10978" s="1" t="s">
        <v>11077</v>
      </c>
      <c r="B10978" s="1" t="str">
        <f>"High Court Enforcement Group Ltd"</f>
        <v>High Court Enforcement Group Ltd</v>
      </c>
      <c r="C10978" s="1" t="s">
        <v>8881</v>
      </c>
      <c r="F10978" s="1" t="s">
        <v>358</v>
      </c>
      <c r="H10978" s="1" t="s">
        <v>6908</v>
      </c>
      <c r="I10978" s="1" t="s">
        <v>19</v>
      </c>
      <c r="J10978" s="1" t="s">
        <v>67</v>
      </c>
      <c r="K10978" s="1" t="s">
        <v>14</v>
      </c>
      <c r="M10978" s="2">
        <v>41723</v>
      </c>
      <c r="N10978" s="1" t="s">
        <v>8</v>
      </c>
      <c r="O10978" s="1" t="s">
        <v>68</v>
      </c>
    </row>
    <row r="10979" spans="1:15" ht="43.2" x14ac:dyDescent="0.3">
      <c r="A10979" s="1" t="s">
        <v>22567</v>
      </c>
      <c r="B10979" s="1" t="str">
        <f>"Kevin Satchwell"</f>
        <v>Kevin Satchwell</v>
      </c>
      <c r="C10979" s="1" t="s">
        <v>22568</v>
      </c>
      <c r="D10979" s="1" t="s">
        <v>230</v>
      </c>
      <c r="F10979" s="1" t="s">
        <v>230</v>
      </c>
      <c r="H10979" s="1" t="s">
        <v>22569</v>
      </c>
      <c r="I10979" s="1" t="s">
        <v>5</v>
      </c>
      <c r="J10979" s="1" t="s">
        <v>67</v>
      </c>
      <c r="K10979" s="1" t="s">
        <v>14</v>
      </c>
      <c r="M10979" s="2">
        <v>41723</v>
      </c>
      <c r="N10979" s="1" t="s">
        <v>8</v>
      </c>
      <c r="O10979" s="1" t="s">
        <v>68</v>
      </c>
    </row>
    <row r="10980" spans="1:15" ht="43.2" x14ac:dyDescent="0.3">
      <c r="A10980" s="1" t="s">
        <v>23291</v>
      </c>
      <c r="B10980" s="1" t="str">
        <f>"Kevin  Satchwell"</f>
        <v>Kevin  Satchwell</v>
      </c>
      <c r="C10980" s="1" t="s">
        <v>22568</v>
      </c>
      <c r="F10980" s="1" t="s">
        <v>230</v>
      </c>
      <c r="H10980" s="1" t="s">
        <v>22569</v>
      </c>
      <c r="I10980" s="1" t="s">
        <v>5</v>
      </c>
      <c r="J10980" s="1" t="s">
        <v>67</v>
      </c>
      <c r="K10980" s="1" t="s">
        <v>14</v>
      </c>
      <c r="M10980" s="2">
        <v>41723</v>
      </c>
      <c r="N10980" s="1" t="s">
        <v>8</v>
      </c>
      <c r="O10980" s="1" t="s">
        <v>68</v>
      </c>
    </row>
    <row r="10981" spans="1:15" ht="43.2" x14ac:dyDescent="0.3">
      <c r="A10981" s="1" t="s">
        <v>23292</v>
      </c>
      <c r="B10981" s="1" t="str">
        <f>"Deryl Jones"</f>
        <v>Deryl Jones</v>
      </c>
      <c r="C10981" s="1" t="s">
        <v>23293</v>
      </c>
      <c r="D10981" s="1" t="s">
        <v>23294</v>
      </c>
      <c r="F10981" s="1" t="s">
        <v>358</v>
      </c>
      <c r="H10981" s="1" t="s">
        <v>23295</v>
      </c>
      <c r="I10981" s="1" t="s">
        <v>5</v>
      </c>
      <c r="J10981" s="1" t="s">
        <v>67</v>
      </c>
      <c r="K10981" s="1" t="s">
        <v>14</v>
      </c>
      <c r="M10981" s="2">
        <v>41723</v>
      </c>
      <c r="N10981" s="1" t="s">
        <v>8</v>
      </c>
      <c r="O10981" s="1" t="s">
        <v>68</v>
      </c>
    </row>
    <row r="10982" spans="1:15" ht="43.2" x14ac:dyDescent="0.3">
      <c r="A10982" s="1" t="s">
        <v>23296</v>
      </c>
      <c r="B10982" s="1" t="str">
        <f>"Deryl Jones"</f>
        <v>Deryl Jones</v>
      </c>
      <c r="C10982" s="1" t="s">
        <v>23293</v>
      </c>
      <c r="D10982" s="1" t="s">
        <v>23294</v>
      </c>
      <c r="F10982" s="1" t="s">
        <v>358</v>
      </c>
      <c r="H10982" s="1" t="s">
        <v>23295</v>
      </c>
      <c r="I10982" s="1" t="s">
        <v>5</v>
      </c>
      <c r="J10982" s="1" t="s">
        <v>67</v>
      </c>
      <c r="K10982" s="1" t="s">
        <v>14</v>
      </c>
      <c r="M10982" s="2">
        <v>41723</v>
      </c>
      <c r="N10982" s="1" t="s">
        <v>8</v>
      </c>
      <c r="O10982" s="1" t="s">
        <v>68</v>
      </c>
    </row>
    <row r="10983" spans="1:15" ht="43.2" x14ac:dyDescent="0.3">
      <c r="A10983" s="1" t="s">
        <v>24132</v>
      </c>
      <c r="B10983" s="1" t="str">
        <f>"Philip Wilson"</f>
        <v>Philip Wilson</v>
      </c>
      <c r="C10983" s="1" t="s">
        <v>24133</v>
      </c>
      <c r="F10983" s="1" t="s">
        <v>4645</v>
      </c>
      <c r="H10983" s="1" t="s">
        <v>24134</v>
      </c>
      <c r="I10983" s="1" t="s">
        <v>5</v>
      </c>
      <c r="J10983" s="1" t="s">
        <v>67</v>
      </c>
      <c r="K10983" s="1" t="s">
        <v>14</v>
      </c>
      <c r="M10983" s="2">
        <v>41723</v>
      </c>
      <c r="N10983" s="1" t="s">
        <v>8</v>
      </c>
      <c r="O10983" s="1" t="s">
        <v>68</v>
      </c>
    </row>
    <row r="10984" spans="1:15" ht="43.2" x14ac:dyDescent="0.3">
      <c r="A10984" s="1" t="s">
        <v>8864</v>
      </c>
      <c r="B10984" s="1" t="str">
        <f>"GWYNEDD FORKLIFTS LTD"</f>
        <v>GWYNEDD FORKLIFTS LTD</v>
      </c>
      <c r="C10984" s="1" t="s">
        <v>8865</v>
      </c>
      <c r="D10984" s="1" t="s">
        <v>8866</v>
      </c>
      <c r="F10984" s="1" t="s">
        <v>6669</v>
      </c>
      <c r="H10984" s="1" t="s">
        <v>5968</v>
      </c>
      <c r="I10984" s="1" t="s">
        <v>19</v>
      </c>
      <c r="J10984" s="1" t="s">
        <v>67</v>
      </c>
      <c r="K10984" s="1" t="s">
        <v>14</v>
      </c>
      <c r="M10984" s="2">
        <v>41722</v>
      </c>
      <c r="N10984" s="1" t="s">
        <v>8</v>
      </c>
      <c r="O10984" s="1" t="s">
        <v>68</v>
      </c>
    </row>
    <row r="10985" spans="1:15" ht="43.2" x14ac:dyDescent="0.3">
      <c r="A10985" s="1" t="s">
        <v>8867</v>
      </c>
      <c r="B10985" s="1" t="str">
        <f>"RS-Fyr &amp; Safety Supplies"</f>
        <v>RS-Fyr &amp; Safety Supplies</v>
      </c>
      <c r="C10985" s="1" t="s">
        <v>8868</v>
      </c>
      <c r="D10985" s="1" t="s">
        <v>8869</v>
      </c>
      <c r="F10985" s="1" t="s">
        <v>358</v>
      </c>
      <c r="H10985" s="1" t="s">
        <v>8870</v>
      </c>
      <c r="I10985" s="1" t="s">
        <v>125</v>
      </c>
      <c r="J10985" s="1" t="s">
        <v>67</v>
      </c>
      <c r="K10985" s="1" t="s">
        <v>14</v>
      </c>
      <c r="M10985" s="2">
        <v>41722</v>
      </c>
      <c r="N10985" s="1" t="s">
        <v>8</v>
      </c>
      <c r="O10985" s="1" t="s">
        <v>68</v>
      </c>
    </row>
    <row r="10986" spans="1:15" ht="43.2" x14ac:dyDescent="0.3">
      <c r="A10986" s="1" t="s">
        <v>8871</v>
      </c>
      <c r="B10986" s="1" t="str">
        <f>"RS-Fyr &amp; Safety Supplies"</f>
        <v>RS-Fyr &amp; Safety Supplies</v>
      </c>
      <c r="C10986" s="1" t="s">
        <v>8868</v>
      </c>
      <c r="D10986" s="1" t="s">
        <v>8869</v>
      </c>
      <c r="F10986" s="1" t="s">
        <v>358</v>
      </c>
      <c r="H10986" s="1" t="s">
        <v>8870</v>
      </c>
      <c r="I10986" s="1" t="s">
        <v>125</v>
      </c>
      <c r="J10986" s="1" t="s">
        <v>67</v>
      </c>
      <c r="K10986" s="1" t="s">
        <v>14</v>
      </c>
      <c r="M10986" s="2">
        <v>41722</v>
      </c>
      <c r="N10986" s="1" t="s">
        <v>8</v>
      </c>
      <c r="O10986" s="1" t="s">
        <v>68</v>
      </c>
    </row>
    <row r="10987" spans="1:15" ht="43.2" x14ac:dyDescent="0.3">
      <c r="A10987" s="1" t="s">
        <v>8872</v>
      </c>
      <c r="B10987" s="1" t="str">
        <f>"RS-Fyr &amp; Safety Supplies"</f>
        <v>RS-Fyr &amp; Safety Supplies</v>
      </c>
      <c r="C10987" s="1" t="s">
        <v>8868</v>
      </c>
      <c r="D10987" s="1" t="s">
        <v>8869</v>
      </c>
      <c r="F10987" s="1" t="s">
        <v>358</v>
      </c>
      <c r="H10987" s="1" t="s">
        <v>8870</v>
      </c>
      <c r="I10987" s="1" t="s">
        <v>125</v>
      </c>
      <c r="J10987" s="1" t="s">
        <v>67</v>
      </c>
      <c r="K10987" s="1" t="s">
        <v>14</v>
      </c>
      <c r="M10987" s="2">
        <v>41722</v>
      </c>
      <c r="N10987" s="1" t="s">
        <v>8</v>
      </c>
      <c r="O10987" s="1" t="s">
        <v>68</v>
      </c>
    </row>
    <row r="10988" spans="1:15" ht="43.2" x14ac:dyDescent="0.3">
      <c r="A10988" s="1" t="s">
        <v>8873</v>
      </c>
      <c r="B10988" s="1" t="str">
        <f>"RS-Fyr &amp; Safety Supplies"</f>
        <v>RS-Fyr &amp; Safety Supplies</v>
      </c>
      <c r="C10988" s="1" t="s">
        <v>8868</v>
      </c>
      <c r="D10988" s="1" t="s">
        <v>8869</v>
      </c>
      <c r="F10988" s="1" t="s">
        <v>358</v>
      </c>
      <c r="H10988" s="1" t="s">
        <v>8870</v>
      </c>
      <c r="I10988" s="1" t="s">
        <v>125</v>
      </c>
      <c r="J10988" s="1" t="s">
        <v>67</v>
      </c>
      <c r="K10988" s="1" t="s">
        <v>14</v>
      </c>
      <c r="M10988" s="2">
        <v>41722</v>
      </c>
      <c r="N10988" s="1" t="s">
        <v>8</v>
      </c>
      <c r="O10988" s="1" t="s">
        <v>68</v>
      </c>
    </row>
    <row r="10989" spans="1:15" ht="43.2" x14ac:dyDescent="0.3">
      <c r="A10989" s="1" t="s">
        <v>8874</v>
      </c>
      <c r="B10989" s="1" t="str">
        <f>"RS-Fyr &amp; Safety Supplies"</f>
        <v>RS-Fyr &amp; Safety Supplies</v>
      </c>
      <c r="C10989" s="1" t="s">
        <v>8868</v>
      </c>
      <c r="D10989" s="1" t="s">
        <v>8869</v>
      </c>
      <c r="F10989" s="1" t="s">
        <v>358</v>
      </c>
      <c r="H10989" s="1" t="s">
        <v>8870</v>
      </c>
      <c r="I10989" s="1" t="s">
        <v>125</v>
      </c>
      <c r="J10989" s="1" t="s">
        <v>67</v>
      </c>
      <c r="K10989" s="1" t="s">
        <v>14</v>
      </c>
      <c r="M10989" s="2">
        <v>41722</v>
      </c>
      <c r="N10989" s="1" t="s">
        <v>8</v>
      </c>
      <c r="O10989" s="1" t="s">
        <v>68</v>
      </c>
    </row>
    <row r="10990" spans="1:15" ht="43.2" x14ac:dyDescent="0.3">
      <c r="A10990" s="1" t="s">
        <v>8875</v>
      </c>
      <c r="B10990" s="1" t="str">
        <f>"RS-Fyr &amp; Safety Supplies"</f>
        <v>RS-Fyr &amp; Safety Supplies</v>
      </c>
      <c r="C10990" s="1" t="s">
        <v>8868</v>
      </c>
      <c r="D10990" s="1" t="s">
        <v>8869</v>
      </c>
      <c r="F10990" s="1" t="s">
        <v>358</v>
      </c>
      <c r="H10990" s="1" t="s">
        <v>8870</v>
      </c>
      <c r="I10990" s="1" t="s">
        <v>125</v>
      </c>
      <c r="J10990" s="1" t="s">
        <v>67</v>
      </c>
      <c r="K10990" s="1" t="s">
        <v>14</v>
      </c>
      <c r="M10990" s="2">
        <v>41722</v>
      </c>
      <c r="N10990" s="1" t="s">
        <v>8</v>
      </c>
      <c r="O10990" s="1" t="s">
        <v>68</v>
      </c>
    </row>
    <row r="10991" spans="1:15" ht="43.2" x14ac:dyDescent="0.3">
      <c r="A10991" s="1" t="s">
        <v>8876</v>
      </c>
      <c r="B10991" s="1" t="str">
        <f>"NORTHERN POTTERY &amp; LINEN COMPANY LTD"</f>
        <v>NORTHERN POTTERY &amp; LINEN COMPANY LTD</v>
      </c>
      <c r="C10991" s="1" t="s">
        <v>8877</v>
      </c>
      <c r="D10991" s="1" t="s">
        <v>3468</v>
      </c>
      <c r="F10991" s="1" t="s">
        <v>8878</v>
      </c>
      <c r="H10991" s="1" t="s">
        <v>8879</v>
      </c>
      <c r="I10991" s="1" t="s">
        <v>19</v>
      </c>
      <c r="J10991" s="1" t="s">
        <v>67</v>
      </c>
      <c r="K10991" s="1" t="s">
        <v>14</v>
      </c>
      <c r="M10991" s="2">
        <v>41722</v>
      </c>
      <c r="N10991" s="1" t="s">
        <v>8</v>
      </c>
      <c r="O10991" s="1" t="s">
        <v>68</v>
      </c>
    </row>
    <row r="10992" spans="1:15" ht="43.2" x14ac:dyDescent="0.3">
      <c r="A10992" s="1" t="s">
        <v>8880</v>
      </c>
      <c r="B10992" s="1" t="str">
        <f>"Excel Civil Enforcement Ltd"</f>
        <v>Excel Civil Enforcement Ltd</v>
      </c>
      <c r="C10992" s="1" t="s">
        <v>8881</v>
      </c>
      <c r="F10992" s="1" t="s">
        <v>358</v>
      </c>
      <c r="H10992" s="1" t="s">
        <v>6908</v>
      </c>
      <c r="I10992" s="1" t="s">
        <v>19</v>
      </c>
      <c r="J10992" s="1" t="s">
        <v>67</v>
      </c>
      <c r="K10992" s="1" t="s">
        <v>14</v>
      </c>
      <c r="M10992" s="2">
        <v>41722</v>
      </c>
      <c r="N10992" s="1" t="s">
        <v>8</v>
      </c>
      <c r="O10992" s="1" t="s">
        <v>68</v>
      </c>
    </row>
    <row r="10993" spans="1:15" ht="43.2" x14ac:dyDescent="0.3">
      <c r="A10993" s="1" t="s">
        <v>8882</v>
      </c>
      <c r="B10993" s="1" t="str">
        <f>"K J Williams Ltd Trading As Home Cookin'"</f>
        <v>K J Williams Ltd Trading As Home Cookin'</v>
      </c>
      <c r="C10993" s="1" t="s">
        <v>8883</v>
      </c>
      <c r="F10993" s="1" t="s">
        <v>3242</v>
      </c>
      <c r="H10993" s="1" t="s">
        <v>8884</v>
      </c>
      <c r="I10993" s="1" t="s">
        <v>19</v>
      </c>
      <c r="J10993" s="1" t="s">
        <v>67</v>
      </c>
      <c r="K10993" s="1" t="s">
        <v>14</v>
      </c>
      <c r="M10993" s="2">
        <v>41722</v>
      </c>
      <c r="N10993" s="1" t="s">
        <v>8</v>
      </c>
      <c r="O10993" s="1" t="s">
        <v>68</v>
      </c>
    </row>
    <row r="10994" spans="1:15" ht="43.2" x14ac:dyDescent="0.3">
      <c r="A10994" s="1" t="s">
        <v>8885</v>
      </c>
      <c r="B10994" s="1" t="str">
        <f>"High Court Enforcement Group Ltd"</f>
        <v>High Court Enforcement Group Ltd</v>
      </c>
      <c r="C10994" s="1" t="s">
        <v>8881</v>
      </c>
      <c r="F10994" s="1" t="s">
        <v>358</v>
      </c>
      <c r="H10994" s="1" t="s">
        <v>6908</v>
      </c>
      <c r="I10994" s="1" t="s">
        <v>19</v>
      </c>
      <c r="J10994" s="1" t="s">
        <v>67</v>
      </c>
      <c r="K10994" s="1" t="s">
        <v>14</v>
      </c>
      <c r="M10994" s="2">
        <v>41722</v>
      </c>
      <c r="N10994" s="1" t="s">
        <v>8</v>
      </c>
      <c r="O10994" s="1" t="s">
        <v>68</v>
      </c>
    </row>
    <row r="10995" spans="1:15" ht="43.2" x14ac:dyDescent="0.3">
      <c r="A10995" s="1" t="s">
        <v>8886</v>
      </c>
      <c r="B10995" s="1" t="str">
        <f>"The Stratford House B&amp;B"</f>
        <v>The Stratford House B&amp;B</v>
      </c>
      <c r="C10995" s="1" t="s">
        <v>8887</v>
      </c>
      <c r="F10995" s="1" t="s">
        <v>3242</v>
      </c>
      <c r="H10995" s="1" t="s">
        <v>8888</v>
      </c>
      <c r="I10995" s="1" t="s">
        <v>125</v>
      </c>
      <c r="J10995" s="1" t="s">
        <v>67</v>
      </c>
      <c r="K10995" s="1" t="s">
        <v>14</v>
      </c>
      <c r="M10995" s="2">
        <v>41722</v>
      </c>
      <c r="N10995" s="1" t="s">
        <v>8</v>
      </c>
      <c r="O10995" s="1" t="s">
        <v>68</v>
      </c>
    </row>
  </sheetData>
  <sheetProtection password="FB29" sheet="1" objects="1" scenarios="1"/>
  <sortState ref="A2:O10995">
    <sortCondition descending="1" ref="M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Register 01.04.19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2019-04-01T09:10:08Z</dcterms:created>
  <dcterms:modified xsi:type="dcterms:W3CDTF">2019-04-01T09:11:22Z</dcterms:modified>
</cp:coreProperties>
</file>